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E\"/>
    </mc:Choice>
  </mc:AlternateContent>
  <xr:revisionPtr revIDLastSave="0" documentId="13_ncr:1_{57BC4C78-BA42-4879-BF78-C4717226AE13}" xr6:coauthVersionLast="47" xr6:coauthVersionMax="47" xr10:uidLastSave="{00000000-0000-0000-0000-000000000000}"/>
  <bookViews>
    <workbookView xWindow="-108" yWindow="-108" windowWidth="23256" windowHeight="12456" firstSheet="8" activeTab="8" xr2:uid="{08516A01-2AF7-4C90-83E4-BB1CE664482F}"/>
  </bookViews>
  <sheets>
    <sheet name="MFR E-14" sheetId="1" r:id="rId1"/>
    <sheet name="2027 E-14A" sheetId="16" r:id="rId2"/>
    <sheet name="2026 E-14A" sheetId="9" r:id="rId3"/>
    <sheet name="2025 E-14A" sheetId="2" r:id="rId4"/>
    <sheet name="2027 E-14B" sheetId="17" r:id="rId5"/>
    <sheet name="2026 E-14B" sheetId="10" r:id="rId6"/>
    <sheet name="2025 E-14B" sheetId="3" r:id="rId7"/>
    <sheet name="2027 E-14C" sheetId="18" r:id="rId8"/>
    <sheet name="2026 E-14C" sheetId="11" r:id="rId9"/>
    <sheet name="2025 E-14C" sheetId="4" r:id="rId10"/>
    <sheet name="2027 E-14D1" sheetId="19" r:id="rId11"/>
    <sheet name="2026 E-14D1" sheetId="12" r:id="rId12"/>
    <sheet name="2025 E-14D1" sheetId="5" r:id="rId13"/>
    <sheet name="2027 E-14D2" sheetId="20" r:id="rId14"/>
    <sheet name="2026 E-14D2" sheetId="13" r:id="rId15"/>
    <sheet name="2025 E-14D2" sheetId="6" r:id="rId16"/>
    <sheet name="2027 E-14E" sheetId="22" r:id="rId17"/>
    <sheet name="2026 E-14E" sheetId="15" r:id="rId18"/>
    <sheet name="2025 E-14E" sheetId="8" r:id="rId19"/>
    <sheet name="2027 E-14G" sheetId="27" r:id="rId20"/>
    <sheet name="2026 E-14G" sheetId="25" r:id="rId21"/>
    <sheet name="2025 E-14G" sheetId="23" r:id="rId22"/>
    <sheet name="2027 E-14H" sheetId="28" r:id="rId23"/>
    <sheet name="2026 E-14H" sheetId="26" r:id="rId24"/>
    <sheet name="2025 E-14H" sheetId="24" r:id="rId25"/>
  </sheets>
  <externalReferences>
    <externalReference r:id="rId26"/>
    <externalReference r:id="rId27"/>
  </externalReferences>
  <definedNames>
    <definedName name="\a" localSheetId="3">#REF!</definedName>
    <definedName name="\a" localSheetId="6">#REF!</definedName>
    <definedName name="\a" localSheetId="18">#REF!</definedName>
    <definedName name="\a" localSheetId="21">#REF!</definedName>
    <definedName name="\a" localSheetId="24">#REF!</definedName>
    <definedName name="\a" localSheetId="2">#REF!</definedName>
    <definedName name="\a" localSheetId="5">#REF!</definedName>
    <definedName name="\a" localSheetId="17">#REF!</definedName>
    <definedName name="\a" localSheetId="20">#REF!</definedName>
    <definedName name="\a" localSheetId="23">#REF!</definedName>
    <definedName name="\a" localSheetId="1">#REF!</definedName>
    <definedName name="\a" localSheetId="4">#REF!</definedName>
    <definedName name="\a" localSheetId="16">#REF!</definedName>
    <definedName name="\a" localSheetId="19">#REF!</definedName>
    <definedName name="\a" localSheetId="22">#REF!</definedName>
    <definedName name="\a" localSheetId="0">#REF!</definedName>
    <definedName name="\a">#REF!</definedName>
    <definedName name="\b" localSheetId="3">#REF!</definedName>
    <definedName name="\b" localSheetId="6">#REF!</definedName>
    <definedName name="\b" localSheetId="18">#REF!</definedName>
    <definedName name="\b" localSheetId="21">#REF!</definedName>
    <definedName name="\b" localSheetId="24">#REF!</definedName>
    <definedName name="\b" localSheetId="2">#REF!</definedName>
    <definedName name="\b" localSheetId="5">#REF!</definedName>
    <definedName name="\b" localSheetId="17">#REF!</definedName>
    <definedName name="\b" localSheetId="20">#REF!</definedName>
    <definedName name="\b" localSheetId="23">#REF!</definedName>
    <definedName name="\b" localSheetId="1">#REF!</definedName>
    <definedName name="\b" localSheetId="4">#REF!</definedName>
    <definedName name="\b" localSheetId="16">#REF!</definedName>
    <definedName name="\b" localSheetId="19">#REF!</definedName>
    <definedName name="\b" localSheetId="22">#REF!</definedName>
    <definedName name="\b" localSheetId="0">#REF!</definedName>
    <definedName name="\b">#REF!</definedName>
    <definedName name="\bb" localSheetId="3">#REF!</definedName>
    <definedName name="\bb" localSheetId="6">#REF!</definedName>
    <definedName name="\bb" localSheetId="18">#REF!</definedName>
    <definedName name="\bb" localSheetId="21">#REF!</definedName>
    <definedName name="\bb" localSheetId="24">#REF!</definedName>
    <definedName name="\bb" localSheetId="2">#REF!</definedName>
    <definedName name="\bb" localSheetId="5">#REF!</definedName>
    <definedName name="\bb" localSheetId="17">#REF!</definedName>
    <definedName name="\bb" localSheetId="20">#REF!</definedName>
    <definedName name="\bb" localSheetId="23">#REF!</definedName>
    <definedName name="\bb" localSheetId="1">#REF!</definedName>
    <definedName name="\bb" localSheetId="4">#REF!</definedName>
    <definedName name="\bb" localSheetId="16">#REF!</definedName>
    <definedName name="\bb" localSheetId="19">#REF!</definedName>
    <definedName name="\bb" localSheetId="22">#REF!</definedName>
    <definedName name="\bb" localSheetId="0">#REF!</definedName>
    <definedName name="\bb">#REF!</definedName>
    <definedName name="\c" localSheetId="3">#REF!</definedName>
    <definedName name="\c" localSheetId="6">#REF!</definedName>
    <definedName name="\c" localSheetId="18">#REF!</definedName>
    <definedName name="\c" localSheetId="21">#REF!</definedName>
    <definedName name="\c" localSheetId="24">#REF!</definedName>
    <definedName name="\c" localSheetId="2">#REF!</definedName>
    <definedName name="\c" localSheetId="5">#REF!</definedName>
    <definedName name="\c" localSheetId="17">#REF!</definedName>
    <definedName name="\c" localSheetId="20">#REF!</definedName>
    <definedName name="\c" localSheetId="23">#REF!</definedName>
    <definedName name="\c" localSheetId="1">#REF!</definedName>
    <definedName name="\c" localSheetId="4">#REF!</definedName>
    <definedName name="\c" localSheetId="16">#REF!</definedName>
    <definedName name="\c" localSheetId="19">#REF!</definedName>
    <definedName name="\c" localSheetId="22">#REF!</definedName>
    <definedName name="\c" localSheetId="0">#REF!</definedName>
    <definedName name="\c">#REF!</definedName>
    <definedName name="\D" localSheetId="3">#REF!</definedName>
    <definedName name="\D" localSheetId="6">#REF!</definedName>
    <definedName name="\D" localSheetId="18">#REF!</definedName>
    <definedName name="\D" localSheetId="21">#REF!</definedName>
    <definedName name="\D" localSheetId="24">#REF!</definedName>
    <definedName name="\D" localSheetId="2">#REF!</definedName>
    <definedName name="\D" localSheetId="5">#REF!</definedName>
    <definedName name="\D" localSheetId="17">#REF!</definedName>
    <definedName name="\D" localSheetId="20">#REF!</definedName>
    <definedName name="\D" localSheetId="23">#REF!</definedName>
    <definedName name="\D" localSheetId="1">#REF!</definedName>
    <definedName name="\D" localSheetId="4">#REF!</definedName>
    <definedName name="\D" localSheetId="16">#REF!</definedName>
    <definedName name="\D" localSheetId="19">#REF!</definedName>
    <definedName name="\D" localSheetId="22">#REF!</definedName>
    <definedName name="\D" localSheetId="0">#REF!</definedName>
    <definedName name="\D">#REF!</definedName>
    <definedName name="\DDDD" localSheetId="3">#REF!</definedName>
    <definedName name="\DDDD" localSheetId="6">#REF!</definedName>
    <definedName name="\DDDD" localSheetId="18">#REF!</definedName>
    <definedName name="\DDDD" localSheetId="21">#REF!</definedName>
    <definedName name="\DDDD" localSheetId="24">#REF!</definedName>
    <definedName name="\DDDD" localSheetId="2">#REF!</definedName>
    <definedName name="\DDDD" localSheetId="5">#REF!</definedName>
    <definedName name="\DDDD" localSheetId="17">#REF!</definedName>
    <definedName name="\DDDD" localSheetId="20">#REF!</definedName>
    <definedName name="\DDDD" localSheetId="23">#REF!</definedName>
    <definedName name="\DDDD" localSheetId="1">#REF!</definedName>
    <definedName name="\DDDD" localSheetId="4">#REF!</definedName>
    <definedName name="\DDDD" localSheetId="16">#REF!</definedName>
    <definedName name="\DDDD" localSheetId="19">#REF!</definedName>
    <definedName name="\DDDD" localSheetId="22">#REF!</definedName>
    <definedName name="\DDDD" localSheetId="0">#REF!</definedName>
    <definedName name="\DDDD">#REF!</definedName>
    <definedName name="\E" localSheetId="3">#REF!</definedName>
    <definedName name="\E" localSheetId="6">#REF!</definedName>
    <definedName name="\E" localSheetId="18">#REF!</definedName>
    <definedName name="\E" localSheetId="21">#REF!</definedName>
    <definedName name="\E" localSheetId="24">#REF!</definedName>
    <definedName name="\E" localSheetId="2">#REF!</definedName>
    <definedName name="\E" localSheetId="5">#REF!</definedName>
    <definedName name="\E" localSheetId="17">#REF!</definedName>
    <definedName name="\E" localSheetId="20">#REF!</definedName>
    <definedName name="\E" localSheetId="23">#REF!</definedName>
    <definedName name="\E" localSheetId="1">#REF!</definedName>
    <definedName name="\E" localSheetId="4">#REF!</definedName>
    <definedName name="\E" localSheetId="16">#REF!</definedName>
    <definedName name="\E" localSheetId="19">#REF!</definedName>
    <definedName name="\E" localSheetId="22">#REF!</definedName>
    <definedName name="\E" localSheetId="0">#REF!</definedName>
    <definedName name="\E">#REF!</definedName>
    <definedName name="\f" localSheetId="3">#REF!</definedName>
    <definedName name="\f" localSheetId="6">#REF!</definedName>
    <definedName name="\f" localSheetId="18">#REF!</definedName>
    <definedName name="\f" localSheetId="21">#REF!</definedName>
    <definedName name="\f" localSheetId="24">#REF!</definedName>
    <definedName name="\f" localSheetId="2">#REF!</definedName>
    <definedName name="\f" localSheetId="5">#REF!</definedName>
    <definedName name="\f" localSheetId="17">#REF!</definedName>
    <definedName name="\f" localSheetId="20">#REF!</definedName>
    <definedName name="\f" localSheetId="23">#REF!</definedName>
    <definedName name="\f" localSheetId="1">#REF!</definedName>
    <definedName name="\f" localSheetId="4">#REF!</definedName>
    <definedName name="\f" localSheetId="16">#REF!</definedName>
    <definedName name="\f" localSheetId="19">#REF!</definedName>
    <definedName name="\f" localSheetId="22">#REF!</definedName>
    <definedName name="\f" localSheetId="0">#REF!</definedName>
    <definedName name="\f">#REF!</definedName>
    <definedName name="\p" localSheetId="3">#REF!</definedName>
    <definedName name="\p" localSheetId="6">#REF!</definedName>
    <definedName name="\p" localSheetId="18">#REF!</definedName>
    <definedName name="\p" localSheetId="21">#REF!</definedName>
    <definedName name="\p" localSheetId="24">#REF!</definedName>
    <definedName name="\p" localSheetId="2">#REF!</definedName>
    <definedName name="\p" localSheetId="5">#REF!</definedName>
    <definedName name="\p" localSheetId="17">#REF!</definedName>
    <definedName name="\p" localSheetId="20">#REF!</definedName>
    <definedName name="\p" localSheetId="23">#REF!</definedName>
    <definedName name="\p" localSheetId="1">#REF!</definedName>
    <definedName name="\p" localSheetId="4">#REF!</definedName>
    <definedName name="\p" localSheetId="16">#REF!</definedName>
    <definedName name="\p" localSheetId="19">#REF!</definedName>
    <definedName name="\p" localSheetId="22">#REF!</definedName>
    <definedName name="\p" localSheetId="0">#REF!</definedName>
    <definedName name="\p">#REF!</definedName>
    <definedName name="\r" localSheetId="3">#REF!</definedName>
    <definedName name="\r" localSheetId="6">#REF!</definedName>
    <definedName name="\r" localSheetId="18">#REF!</definedName>
    <definedName name="\r" localSheetId="21">#REF!</definedName>
    <definedName name="\r" localSheetId="24">#REF!</definedName>
    <definedName name="\r" localSheetId="2">#REF!</definedName>
    <definedName name="\r" localSheetId="5">#REF!</definedName>
    <definedName name="\r" localSheetId="17">#REF!</definedName>
    <definedName name="\r" localSheetId="20">#REF!</definedName>
    <definedName name="\r" localSheetId="23">#REF!</definedName>
    <definedName name="\r" localSheetId="1">#REF!</definedName>
    <definedName name="\r" localSheetId="4">#REF!</definedName>
    <definedName name="\r" localSheetId="16">#REF!</definedName>
    <definedName name="\r" localSheetId="19">#REF!</definedName>
    <definedName name="\r" localSheetId="22">#REF!</definedName>
    <definedName name="\r" localSheetId="0">#REF!</definedName>
    <definedName name="\r">#REF!</definedName>
    <definedName name="\s" localSheetId="3">#REF!</definedName>
    <definedName name="\s" localSheetId="6">#REF!</definedName>
    <definedName name="\s" localSheetId="18">#REF!</definedName>
    <definedName name="\s" localSheetId="21">#REF!</definedName>
    <definedName name="\s" localSheetId="24">#REF!</definedName>
    <definedName name="\s" localSheetId="2">#REF!</definedName>
    <definedName name="\s" localSheetId="5">#REF!</definedName>
    <definedName name="\s" localSheetId="17">#REF!</definedName>
    <definedName name="\s" localSheetId="20">#REF!</definedName>
    <definedName name="\s" localSheetId="23">#REF!</definedName>
    <definedName name="\s" localSheetId="1">#REF!</definedName>
    <definedName name="\s" localSheetId="4">#REF!</definedName>
    <definedName name="\s" localSheetId="16">#REF!</definedName>
    <definedName name="\s" localSheetId="19">#REF!</definedName>
    <definedName name="\s" localSheetId="22">#REF!</definedName>
    <definedName name="\s" localSheetId="0">#REF!</definedName>
    <definedName name="\s">#REF!</definedName>
    <definedName name="\w" localSheetId="3">#REF!</definedName>
    <definedName name="\w" localSheetId="6">#REF!</definedName>
    <definedName name="\w" localSheetId="18">#REF!</definedName>
    <definedName name="\w" localSheetId="21">#REF!</definedName>
    <definedName name="\w" localSheetId="24">#REF!</definedName>
    <definedName name="\w" localSheetId="2">#REF!</definedName>
    <definedName name="\w" localSheetId="5">#REF!</definedName>
    <definedName name="\w" localSheetId="17">#REF!</definedName>
    <definedName name="\w" localSheetId="20">#REF!</definedName>
    <definedName name="\w" localSheetId="23">#REF!</definedName>
    <definedName name="\w" localSheetId="1">#REF!</definedName>
    <definedName name="\w" localSheetId="4">#REF!</definedName>
    <definedName name="\w" localSheetId="16">#REF!</definedName>
    <definedName name="\w" localSheetId="19">#REF!</definedName>
    <definedName name="\w" localSheetId="22">#REF!</definedName>
    <definedName name="\w" localSheetId="0">#REF!</definedName>
    <definedName name="\w">#REF!</definedName>
    <definedName name="____________fsd44" localSheetId="2" hidden="1">{#N/A,#N/A,FALSE,"Aging Summary";#N/A,#N/A,FALSE,"Ratio Analysis";#N/A,#N/A,FALSE,"Test 120 Day Accts";#N/A,#N/A,FALSE,"Tickmarks"}</definedName>
    <definedName name="____________fsd44" localSheetId="1" hidden="1">{#N/A,#N/A,FALSE,"Aging Summary";#N/A,#N/A,FALSE,"Ratio Analysis";#N/A,#N/A,FALSE,"Test 120 Day Accts";#N/A,#N/A,FALSE,"Tickmarks"}</definedName>
    <definedName name="____________fsd44" hidden="1">{#N/A,#N/A,FALSE,"Aging Summary";#N/A,#N/A,FALSE,"Ratio Analysis";#N/A,#N/A,FALSE,"Test 120 Day Accts";#N/A,#N/A,FALSE,"Tickmarks"}</definedName>
    <definedName name="__________fsd44" localSheetId="2" hidden="1">{#N/A,#N/A,FALSE,"Aging Summary";#N/A,#N/A,FALSE,"Ratio Analysis";#N/A,#N/A,FALSE,"Test 120 Day Accts";#N/A,#N/A,FALSE,"Tickmarks"}</definedName>
    <definedName name="__________fsd44" localSheetId="1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localSheetId="2" hidden="1">{"'Sheet1'!$A$1:$I$89"}</definedName>
    <definedName name="_________x2" localSheetId="1" hidden="1">{"'Sheet1'!$A$1:$I$89"}</definedName>
    <definedName name="_________x2" hidden="1">{"'Sheet1'!$A$1:$I$89"}</definedName>
    <definedName name="_________x88888" localSheetId="2" hidden="1">{"'Sheet1'!$A$1:$I$89"}</definedName>
    <definedName name="_________x88888" localSheetId="1" hidden="1">{"'Sheet1'!$A$1:$I$89"}</definedName>
    <definedName name="_________x88888" hidden="1">{"'Sheet1'!$A$1:$I$89"}</definedName>
    <definedName name="________x2" localSheetId="2" hidden="1">{"'Sheet1'!$A$1:$I$89"}</definedName>
    <definedName name="________x2" localSheetId="1" hidden="1">{"'Sheet1'!$A$1:$I$89"}</definedName>
    <definedName name="________x2" hidden="1">{"'Sheet1'!$A$1:$I$89"}</definedName>
    <definedName name="________x88888" localSheetId="2" hidden="1">{"'Sheet1'!$A$1:$I$89"}</definedName>
    <definedName name="________x88888" localSheetId="1" hidden="1">{"'Sheet1'!$A$1:$I$89"}</definedName>
    <definedName name="________x88888" hidden="1">{"'Sheet1'!$A$1:$I$89"}</definedName>
    <definedName name="_______fsd44" localSheetId="2" hidden="1">{#N/A,#N/A,FALSE,"Aging Summary";#N/A,#N/A,FALSE,"Ratio Analysis";#N/A,#N/A,FALSE,"Test 120 Day Accts";#N/A,#N/A,FALSE,"Tickmarks"}</definedName>
    <definedName name="_______fsd44" localSheetId="1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_PG1">#N/A</definedName>
    <definedName name="_______PG2">#N/A</definedName>
    <definedName name="_______PG3">#N/A</definedName>
    <definedName name="_______x2" localSheetId="2" hidden="1">{"'Sheet1'!$A$1:$I$89"}</definedName>
    <definedName name="_______x2" localSheetId="1" hidden="1">{"'Sheet1'!$A$1:$I$89"}</definedName>
    <definedName name="_______x2" hidden="1">{"'Sheet1'!$A$1:$I$89"}</definedName>
    <definedName name="_______x88888" localSheetId="2" hidden="1">{"'Sheet1'!$A$1:$I$89"}</definedName>
    <definedName name="_______x88888" localSheetId="1" hidden="1">{"'Sheet1'!$A$1:$I$89"}</definedName>
    <definedName name="_______x88888" hidden="1">{"'Sheet1'!$A$1:$I$89"}</definedName>
    <definedName name="______fsd44" localSheetId="2" hidden="1">{#N/A,#N/A,FALSE,"Aging Summary";#N/A,#N/A,FALSE,"Ratio Analysis";#N/A,#N/A,FALSE,"Test 120 Day Accts";#N/A,#N/A,FALSE,"Tickmarks"}</definedName>
    <definedName name="______fsd44" localSheetId="1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_kim1" localSheetId="2" hidden="1">{#N/A,#N/A,FALSE,"Aging Summary";#N/A,#N/A,FALSE,"Ratio Analysis";#N/A,#N/A,FALSE,"Test 120 Day Accts";#N/A,#N/A,FALSE,"Tickmarks"}</definedName>
    <definedName name="______kim1" localSheetId="1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6" localSheetId="2" hidden="1">{#N/A,#N/A,FALSE,"Aging Summary";#N/A,#N/A,FALSE,"Ratio Analysis";#N/A,#N/A,FALSE,"Test 120 Day Accts";#N/A,#N/A,FALSE,"Tickmarks"}</definedName>
    <definedName name="______kim6" localSheetId="1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_PG1">#N/A</definedName>
    <definedName name="______PG2">#N/A</definedName>
    <definedName name="______PG3">#N/A</definedName>
    <definedName name="______x2" localSheetId="2" hidden="1">{"'Sheet1'!$A$1:$I$89"}</definedName>
    <definedName name="______x2" localSheetId="1" hidden="1">{"'Sheet1'!$A$1:$I$89"}</definedName>
    <definedName name="______x2" hidden="1">{"'Sheet1'!$A$1:$I$89"}</definedName>
    <definedName name="______x88888" localSheetId="2" hidden="1">{"'Sheet1'!$A$1:$I$89"}</definedName>
    <definedName name="______x88888" localSheetId="1" hidden="1">{"'Sheet1'!$A$1:$I$89"}</definedName>
    <definedName name="______x88888" hidden="1">{"'Sheet1'!$A$1:$I$89"}</definedName>
    <definedName name="_____fsd44" localSheetId="2" hidden="1">{#N/A,#N/A,FALSE,"Aging Summary";#N/A,#N/A,FALSE,"Ratio Analysis";#N/A,#N/A,FALSE,"Test 120 Day Accts";#N/A,#N/A,FALSE,"Tickmarks"}</definedName>
    <definedName name="_____fsd44" localSheetId="1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_kim1" localSheetId="2" hidden="1">{#N/A,#N/A,FALSE,"Aging Summary";#N/A,#N/A,FALSE,"Ratio Analysis";#N/A,#N/A,FALSE,"Test 120 Day Accts";#N/A,#N/A,FALSE,"Tickmarks"}</definedName>
    <definedName name="_____kim1" localSheetId="1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localSheetId="2" hidden="1">{#N/A,#N/A,FALSE,"Aging Summary";#N/A,#N/A,FALSE,"Ratio Analysis";#N/A,#N/A,FALSE,"Test 120 Day Accts";#N/A,#N/A,FALSE,"Tickmarks"}</definedName>
    <definedName name="_____kim6" localSheetId="1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_PG1">#N/A</definedName>
    <definedName name="_____PG2">#N/A</definedName>
    <definedName name="_____PG3">#N/A</definedName>
    <definedName name="_____x2" localSheetId="2" hidden="1">{"'Sheet1'!$A$1:$I$89"}</definedName>
    <definedName name="_____x2" localSheetId="1" hidden="1">{"'Sheet1'!$A$1:$I$89"}</definedName>
    <definedName name="_____x2" hidden="1">{"'Sheet1'!$A$1:$I$89"}</definedName>
    <definedName name="_____x88888" localSheetId="2" hidden="1">{"'Sheet1'!$A$1:$I$89"}</definedName>
    <definedName name="_____x88888" localSheetId="1" hidden="1">{"'Sheet1'!$A$1:$I$89"}</definedName>
    <definedName name="_____x88888" hidden="1">{"'Sheet1'!$A$1:$I$89"}</definedName>
    <definedName name="____fsd44" localSheetId="2" hidden="1">{#N/A,#N/A,FALSE,"Aging Summary";#N/A,#N/A,FALSE,"Ratio Analysis";#N/A,#N/A,FALSE,"Test 120 Day Accts";#N/A,#N/A,FALSE,"Tickmarks"}</definedName>
    <definedName name="____fsd44" localSheetId="1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_kim1" localSheetId="2" hidden="1">{#N/A,#N/A,FALSE,"Aging Summary";#N/A,#N/A,FALSE,"Ratio Analysis";#N/A,#N/A,FALSE,"Test 120 Day Accts";#N/A,#N/A,FALSE,"Tickmarks"}</definedName>
    <definedName name="____kim1" localSheetId="1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localSheetId="2" hidden="1">{#N/A,#N/A,FALSE,"Aging Summary";#N/A,#N/A,FALSE,"Ratio Analysis";#N/A,#N/A,FALSE,"Test 120 Day Accts";#N/A,#N/A,FALSE,"Tickmarks"}</definedName>
    <definedName name="____kim6" localSheetId="1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PG1">#N/A</definedName>
    <definedName name="____PG2">#N/A</definedName>
    <definedName name="____PG3">#N/A</definedName>
    <definedName name="____x2" localSheetId="2" hidden="1">{"'Sheet1'!$A$1:$I$89"}</definedName>
    <definedName name="____x2" localSheetId="1" hidden="1">{"'Sheet1'!$A$1:$I$89"}</definedName>
    <definedName name="____x2" hidden="1">{"'Sheet1'!$A$1:$I$89"}</definedName>
    <definedName name="____x88888" localSheetId="2" hidden="1">{"'Sheet1'!$A$1:$I$89"}</definedName>
    <definedName name="____x88888" localSheetId="1" hidden="1">{"'Sheet1'!$A$1:$I$89"}</definedName>
    <definedName name="____x88888" hidden="1">{"'Sheet1'!$A$1:$I$89"}</definedName>
    <definedName name="___fsd44" localSheetId="2" hidden="1">{#N/A,#N/A,FALSE,"Aging Summary";#N/A,#N/A,FALSE,"Ratio Analysis";#N/A,#N/A,FALSE,"Test 120 Day Accts";#N/A,#N/A,FALSE,"Tickmarks"}</definedName>
    <definedName name="___fsd44" localSheetId="1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kim1" localSheetId="2" hidden="1">{#N/A,#N/A,FALSE,"Aging Summary";#N/A,#N/A,FALSE,"Ratio Analysis";#N/A,#N/A,FALSE,"Test 120 Day Accts";#N/A,#N/A,FALSE,"Tickmarks"}</definedName>
    <definedName name="___kim1" localSheetId="1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localSheetId="2" hidden="1">{#N/A,#N/A,FALSE,"Aging Summary";#N/A,#N/A,FALSE,"Ratio Analysis";#N/A,#N/A,FALSE,"Test 120 Day Accts";#N/A,#N/A,FALSE,"Tickmarks"}</definedName>
    <definedName name="___kim6" localSheetId="1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PG1">#N/A</definedName>
    <definedName name="___PG2">#N/A</definedName>
    <definedName name="___PG3" localSheetId="3">#REF!</definedName>
    <definedName name="___PG3" localSheetId="6">#REF!</definedName>
    <definedName name="___PG3" localSheetId="18">#REF!</definedName>
    <definedName name="___PG3" localSheetId="21">#REF!</definedName>
    <definedName name="___PG3" localSheetId="24">#REF!</definedName>
    <definedName name="___PG3" localSheetId="2">#REF!</definedName>
    <definedName name="___PG3" localSheetId="5">#REF!</definedName>
    <definedName name="___PG3" localSheetId="17">#REF!</definedName>
    <definedName name="___PG3" localSheetId="20">#REF!</definedName>
    <definedName name="___PG3" localSheetId="23">#REF!</definedName>
    <definedName name="___PG3" localSheetId="1">#REF!</definedName>
    <definedName name="___PG3" localSheetId="4">#REF!</definedName>
    <definedName name="___PG3" localSheetId="16">#REF!</definedName>
    <definedName name="___PG3" localSheetId="19">#REF!</definedName>
    <definedName name="___PG3" localSheetId="22">#REF!</definedName>
    <definedName name="___PG3" localSheetId="0">#REF!</definedName>
    <definedName name="___PG3">#N/A</definedName>
    <definedName name="___thinkcellREMAAAAAAAAEAAAARM3YEr2Vska_PC_IFuLITA" hidden="1">#REF!</definedName>
    <definedName name="___x2" localSheetId="2" hidden="1">{"'Sheet1'!$A$1:$I$89"}</definedName>
    <definedName name="___x2" localSheetId="1" hidden="1">{"'Sheet1'!$A$1:$I$89"}</definedName>
    <definedName name="___x2" hidden="1">{"'Sheet1'!$A$1:$I$89"}</definedName>
    <definedName name="___x88888" localSheetId="2" hidden="1">{"'Sheet1'!$A$1:$I$89"}</definedName>
    <definedName name="___x88888" localSheetId="1" hidden="1">{"'Sheet1'!$A$1:$I$89"}</definedName>
    <definedName name="___x88888" hidden="1">{"'Sheet1'!$A$1:$I$89"}</definedName>
    <definedName name="__123Graph_A" hidden="1">#REF!</definedName>
    <definedName name="__123Graph_AScreenCrv" hidden="1">#REF!</definedName>
    <definedName name="__123Graph_B" hidden="1">#REF!</definedName>
    <definedName name="__123Graph_BScreenCrv" hidden="1">#REF!</definedName>
    <definedName name="__123Graph_C" hidden="1">#REF!</definedName>
    <definedName name="__123Graph_CScreenCrv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cp3" localSheetId="2" hidden="1">{#N/A,#N/A,FALSE,"ALLOC"}</definedName>
    <definedName name="__cp3" localSheetId="1" hidden="1">{#N/A,#N/A,FALSE,"ALLOC"}</definedName>
    <definedName name="__cp3" hidden="1">{#N/A,#N/A,FALSE,"ALLOC"}</definedName>
    <definedName name="__FDS_HYPERLINK_TOGGLE_STATE__" hidden="1">"ON"</definedName>
    <definedName name="__fsd44" localSheetId="2" hidden="1">{#N/A,#N/A,FALSE,"Aging Summary";#N/A,#N/A,FALSE,"Ratio Analysis";#N/A,#N/A,FALSE,"Test 120 Day Accts";#N/A,#N/A,FALSE,"Tickmarks"}</definedName>
    <definedName name="__fsd44" localSheetId="1" hidden="1">{#N/A,#N/A,FALSE,"Aging Summary";#N/A,#N/A,FALSE,"Ratio Analysis";#N/A,#N/A,FALSE,"Test 120 Day Accts";#N/A,#N/A,FALSE,"Tickmarks"}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im1" localSheetId="2" hidden="1">{#N/A,#N/A,FALSE,"Aging Summary";#N/A,#N/A,FALSE,"Ratio Analysis";#N/A,#N/A,FALSE,"Test 120 Day Accts";#N/A,#N/A,FALSE,"Tickmarks"}</definedName>
    <definedName name="__kim1" localSheetId="1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6" localSheetId="2" hidden="1">{#N/A,#N/A,FALSE,"Aging Summary";#N/A,#N/A,FALSE,"Ratio Analysis";#N/A,#N/A,FALSE,"Test 120 Day Accts";#N/A,#N/A,FALSE,"Tickmarks"}</definedName>
    <definedName name="__kim6" localSheetId="1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PG1" localSheetId="3">#REF!</definedName>
    <definedName name="__PG1" localSheetId="6">#REF!</definedName>
    <definedName name="__PG1" localSheetId="18">#REF!</definedName>
    <definedName name="__PG1" localSheetId="21">#REF!</definedName>
    <definedName name="__PG1" localSheetId="24">#REF!</definedName>
    <definedName name="__PG1" localSheetId="2">#REF!</definedName>
    <definedName name="__PG1" localSheetId="5">#REF!</definedName>
    <definedName name="__PG1" localSheetId="17">#REF!</definedName>
    <definedName name="__PG1" localSheetId="20">#REF!</definedName>
    <definedName name="__PG1" localSheetId="23">#REF!</definedName>
    <definedName name="__PG1" localSheetId="1">#REF!</definedName>
    <definedName name="__PG1" localSheetId="4">#REF!</definedName>
    <definedName name="__PG1" localSheetId="16">#REF!</definedName>
    <definedName name="__PG1" localSheetId="19">#REF!</definedName>
    <definedName name="__PG1" localSheetId="22">#REF!</definedName>
    <definedName name="__PG1" localSheetId="0">#REF!</definedName>
    <definedName name="__PG1">#N/A</definedName>
    <definedName name="__PG2" localSheetId="3">#REF!</definedName>
    <definedName name="__PG2" localSheetId="6">#REF!</definedName>
    <definedName name="__PG2" localSheetId="18">#REF!</definedName>
    <definedName name="__PG2" localSheetId="21">#REF!</definedName>
    <definedName name="__PG2" localSheetId="24">#REF!</definedName>
    <definedName name="__PG2" localSheetId="2">#REF!</definedName>
    <definedName name="__PG2" localSheetId="5">#REF!</definedName>
    <definedName name="__PG2" localSheetId="17">#REF!</definedName>
    <definedName name="__PG2" localSheetId="20">#REF!</definedName>
    <definedName name="__PG2" localSheetId="23">#REF!</definedName>
    <definedName name="__PG2" localSheetId="1">#REF!</definedName>
    <definedName name="__PG2" localSheetId="4">#REF!</definedName>
    <definedName name="__PG2" localSheetId="16">#REF!</definedName>
    <definedName name="__PG2" localSheetId="19">#REF!</definedName>
    <definedName name="__PG2" localSheetId="22">#REF!</definedName>
    <definedName name="__PG2" localSheetId="0">#REF!</definedName>
    <definedName name="__PG2">#N/A</definedName>
    <definedName name="__PG3" localSheetId="3">#REF!</definedName>
    <definedName name="__PG3" localSheetId="6">#REF!</definedName>
    <definedName name="__PG3" localSheetId="18">#REF!</definedName>
    <definedName name="__PG3" localSheetId="21">#REF!</definedName>
    <definedName name="__PG3" localSheetId="24">#REF!</definedName>
    <definedName name="__PG3" localSheetId="2">#REF!</definedName>
    <definedName name="__PG3" localSheetId="5">#REF!</definedName>
    <definedName name="__PG3" localSheetId="17">#REF!</definedName>
    <definedName name="__PG3" localSheetId="20">#REF!</definedName>
    <definedName name="__PG3" localSheetId="23">#REF!</definedName>
    <definedName name="__PG3" localSheetId="1">#REF!</definedName>
    <definedName name="__PG3" localSheetId="4">#REF!</definedName>
    <definedName name="__PG3" localSheetId="16">#REF!</definedName>
    <definedName name="__PG3" localSheetId="19">#REF!</definedName>
    <definedName name="__PG3" localSheetId="22">#REF!</definedName>
    <definedName name="__PG3" localSheetId="0">#REF!</definedName>
    <definedName name="__PG3">#N/A</definedName>
    <definedName name="__PG4" localSheetId="3">#REF!</definedName>
    <definedName name="__PG4" localSheetId="6">#REF!</definedName>
    <definedName name="__PG4" localSheetId="18">#REF!</definedName>
    <definedName name="__PG4" localSheetId="21">#REF!</definedName>
    <definedName name="__PG4" localSheetId="24">#REF!</definedName>
    <definedName name="__PG4" localSheetId="2">#REF!</definedName>
    <definedName name="__PG4" localSheetId="5">#REF!</definedName>
    <definedName name="__PG4" localSheetId="17">#REF!</definedName>
    <definedName name="__PG4" localSheetId="20">#REF!</definedName>
    <definedName name="__PG4" localSheetId="23">#REF!</definedName>
    <definedName name="__PG4" localSheetId="1">#REF!</definedName>
    <definedName name="__PG4" localSheetId="4">#REF!</definedName>
    <definedName name="__PG4" localSheetId="16">#REF!</definedName>
    <definedName name="__PG4" localSheetId="19">#REF!</definedName>
    <definedName name="__PG4" localSheetId="22">#REF!</definedName>
    <definedName name="__PG4" localSheetId="0">#REF!</definedName>
    <definedName name="__PG4">#REF!</definedName>
    <definedName name="__PG5" localSheetId="3">#REF!</definedName>
    <definedName name="__PG5" localSheetId="6">#REF!</definedName>
    <definedName name="__PG5" localSheetId="18">#REF!</definedName>
    <definedName name="__PG5" localSheetId="21">#REF!</definedName>
    <definedName name="__PG5" localSheetId="24">#REF!</definedName>
    <definedName name="__PG5" localSheetId="2">#REF!</definedName>
    <definedName name="__PG5" localSheetId="5">#REF!</definedName>
    <definedName name="__PG5" localSheetId="17">#REF!</definedName>
    <definedName name="__PG5" localSheetId="20">#REF!</definedName>
    <definedName name="__PG5" localSheetId="23">#REF!</definedName>
    <definedName name="__PG5" localSheetId="1">#REF!</definedName>
    <definedName name="__PG5" localSheetId="4">#REF!</definedName>
    <definedName name="__PG5" localSheetId="16">#REF!</definedName>
    <definedName name="__PG5" localSheetId="19">#REF!</definedName>
    <definedName name="__PG5" localSheetId="22">#REF!</definedName>
    <definedName name="__PG5" localSheetId="0">#REF!</definedName>
    <definedName name="__PG5">#REF!</definedName>
    <definedName name="__x2" localSheetId="2" hidden="1">{"'Sheet1'!$A$1:$I$89"}</definedName>
    <definedName name="__x2" localSheetId="1" hidden="1">{"'Sheet1'!$A$1:$I$89"}</definedName>
    <definedName name="__x2" hidden="1">{"'Sheet1'!$A$1:$I$89"}</definedName>
    <definedName name="__x88888" localSheetId="2" hidden="1">{"'Sheet1'!$A$1:$I$89"}</definedName>
    <definedName name="__x88888" localSheetId="1" hidden="1">{"'Sheet1'!$A$1:$I$89"}</definedName>
    <definedName name="__x88888" hidden="1">{"'Sheet1'!$A$1:$I$89"}</definedName>
    <definedName name="__yr01">#REF!</definedName>
    <definedName name="__yr02">#REF!</definedName>
    <definedName name="__yr03">#REF!</definedName>
    <definedName name="__yr04">#REF!</definedName>
    <definedName name="__yr05">#REF!</definedName>
    <definedName name="__yr06">#REF!</definedName>
    <definedName name="__yr07">#REF!</definedName>
    <definedName name="__yr08">#REF!</definedName>
    <definedName name="__yr09">#REF!</definedName>
    <definedName name="__yr10">#REF!</definedName>
    <definedName name="__yr11">#REF!</definedName>
    <definedName name="__yr12">#REF!</definedName>
    <definedName name="__yr13">#REF!</definedName>
    <definedName name="__yr14">#REF!</definedName>
    <definedName name="__yr15">#REF!</definedName>
    <definedName name="__yr16">#REF!</definedName>
    <definedName name="__yr17">#REF!</definedName>
    <definedName name="__yr18">#REF!</definedName>
    <definedName name="__yr19">#REF!</definedName>
    <definedName name="__YR2">#REF!</definedName>
    <definedName name="__yr20">#REF!</definedName>
    <definedName name="__yr21">#REF!</definedName>
    <definedName name="__YR3">#REF!</definedName>
    <definedName name="__YR4">#REF!</definedName>
    <definedName name="__YR5">#REF!</definedName>
    <definedName name="__YR6">#REF!</definedName>
    <definedName name="__yr98">#REF!</definedName>
    <definedName name="__yr99">#REF!</definedName>
    <definedName name="_1__123Graph_ACHART_4" hidden="1">#REF!</definedName>
    <definedName name="_11__123Graph_LBL_BCHART_1" hidden="1">#REF!</definedName>
    <definedName name="_12__123Graph_BCHART_4" hidden="1">#REF!</definedName>
    <definedName name="_12__123Graph_LBL_CCHART_1" hidden="1">#REF!</definedName>
    <definedName name="_123Graph_F1" hidden="1">#REF!</definedName>
    <definedName name="_13__123Graph_XCHART_1" hidden="1">#REF!</definedName>
    <definedName name="_16__123Graph_CCHART_4" hidden="1">#REF!</definedName>
    <definedName name="_1995RET">#REF!</definedName>
    <definedName name="_1996AMORT">#REF!</definedName>
    <definedName name="_1996RET">#REF!</definedName>
    <definedName name="_1997AMORT">#REF!</definedName>
    <definedName name="_1997RETAMORT">#REF!</definedName>
    <definedName name="_2__123Graph_AChart_1A" hidden="1">#REF!</definedName>
    <definedName name="_2__123Graph_BCHART_1" hidden="1">#REF!</definedName>
    <definedName name="_2__123Graph_BCHART_4" hidden="1">#REF!</definedName>
    <definedName name="_3__123Graph_AChart_2A" hidden="1">#REF!</definedName>
    <definedName name="_3__123Graph_BCHART_1" hidden="1">#REF!</definedName>
    <definedName name="_3__123Graph_CCHART_1" hidden="1">#REF!</definedName>
    <definedName name="_3__123Graph_CCHART_4" hidden="1">#REF!</definedName>
    <definedName name="_4__123Graph_BCHART_1" hidden="1">#REF!</definedName>
    <definedName name="_4__123Graph_CCHART_1" hidden="1">#REF!</definedName>
    <definedName name="_4__123Graph_XChart_1A" hidden="1">#REF!</definedName>
    <definedName name="_5__123Graph_CCHART_1" hidden="1">#REF!</definedName>
    <definedName name="_5__123Graph_LBL_BCHART_1" hidden="1">#REF!</definedName>
    <definedName name="_5__123Graph_XChart_2A" hidden="1">#REF!</definedName>
    <definedName name="_6__123Graph_LBL_BCHART_1" hidden="1">#REF!</definedName>
    <definedName name="_6__123Graph_LBL_CCHART_1" hidden="1">#REF!</definedName>
    <definedName name="_7__123Graph_BCHART_1" hidden="1">#REF!</definedName>
    <definedName name="_7__123Graph_LBL_BCHART_1" hidden="1">#REF!</definedName>
    <definedName name="_7__123Graph_LBL_CCHART_1" hidden="1">#REF!</definedName>
    <definedName name="_7__123Graph_XCHART_1" hidden="1">#REF!</definedName>
    <definedName name="_8__123Graph_ACHART_4" hidden="1">#REF!</definedName>
    <definedName name="_8__123Graph_CCHART_1" hidden="1">#REF!</definedName>
    <definedName name="_8__123Graph_LBL_CCHART_1" hidden="1">#REF!</definedName>
    <definedName name="_8__123Graph_XCHART_1" hidden="1">#REF!</definedName>
    <definedName name="_9__123Graph_XCHART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1_COL1">#REF!</definedName>
    <definedName name="_CMI2002">#REF!</definedName>
    <definedName name="_CMI2003">#REF!</definedName>
    <definedName name="_CMI2004">#REF!</definedName>
    <definedName name="_Dist_Bin" hidden="1">#REF!</definedName>
    <definedName name="_Dist_Values" hidden="1">#REF!</definedName>
    <definedName name="_DOT2003">#REF!</definedName>
    <definedName name="_Fill" localSheetId="3" hidden="1">#REF!</definedName>
    <definedName name="_Fill" localSheetId="6" hidden="1">#REF!</definedName>
    <definedName name="_Fill" localSheetId="18" hidden="1">#REF!</definedName>
    <definedName name="_Fill" localSheetId="21" hidden="1">#REF!</definedName>
    <definedName name="_Fill" localSheetId="24" hidden="1">#REF!</definedName>
    <definedName name="_Fill" localSheetId="2" hidden="1">#REF!</definedName>
    <definedName name="_Fill" localSheetId="5" hidden="1">#REF!</definedName>
    <definedName name="_Fill" localSheetId="17" hidden="1">#REF!</definedName>
    <definedName name="_Fill" localSheetId="20" hidden="1">#REF!</definedName>
    <definedName name="_Fill" localSheetId="23" hidden="1">#REF!</definedName>
    <definedName name="_Fill" localSheetId="1" hidden="1">#REF!</definedName>
    <definedName name="_Fill" localSheetId="4" hidden="1">#REF!</definedName>
    <definedName name="_Fill" localSheetId="16" hidden="1">#REF!</definedName>
    <definedName name="_Fill" localSheetId="19" hidden="1">#REF!</definedName>
    <definedName name="_Fill" localSheetId="22" hidden="1">#REF!</definedName>
    <definedName name="_Fill" localSheetId="0" hidden="1">#REF!</definedName>
    <definedName name="_Fill" hidden="1">#REF!</definedName>
    <definedName name="_fsd44" localSheetId="2" hidden="1">{#N/A,#N/A,FALSE,"Aging Summary";#N/A,#N/A,FALSE,"Ratio Analysis";#N/A,#N/A,FALSE,"Test 120 Day Accts";#N/A,#N/A,FALSE,"Tickmarks"}</definedName>
    <definedName name="_fsd44" localSheetId="1" hidden="1">{#N/A,#N/A,FALSE,"Aging Summary";#N/A,#N/A,FALSE,"Ratio Analysis";#N/A,#N/A,FALSE,"Test 120 Day Accts";#N/A,#N/A,FALSE,"Tickmarks"}</definedName>
    <definedName name="_fsd44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6" hidden="1">#REF!</definedName>
    <definedName name="_Key1" localSheetId="18" hidden="1">#REF!</definedName>
    <definedName name="_Key1" localSheetId="21" hidden="1">#REF!</definedName>
    <definedName name="_Key1" localSheetId="24" hidden="1">#REF!</definedName>
    <definedName name="_Key1" localSheetId="2" hidden="1">#REF!</definedName>
    <definedName name="_Key1" localSheetId="5" hidden="1">#REF!</definedName>
    <definedName name="_Key1" localSheetId="17" hidden="1">#REF!</definedName>
    <definedName name="_Key1" localSheetId="20" hidden="1">#REF!</definedName>
    <definedName name="_Key1" localSheetId="23" hidden="1">#REF!</definedName>
    <definedName name="_Key1" localSheetId="1" hidden="1">#REF!</definedName>
    <definedName name="_Key1" localSheetId="4" hidden="1">#REF!</definedName>
    <definedName name="_Key1" localSheetId="16" hidden="1">#REF!</definedName>
    <definedName name="_Key1" localSheetId="19" hidden="1">#REF!</definedName>
    <definedName name="_Key1" localSheetId="22" hidden="1">#REF!</definedName>
    <definedName name="_Key1" localSheetId="0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18" hidden="1">#REF!</definedName>
    <definedName name="_Key2" localSheetId="21" hidden="1">#REF!</definedName>
    <definedName name="_Key2" localSheetId="24" hidden="1">#REF!</definedName>
    <definedName name="_Key2" localSheetId="2" hidden="1">#REF!</definedName>
    <definedName name="_Key2" localSheetId="5" hidden="1">#REF!</definedName>
    <definedName name="_Key2" localSheetId="17" hidden="1">#REF!</definedName>
    <definedName name="_Key2" localSheetId="20" hidden="1">#REF!</definedName>
    <definedName name="_Key2" localSheetId="23" hidden="1">#REF!</definedName>
    <definedName name="_Key2" localSheetId="1" hidden="1">#REF!</definedName>
    <definedName name="_Key2" localSheetId="4" hidden="1">#REF!</definedName>
    <definedName name="_Key2" localSheetId="16" hidden="1">#REF!</definedName>
    <definedName name="_Key2" localSheetId="19" hidden="1">#REF!</definedName>
    <definedName name="_Key2" localSheetId="22" hidden="1">#REF!</definedName>
    <definedName name="_Key2" localSheetId="0" hidden="1">#REF!</definedName>
    <definedName name="_Key2" hidden="1">#REF!</definedName>
    <definedName name="_kim1" localSheetId="2" hidden="1">{#N/A,#N/A,FALSE,"Aging Summary";#N/A,#N/A,FALSE,"Ratio Analysis";#N/A,#N/A,FALSE,"Test 120 Day Accts";#N/A,#N/A,FALSE,"Tickmarks"}</definedName>
    <definedName name="_kim1" localSheetId="1" hidden="1">{#N/A,#N/A,FALSE,"Aging Summary";#N/A,#N/A,FALSE,"Ratio Analysis";#N/A,#N/A,FALSE,"Test 120 Day Accts";#N/A,#N/A,FALSE,"Tickmarks"}</definedName>
    <definedName name="_kim1" hidden="1">{#N/A,#N/A,FALSE,"Aging Summary";#N/A,#N/A,FALSE,"Ratio Analysis";#N/A,#N/A,FALSE,"Test 120 Day Accts";#N/A,#N/A,FALSE,"Tickmarks"}</definedName>
    <definedName name="_kim6" localSheetId="2" hidden="1">{#N/A,#N/A,FALSE,"Aging Summary";#N/A,#N/A,FALSE,"Ratio Analysis";#N/A,#N/A,FALSE,"Test 120 Day Accts";#N/A,#N/A,FALSE,"Tickmarks"}</definedName>
    <definedName name="_kim6" localSheetId="1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p1">#REF!</definedName>
    <definedName name="_MatMult_A" hidden="1">#REF!</definedName>
    <definedName name="_MatMult_A1" hidden="1">#REF!</definedName>
    <definedName name="_Order1" hidden="1">255</definedName>
    <definedName name="_Order2" hidden="1">255</definedName>
    <definedName name="_Parse_In" localSheetId="3" hidden="1">#REF!</definedName>
    <definedName name="_Parse_In" localSheetId="6" hidden="1">#REF!</definedName>
    <definedName name="_Parse_In" localSheetId="18" hidden="1">#REF!</definedName>
    <definedName name="_Parse_In" localSheetId="21" hidden="1">#REF!</definedName>
    <definedName name="_Parse_In" localSheetId="24" hidden="1">#REF!</definedName>
    <definedName name="_Parse_In" localSheetId="2" hidden="1">#REF!</definedName>
    <definedName name="_Parse_In" localSheetId="5" hidden="1">#REF!</definedName>
    <definedName name="_Parse_In" localSheetId="17" hidden="1">#REF!</definedName>
    <definedName name="_Parse_In" localSheetId="20" hidden="1">#REF!</definedName>
    <definedName name="_Parse_In" localSheetId="23" hidden="1">#REF!</definedName>
    <definedName name="_Parse_In" localSheetId="1" hidden="1">#REF!</definedName>
    <definedName name="_Parse_In" localSheetId="4" hidden="1">#REF!</definedName>
    <definedName name="_Parse_In" localSheetId="16" hidden="1">#REF!</definedName>
    <definedName name="_Parse_In" localSheetId="19" hidden="1">#REF!</definedName>
    <definedName name="_Parse_In" localSheetId="22" hidden="1">#REF!</definedName>
    <definedName name="_Parse_In" localSheetId="0" hidden="1">#REF!</definedName>
    <definedName name="_Parse_In" hidden="1">#REF!</definedName>
    <definedName name="_Parse_Out" localSheetId="3" hidden="1">#REF!</definedName>
    <definedName name="_Parse_Out" localSheetId="6" hidden="1">#REF!</definedName>
    <definedName name="_Parse_Out" localSheetId="18" hidden="1">#REF!</definedName>
    <definedName name="_Parse_Out" localSheetId="21" hidden="1">#REF!</definedName>
    <definedName name="_Parse_Out" localSheetId="24" hidden="1">#REF!</definedName>
    <definedName name="_Parse_Out" localSheetId="2" hidden="1">#REF!</definedName>
    <definedName name="_Parse_Out" localSheetId="5" hidden="1">#REF!</definedName>
    <definedName name="_Parse_Out" localSheetId="17" hidden="1">#REF!</definedName>
    <definedName name="_Parse_Out" localSheetId="20" hidden="1">#REF!</definedName>
    <definedName name="_Parse_Out" localSheetId="23" hidden="1">#REF!</definedName>
    <definedName name="_Parse_Out" localSheetId="1" hidden="1">#REF!</definedName>
    <definedName name="_Parse_Out" localSheetId="4" hidden="1">#REF!</definedName>
    <definedName name="_Parse_Out" localSheetId="16" hidden="1">#REF!</definedName>
    <definedName name="_Parse_Out" localSheetId="19" hidden="1">#REF!</definedName>
    <definedName name="_Parse_Out" localSheetId="22" hidden="1">#REF!</definedName>
    <definedName name="_Parse_Out" localSheetId="0" hidden="1">#REF!</definedName>
    <definedName name="_Parse_Out" hidden="1">#REF!</definedName>
    <definedName name="_PG1" localSheetId="3">#REF!</definedName>
    <definedName name="_PG1" localSheetId="6">#REF!</definedName>
    <definedName name="_PG1" localSheetId="18">#REF!</definedName>
    <definedName name="_PG1" localSheetId="21">#REF!</definedName>
    <definedName name="_PG1" localSheetId="24">#REF!</definedName>
    <definedName name="_PG1" localSheetId="2">#REF!</definedName>
    <definedName name="_PG1" localSheetId="5">#REF!</definedName>
    <definedName name="_PG1" localSheetId="17">#REF!</definedName>
    <definedName name="_PG1" localSheetId="20">#REF!</definedName>
    <definedName name="_PG1" localSheetId="23">#REF!</definedName>
    <definedName name="_PG1" localSheetId="1">#REF!</definedName>
    <definedName name="_PG1" localSheetId="4">#REF!</definedName>
    <definedName name="_PG1" localSheetId="16">#REF!</definedName>
    <definedName name="_PG1" localSheetId="19">#REF!</definedName>
    <definedName name="_PG1" localSheetId="22">#REF!</definedName>
    <definedName name="_PG1" localSheetId="0">#REF!</definedName>
    <definedName name="_PG1">#N/A</definedName>
    <definedName name="_PG2" localSheetId="3">#REF!</definedName>
    <definedName name="_PG2" localSheetId="6">#REF!</definedName>
    <definedName name="_PG2" localSheetId="18">#REF!</definedName>
    <definedName name="_PG2" localSheetId="21">#REF!</definedName>
    <definedName name="_PG2" localSheetId="24">#REF!</definedName>
    <definedName name="_PG2" localSheetId="2">#REF!</definedName>
    <definedName name="_PG2" localSheetId="5">#REF!</definedName>
    <definedName name="_PG2" localSheetId="17">#REF!</definedName>
    <definedName name="_PG2" localSheetId="20">#REF!</definedName>
    <definedName name="_PG2" localSheetId="23">#REF!</definedName>
    <definedName name="_PG2" localSheetId="1">#REF!</definedName>
    <definedName name="_PG2" localSheetId="4">#REF!</definedName>
    <definedName name="_PG2" localSheetId="16">#REF!</definedName>
    <definedName name="_PG2" localSheetId="19">#REF!</definedName>
    <definedName name="_PG2" localSheetId="22">#REF!</definedName>
    <definedName name="_PG2" localSheetId="0">#REF!</definedName>
    <definedName name="_PG2">#N/A</definedName>
    <definedName name="_PG3">#N/A</definedName>
    <definedName name="_PG5" localSheetId="3">#REF!</definedName>
    <definedName name="_PG5" localSheetId="6">#REF!</definedName>
    <definedName name="_PG5" localSheetId="18">#REF!</definedName>
    <definedName name="_PG5" localSheetId="21">#REF!</definedName>
    <definedName name="_PG5" localSheetId="24">#REF!</definedName>
    <definedName name="_PG5" localSheetId="2">#REF!</definedName>
    <definedName name="_PG5" localSheetId="5">#REF!</definedName>
    <definedName name="_PG5" localSheetId="17">#REF!</definedName>
    <definedName name="_PG5" localSheetId="20">#REF!</definedName>
    <definedName name="_PG5" localSheetId="23">#REF!</definedName>
    <definedName name="_PG5" localSheetId="1">#REF!</definedName>
    <definedName name="_PG5" localSheetId="4">#REF!</definedName>
    <definedName name="_PG5" localSheetId="16">#REF!</definedName>
    <definedName name="_PG5" localSheetId="19">#REF!</definedName>
    <definedName name="_PG5" localSheetId="22">#REF!</definedName>
    <definedName name="_PG5" localSheetId="0">#REF!</definedName>
    <definedName name="_PG5">#REF!</definedName>
    <definedName name="_Qtr3">#REF!,#REF!,#REF!,#REF!</definedName>
    <definedName name="_Regression_Int" hidden="1">1</definedName>
    <definedName name="_Sort" localSheetId="3" hidden="1">#REF!</definedName>
    <definedName name="_Sort" localSheetId="6" hidden="1">#REF!</definedName>
    <definedName name="_Sort" localSheetId="18" hidden="1">#REF!</definedName>
    <definedName name="_Sort" localSheetId="21" hidden="1">#REF!</definedName>
    <definedName name="_Sort" localSheetId="24" hidden="1">#REF!</definedName>
    <definedName name="_Sort" localSheetId="2" hidden="1">#REF!</definedName>
    <definedName name="_Sort" localSheetId="5" hidden="1">#REF!</definedName>
    <definedName name="_Sort" localSheetId="17" hidden="1">#REF!</definedName>
    <definedName name="_Sort" localSheetId="20" hidden="1">#REF!</definedName>
    <definedName name="_Sort" localSheetId="23" hidden="1">#REF!</definedName>
    <definedName name="_Sort" localSheetId="1" hidden="1">#REF!</definedName>
    <definedName name="_Sort" localSheetId="4" hidden="1">#REF!</definedName>
    <definedName name="_Sort" localSheetId="16" hidden="1">#REF!</definedName>
    <definedName name="_Sort" localSheetId="19" hidden="1">#REF!</definedName>
    <definedName name="_Sort" localSheetId="22" hidden="1">#REF!</definedName>
    <definedName name="_Sort" localSheetId="0" hidden="1">#REF!</definedName>
    <definedName name="_Sort" hidden="1">#REF!</definedName>
    <definedName name="_Sort1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2" localSheetId="2" hidden="1">{"'Sheet1'!$A$1:$I$89"}</definedName>
    <definedName name="_x2" localSheetId="1" hidden="1">{"'Sheet1'!$A$1:$I$89"}</definedName>
    <definedName name="_x2" hidden="1">{"'Sheet1'!$A$1:$I$89"}</definedName>
    <definedName name="_x88888" localSheetId="2" hidden="1">{"'Sheet1'!$A$1:$I$89"}</definedName>
    <definedName name="_x88888" localSheetId="1" hidden="1">{"'Sheet1'!$A$1:$I$89"}</definedName>
    <definedName name="_x88888" hidden="1">{"'Sheet1'!$A$1:$I$89"}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_yr09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1">#REF!</definedName>
    <definedName name="_YR3">#REF!</definedName>
    <definedName name="_YR4">#REF!</definedName>
    <definedName name="_YR5">#REF!</definedName>
    <definedName name="_YR6">#REF!</definedName>
    <definedName name="_yr98">#REF!</definedName>
    <definedName name="_yr99">#REF!</definedName>
    <definedName name="A" hidden="1">#REF!</definedName>
    <definedName name="A9A">#REF!</definedName>
    <definedName name="aa" hidden="1">#REF!</definedName>
    <definedName name="AAA">#REF!</definedName>
    <definedName name="AAA_DOCTOPS" hidden="1">"AAA_SET"</definedName>
    <definedName name="AAA_duser" hidden="1">"OFF"</definedName>
    <definedName name="aaaaa" localSheetId="2" hidden="1">{#N/A,#N/A,FALSE,"EXPENSE"}</definedName>
    <definedName name="aaaaa" localSheetId="1" hidden="1">{#N/A,#N/A,FALSE,"EXPENSE"}</definedName>
    <definedName name="aaaaa" hidden="1">{#N/A,#N/A,FALSE,"EXPENSE"}</definedName>
    <definedName name="aaaaaaaaaaaaaaaaaaaaa" localSheetId="2" hidden="1">{#N/A,#N/A,FALSE,"EXPENSE"}</definedName>
    <definedName name="aaaaaaaaaaaaaaaaaaaaa" localSheetId="1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"C:\DATA\Kevin\Kevin's Model.mdb"</definedName>
    <definedName name="Actuals2002">#REF!</definedName>
    <definedName name="Actuals2003">#REF!</definedName>
    <definedName name="Actuals2004">#REF!</definedName>
    <definedName name="ACwvu.print2." hidden="1">#REF!</definedName>
    <definedName name="ACwvu.print3." hidden="1">#REF!</definedName>
    <definedName name="adfadfadfadf" localSheetId="2" hidden="1">{#N/A,#N/A,FALSE,"EXPENSE"}</definedName>
    <definedName name="adfadfadfadf" localSheetId="1" hidden="1">{#N/A,#N/A,FALSE,"EXPENSE"}</definedName>
    <definedName name="adfadfadfadf" hidden="1">{#N/A,#N/A,FALSE,"EXPENSE"}</definedName>
    <definedName name="ADVERT">#REF!</definedName>
    <definedName name="aertajyiukfjhdh" localSheetId="2" hidden="1">{#N/A,#N/A,FALSE,"ALLOC"}</definedName>
    <definedName name="aertajyiukfjhdh" localSheetId="1" hidden="1">{#N/A,#N/A,FALSE,"ALLOC"}</definedName>
    <definedName name="aertajyiukfjhdh" hidden="1">{#N/A,#N/A,FALSE,"ALLOC"}</definedName>
    <definedName name="aerter" localSheetId="2" hidden="1">{"'Commentary'!$D$24:$H$33"}</definedName>
    <definedName name="aerter" localSheetId="1" hidden="1">{"'Commentary'!$D$24:$H$33"}</definedName>
    <definedName name="aerter" hidden="1">{"'Commentary'!$D$24:$H$33"}</definedName>
    <definedName name="aewrawerasdfsdaf" localSheetId="2" hidden="1">{#N/A,#N/A,FALSE,"EXPENSE"}</definedName>
    <definedName name="aewrawerasdfsdaf" localSheetId="1" hidden="1">{#N/A,#N/A,FALSE,"EXPENSE"}</definedName>
    <definedName name="aewrawerasdfsdaf" hidden="1">{#N/A,#N/A,FALSE,"EXPENSE"}</definedName>
    <definedName name="afdasdfaertgrthngbvc" localSheetId="2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UDC" hidden="1">#REF!</definedName>
    <definedName name="afwerwerewf" localSheetId="2" hidden="1">{#N/A,#N/A,FALSE,"EXPENSE"}</definedName>
    <definedName name="afwerwerewf" localSheetId="1" hidden="1">{#N/A,#N/A,FALSE,"EXPENSE"}</definedName>
    <definedName name="afwerwerewf" hidden="1">{#N/A,#N/A,FALSE,"EXPENSE"}</definedName>
    <definedName name="ALLOC_11">#REF!</definedName>
    <definedName name="Alloc_Cust_Acctg">#REF!</definedName>
    <definedName name="Alloc_Cust_Billing">#REF!</definedName>
    <definedName name="Alloc_Cust_Record">#REF!</definedName>
    <definedName name="Alloc_From_COS" localSheetId="3">#REF!</definedName>
    <definedName name="Alloc_From_COS" localSheetId="6">#REF!</definedName>
    <definedName name="Alloc_From_COS" localSheetId="18">#REF!</definedName>
    <definedName name="Alloc_From_COS" localSheetId="21">#REF!</definedName>
    <definedName name="Alloc_From_COS" localSheetId="24">#REF!</definedName>
    <definedName name="Alloc_From_COS" localSheetId="2">#REF!</definedName>
    <definedName name="Alloc_From_COS" localSheetId="5">#REF!</definedName>
    <definedName name="Alloc_From_COS" localSheetId="17">#REF!</definedName>
    <definedName name="Alloc_From_COS" localSheetId="20">#REF!</definedName>
    <definedName name="Alloc_From_COS" localSheetId="23">#REF!</definedName>
    <definedName name="Alloc_From_COS" localSheetId="1">#REF!</definedName>
    <definedName name="Alloc_From_COS" localSheetId="4">#REF!</definedName>
    <definedName name="Alloc_From_COS" localSheetId="16">#REF!</definedName>
    <definedName name="Alloc_From_COS" localSheetId="19">#REF!</definedName>
    <definedName name="Alloc_From_COS" localSheetId="22">#REF!</definedName>
    <definedName name="Alloc_From_COS" localSheetId="0">#REF!</definedName>
    <definedName name="Alloc_From_COS">#REF!</definedName>
    <definedName name="Alloc_Labor" localSheetId="3">#REF!</definedName>
    <definedName name="Alloc_Labor" localSheetId="6">#REF!</definedName>
    <definedName name="Alloc_Labor" localSheetId="18">#REF!</definedName>
    <definedName name="Alloc_Labor" localSheetId="21">#REF!</definedName>
    <definedName name="Alloc_Labor" localSheetId="24">#REF!</definedName>
    <definedName name="Alloc_Labor" localSheetId="2">#REF!</definedName>
    <definedName name="Alloc_Labor" localSheetId="5">#REF!</definedName>
    <definedName name="Alloc_Labor" localSheetId="17">#REF!</definedName>
    <definedName name="Alloc_Labor" localSheetId="20">#REF!</definedName>
    <definedName name="Alloc_Labor" localSheetId="23">#REF!</definedName>
    <definedName name="Alloc_Labor" localSheetId="1">#REF!</definedName>
    <definedName name="Alloc_Labor" localSheetId="4">#REF!</definedName>
    <definedName name="Alloc_Labor" localSheetId="16">#REF!</definedName>
    <definedName name="Alloc_Labor" localSheetId="19">#REF!</definedName>
    <definedName name="Alloc_Labor" localSheetId="22">#REF!</definedName>
    <definedName name="Alloc_Labor" localSheetId="0">#REF!</definedName>
    <definedName name="Alloc_Labor">#REF!</definedName>
    <definedName name="Alloc_Meter_Read">#REF!</definedName>
    <definedName name="anscount" hidden="1">1</definedName>
    <definedName name="as" localSheetId="2" hidden="1">{#N/A,#N/A,FALSE,"Aging Summary";#N/A,#N/A,FALSE,"Ratio Analysis";#N/A,#N/A,FALSE,"Test 120 Day Accts";#N/A,#N/A,FALSE,"Tickmarks"}</definedName>
    <definedName name="as" localSheetId="1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localSheetId="2" hidden="1">{"balsheet",#N/A,FALSE,"A"}</definedName>
    <definedName name="asd" localSheetId="1" hidden="1">{"balsheet",#N/A,FALSE,"A"}</definedName>
    <definedName name="asd" hidden="1">{"balsheet",#N/A,FALSE,"A"}</definedName>
    <definedName name="asdf" hidden="1">#REF!</definedName>
    <definedName name="asdfasfasdfasdfsdfsdf" localSheetId="2" hidden="1">{#N/A,#N/A,FALSE,"EXPENSE"}</definedName>
    <definedName name="asdfasfasdfasdfsdfsdf" localSheetId="1" hidden="1">{#N/A,#N/A,FALSE,"EXPENSE"}</definedName>
    <definedName name="asdfasfasdfasdfsdfsdf" hidden="1">{#N/A,#N/A,FALSE,"EXPENSE"}</definedName>
    <definedName name="AVSACURRYR">#REF!</definedName>
    <definedName name="AVSBCURRMO">#REF!</definedName>
    <definedName name="awerwaerwerfw" localSheetId="2" hidden="1">{#N/A,#N/A,FALSE,"ALLOC"}</definedName>
    <definedName name="awerwaerwerfw" localSheetId="1" hidden="1">{#N/A,#N/A,FALSE,"ALLOC"}</definedName>
    <definedName name="awerwaerwerfw" hidden="1">{#N/A,#N/A,FALSE,"ALLOC"}</definedName>
    <definedName name="B1_ADJ">#REF!</definedName>
    <definedName name="B6_P2">#REF!</definedName>
    <definedName name="B6WC">#REF!</definedName>
    <definedName name="Base_Cap">#REF!</definedName>
    <definedName name="Base_OM">#REF!</definedName>
    <definedName name="BASE_PROGRAMS2003">#REF!</definedName>
    <definedName name="BASE_PROGRAMS2004">#REF!</definedName>
    <definedName name="BBB">#REF!</definedName>
    <definedName name="BBBBBB">#REF!</definedName>
    <definedName name="bfhbfvdzvcxzv" localSheetId="2" hidden="1">{#N/A,#N/A,FALSE,"EXPENSE"}</definedName>
    <definedName name="bfhbfvdzvcxzv" localSheetId="1" hidden="1">{#N/A,#N/A,FALSE,"EXPENSE"}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localSheetId="2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IncludeWeekendInPeak">#REF!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PH16" hidden="1">#REF!</definedName>
    <definedName name="BLPH17" hidden="1">#REF!</definedName>
    <definedName name="BLPH18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NE_MESSAGES_HIDDEN" hidden="1">#REF!</definedName>
    <definedName name="bob" localSheetId="2" hidden="1">{#N/A,#N/A,FALSE,"EXPENSE"}</definedName>
    <definedName name="bob" localSheetId="1" hidden="1">{#N/A,#N/A,FALSE,"EXPENSE"}</definedName>
    <definedName name="bob" hidden="1">{#N/A,#N/A,FALSE,"EXPENSE"}</definedName>
    <definedName name="BUDGET">#REF!</definedName>
    <definedName name="Budget2002">#REF!</definedName>
    <definedName name="Budget2003">#REF!</definedName>
    <definedName name="Budget2004">#REF!</definedName>
    <definedName name="bv" localSheetId="2" hidden="1">{#N/A,#N/A,FALSE,"Aging Summary";#N/A,#N/A,FALSE,"Ratio Analysis";#N/A,#N/A,FALSE,"Test 120 Day Accts";#N/A,#N/A,FALSE,"Tickmarks"}</definedName>
    <definedName name="bv" localSheetId="1" hidden="1">{#N/A,#N/A,FALSE,"Aging Summary";#N/A,#N/A,FALSE,"Ratio Analysis";#N/A,#N/A,FALSE,"Test 120 Day Accts";#N/A,#N/A,FALSE,"Tickmarks"}</definedName>
    <definedName name="bv" hidden="1">{#N/A,#N/A,FALSE,"Aging Summary";#N/A,#N/A,FALSE,"Ratio Analysis";#N/A,#N/A,FALSE,"Test 120 Day Accts";#N/A,#N/A,FALSE,"Tickmarks"}</definedName>
    <definedName name="CapCashflow">#REF!</definedName>
    <definedName name="CapCategoryGrow">#REF!</definedName>
    <definedName name="CapCategoryGrowIndirects">#REF!</definedName>
    <definedName name="CapCategoryMaintain">#REF!</definedName>
    <definedName name="CapCategoryMaintainIndirects">#REF!</definedName>
    <definedName name="CapRestoration">#REF!</definedName>
    <definedName name="cb_sChart41E9A35_opts" hidden="1">"1, 9, 1, False, 2, False, False, , 0, False, True, 1, 1"</definedName>
    <definedName name="CCCCCC">#REF!</definedName>
    <definedName name="Chargeby">#REF!</definedName>
    <definedName name="ChgToCapital">#REF!</definedName>
    <definedName name="ChgToOM">#REF!</definedName>
    <definedName name="CIQWBGuid" hidden="1">"022317c7-dbd3-41a3-9caf-35748facbbc2"</definedName>
    <definedName name="CL_MULT">#REF!</definedName>
    <definedName name="CL_MULT_PRIOR">#REF!</definedName>
    <definedName name="Class_Allocators">#REF!</definedName>
    <definedName name="COL_13MO_AVG">#REF!</definedName>
    <definedName name="Combined" localSheetId="2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localSheetId="1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hidden="1">#REF!</definedName>
    <definedName name="Company_Name">#REF!</definedName>
    <definedName name="CompanyName1" hidden="1">#REF!</definedName>
    <definedName name="CompanyName2" hidden="1">#REF!</definedName>
    <definedName name="CompanyName3" hidden="1">#REF!</definedName>
    <definedName name="CompRange1" localSheetId="2" hidden="1">OFFSET(CompRange1Main,9,0,COUNTA(CompRange1Main)-COUNTA(#REF!),1)</definedName>
    <definedName name="CompRange1" localSheetId="1" hidden="1">OFFSET(CompRange1Main,9,0,COUNTA(CompRange1Main)-COUNTA(#REF!),1)</definedName>
    <definedName name="CompRange1" hidden="1">OFFSET(CompRange1Main,9,0,COUNTA(CompRange1Main)-COUNTA(#REF!),1)</definedName>
    <definedName name="CompRange1Main" hidden="1">#REF!</definedName>
    <definedName name="CompRange2" localSheetId="2" hidden="1">OFFSET(CompRange2Main,9,0,COUNTA(CompRange2Main)-COUNTA(#REF!),1)</definedName>
    <definedName name="CompRange2" localSheetId="1" hidden="1">OFFSET(CompRange2Main,9,0,COUNTA(CompRange2Main)-COUNTA(#REF!),1)</definedName>
    <definedName name="CompRange2" hidden="1">OFFSET(CompRange2Main,9,0,COUNTA(CompRange2Main)-COUNTA(#REF!),1)</definedName>
    <definedName name="CompRange2Main" hidden="1">#REF!</definedName>
    <definedName name="CompRange3" localSheetId="2" hidden="1">OFFSET(CompRange3Main,9,0,COUNTA(CompRange3Main)-COUNTA(#REF!),1)</definedName>
    <definedName name="CompRange3" localSheetId="1" hidden="1">OFFSET(CompRange3Main,9,0,COUNTA(CompRange3Main)-COUNTA(#REF!),1)</definedName>
    <definedName name="CompRange3" hidden="1">OFFSET(CompRange3Main,9,0,COUNTA(CompRange3Main)-COUNTA(#REF!),1)</definedName>
    <definedName name="CompRange3Main" hidden="1">#REF!</definedName>
    <definedName name="Copy_Of_2108_Query_2008">#REF!</definedName>
    <definedName name="CostCat">#REF!</definedName>
    <definedName name="cprange3" localSheetId="2" hidden="1">{#N/A,#N/A,FALSE,"ALLOC"}</definedName>
    <definedName name="cprange3" localSheetId="1" hidden="1">{#N/A,#N/A,FALSE,"ALLOC"}</definedName>
    <definedName name="cprange3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hidden="1">{#N/A,#N/A,FALSE,"ALLOC"}</definedName>
    <definedName name="CTE_Cap">#REF!</definedName>
    <definedName name="CTE_OM">#REF!</definedName>
    <definedName name="CTE_PROGRAMS2003">#REF!</definedName>
    <definedName name="CTE_PROGRAMS2004">#REF!</definedName>
    <definedName name="Current_Month">#REF!</definedName>
    <definedName name="Current_Year">#REF!</definedName>
    <definedName name="Customers2002">#REF!</definedName>
    <definedName name="Customers2003">#REF!</definedName>
    <definedName name="Customers2004">#REF!</definedName>
    <definedName name="CustomersAffected2002">#REF!</definedName>
    <definedName name="CustomersAffected2003">#REF!</definedName>
    <definedName name="CustomersAffected2004">#REF!</definedName>
    <definedName name="cvzdfzsdfdsfsf" localSheetId="2" hidden="1">{#N/A,#N/A,FALSE,"EXPENSE"}</definedName>
    <definedName name="cvzdfzsdfdsfsf" localSheetId="1" hidden="1">{#N/A,#N/A,FALSE,"EXPENSE"}</definedName>
    <definedName name="cvzdfzsdfdsfsf" hidden="1">{#N/A,#N/A,FALSE,"EXPENSE"}</definedName>
    <definedName name="Cwvu.GREY_ALL." hidden="1">#REF!</definedName>
    <definedName name="D" localSheetId="3">#REF!</definedName>
    <definedName name="D" localSheetId="6">#REF!</definedName>
    <definedName name="D" localSheetId="18">#REF!</definedName>
    <definedName name="D" localSheetId="21">#REF!</definedName>
    <definedName name="D" localSheetId="24">#REF!</definedName>
    <definedName name="D" localSheetId="2">#REF!</definedName>
    <definedName name="D" localSheetId="5">#REF!</definedName>
    <definedName name="D" localSheetId="17">#REF!</definedName>
    <definedName name="D" localSheetId="20">#REF!</definedName>
    <definedName name="D" localSheetId="23">#REF!</definedName>
    <definedName name="D" localSheetId="1">#REF!</definedName>
    <definedName name="D" localSheetId="4">#REF!</definedName>
    <definedName name="D" localSheetId="16">#REF!</definedName>
    <definedName name="D" localSheetId="19">#REF!</definedName>
    <definedName name="D" localSheetId="22">#REF!</definedName>
    <definedName name="D" localSheetId="0">#REF!</definedName>
    <definedName name="D">#REF!</definedName>
    <definedName name="D3_IntExp">#REF!</definedName>
    <definedName name="DataTabl" localSheetId="3">#REF!</definedName>
    <definedName name="DataTabl" localSheetId="6">#REF!</definedName>
    <definedName name="DataTabl" localSheetId="18">#REF!</definedName>
    <definedName name="DataTabl" localSheetId="21">#REF!</definedName>
    <definedName name="DataTabl" localSheetId="24">#REF!</definedName>
    <definedName name="DataTabl" localSheetId="2">#REF!</definedName>
    <definedName name="DataTabl" localSheetId="5">#REF!</definedName>
    <definedName name="DataTabl" localSheetId="17">#REF!</definedName>
    <definedName name="DataTabl" localSheetId="20">#REF!</definedName>
    <definedName name="DataTabl" localSheetId="23">#REF!</definedName>
    <definedName name="DataTabl" localSheetId="1">#REF!</definedName>
    <definedName name="DataTabl" localSheetId="4">#REF!</definedName>
    <definedName name="DataTabl" localSheetId="16">#REF!</definedName>
    <definedName name="DataTabl" localSheetId="19">#REF!</definedName>
    <definedName name="DataTabl" localSheetId="22">#REF!</definedName>
    <definedName name="DataTabl" localSheetId="0">#REF!</definedName>
    <definedName name="DataTabl">#REF!</definedName>
    <definedName name="DataTable" localSheetId="3">#REF!</definedName>
    <definedName name="DataTable" localSheetId="6">#REF!</definedName>
    <definedName name="DataTable" localSheetId="18">#REF!</definedName>
    <definedName name="DataTable" localSheetId="21">#REF!</definedName>
    <definedName name="DataTable" localSheetId="24">#REF!</definedName>
    <definedName name="DataTable" localSheetId="2">#REF!</definedName>
    <definedName name="DataTable" localSheetId="5">#REF!</definedName>
    <definedName name="DataTable" localSheetId="17">#REF!</definedName>
    <definedName name="DataTable" localSheetId="20">#REF!</definedName>
    <definedName name="DataTable" localSheetId="23">#REF!</definedName>
    <definedName name="DataTable" localSheetId="1">#REF!</definedName>
    <definedName name="DataTable" localSheetId="4">#REF!</definedName>
    <definedName name="DataTable" localSheetId="16">#REF!</definedName>
    <definedName name="DataTable" localSheetId="19">#REF!</definedName>
    <definedName name="DataTable" localSheetId="22">#REF!</definedName>
    <definedName name="DataTable" localSheetId="0">#REF!</definedName>
    <definedName name="DataTable">#REF!</definedName>
    <definedName name="DateRangeComp" localSheetId="2" hidden="1">OFFSET(DateRangeCompMain,9,0,COUNTA(DateRangeCompMain)-COUNTA(#REF!),1)</definedName>
    <definedName name="DateRangeComp" localSheetId="1" hidden="1">OFFSET(DateRangeCompMain,9,0,COUNTA(DateRangeCompMain)-COUNTA(#REF!),1)</definedName>
    <definedName name="DateRangeComp" hidden="1">OFFSET(DateRangeCompMain,9,0,COUNTA(DateRangeCompMain)-COUNTA(#REF!),1)</definedName>
    <definedName name="DateRangeCompMain" hidden="1">#REF!</definedName>
    <definedName name="DateRangePrice" hidden="1">OFFSET([0]!DateRangePriceMain,5,0,COUNTA([0]!DateRangePriceMain)-COUNTA(#REF!),1)</definedName>
    <definedName name="DateRangePriceMain" hidden="1">#REF!</definedName>
    <definedName name="DDD" localSheetId="3">#REF!</definedName>
    <definedName name="DDD" localSheetId="6">#REF!</definedName>
    <definedName name="DDD" localSheetId="18">#REF!</definedName>
    <definedName name="DDD" localSheetId="21">#REF!</definedName>
    <definedName name="DDD" localSheetId="24">#REF!</definedName>
    <definedName name="DDD" localSheetId="2">#REF!</definedName>
    <definedName name="DDD" localSheetId="5">#REF!</definedName>
    <definedName name="DDD" localSheetId="17">#REF!</definedName>
    <definedName name="DDD" localSheetId="20">#REF!</definedName>
    <definedName name="DDD" localSheetId="23">#REF!</definedName>
    <definedName name="DDD" localSheetId="1">#REF!</definedName>
    <definedName name="DDD" localSheetId="4">#REF!</definedName>
    <definedName name="DDD" localSheetId="16">#REF!</definedName>
    <definedName name="DDD" localSheetId="19">#REF!</definedName>
    <definedName name="DDD" localSheetId="22">#REF!</definedName>
    <definedName name="DDD" localSheetId="0">#REF!</definedName>
    <definedName name="DDD">#REF!</definedName>
    <definedName name="DDDD" localSheetId="3">#REF!</definedName>
    <definedName name="DDDD" localSheetId="6">#REF!</definedName>
    <definedName name="DDDD" localSheetId="18">#REF!</definedName>
    <definedName name="DDDD" localSheetId="21">#REF!</definedName>
    <definedName name="DDDD" localSheetId="24">#REF!</definedName>
    <definedName name="DDDD" localSheetId="2">#REF!</definedName>
    <definedName name="DDDD" localSheetId="5">#REF!</definedName>
    <definedName name="DDDD" localSheetId="17">#REF!</definedName>
    <definedName name="DDDD" localSheetId="20">#REF!</definedName>
    <definedName name="DDDD" localSheetId="23">#REF!</definedName>
    <definedName name="DDDD" localSheetId="1">#REF!</definedName>
    <definedName name="DDDD" localSheetId="4">#REF!</definedName>
    <definedName name="DDDD" localSheetId="16">#REF!</definedName>
    <definedName name="DDDD" localSheetId="19">#REF!</definedName>
    <definedName name="DDDD" localSheetId="22">#REF!</definedName>
    <definedName name="DDDD" localSheetId="0">#REF!</definedName>
    <definedName name="DDDD">#REF!</definedName>
    <definedName name="DDDDD" localSheetId="3">#REF!</definedName>
    <definedName name="DDDDD" localSheetId="6">#REF!</definedName>
    <definedName name="DDDDD" localSheetId="18">#REF!</definedName>
    <definedName name="DDDDD" localSheetId="21">#REF!</definedName>
    <definedName name="DDDDD" localSheetId="24">#REF!</definedName>
    <definedName name="DDDDD" localSheetId="2">#REF!</definedName>
    <definedName name="DDDDD" localSheetId="5">#REF!</definedName>
    <definedName name="DDDDD" localSheetId="17">#REF!</definedName>
    <definedName name="DDDDD" localSheetId="20">#REF!</definedName>
    <definedName name="DDDDD" localSheetId="23">#REF!</definedName>
    <definedName name="DDDDD" localSheetId="1">#REF!</definedName>
    <definedName name="DDDDD" localSheetId="4">#REF!</definedName>
    <definedName name="DDDDD" localSheetId="16">#REF!</definedName>
    <definedName name="DDDDD" localSheetId="19">#REF!</definedName>
    <definedName name="DDDDD" localSheetId="22">#REF!</definedName>
    <definedName name="DDDDD" localSheetId="0">#REF!</definedName>
    <definedName name="DDDDD">#REF!</definedName>
    <definedName name="DDDDDDD">#REF!</definedName>
    <definedName name="DDDDDDDDDDDD">#REF!</definedName>
    <definedName name="Derivation_of_Energy_Separation_Factors" localSheetId="3">#REF!</definedName>
    <definedName name="Derivation_of_Energy_Separation_Factors" localSheetId="6">#REF!</definedName>
    <definedName name="Derivation_of_Energy_Separation_Factors" localSheetId="18">#REF!</definedName>
    <definedName name="Derivation_of_Energy_Separation_Factors" localSheetId="21">#REF!</definedName>
    <definedName name="Derivation_of_Energy_Separation_Factors" localSheetId="24">#REF!</definedName>
    <definedName name="Derivation_of_Energy_Separation_Factors" localSheetId="2">#REF!</definedName>
    <definedName name="Derivation_of_Energy_Separation_Factors" localSheetId="5">#REF!</definedName>
    <definedName name="Derivation_of_Energy_Separation_Factors" localSheetId="17">#REF!</definedName>
    <definedName name="Derivation_of_Energy_Separation_Factors" localSheetId="20">#REF!</definedName>
    <definedName name="Derivation_of_Energy_Separation_Factors" localSheetId="23">#REF!</definedName>
    <definedName name="Derivation_of_Energy_Separation_Factors" localSheetId="1">#REF!</definedName>
    <definedName name="Derivation_of_Energy_Separation_Factors" localSheetId="4">#REF!</definedName>
    <definedName name="Derivation_of_Energy_Separation_Factors" localSheetId="16">#REF!</definedName>
    <definedName name="Derivation_of_Energy_Separation_Factors" localSheetId="19">#REF!</definedName>
    <definedName name="Derivation_of_Energy_Separation_Factors" localSheetId="22">#REF!</definedName>
    <definedName name="Derivation_of_Energy_Separation_Factors" localSheetId="0">#REF!</definedName>
    <definedName name="Derivation_of_Energy_Separation_Factors">#REF!</definedName>
    <definedName name="df" localSheetId="2" hidden="1">{#N/A,#N/A,FALSE,"Aging Summary";#N/A,#N/A,FALSE,"Ratio Analysis";#N/A,#N/A,FALSE,"Test 120 Day Accts";#N/A,#N/A,FALSE,"Tickmarks"}</definedName>
    <definedName name="df" localSheetId="1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adsfadfadfewfr" localSheetId="2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sdfdsf" localSheetId="2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dsafdf" localSheetId="2" hidden="1">{#N/A,#N/A,FALSE,"ALLOC"}</definedName>
    <definedName name="dfadsfdsafdf" localSheetId="1" hidden="1">{#N/A,#N/A,FALSE,"ALLOC"}</definedName>
    <definedName name="dfadsfdsafdf" hidden="1">{#N/A,#N/A,FALSE,"ALLOC"}</definedName>
    <definedName name="dfasdfasdf" localSheetId="2" hidden="1">{#N/A,#N/A,FALSE,"ALLOC"}</definedName>
    <definedName name="dfasdfasdf" localSheetId="1" hidden="1">{#N/A,#N/A,FALSE,"ALLOC"}</definedName>
    <definedName name="dfasdfasdf" hidden="1">{#N/A,#N/A,FALSE,"ALLOC"}</definedName>
    <definedName name="dfasdfasdfdsaf" localSheetId="2" hidden="1">{#N/A,#N/A,FALSE,"ALLOC"}</definedName>
    <definedName name="dfasdfasdfdsaf" localSheetId="1" hidden="1">{#N/A,#N/A,FALSE,"ALLOC"}</definedName>
    <definedName name="dfasdfasdfdsaf" hidden="1">{#N/A,#N/A,FALSE,"ALLOC"}</definedName>
    <definedName name="dfasfasfdfadsf" localSheetId="2" hidden="1">{#N/A,#N/A,FALSE,"EXPENSE"}</definedName>
    <definedName name="dfasfasfdfadsf" localSheetId="1" hidden="1">{#N/A,#N/A,FALSE,"EXPENSE"}</definedName>
    <definedName name="dfasfasfdfadsf" hidden="1">{#N/A,#N/A,FALSE,"EXPENSE"}</definedName>
    <definedName name="DFD_TAX">#REF!</definedName>
    <definedName name="dfdfdsfadsf" localSheetId="2" hidden="1">{#N/A,#N/A,FALSE,"EXPENSE"}</definedName>
    <definedName name="dfdfdsfadsf" localSheetId="1" hidden="1">{#N/A,#N/A,FALSE,"EXPENSE"}</definedName>
    <definedName name="dfdfdsfadsf" hidden="1">{#N/A,#N/A,FALSE,"EXPENSE"}</definedName>
    <definedName name="dfdsfsdfdfdsf" localSheetId="2" hidden="1">{#N/A,#N/A,FALSE,"EXPENSE"}</definedName>
    <definedName name="dfdsfsdfdfdsf" localSheetId="1" hidden="1">{#N/A,#N/A,FALSE,"EXPENSE"}</definedName>
    <definedName name="dfdsfsdfdfdsf" hidden="1">{#N/A,#N/A,FALSE,"EXPENSE"}</definedName>
    <definedName name="dfsadfdsfdsf" localSheetId="2" hidden="1">{#N/A,#N/A,FALSE,"ALLOC"}</definedName>
    <definedName name="dfsadfdsfdsf" localSheetId="1" hidden="1">{#N/A,#N/A,FALSE,"ALLOC"}</definedName>
    <definedName name="dfsadfdsfdsf" hidden="1">{#N/A,#N/A,FALSE,"ALLOC"}</definedName>
    <definedName name="dfsdfdsfdsfds" localSheetId="2" hidden="1">{#N/A,#N/A,FALSE,"EXPENSE"}</definedName>
    <definedName name="dfsdfdsfdsfds" localSheetId="1" hidden="1">{#N/A,#N/A,FALSE,"EXPENSE"}</definedName>
    <definedName name="dfsdfdsfdsfds" hidden="1">{#N/A,#N/A,FALSE,"EXPENSE"}</definedName>
    <definedName name="dgdgdfgdg" localSheetId="2" hidden="1">{#N/A,#N/A,FALSE,"EXPENSE"}</definedName>
    <definedName name="dgdgdfgdg" localSheetId="1" hidden="1">{#N/A,#N/A,FALSE,"EXPENSE"}</definedName>
    <definedName name="dgdgdfgdg" hidden="1">{#N/A,#N/A,FALSE,"EXPENSE"}</definedName>
    <definedName name="dhdyyrtyr" localSheetId="2" hidden="1">{#N/A,#N/A,FALSE,"EXPENSE"}</definedName>
    <definedName name="dhdyyrtyr" localSheetId="1" hidden="1">{#N/A,#N/A,FALSE,"EXPENSE"}</definedName>
    <definedName name="dhdyyrtyr" hidden="1">{#N/A,#N/A,FALSE,"EXPENSE"}</definedName>
    <definedName name="Dispatch2004">#REF!</definedName>
    <definedName name="DIST_ALL">#REF!</definedName>
    <definedName name="dkdkdk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>#REF!</definedName>
    <definedName name="DOCKET_NO">#REF!</definedName>
    <definedName name="DOT">#REF!</definedName>
    <definedName name="DOT_PROJECTS2003">#REF!</definedName>
    <definedName name="DOT_PROJECTS2004">#REF!</definedName>
    <definedName name="ds" localSheetId="2" hidden="1">{#N/A,#N/A,FALSE,"Aging Summary";#N/A,#N/A,FALSE,"Ratio Analysis";#N/A,#N/A,FALSE,"Test 120 Day Accts";#N/A,#N/A,FALSE,"Tickmarks"}</definedName>
    <definedName name="ds" localSheetId="1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dsfasdfdasf" localSheetId="2" hidden="1">{#N/A,#N/A,FALSE,"EXPENSE"}</definedName>
    <definedName name="dsfasdfdasf" localSheetId="1" hidden="1">{#N/A,#N/A,FALSE,"EXPENSE"}</definedName>
    <definedName name="dsfasdfdasf" hidden="1">{#N/A,#N/A,FALSE,"EXPENSE"}</definedName>
    <definedName name="dsfasdfdsf" localSheetId="2" hidden="1">{#N/A,#N/A,FALSE,"EXPENSE"}</definedName>
    <definedName name="dsfasdfdsf" localSheetId="1" hidden="1">{#N/A,#N/A,FALSE,"EXPENSE"}</definedName>
    <definedName name="dsfasdfdsf" hidden="1">{#N/A,#N/A,FALSE,"EXPENSE"}</definedName>
    <definedName name="dsm" localSheetId="2" hidden="1">{#N/A,#N/A,FALSE,"Aging Summary";#N/A,#N/A,FALSE,"Ratio Analysis";#N/A,#N/A,FALSE,"Test 120 Day Accts";#N/A,#N/A,FALSE,"Tickmarks"}</definedName>
    <definedName name="dsm" localSheetId="1" hidden="1">{#N/A,#N/A,FALSE,"Aging Summary";#N/A,#N/A,FALSE,"Ratio Analysis";#N/A,#N/A,FALSE,"Test 120 Day Accts";#N/A,#N/A,FALSE,"Tickmarks"}</definedName>
    <definedName name="dsm" hidden="1">{#N/A,#N/A,FALSE,"Aging Summary";#N/A,#N/A,FALSE,"Ratio Analysis";#N/A,#N/A,FALSE,"Test 120 Day Accts";#N/A,#N/A,FALSE,"Tickmarks"}</definedName>
    <definedName name="dtresyttyujyujtghgh" localSheetId="2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uh" localSheetId="2" hidden="1">{"edcredit",#N/A,FALSE,"edcredit"}</definedName>
    <definedName name="duh" localSheetId="1" hidden="1">{"edcredit",#N/A,FALSE,"edcredit"}</definedName>
    <definedName name="duh" hidden="1">{"edcredit",#N/A,FALSE,"edcredit"}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atawerawerfe" localSheetId="2" hidden="1">{#N/A,#N/A,FALSE,"ALLOC"}</definedName>
    <definedName name="eatawerawerfe" localSheetId="1" hidden="1">{#N/A,#N/A,FALSE,"ALLOC"}</definedName>
    <definedName name="eatawerawerfe" hidden="1">{#N/A,#N/A,FALSE,"ALLOC"}</definedName>
    <definedName name="ECON_DEV">#REF!</definedName>
    <definedName name="EDS_Strategic2004">#REF!</definedName>
    <definedName name="ej" localSheetId="2" hidden="1">{"Page 1",#N/A,FALSE,"Sheet1";"Page 2",#N/A,FALSE,"Sheet1"}</definedName>
    <definedName name="ej" localSheetId="1" hidden="1">{"Page 1",#N/A,FALSE,"Sheet1";"Page 2",#N/A,FALSE,"Sheet1"}</definedName>
    <definedName name="ej" hidden="1">{"Page 1",#N/A,FALSE,"Sheet1";"Page 2",#N/A,FALSE,"Sheet1"}</definedName>
    <definedName name="er" localSheetId="2" hidden="1">{#N/A,#N/A,FALSE,"Aging Summary";#N/A,#N/A,FALSE,"Ratio Analysis";#N/A,#N/A,FALSE,"Test 120 Day Accts";#N/A,#N/A,FALSE,"Tickmarks"}</definedName>
    <definedName name="er" localSheetId="1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ssbase12month" localSheetId="2" hidden="1">{"balsheet",#N/A,FALSE,"A"}</definedName>
    <definedName name="essbase12month" localSheetId="1" hidden="1">{"balsheet",#N/A,FALSE,"A"}</definedName>
    <definedName name="essbase12month" hidden="1">{"balsheet",#N/A,FALSE,"A"}</definedName>
    <definedName name="EssOptions">"A1110000000130000000001100000_0000"</definedName>
    <definedName name="ew" localSheetId="2" hidden="1">{#N/A,#N/A,FALSE,"Aging Summary";#N/A,#N/A,FALSE,"Ratio Analysis";#N/A,#N/A,FALSE,"Test 120 Day Accts";#N/A,#N/A,FALSE,"Tickmarks"}</definedName>
    <definedName name="ew" localSheetId="1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f" localSheetId="2" hidden="1">{"edcredit",#N/A,FALSE,"edcredit"}</definedName>
    <definedName name="f" localSheetId="1" hidden="1">{"edcredit",#N/A,FALSE,"edcredit"}</definedName>
    <definedName name="f" hidden="1">{"edcredit",#N/A,FALSE,"edcredit"}</definedName>
    <definedName name="FACTORS" localSheetId="3">#REF!</definedName>
    <definedName name="FACTORS" localSheetId="6">#REF!</definedName>
    <definedName name="FACTORS" localSheetId="18">#REF!</definedName>
    <definedName name="FACTORS" localSheetId="21">#REF!</definedName>
    <definedName name="FACTORS" localSheetId="24">#REF!</definedName>
    <definedName name="FACTORS" localSheetId="2">#REF!</definedName>
    <definedName name="FACTORS" localSheetId="5">#REF!</definedName>
    <definedName name="FACTORS" localSheetId="17">#REF!</definedName>
    <definedName name="FACTORS" localSheetId="20">#REF!</definedName>
    <definedName name="FACTORS" localSheetId="23">#REF!</definedName>
    <definedName name="FACTORS" localSheetId="1">#REF!</definedName>
    <definedName name="FACTORS" localSheetId="4">#REF!</definedName>
    <definedName name="FACTORS" localSheetId="16">#REF!</definedName>
    <definedName name="FACTORS" localSheetId="19">#REF!</definedName>
    <definedName name="FACTORS" localSheetId="22">#REF!</definedName>
    <definedName name="FACTORS" localSheetId="0">#REF!</definedName>
    <definedName name="FACTORS">#REF!</definedName>
    <definedName name="fadfasdfasdfadsf" localSheetId="2" hidden="1">{#N/A,#N/A,FALSE,"ALLOC"}</definedName>
    <definedName name="fadfasdfasdfadsf" localSheetId="1" hidden="1">{#N/A,#N/A,FALSE,"ALLOC"}</definedName>
    <definedName name="fadfasdfasdfadsf" hidden="1">{#N/A,#N/A,FALSE,"ALLOC"}</definedName>
    <definedName name="fadfasdfwaerwe" localSheetId="2" hidden="1">{#N/A,#N/A,FALSE,"ALLOC"}</definedName>
    <definedName name="fadfasdfwaerwe" localSheetId="1" hidden="1">{#N/A,#N/A,FALSE,"ALLOC"}</definedName>
    <definedName name="fadfasdfwaerwe" hidden="1">{#N/A,#N/A,FALSE,"ALLOC"}</definedName>
    <definedName name="fadsfadsfadsf" localSheetId="2" hidden="1">{#N/A,#N/A,FALSE,"EXPENSE"}</definedName>
    <definedName name="fadsfadsfadsf" localSheetId="1" hidden="1">{#N/A,#N/A,FALSE,"EXPENSE"}</definedName>
    <definedName name="fadsfadsfadsf" hidden="1">{#N/A,#N/A,FALSE,"EXPENSE"}</definedName>
    <definedName name="fadsfadsfdasf" localSheetId="2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dsafdfd" localSheetId="2" hidden="1">{#N/A,#N/A,FALSE,"ALLOC"}</definedName>
    <definedName name="fadsfdsafdfd" localSheetId="1" hidden="1">{#N/A,#N/A,FALSE,"ALLOC"}</definedName>
    <definedName name="fadsfdsafdfd" hidden="1">{#N/A,#N/A,FALSE,"ALLOC"}</definedName>
    <definedName name="fasdfadsfdasf" localSheetId="2" hidden="1">{#N/A,#N/A,FALSE,"ALLOC"}</definedName>
    <definedName name="fasdfadsfdasf" localSheetId="1" hidden="1">{#N/A,#N/A,FALSE,"ALLOC"}</definedName>
    <definedName name="fasdfadsfdasf" hidden="1">{#N/A,#N/A,FALSE,"ALLOC"}</definedName>
    <definedName name="fasdfasdfadsf" localSheetId="2" hidden="1">{#N/A,#N/A,FALSE,"EXPENSE"}</definedName>
    <definedName name="fasdfasdfadsf" localSheetId="1" hidden="1">{#N/A,#N/A,FALSE,"EXPENSE"}</definedName>
    <definedName name="fasdfasdfadsf" hidden="1">{#N/A,#N/A,FALSE,"EXPENSE"}</definedName>
    <definedName name="fasdfdfdf" localSheetId="2" hidden="1">{#N/A,#N/A,FALSE,"EXPENSE"}</definedName>
    <definedName name="fasdfdfdf" localSheetId="1" hidden="1">{#N/A,#N/A,FALSE,"EXPENSE"}</definedName>
    <definedName name="fasdfdfdf" hidden="1">{#N/A,#N/A,FALSE,"EXPENSE"}</definedName>
    <definedName name="fasfdsfdsafads" localSheetId="2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csdafasdfadsf" localSheetId="2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d" localSheetId="2" hidden="1">{#N/A,#N/A,FALSE,"GIS"}</definedName>
    <definedName name="fd" localSheetId="1" hidden="1">{#N/A,#N/A,FALSE,"GIS"}</definedName>
    <definedName name="fd" hidden="1">{#N/A,#N/A,FALSE,"GIS"}</definedName>
    <definedName name="fdasfadfdaf" localSheetId="2" hidden="1">{#N/A,#N/A,FALSE,"EXPENSE"}</definedName>
    <definedName name="fdasfadfdaf" localSheetId="1" hidden="1">{#N/A,#N/A,FALSE,"EXPENSE"}</definedName>
    <definedName name="fdasfadfdaf" hidden="1">{#N/A,#N/A,FALSE,"EXPENSE"}</definedName>
    <definedName name="fdsfdsafdasfds" localSheetId="2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sadfsdafdsa" localSheetId="2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dfdsfd" localSheetId="2" hidden="1">{#N/A,#N/A,FALSE,"EXPENSE"}</definedName>
    <definedName name="fdsfsdfdsfd" localSheetId="1" hidden="1">{#N/A,#N/A,FALSE,"EXPENSE"}</definedName>
    <definedName name="fdsfsdfdsfd" hidden="1">{#N/A,#N/A,FALSE,"EXPENSE"}</definedName>
    <definedName name="FED_TX_ADJ">#REF!</definedName>
    <definedName name="fewrfwerwqerwe" localSheetId="2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fff" localSheetId="2" hidden="1">{#N/A,#N/A,FALSE,"ALLOC"}</definedName>
    <definedName name="ffff" localSheetId="1" hidden="1">{#N/A,#N/A,FALSE,"ALLOC"}</definedName>
    <definedName name="ffff" hidden="1">{#N/A,#N/A,FALSE,"ALLOC"}</definedName>
    <definedName name="FGC" localSheetId="3">#REF!</definedName>
    <definedName name="FGC" localSheetId="6">#REF!</definedName>
    <definedName name="FGC" localSheetId="18">#REF!</definedName>
    <definedName name="FGC" localSheetId="21">#REF!</definedName>
    <definedName name="FGC" localSheetId="24">#REF!</definedName>
    <definedName name="FGC" localSheetId="2">#REF!</definedName>
    <definedName name="FGC" localSheetId="5">#REF!</definedName>
    <definedName name="FGC" localSheetId="17">#REF!</definedName>
    <definedName name="FGC" localSheetId="20">#REF!</definedName>
    <definedName name="FGC" localSheetId="23">#REF!</definedName>
    <definedName name="FGC" localSheetId="1">#REF!</definedName>
    <definedName name="FGC" localSheetId="4">#REF!</definedName>
    <definedName name="FGC" localSheetId="16">#REF!</definedName>
    <definedName name="FGC" localSheetId="19">#REF!</definedName>
    <definedName name="FGC" localSheetId="22">#REF!</definedName>
    <definedName name="FGC" localSheetId="0">#REF!</definedName>
    <definedName name="FGC">#REF!</definedName>
    <definedName name="fgdfgdzfxczv" localSheetId="2" hidden="1">{#N/A,#N/A,FALSE,"EXPENSE"}</definedName>
    <definedName name="fgdfgdzfxczv" localSheetId="1" hidden="1">{#N/A,#N/A,FALSE,"EXPENSE"}</definedName>
    <definedName name="fgdfgdzfxczv" hidden="1">{#N/A,#N/A,FALSE,"EXPENSE"}</definedName>
    <definedName name="fgdfzdsfASFDAS" localSheetId="2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gdfdvcx" localSheetId="2" hidden="1">{#N/A,#N/A,FALSE,"ALLOC"}</definedName>
    <definedName name="fgdgdfdvcx" localSheetId="1" hidden="1">{#N/A,#N/A,FALSE,"ALLOC"}</definedName>
    <definedName name="fgdgdfdvcx" hidden="1">{#N/A,#N/A,FALSE,"ALLOC"}</definedName>
    <definedName name="fgdsfasdfscc" localSheetId="2" hidden="1">{#N/A,#N/A,FALSE,"ALLOC"}</definedName>
    <definedName name="fgdsfasdfscc" localSheetId="1" hidden="1">{#N/A,#N/A,FALSE,"ALLOC"}</definedName>
    <definedName name="fgdsfasdfscc" hidden="1">{#N/A,#N/A,FALSE,"ALLOC"}</definedName>
    <definedName name="fgdsfdsfd" localSheetId="2" hidden="1">{#N/A,#N/A,FALSE,"EXPENSE"}</definedName>
    <definedName name="fgdsfdsfd" localSheetId="1" hidden="1">{#N/A,#N/A,FALSE,"EXPENSE"}</definedName>
    <definedName name="fgdsfdsfd" hidden="1">{#N/A,#N/A,FALSE,"EXPENSE"}</definedName>
    <definedName name="fhfgdgdg" localSheetId="2" hidden="1">{#N/A,#N/A,FALSE,"EXPENSE"}</definedName>
    <definedName name="fhfgdgdg" localSheetId="1" hidden="1">{#N/A,#N/A,FALSE,"EXPENSE"}</definedName>
    <definedName name="fhfgdgdg" hidden="1">{#N/A,#N/A,FALSE,"EXPENSE"}</definedName>
    <definedName name="fhfhfhfg" localSheetId="2" hidden="1">{#N/A,#N/A,FALSE,"EXPENSE"}</definedName>
    <definedName name="fhfhfhfg" localSheetId="1" hidden="1">{#N/A,#N/A,FALSE,"EXPENSE"}</definedName>
    <definedName name="fhfhfhfg" hidden="1">{#N/A,#N/A,FALSE,"EXPENSE"}</definedName>
    <definedName name="fhgfdgdzfcxvcx" localSheetId="2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ILENAME">#REF!</definedName>
    <definedName name="Filing_Name">#REF!</definedName>
    <definedName name="financ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NI_ADJ">#REF!</definedName>
    <definedName name="FORM42_1A" localSheetId="3">#REF!</definedName>
    <definedName name="FORM42_1A" localSheetId="6">#REF!</definedName>
    <definedName name="FORM42_1A" localSheetId="18">#REF!</definedName>
    <definedName name="FORM42_1A" localSheetId="21">#REF!</definedName>
    <definedName name="FORM42_1A" localSheetId="24">#REF!</definedName>
    <definedName name="FORM42_1A" localSheetId="2">#REF!</definedName>
    <definedName name="FORM42_1A" localSheetId="5">#REF!</definedName>
    <definedName name="FORM42_1A" localSheetId="17">#REF!</definedName>
    <definedName name="FORM42_1A" localSheetId="20">#REF!</definedName>
    <definedName name="FORM42_1A" localSheetId="23">#REF!</definedName>
    <definedName name="FORM42_1A" localSheetId="1">#REF!</definedName>
    <definedName name="FORM42_1A" localSheetId="4">#REF!</definedName>
    <definedName name="FORM42_1A" localSheetId="16">#REF!</definedName>
    <definedName name="FORM42_1A" localSheetId="19">#REF!</definedName>
    <definedName name="FORM42_1A" localSheetId="22">#REF!</definedName>
    <definedName name="FORM42_1A" localSheetId="0">#REF!</definedName>
    <definedName name="FORM42_1A">#REF!</definedName>
    <definedName name="FORM42_2A" localSheetId="3">#REF!</definedName>
    <definedName name="FORM42_2A" localSheetId="6">#REF!</definedName>
    <definedName name="FORM42_2A" localSheetId="18">#REF!</definedName>
    <definedName name="FORM42_2A" localSheetId="21">#REF!</definedName>
    <definedName name="FORM42_2A" localSheetId="24">#REF!</definedName>
    <definedName name="FORM42_2A" localSheetId="2">#REF!</definedName>
    <definedName name="FORM42_2A" localSheetId="5">#REF!</definedName>
    <definedName name="FORM42_2A" localSheetId="17">#REF!</definedName>
    <definedName name="FORM42_2A" localSheetId="20">#REF!</definedName>
    <definedName name="FORM42_2A" localSheetId="23">#REF!</definedName>
    <definedName name="FORM42_2A" localSheetId="1">#REF!</definedName>
    <definedName name="FORM42_2A" localSheetId="4">#REF!</definedName>
    <definedName name="FORM42_2A" localSheetId="16">#REF!</definedName>
    <definedName name="FORM42_2A" localSheetId="19">#REF!</definedName>
    <definedName name="FORM42_2A" localSheetId="22">#REF!</definedName>
    <definedName name="FORM42_2A" localSheetId="0">#REF!</definedName>
    <definedName name="FORM42_2A">#REF!</definedName>
    <definedName name="FORM42_3A" localSheetId="3">#REF!</definedName>
    <definedName name="FORM42_3A" localSheetId="6">#REF!</definedName>
    <definedName name="FORM42_3A" localSheetId="18">#REF!</definedName>
    <definedName name="FORM42_3A" localSheetId="21">#REF!</definedName>
    <definedName name="FORM42_3A" localSheetId="24">#REF!</definedName>
    <definedName name="FORM42_3A" localSheetId="2">#REF!</definedName>
    <definedName name="FORM42_3A" localSheetId="5">#REF!</definedName>
    <definedName name="FORM42_3A" localSheetId="17">#REF!</definedName>
    <definedName name="FORM42_3A" localSheetId="20">#REF!</definedName>
    <definedName name="FORM42_3A" localSheetId="23">#REF!</definedName>
    <definedName name="FORM42_3A" localSheetId="1">#REF!</definedName>
    <definedName name="FORM42_3A" localSheetId="4">#REF!</definedName>
    <definedName name="FORM42_3A" localSheetId="16">#REF!</definedName>
    <definedName name="FORM42_3A" localSheetId="19">#REF!</definedName>
    <definedName name="FORM42_3A" localSheetId="22">#REF!</definedName>
    <definedName name="FORM42_3A" localSheetId="0">#REF!</definedName>
    <definedName name="FORM42_3A">#REF!</definedName>
    <definedName name="FORM42_4A" localSheetId="3">#REF!</definedName>
    <definedName name="FORM42_4A" localSheetId="6">#REF!</definedName>
    <definedName name="FORM42_4A" localSheetId="18">#REF!</definedName>
    <definedName name="FORM42_4A" localSheetId="21">#REF!</definedName>
    <definedName name="FORM42_4A" localSheetId="24">#REF!</definedName>
    <definedName name="FORM42_4A" localSheetId="2">#REF!</definedName>
    <definedName name="FORM42_4A" localSheetId="5">#REF!</definedName>
    <definedName name="FORM42_4A" localSheetId="17">#REF!</definedName>
    <definedName name="FORM42_4A" localSheetId="20">#REF!</definedName>
    <definedName name="FORM42_4A" localSheetId="23">#REF!</definedName>
    <definedName name="FORM42_4A" localSheetId="1">#REF!</definedName>
    <definedName name="FORM42_4A" localSheetId="4">#REF!</definedName>
    <definedName name="FORM42_4A" localSheetId="16">#REF!</definedName>
    <definedName name="FORM42_4A" localSheetId="19">#REF!</definedName>
    <definedName name="FORM42_4A" localSheetId="22">#REF!</definedName>
    <definedName name="FORM42_4A" localSheetId="0">#REF!</definedName>
    <definedName name="FORM42_4A">#REF!</definedName>
    <definedName name="Form42_4P_P13">#REF!</definedName>
    <definedName name="FORM42_6A" localSheetId="3">#REF!</definedName>
    <definedName name="FORM42_6A" localSheetId="6">#REF!</definedName>
    <definedName name="FORM42_6A" localSheetId="18">#REF!</definedName>
    <definedName name="FORM42_6A" localSheetId="21">#REF!</definedName>
    <definedName name="FORM42_6A" localSheetId="24">#REF!</definedName>
    <definedName name="FORM42_6A" localSheetId="2">#REF!</definedName>
    <definedName name="FORM42_6A" localSheetId="5">#REF!</definedName>
    <definedName name="FORM42_6A" localSheetId="17">#REF!</definedName>
    <definedName name="FORM42_6A" localSheetId="20">#REF!</definedName>
    <definedName name="FORM42_6A" localSheetId="23">#REF!</definedName>
    <definedName name="FORM42_6A" localSheetId="1">#REF!</definedName>
    <definedName name="FORM42_6A" localSheetId="4">#REF!</definedName>
    <definedName name="FORM42_6A" localSheetId="16">#REF!</definedName>
    <definedName name="FORM42_6A" localSheetId="19">#REF!</definedName>
    <definedName name="FORM42_6A" localSheetId="22">#REF!</definedName>
    <definedName name="FORM42_6A" localSheetId="0">#REF!</definedName>
    <definedName name="FORM42_6A">#REF!</definedName>
    <definedName name="FORM42_8A_P1" localSheetId="3">#REF!</definedName>
    <definedName name="FORM42_8A_P1" localSheetId="6">#REF!</definedName>
    <definedName name="FORM42_8A_P1" localSheetId="18">#REF!</definedName>
    <definedName name="FORM42_8A_P1" localSheetId="21">#REF!</definedName>
    <definedName name="FORM42_8A_P1" localSheetId="24">#REF!</definedName>
    <definedName name="FORM42_8A_P1" localSheetId="2">#REF!</definedName>
    <definedName name="FORM42_8A_P1" localSheetId="5">#REF!</definedName>
    <definedName name="FORM42_8A_P1" localSheetId="17">#REF!</definedName>
    <definedName name="FORM42_8A_P1" localSheetId="20">#REF!</definedName>
    <definedName name="FORM42_8A_P1" localSheetId="23">#REF!</definedName>
    <definedName name="FORM42_8A_P1" localSheetId="1">#REF!</definedName>
    <definedName name="FORM42_8A_P1" localSheetId="4">#REF!</definedName>
    <definedName name="FORM42_8A_P1" localSheetId="16">#REF!</definedName>
    <definedName name="FORM42_8A_P1" localSheetId="19">#REF!</definedName>
    <definedName name="FORM42_8A_P1" localSheetId="22">#REF!</definedName>
    <definedName name="FORM42_8A_P1" localSheetId="0">#REF!</definedName>
    <definedName name="FORM42_8A_P1">#REF!</definedName>
    <definedName name="FORM42_8A_P10" localSheetId="3">#REF!</definedName>
    <definedName name="FORM42_8A_P10" localSheetId="6">#REF!</definedName>
    <definedName name="FORM42_8A_P10" localSheetId="18">#REF!</definedName>
    <definedName name="FORM42_8A_P10" localSheetId="21">#REF!</definedName>
    <definedName name="FORM42_8A_P10" localSheetId="24">#REF!</definedName>
    <definedName name="FORM42_8A_P10" localSheetId="2">#REF!</definedName>
    <definedName name="FORM42_8A_P10" localSheetId="5">#REF!</definedName>
    <definedName name="FORM42_8A_P10" localSheetId="17">#REF!</definedName>
    <definedName name="FORM42_8A_P10" localSheetId="20">#REF!</definedName>
    <definedName name="FORM42_8A_P10" localSheetId="23">#REF!</definedName>
    <definedName name="FORM42_8A_P10" localSheetId="1">#REF!</definedName>
    <definedName name="FORM42_8A_P10" localSheetId="4">#REF!</definedName>
    <definedName name="FORM42_8A_P10" localSheetId="16">#REF!</definedName>
    <definedName name="FORM42_8A_P10" localSheetId="19">#REF!</definedName>
    <definedName name="FORM42_8A_P10" localSheetId="22">#REF!</definedName>
    <definedName name="FORM42_8A_P10" localSheetId="0">#REF!</definedName>
    <definedName name="FORM42_8A_P10">#REF!</definedName>
    <definedName name="FORM42_8A_P11" localSheetId="3">#REF!</definedName>
    <definedName name="FORM42_8A_P11" localSheetId="6">#REF!</definedName>
    <definedName name="FORM42_8A_P11" localSheetId="18">#REF!</definedName>
    <definedName name="FORM42_8A_P11" localSheetId="21">#REF!</definedName>
    <definedName name="FORM42_8A_P11" localSheetId="24">#REF!</definedName>
    <definedName name="FORM42_8A_P11" localSheetId="2">#REF!</definedName>
    <definedName name="FORM42_8A_P11" localSheetId="5">#REF!</definedName>
    <definedName name="FORM42_8A_P11" localSheetId="17">#REF!</definedName>
    <definedName name="FORM42_8A_P11" localSheetId="20">#REF!</definedName>
    <definedName name="FORM42_8A_P11" localSheetId="23">#REF!</definedName>
    <definedName name="FORM42_8A_P11" localSheetId="1">#REF!</definedName>
    <definedName name="FORM42_8A_P11" localSheetId="4">#REF!</definedName>
    <definedName name="FORM42_8A_P11" localSheetId="16">#REF!</definedName>
    <definedName name="FORM42_8A_P11" localSheetId="19">#REF!</definedName>
    <definedName name="FORM42_8A_P11" localSheetId="22">#REF!</definedName>
    <definedName name="FORM42_8A_P11" localSheetId="0">#REF!</definedName>
    <definedName name="FORM42_8A_P11">#REF!</definedName>
    <definedName name="FORM42_8A_P12" localSheetId="3">#REF!</definedName>
    <definedName name="FORM42_8A_P12" localSheetId="6">#REF!</definedName>
    <definedName name="FORM42_8A_P12" localSheetId="18">#REF!</definedName>
    <definedName name="FORM42_8A_P12" localSheetId="21">#REF!</definedName>
    <definedName name="FORM42_8A_P12" localSheetId="24">#REF!</definedName>
    <definedName name="FORM42_8A_P12" localSheetId="2">#REF!</definedName>
    <definedName name="FORM42_8A_P12" localSheetId="5">#REF!</definedName>
    <definedName name="FORM42_8A_P12" localSheetId="17">#REF!</definedName>
    <definedName name="FORM42_8A_P12" localSheetId="20">#REF!</definedName>
    <definedName name="FORM42_8A_P12" localSheetId="23">#REF!</definedName>
    <definedName name="FORM42_8A_P12" localSheetId="1">#REF!</definedName>
    <definedName name="FORM42_8A_P12" localSheetId="4">#REF!</definedName>
    <definedName name="FORM42_8A_P12" localSheetId="16">#REF!</definedName>
    <definedName name="FORM42_8A_P12" localSheetId="19">#REF!</definedName>
    <definedName name="FORM42_8A_P12" localSheetId="22">#REF!</definedName>
    <definedName name="FORM42_8A_P12" localSheetId="0">#REF!</definedName>
    <definedName name="FORM42_8A_P12">#REF!</definedName>
    <definedName name="FORM42_8A_P13" localSheetId="3">#REF!</definedName>
    <definedName name="FORM42_8A_P13" localSheetId="6">#REF!</definedName>
    <definedName name="FORM42_8A_P13" localSheetId="18">#REF!</definedName>
    <definedName name="FORM42_8A_P13" localSheetId="21">#REF!</definedName>
    <definedName name="FORM42_8A_P13" localSheetId="24">#REF!</definedName>
    <definedName name="FORM42_8A_P13" localSheetId="2">#REF!</definedName>
    <definedName name="FORM42_8A_P13" localSheetId="5">#REF!</definedName>
    <definedName name="FORM42_8A_P13" localSheetId="17">#REF!</definedName>
    <definedName name="FORM42_8A_P13" localSheetId="20">#REF!</definedName>
    <definedName name="FORM42_8A_P13" localSheetId="23">#REF!</definedName>
    <definedName name="FORM42_8A_P13" localSheetId="1">#REF!</definedName>
    <definedName name="FORM42_8A_P13" localSheetId="4">#REF!</definedName>
    <definedName name="FORM42_8A_P13" localSheetId="16">#REF!</definedName>
    <definedName name="FORM42_8A_P13" localSheetId="19">#REF!</definedName>
    <definedName name="FORM42_8A_P13" localSheetId="22">#REF!</definedName>
    <definedName name="FORM42_8A_P13" localSheetId="0">#REF!</definedName>
    <definedName name="FORM42_8A_P13">#REF!</definedName>
    <definedName name="FORM42_8A_P14" localSheetId="3">#REF!</definedName>
    <definedName name="FORM42_8A_P14" localSheetId="6">#REF!</definedName>
    <definedName name="FORM42_8A_P14" localSheetId="18">#REF!</definedName>
    <definedName name="FORM42_8A_P14" localSheetId="21">#REF!</definedName>
    <definedName name="FORM42_8A_P14" localSheetId="24">#REF!</definedName>
    <definedName name="FORM42_8A_P14" localSheetId="2">#REF!</definedName>
    <definedName name="FORM42_8A_P14" localSheetId="5">#REF!</definedName>
    <definedName name="FORM42_8A_P14" localSheetId="17">#REF!</definedName>
    <definedName name="FORM42_8A_P14" localSheetId="20">#REF!</definedName>
    <definedName name="FORM42_8A_P14" localSheetId="23">#REF!</definedName>
    <definedName name="FORM42_8A_P14" localSheetId="1">#REF!</definedName>
    <definedName name="FORM42_8A_P14" localSheetId="4">#REF!</definedName>
    <definedName name="FORM42_8A_P14" localSheetId="16">#REF!</definedName>
    <definedName name="FORM42_8A_P14" localSheetId="19">#REF!</definedName>
    <definedName name="FORM42_8A_P14" localSheetId="22">#REF!</definedName>
    <definedName name="FORM42_8A_P14" localSheetId="0">#REF!</definedName>
    <definedName name="FORM42_8A_P14">#REF!</definedName>
    <definedName name="FORM42_8A_P15" localSheetId="3">#REF!</definedName>
    <definedName name="FORM42_8A_P15" localSheetId="6">#REF!</definedName>
    <definedName name="FORM42_8A_P15" localSheetId="18">#REF!</definedName>
    <definedName name="FORM42_8A_P15" localSheetId="21">#REF!</definedName>
    <definedName name="FORM42_8A_P15" localSheetId="24">#REF!</definedName>
    <definedName name="FORM42_8A_P15" localSheetId="2">#REF!</definedName>
    <definedName name="FORM42_8A_P15" localSheetId="5">#REF!</definedName>
    <definedName name="FORM42_8A_P15" localSheetId="17">#REF!</definedName>
    <definedName name="FORM42_8A_P15" localSheetId="20">#REF!</definedName>
    <definedName name="FORM42_8A_P15" localSheetId="23">#REF!</definedName>
    <definedName name="FORM42_8A_P15" localSheetId="1">#REF!</definedName>
    <definedName name="FORM42_8A_P15" localSheetId="4">#REF!</definedName>
    <definedName name="FORM42_8A_P15" localSheetId="16">#REF!</definedName>
    <definedName name="FORM42_8A_P15" localSheetId="19">#REF!</definedName>
    <definedName name="FORM42_8A_P15" localSheetId="22">#REF!</definedName>
    <definedName name="FORM42_8A_P15" localSheetId="0">#REF!</definedName>
    <definedName name="FORM42_8A_P15">#REF!</definedName>
    <definedName name="FORM42_8A_P16" localSheetId="3">#REF!</definedName>
    <definedName name="FORM42_8A_P16" localSheetId="6">#REF!</definedName>
    <definedName name="FORM42_8A_P16" localSheetId="18">#REF!</definedName>
    <definedName name="FORM42_8A_P16" localSheetId="21">#REF!</definedName>
    <definedName name="FORM42_8A_P16" localSheetId="24">#REF!</definedName>
    <definedName name="FORM42_8A_P16" localSheetId="2">#REF!</definedName>
    <definedName name="FORM42_8A_P16" localSheetId="5">#REF!</definedName>
    <definedName name="FORM42_8A_P16" localSheetId="17">#REF!</definedName>
    <definedName name="FORM42_8A_P16" localSheetId="20">#REF!</definedName>
    <definedName name="FORM42_8A_P16" localSheetId="23">#REF!</definedName>
    <definedName name="FORM42_8A_P16" localSheetId="1">#REF!</definedName>
    <definedName name="FORM42_8A_P16" localSheetId="4">#REF!</definedName>
    <definedName name="FORM42_8A_P16" localSheetId="16">#REF!</definedName>
    <definedName name="FORM42_8A_P16" localSheetId="19">#REF!</definedName>
    <definedName name="FORM42_8A_P16" localSheetId="22">#REF!</definedName>
    <definedName name="FORM42_8A_P16" localSheetId="0">#REF!</definedName>
    <definedName name="FORM42_8A_P16">#REF!</definedName>
    <definedName name="FORM42_8A_P17" localSheetId="3">#REF!</definedName>
    <definedName name="FORM42_8A_P17" localSheetId="6">#REF!</definedName>
    <definedName name="FORM42_8A_P17" localSheetId="18">#REF!</definedName>
    <definedName name="FORM42_8A_P17" localSheetId="21">#REF!</definedName>
    <definedName name="FORM42_8A_P17" localSheetId="24">#REF!</definedName>
    <definedName name="FORM42_8A_P17" localSheetId="2">#REF!</definedName>
    <definedName name="FORM42_8A_P17" localSheetId="5">#REF!</definedName>
    <definedName name="FORM42_8A_P17" localSheetId="17">#REF!</definedName>
    <definedName name="FORM42_8A_P17" localSheetId="20">#REF!</definedName>
    <definedName name="FORM42_8A_P17" localSheetId="23">#REF!</definedName>
    <definedName name="FORM42_8A_P17" localSheetId="1">#REF!</definedName>
    <definedName name="FORM42_8A_P17" localSheetId="4">#REF!</definedName>
    <definedName name="FORM42_8A_P17" localSheetId="16">#REF!</definedName>
    <definedName name="FORM42_8A_P17" localSheetId="19">#REF!</definedName>
    <definedName name="FORM42_8A_P17" localSheetId="22">#REF!</definedName>
    <definedName name="FORM42_8A_P17" localSheetId="0">#REF!</definedName>
    <definedName name="FORM42_8A_P17">#REF!</definedName>
    <definedName name="FORM42_8A_P18" localSheetId="3">#REF!</definedName>
    <definedName name="FORM42_8A_P18" localSheetId="6">#REF!</definedName>
    <definedName name="FORM42_8A_P18" localSheetId="18">#REF!</definedName>
    <definedName name="FORM42_8A_P18" localSheetId="21">#REF!</definedName>
    <definedName name="FORM42_8A_P18" localSheetId="24">#REF!</definedName>
    <definedName name="FORM42_8A_P18" localSheetId="2">#REF!</definedName>
    <definedName name="FORM42_8A_P18" localSheetId="5">#REF!</definedName>
    <definedName name="FORM42_8A_P18" localSheetId="17">#REF!</definedName>
    <definedName name="FORM42_8A_P18" localSheetId="20">#REF!</definedName>
    <definedName name="FORM42_8A_P18" localSheetId="23">#REF!</definedName>
    <definedName name="FORM42_8A_P18" localSheetId="1">#REF!</definedName>
    <definedName name="FORM42_8A_P18" localSheetId="4">#REF!</definedName>
    <definedName name="FORM42_8A_P18" localSheetId="16">#REF!</definedName>
    <definedName name="FORM42_8A_P18" localSheetId="19">#REF!</definedName>
    <definedName name="FORM42_8A_P18" localSheetId="22">#REF!</definedName>
    <definedName name="FORM42_8A_P18" localSheetId="0">#REF!</definedName>
    <definedName name="FORM42_8A_P18">#REF!</definedName>
    <definedName name="FORM42_8A_P19" localSheetId="3">#REF!</definedName>
    <definedName name="FORM42_8A_P19" localSheetId="6">#REF!</definedName>
    <definedName name="FORM42_8A_P19" localSheetId="18">#REF!</definedName>
    <definedName name="FORM42_8A_P19" localSheetId="21">#REF!</definedName>
    <definedName name="FORM42_8A_P19" localSheetId="24">#REF!</definedName>
    <definedName name="FORM42_8A_P19" localSheetId="2">#REF!</definedName>
    <definedName name="FORM42_8A_P19" localSheetId="5">#REF!</definedName>
    <definedName name="FORM42_8A_P19" localSheetId="17">#REF!</definedName>
    <definedName name="FORM42_8A_P19" localSheetId="20">#REF!</definedName>
    <definedName name="FORM42_8A_P19" localSheetId="23">#REF!</definedName>
    <definedName name="FORM42_8A_P19" localSheetId="1">#REF!</definedName>
    <definedName name="FORM42_8A_P19" localSheetId="4">#REF!</definedName>
    <definedName name="FORM42_8A_P19" localSheetId="16">#REF!</definedName>
    <definedName name="FORM42_8A_P19" localSheetId="19">#REF!</definedName>
    <definedName name="FORM42_8A_P19" localSheetId="22">#REF!</definedName>
    <definedName name="FORM42_8A_P19" localSheetId="0">#REF!</definedName>
    <definedName name="FORM42_8A_P19">#REF!</definedName>
    <definedName name="FORM42_8A_P2" localSheetId="3">#REF!</definedName>
    <definedName name="FORM42_8A_P2" localSheetId="6">#REF!</definedName>
    <definedName name="FORM42_8A_P2" localSheetId="18">#REF!</definedName>
    <definedName name="FORM42_8A_P2" localSheetId="21">#REF!</definedName>
    <definedName name="FORM42_8A_P2" localSheetId="24">#REF!</definedName>
    <definedName name="FORM42_8A_P2" localSheetId="2">#REF!</definedName>
    <definedName name="FORM42_8A_P2" localSheetId="5">#REF!</definedName>
    <definedName name="FORM42_8A_P2" localSheetId="17">#REF!</definedName>
    <definedName name="FORM42_8A_P2" localSheetId="20">#REF!</definedName>
    <definedName name="FORM42_8A_P2" localSheetId="23">#REF!</definedName>
    <definedName name="FORM42_8A_P2" localSheetId="1">#REF!</definedName>
    <definedName name="FORM42_8A_P2" localSheetId="4">#REF!</definedName>
    <definedName name="FORM42_8A_P2" localSheetId="16">#REF!</definedName>
    <definedName name="FORM42_8A_P2" localSheetId="19">#REF!</definedName>
    <definedName name="FORM42_8A_P2" localSheetId="22">#REF!</definedName>
    <definedName name="FORM42_8A_P2" localSheetId="0">#REF!</definedName>
    <definedName name="FORM42_8A_P2">#REF!</definedName>
    <definedName name="FORM42_8A_P20" localSheetId="3">#REF!</definedName>
    <definedName name="FORM42_8A_P20" localSheetId="6">#REF!</definedName>
    <definedName name="FORM42_8A_P20" localSheetId="18">#REF!</definedName>
    <definedName name="FORM42_8A_P20" localSheetId="21">#REF!</definedName>
    <definedName name="FORM42_8A_P20" localSheetId="24">#REF!</definedName>
    <definedName name="FORM42_8A_P20" localSheetId="2">#REF!</definedName>
    <definedName name="FORM42_8A_P20" localSheetId="5">#REF!</definedName>
    <definedName name="FORM42_8A_P20" localSheetId="17">#REF!</definedName>
    <definedName name="FORM42_8A_P20" localSheetId="20">#REF!</definedName>
    <definedName name="FORM42_8A_P20" localSheetId="23">#REF!</definedName>
    <definedName name="FORM42_8A_P20" localSheetId="1">#REF!</definedName>
    <definedName name="FORM42_8A_P20" localSheetId="4">#REF!</definedName>
    <definedName name="FORM42_8A_P20" localSheetId="16">#REF!</definedName>
    <definedName name="FORM42_8A_P20" localSheetId="19">#REF!</definedName>
    <definedName name="FORM42_8A_P20" localSheetId="22">#REF!</definedName>
    <definedName name="FORM42_8A_P20" localSheetId="0">#REF!</definedName>
    <definedName name="FORM42_8A_P20">#REF!</definedName>
    <definedName name="FORM42_8A_P3" localSheetId="3">#REF!</definedName>
    <definedName name="FORM42_8A_P3" localSheetId="6">#REF!</definedName>
    <definedName name="FORM42_8A_P3" localSheetId="18">#REF!</definedName>
    <definedName name="FORM42_8A_P3" localSheetId="21">#REF!</definedName>
    <definedName name="FORM42_8A_P3" localSheetId="24">#REF!</definedName>
    <definedName name="FORM42_8A_P3" localSheetId="2">#REF!</definedName>
    <definedName name="FORM42_8A_P3" localSheetId="5">#REF!</definedName>
    <definedName name="FORM42_8A_P3" localSheetId="17">#REF!</definedName>
    <definedName name="FORM42_8A_P3" localSheetId="20">#REF!</definedName>
    <definedName name="FORM42_8A_P3" localSheetId="23">#REF!</definedName>
    <definedName name="FORM42_8A_P3" localSheetId="1">#REF!</definedName>
    <definedName name="FORM42_8A_P3" localSheetId="4">#REF!</definedName>
    <definedName name="FORM42_8A_P3" localSheetId="16">#REF!</definedName>
    <definedName name="FORM42_8A_P3" localSheetId="19">#REF!</definedName>
    <definedName name="FORM42_8A_P3" localSheetId="22">#REF!</definedName>
    <definedName name="FORM42_8A_P3" localSheetId="0">#REF!</definedName>
    <definedName name="FORM42_8A_P3">#REF!</definedName>
    <definedName name="FORM42_8A_P4" localSheetId="3">#REF!</definedName>
    <definedName name="FORM42_8A_P4" localSheetId="6">#REF!</definedName>
    <definedName name="FORM42_8A_P4" localSheetId="18">#REF!</definedName>
    <definedName name="FORM42_8A_P4" localSheetId="21">#REF!</definedName>
    <definedName name="FORM42_8A_P4" localSheetId="24">#REF!</definedName>
    <definedName name="FORM42_8A_P4" localSheetId="2">#REF!</definedName>
    <definedName name="FORM42_8A_P4" localSheetId="5">#REF!</definedName>
    <definedName name="FORM42_8A_P4" localSheetId="17">#REF!</definedName>
    <definedName name="FORM42_8A_P4" localSheetId="20">#REF!</definedName>
    <definedName name="FORM42_8A_P4" localSheetId="23">#REF!</definedName>
    <definedName name="FORM42_8A_P4" localSheetId="1">#REF!</definedName>
    <definedName name="FORM42_8A_P4" localSheetId="4">#REF!</definedName>
    <definedName name="FORM42_8A_P4" localSheetId="16">#REF!</definedName>
    <definedName name="FORM42_8A_P4" localSheetId="19">#REF!</definedName>
    <definedName name="FORM42_8A_P4" localSheetId="22">#REF!</definedName>
    <definedName name="FORM42_8A_P4" localSheetId="0">#REF!</definedName>
    <definedName name="FORM42_8A_P4">#REF!</definedName>
    <definedName name="FORM42_8A_P5" localSheetId="3">#REF!</definedName>
    <definedName name="FORM42_8A_P5" localSheetId="6">#REF!</definedName>
    <definedName name="FORM42_8A_P5" localSheetId="18">#REF!</definedName>
    <definedName name="FORM42_8A_P5" localSheetId="21">#REF!</definedName>
    <definedName name="FORM42_8A_P5" localSheetId="24">#REF!</definedName>
    <definedName name="FORM42_8A_P5" localSheetId="2">#REF!</definedName>
    <definedName name="FORM42_8A_P5" localSheetId="5">#REF!</definedName>
    <definedName name="FORM42_8A_P5" localSheetId="17">#REF!</definedName>
    <definedName name="FORM42_8A_P5" localSheetId="20">#REF!</definedName>
    <definedName name="FORM42_8A_P5" localSheetId="23">#REF!</definedName>
    <definedName name="FORM42_8A_P5" localSheetId="1">#REF!</definedName>
    <definedName name="FORM42_8A_P5" localSheetId="4">#REF!</definedName>
    <definedName name="FORM42_8A_P5" localSheetId="16">#REF!</definedName>
    <definedName name="FORM42_8A_P5" localSheetId="19">#REF!</definedName>
    <definedName name="FORM42_8A_P5" localSheetId="22">#REF!</definedName>
    <definedName name="FORM42_8A_P5" localSheetId="0">#REF!</definedName>
    <definedName name="FORM42_8A_P5">#REF!</definedName>
    <definedName name="FORM42_8A_P6" localSheetId="3">#REF!</definedName>
    <definedName name="FORM42_8A_P6" localSheetId="6">#REF!</definedName>
    <definedName name="FORM42_8A_P6" localSheetId="18">#REF!</definedName>
    <definedName name="FORM42_8A_P6" localSheetId="21">#REF!</definedName>
    <definedName name="FORM42_8A_P6" localSheetId="24">#REF!</definedName>
    <definedName name="FORM42_8A_P6" localSheetId="2">#REF!</definedName>
    <definedName name="FORM42_8A_P6" localSheetId="5">#REF!</definedName>
    <definedName name="FORM42_8A_P6" localSheetId="17">#REF!</definedName>
    <definedName name="FORM42_8A_P6" localSheetId="20">#REF!</definedName>
    <definedName name="FORM42_8A_P6" localSheetId="23">#REF!</definedName>
    <definedName name="FORM42_8A_P6" localSheetId="1">#REF!</definedName>
    <definedName name="FORM42_8A_P6" localSheetId="4">#REF!</definedName>
    <definedName name="FORM42_8A_P6" localSheetId="16">#REF!</definedName>
    <definedName name="FORM42_8A_P6" localSheetId="19">#REF!</definedName>
    <definedName name="FORM42_8A_P6" localSheetId="22">#REF!</definedName>
    <definedName name="FORM42_8A_P6" localSheetId="0">#REF!</definedName>
    <definedName name="FORM42_8A_P6">#REF!</definedName>
    <definedName name="FORM42_8A_P7" localSheetId="3">#REF!</definedName>
    <definedName name="FORM42_8A_P7" localSheetId="6">#REF!</definedName>
    <definedName name="FORM42_8A_P7" localSheetId="18">#REF!</definedName>
    <definedName name="FORM42_8A_P7" localSheetId="21">#REF!</definedName>
    <definedName name="FORM42_8A_P7" localSheetId="24">#REF!</definedName>
    <definedName name="FORM42_8A_P7" localSheetId="2">#REF!</definedName>
    <definedName name="FORM42_8A_P7" localSheetId="5">#REF!</definedName>
    <definedName name="FORM42_8A_P7" localSheetId="17">#REF!</definedName>
    <definedName name="FORM42_8A_P7" localSheetId="20">#REF!</definedName>
    <definedName name="FORM42_8A_P7" localSheetId="23">#REF!</definedName>
    <definedName name="FORM42_8A_P7" localSheetId="1">#REF!</definedName>
    <definedName name="FORM42_8A_P7" localSheetId="4">#REF!</definedName>
    <definedName name="FORM42_8A_P7" localSheetId="16">#REF!</definedName>
    <definedName name="FORM42_8A_P7" localSheetId="19">#REF!</definedName>
    <definedName name="FORM42_8A_P7" localSheetId="22">#REF!</definedName>
    <definedName name="FORM42_8A_P7" localSheetId="0">#REF!</definedName>
    <definedName name="FORM42_8A_P7">#REF!</definedName>
    <definedName name="FORM42_8A_P8" localSheetId="3">#REF!</definedName>
    <definedName name="FORM42_8A_P8" localSheetId="6">#REF!</definedName>
    <definedName name="FORM42_8A_P8" localSheetId="18">#REF!</definedName>
    <definedName name="FORM42_8A_P8" localSheetId="21">#REF!</definedName>
    <definedName name="FORM42_8A_P8" localSheetId="24">#REF!</definedName>
    <definedName name="FORM42_8A_P8" localSheetId="2">#REF!</definedName>
    <definedName name="FORM42_8A_P8" localSheetId="5">#REF!</definedName>
    <definedName name="FORM42_8A_P8" localSheetId="17">#REF!</definedName>
    <definedName name="FORM42_8A_P8" localSheetId="20">#REF!</definedName>
    <definedName name="FORM42_8A_P8" localSheetId="23">#REF!</definedName>
    <definedName name="FORM42_8A_P8" localSheetId="1">#REF!</definedName>
    <definedName name="FORM42_8A_P8" localSheetId="4">#REF!</definedName>
    <definedName name="FORM42_8A_P8" localSheetId="16">#REF!</definedName>
    <definedName name="FORM42_8A_P8" localSheetId="19">#REF!</definedName>
    <definedName name="FORM42_8A_P8" localSheetId="22">#REF!</definedName>
    <definedName name="FORM42_8A_P8" localSheetId="0">#REF!</definedName>
    <definedName name="FORM42_8A_P8">#REF!</definedName>
    <definedName name="FORM42_8A_P9" localSheetId="3">#REF!</definedName>
    <definedName name="FORM42_8A_P9" localSheetId="6">#REF!</definedName>
    <definedName name="FORM42_8A_P9" localSheetId="18">#REF!</definedName>
    <definedName name="FORM42_8A_P9" localSheetId="21">#REF!</definedName>
    <definedName name="FORM42_8A_P9" localSheetId="24">#REF!</definedName>
    <definedName name="FORM42_8A_P9" localSheetId="2">#REF!</definedName>
    <definedName name="FORM42_8A_P9" localSheetId="5">#REF!</definedName>
    <definedName name="FORM42_8A_P9" localSheetId="17">#REF!</definedName>
    <definedName name="FORM42_8A_P9" localSheetId="20">#REF!</definedName>
    <definedName name="FORM42_8A_P9" localSheetId="23">#REF!</definedName>
    <definedName name="FORM42_8A_P9" localSheetId="1">#REF!</definedName>
    <definedName name="FORM42_8A_P9" localSheetId="4">#REF!</definedName>
    <definedName name="FORM42_8A_P9" localSheetId="16">#REF!</definedName>
    <definedName name="FORM42_8A_P9" localSheetId="19">#REF!</definedName>
    <definedName name="FORM42_8A_P9" localSheetId="22">#REF!</definedName>
    <definedName name="FORM42_8A_P9" localSheetId="0">#REF!</definedName>
    <definedName name="FORM42_8A_P9">#REF!</definedName>
    <definedName name="FPCCAP">#REF!</definedName>
    <definedName name="FPSC_Adj_lookup">#REF!</definedName>
    <definedName name="freb" localSheetId="2" hidden="1">{#N/A,#N/A,FALSE,"EXPENSE"}</definedName>
    <definedName name="freb" localSheetId="1" hidden="1">{#N/A,#N/A,FALSE,"EXPENSE"}</definedName>
    <definedName name="freb" hidden="1">{#N/A,#N/A,FALSE,"EXPENSE"}</definedName>
    <definedName name="frt" localSheetId="2" hidden="1">{#N/A,#N/A,FALSE,"Aging Summary";#N/A,#N/A,FALSE,"Ratio Analysis";#N/A,#N/A,FALSE,"Test 120 Day Accts";#N/A,#N/A,FALSE,"Tickmarks"}</definedName>
    <definedName name="frt" localSheetId="1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rwerwerwerfw" localSheetId="2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werfew" localSheetId="2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sadfsdfadfdfwerf" localSheetId="2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fwaerwer" localSheetId="2" hidden="1">{#N/A,#N/A,FALSE,"EXPENSE"}</definedName>
    <definedName name="fsafwaerwer" localSheetId="1" hidden="1">{#N/A,#N/A,FALSE,"EXPENSE"}</definedName>
    <definedName name="fsafwaerwer" hidden="1">{#N/A,#N/A,FALSE,"EXPENSE"}</definedName>
    <definedName name="fsd" localSheetId="2" hidden="1">{#N/A,#N/A,FALSE,"Aging Summary";#N/A,#N/A,FALSE,"Ratio Analysis";#N/A,#N/A,FALSE,"Test 120 Day Accts";#N/A,#N/A,FALSE,"Tickmarks"}</definedName>
    <definedName name="fsd" localSheetId="1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sdfadsfdfd" localSheetId="2" hidden="1">{#N/A,#N/A,FALSE,"EXPENSE"}</definedName>
    <definedName name="fsdfadsfdfd" localSheetId="1" hidden="1">{#N/A,#N/A,FALSE,"EXPENSE"}</definedName>
    <definedName name="fsdfadsfdfd" hidden="1">{#N/A,#N/A,FALSE,"EXPENSE"}</definedName>
    <definedName name="fsdfasdfadsf" localSheetId="2" hidden="1">{#N/A,#N/A,FALSE,"EXPENSE"}</definedName>
    <definedName name="fsdfasdfadsf" localSheetId="1" hidden="1">{#N/A,#N/A,FALSE,"EXPENSE"}</definedName>
    <definedName name="fsdfasdfadsf" hidden="1">{#N/A,#N/A,FALSE,"EXPENSE"}</definedName>
    <definedName name="fsdfdfbfvbcvbb" localSheetId="2" hidden="1">{#N/A,#N/A,FALSE,"ALLOC"}</definedName>
    <definedName name="fsdfdfbfvbcvbb" localSheetId="1" hidden="1">{#N/A,#N/A,FALSE,"ALLOC"}</definedName>
    <definedName name="fsdfdfbfvbcvbb" hidden="1">{#N/A,#N/A,FALSE,"ALLOC"}</definedName>
    <definedName name="fsdfdwfdsf" localSheetId="2" hidden="1">{#N/A,#N/A,FALSE,"EXPENSE"}</definedName>
    <definedName name="fsdfdwfdsf" localSheetId="1" hidden="1">{#N/A,#N/A,FALSE,"EXPENSE"}</definedName>
    <definedName name="fsdfdwfdsf" hidden="1">{#N/A,#N/A,FALSE,"EXPENSE"}</definedName>
    <definedName name="fsgrhghj" localSheetId="2" hidden="1">{#N/A,#N/A,FALSE,"ALLOC"}</definedName>
    <definedName name="fsgrhghj" localSheetId="1" hidden="1">{#N/A,#N/A,FALSE,"ALLOC"}</definedName>
    <definedName name="fsgrhghj" hidden="1">{#N/A,#N/A,FALSE,"ALLOC"}</definedName>
    <definedName name="ftyrtdrt" localSheetId="2" hidden="1">{#N/A,#N/A,FALSE,"ALLOC"}</definedName>
    <definedName name="ftyrtdrt" localSheetId="1" hidden="1">{#N/A,#N/A,FALSE,"ALLOC"}</definedName>
    <definedName name="ftyrtdrt" hidden="1">{#N/A,#N/A,FALSE,"ALLOC"}</definedName>
    <definedName name="FUNC_ALLOCS_CS">#REF!</definedName>
    <definedName name="FUNC_ALLOCS_CSIS">#REF!</definedName>
    <definedName name="FUNC_ALLOCS_GSD">#REF!</definedName>
    <definedName name="FUNC_ALLOCS_GSND">#REF!</definedName>
    <definedName name="FUNC_ALLOCS_GSND100LF">#REF!</definedName>
    <definedName name="FUNC_ALLOCS_IS">#REF!</definedName>
    <definedName name="FUNC_ALLOCS_LS">#REF!</definedName>
    <definedName name="FUNC_ALLOCS_RETAIL">#REF!</definedName>
    <definedName name="FUNC_ALLOCS_RS">#REF!</definedName>
    <definedName name="G">#REF!</definedName>
    <definedName name="gbdfgdfdfzvc" localSheetId="2" hidden="1">{#N/A,#N/A,FALSE,"ALLOC"}</definedName>
    <definedName name="gbdfgdfdfzvc" localSheetId="1" hidden="1">{#N/A,#N/A,FALSE,"ALLOC"}</definedName>
    <definedName name="gbdfgdfdfzvc" hidden="1">{#N/A,#N/A,FALSE,"ALLOC"}</definedName>
    <definedName name="gbdfgzdfvvc" localSheetId="2" hidden="1">{#N/A,#N/A,FALSE,"EXPENSE"}</definedName>
    <definedName name="gbdfgzdfvvc" localSheetId="1" hidden="1">{#N/A,#N/A,FALSE,"EXPENSE"}</definedName>
    <definedName name="gbdfgzdfvvc" hidden="1">{#N/A,#N/A,FALSE,"EXPENSE"}</definedName>
    <definedName name="gdfgdvzxcvc" localSheetId="2" hidden="1">{#N/A,#N/A,FALSE,"EXPENSE"}</definedName>
    <definedName name="gdfgdvzxcvc" localSheetId="1" hidden="1">{#N/A,#N/A,FALSE,"EXPENSE"}</definedName>
    <definedName name="gdfgdvzxcvc" hidden="1">{#N/A,#N/A,FALSE,"EXPENSE"}</definedName>
    <definedName name="gdfgdzfdzfvxzc" localSheetId="2" hidden="1">{#N/A,#N/A,FALSE,"ALLOC"}</definedName>
    <definedName name="gdfgdzfdzfvxzc" localSheetId="1" hidden="1">{#N/A,#N/A,FALSE,"ALLOC"}</definedName>
    <definedName name="gdfgdzfdzfvxzc" hidden="1">{#N/A,#N/A,FALSE,"ALLOC"}</definedName>
    <definedName name="gdfgfbcvbcv" localSheetId="2" hidden="1">{#N/A,#N/A,FALSE,"EXPENSE"}</definedName>
    <definedName name="gdfgfbcvbcv" localSheetId="1" hidden="1">{#N/A,#N/A,FALSE,"EXPENSE"}</definedName>
    <definedName name="gdfgfbcvbcv" hidden="1">{#N/A,#N/A,FALSE,"EXPENSE"}</definedName>
    <definedName name="gdfgfvcxvcx" localSheetId="2" hidden="1">{#N/A,#N/A,FALSE,"ALLOC"}</definedName>
    <definedName name="gdfgfvcxvcx" localSheetId="1" hidden="1">{#N/A,#N/A,FALSE,"ALLOC"}</definedName>
    <definedName name="gdfgfvcxvcx" hidden="1">{#N/A,#N/A,FALSE,"ALLOC"}</definedName>
    <definedName name="gdgddgd" localSheetId="2" hidden="1">{#N/A,#N/A,FALSE,"EXPENSE"}</definedName>
    <definedName name="gdgddgd" localSheetId="1" hidden="1">{#N/A,#N/A,FALSE,"EXPENSE"}</definedName>
    <definedName name="gdgddgd" hidden="1">{#N/A,#N/A,FALSE,"EXPENSE"}</definedName>
    <definedName name="gdsfgdcvcx" localSheetId="2" hidden="1">{#N/A,#N/A,FALSE,"EXPENSE"}</definedName>
    <definedName name="gdsfgdcvcx" localSheetId="1" hidden="1">{#N/A,#N/A,FALSE,"EXPENSE"}</definedName>
    <definedName name="gdsfgdcvcx" hidden="1">{#N/A,#N/A,FALSE,"EXPENSE"}</definedName>
    <definedName name="gdsfgdfvgzcxvcxz" localSheetId="2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gdfvcxvxc" localSheetId="2" hidden="1">{#N/A,#N/A,FALSE,"EXPENSE"}</definedName>
    <definedName name="gdsgdfvcxvxc" localSheetId="1" hidden="1">{#N/A,#N/A,FALSE,"EXPENSE"}</definedName>
    <definedName name="gdsgdfvcxvxc" hidden="1">{#N/A,#N/A,FALSE,"EXPENSE"}</definedName>
    <definedName name="gfgsdftesrt" localSheetId="2" hidden="1">{#N/A,#N/A,FALSE,"EXPENSE"}</definedName>
    <definedName name="gfgsdftesrt" localSheetId="1" hidden="1">{#N/A,#N/A,FALSE,"EXPENSE"}</definedName>
    <definedName name="gfgsdftesrt" hidden="1">{#N/A,#N/A,FALSE,"EXPENSE"}</definedName>
    <definedName name="gfhbgfggbvcvcx" localSheetId="2" hidden="1">{#N/A,#N/A,FALSE,"EXPENSE"}</definedName>
    <definedName name="gfhbgfggbvcvcx" localSheetId="1" hidden="1">{#N/A,#N/A,FALSE,"EXPENSE"}</definedName>
    <definedName name="gfhbgfggbvcvcx" hidden="1">{#N/A,#N/A,FALSE,"EXPENSE"}</definedName>
    <definedName name="gfhfgfbcvcv" localSheetId="2" hidden="1">{#N/A,#N/A,FALSE,"EXPENSE"}</definedName>
    <definedName name="gfhfgfbcvcv" localSheetId="1" hidden="1">{#N/A,#N/A,FALSE,"EXPENSE"}</definedName>
    <definedName name="gfhfgfbcvcv" hidden="1">{#N/A,#N/A,FALSE,"EXPENSE"}</definedName>
    <definedName name="gfhfxcxvcxzv" localSheetId="2" hidden="1">{#N/A,#N/A,FALSE,"EXPENSE"}</definedName>
    <definedName name="gfhfxcxvcxzv" localSheetId="1" hidden="1">{#N/A,#N/A,FALSE,"EXPENSE"}</definedName>
    <definedName name="gfhfxcxvcxzv" hidden="1">{#N/A,#N/A,FALSE,"EXPENSE"}</definedName>
    <definedName name="gfhsdzfzasdfSAF" localSheetId="2" hidden="1">{#N/A,#N/A,FALSE,"ALLOC"}</definedName>
    <definedName name="gfhsdzfzasdfSAF" localSheetId="1" hidden="1">{#N/A,#N/A,FALSE,"ALLOC"}</definedName>
    <definedName name="gfhsdzfzasdfSAF" hidden="1">{#N/A,#N/A,FALSE,"ALLOC"}</definedName>
    <definedName name="gfhshyghgf" localSheetId="2" hidden="1">{#N/A,#N/A,FALSE,"EXPENSE"}</definedName>
    <definedName name="gfhshyghgf" localSheetId="1" hidden="1">{#N/A,#N/A,FALSE,"EXPENSE"}</definedName>
    <definedName name="gfhshyghgf" hidden="1">{#N/A,#N/A,FALSE,"EXPENSE"}</definedName>
    <definedName name="gfnhsfgdzvc" localSheetId="2" hidden="1">{#N/A,#N/A,FALSE,"ALLOC"}</definedName>
    <definedName name="gfnhsfgdzvc" localSheetId="1" hidden="1">{#N/A,#N/A,FALSE,"ALLOC"}</definedName>
    <definedName name="gfnhsfgdzvc" hidden="1">{#N/A,#N/A,FALSE,"ALLOC"}</definedName>
    <definedName name="gfsgesrwerwer" localSheetId="2" hidden="1">{#N/A,#N/A,FALSE,"EXPENSE"}</definedName>
    <definedName name="gfsgesrwerwer" localSheetId="1" hidden="1">{#N/A,#N/A,FALSE,"EXPENSE"}</definedName>
    <definedName name="gfsgesrwerwer" hidden="1">{#N/A,#N/A,FALSE,"EXPENSE"}</definedName>
    <definedName name="gggg" localSheetId="2" hidden="1">{#N/A,#N/A,FALSE,"EXPENSE"}</definedName>
    <definedName name="gggg" localSheetId="1" hidden="1">{#N/A,#N/A,FALSE,"EXPENSE"}</definedName>
    <definedName name="gggg" hidden="1">{#N/A,#N/A,FALSE,"EXPENSE"}</definedName>
    <definedName name="ggggg" localSheetId="2" hidden="1">{#N/A,#N/A,FALSE,"EXPENSE"}</definedName>
    <definedName name="ggggg" localSheetId="1" hidden="1">{#N/A,#N/A,FALSE,"EXPENSE"}</definedName>
    <definedName name="ggggg" hidden="1">{#N/A,#N/A,FALSE,"EXPENSE"}</definedName>
    <definedName name="gggggg" localSheetId="2" hidden="1">{#N/A,#N/A,FALSE,"EXPENSE"}</definedName>
    <definedName name="gggggg" localSheetId="1" hidden="1">{#N/A,#N/A,FALSE,"EXPENSE"}</definedName>
    <definedName name="gggggg" hidden="1">{#N/A,#N/A,FALSE,"EXPENSE"}</definedName>
    <definedName name="ghsfgdszfzsdf" localSheetId="2" hidden="1">{#N/A,#N/A,FALSE,"EXPENSE"}</definedName>
    <definedName name="ghsfgdszfzsdf" localSheetId="1" hidden="1">{#N/A,#N/A,FALSE,"EXPENSE"}</definedName>
    <definedName name="ghsfgdszfzsdf" hidden="1">{#N/A,#N/A,FALSE,"EXPENSE"}</definedName>
    <definedName name="gretertertert" localSheetId="2" hidden="1">{#N/A,#N/A,FALSE,"EXPENSE"}</definedName>
    <definedName name="gretertertert" localSheetId="1" hidden="1">{#N/A,#N/A,FALSE,"EXPENSE"}</definedName>
    <definedName name="gretertertert" hidden="1">{#N/A,#N/A,FALSE,"EXPENSE"}</definedName>
    <definedName name="gsdfgdzcvzcxvc" localSheetId="2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fzdvcxz" localSheetId="2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zsdfzsdcs" localSheetId="2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fdgzdfcxv" localSheetId="2" hidden="1">{#N/A,#N/A,FALSE,"EXPENSE"}</definedName>
    <definedName name="gsfdgzdfcxv" localSheetId="1" hidden="1">{#N/A,#N/A,FALSE,"EXPENSE"}</definedName>
    <definedName name="gsfdgzdfcxv" hidden="1">{#N/A,#N/A,FALSE,"EXPENSE"}</definedName>
    <definedName name="H">#REF!</definedName>
    <definedName name="hfgdfdcvc" localSheetId="2" hidden="1">{#N/A,#N/A,FALSE,"EXPENSE"}</definedName>
    <definedName name="hfgdfdcvc" localSheetId="1" hidden="1">{#N/A,#N/A,FALSE,"EXPENSE"}</definedName>
    <definedName name="hfgdfdcvc" hidden="1">{#N/A,#N/A,FALSE,"EXPENSE"}</definedName>
    <definedName name="hgfhngfvbvcb" localSheetId="2" hidden="1">{#N/A,#N/A,FALSE,"EXPENSE"}</definedName>
    <definedName name="hgfhngfvbvcb" localSheetId="1" hidden="1">{#N/A,#N/A,FALSE,"EXPENSE"}</definedName>
    <definedName name="hgfhngfvbvcb" hidden="1">{#N/A,#N/A,FALSE,"EXPENSE"}</definedName>
    <definedName name="hgfhsfdgadgfzdv" localSheetId="2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hfdghfgh" localSheetId="2" hidden="1">{#N/A,#N/A,FALSE,"EXPENSE"}</definedName>
    <definedName name="hghfdghfgh" localSheetId="1" hidden="1">{#N/A,#N/A,FALSE,"EXPENSE"}</definedName>
    <definedName name="hghfdghfgh" hidden="1">{#N/A,#N/A,FALSE,"EXPENSE"}</definedName>
    <definedName name="hgsfdgdzgfdszfds" localSheetId="2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hfghfh" localSheetId="2" hidden="1">{#N/A,#N/A,FALSE,"EXPENSE"}</definedName>
    <definedName name="hhfghfh" localSheetId="1" hidden="1">{#N/A,#N/A,FALSE,"EXPENSE"}</definedName>
    <definedName name="hhfghfh" hidden="1">{#N/A,#N/A,FALSE,"EXPENSE"}</definedName>
    <definedName name="hhgbvxcv" localSheetId="2" hidden="1">{#N/A,#N/A,FALSE,"EXPENSE"}</definedName>
    <definedName name="hhgbvxcv" localSheetId="1" hidden="1">{#N/A,#N/A,FALSE,"EXPENSE"}</definedName>
    <definedName name="hhgbvxcv" hidden="1">{#N/A,#N/A,FALSE,"EXPENSE"}</definedName>
    <definedName name="hhh" localSheetId="2" hidden="1">{#N/A,#N/A,FALSE,"Assessment";#N/A,#N/A,FALSE,"Staffing";#N/A,#N/A,FALSE,"Hires";#N/A,#N/A,FALSE,"Assumptions"}</definedName>
    <definedName name="hhh" localSheetId="1" hidden="1">{#N/A,#N/A,FALSE,"Assessment";#N/A,#N/A,FALSE,"Staffing";#N/A,#N/A,FALSE,"Hires";#N/A,#N/A,FALSE,"Assumptions"}</definedName>
    <definedName name="hhh" hidden="1">{#N/A,#N/A,FALSE,"Assessment";#N/A,#N/A,FALSE,"Staffing";#N/A,#N/A,FALSE,"Hires";#N/A,#N/A,FALSE,"Assumptions"}</definedName>
    <definedName name="hhhh" localSheetId="2" hidden="1">{#N/A,#N/A,FALSE,"EXPENSE"}</definedName>
    <definedName name="hhhh" localSheetId="1" hidden="1">{#N/A,#N/A,FALSE,"EXPENSE"}</definedName>
    <definedName name="hhhh" hidden="1">{#N/A,#N/A,FALSE,"EXPENSE"}</definedName>
    <definedName name="hhhhh" localSheetId="2" hidden="1">{#N/A,#N/A,FALSE,"ALLOC"}</definedName>
    <definedName name="hhhhh" localSheetId="1" hidden="1">{#N/A,#N/A,FALSE,"ALLOC"}</definedName>
    <definedName name="hhhhh" hidden="1">{#N/A,#N/A,FALSE,"ALLOC"}</definedName>
    <definedName name="hjgfhgfhgf" localSheetId="2" hidden="1">{#N/A,#N/A,FALSE,"EXPENSE"}</definedName>
    <definedName name="hjgfhgfhgf" localSheetId="1" hidden="1">{#N/A,#N/A,FALSE,"EXPENSE"}</definedName>
    <definedName name="hjgfhgfhgf" hidden="1">{#N/A,#N/A,FALSE,"EXPENSE"}</definedName>
    <definedName name="hnftgszdgfzsdfv" localSheetId="2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otel_List">#REF!</definedName>
    <definedName name="HOURS" localSheetId="3">#REF!</definedName>
    <definedName name="HOURS" localSheetId="6">#REF!</definedName>
    <definedName name="HOURS" localSheetId="18">#REF!</definedName>
    <definedName name="HOURS" localSheetId="21">#REF!</definedName>
    <definedName name="HOURS" localSheetId="24">#REF!</definedName>
    <definedName name="HOURS" localSheetId="2">#REF!</definedName>
    <definedName name="HOURS" localSheetId="5">#REF!</definedName>
    <definedName name="HOURS" localSheetId="17">#REF!</definedName>
    <definedName name="HOURS" localSheetId="20">#REF!</definedName>
    <definedName name="HOURS" localSheetId="23">#REF!</definedName>
    <definedName name="HOURS" localSheetId="1">#REF!</definedName>
    <definedName name="HOURS" localSheetId="4">#REF!</definedName>
    <definedName name="HOURS" localSheetId="16">#REF!</definedName>
    <definedName name="HOURS" localSheetId="19">#REF!</definedName>
    <definedName name="HOURS" localSheetId="22">#REF!</definedName>
    <definedName name="HOURS" localSheetId="0">#REF!</definedName>
    <definedName name="HOURS">#REF!</definedName>
    <definedName name="Hours_Yr1" localSheetId="3">#REF!</definedName>
    <definedName name="Hours_Yr1" localSheetId="6">#REF!</definedName>
    <definedName name="Hours_Yr1" localSheetId="18">#REF!</definedName>
    <definedName name="Hours_Yr1" localSheetId="21">#REF!</definedName>
    <definedName name="Hours_Yr1" localSheetId="24">#REF!</definedName>
    <definedName name="Hours_Yr1" localSheetId="2">#REF!</definedName>
    <definedName name="Hours_Yr1" localSheetId="5">#REF!</definedName>
    <definedName name="Hours_Yr1" localSheetId="17">#REF!</definedName>
    <definedName name="Hours_Yr1" localSheetId="20">#REF!</definedName>
    <definedName name="Hours_Yr1" localSheetId="23">#REF!</definedName>
    <definedName name="Hours_Yr1" localSheetId="1">#REF!</definedName>
    <definedName name="Hours_Yr1" localSheetId="4">#REF!</definedName>
    <definedName name="Hours_Yr1" localSheetId="16">#REF!</definedName>
    <definedName name="Hours_Yr1" localSheetId="19">#REF!</definedName>
    <definedName name="Hours_Yr1" localSheetId="22">#REF!</definedName>
    <definedName name="Hours_Yr1" localSheetId="0">#REF!</definedName>
    <definedName name="Hours_Yr1">#REF!</definedName>
    <definedName name="Hours_Yr2" localSheetId="3">#REF!</definedName>
    <definedName name="Hours_Yr2" localSheetId="6">#REF!</definedName>
    <definedName name="Hours_Yr2" localSheetId="18">#REF!</definedName>
    <definedName name="Hours_Yr2" localSheetId="21">#REF!</definedName>
    <definedName name="Hours_Yr2" localSheetId="24">#REF!</definedName>
    <definedName name="Hours_Yr2" localSheetId="2">#REF!</definedName>
    <definedName name="Hours_Yr2" localSheetId="5">#REF!</definedName>
    <definedName name="Hours_Yr2" localSheetId="17">#REF!</definedName>
    <definedName name="Hours_Yr2" localSheetId="20">#REF!</definedName>
    <definedName name="Hours_Yr2" localSheetId="23">#REF!</definedName>
    <definedName name="Hours_Yr2" localSheetId="1">#REF!</definedName>
    <definedName name="Hours_Yr2" localSheetId="4">#REF!</definedName>
    <definedName name="Hours_Yr2" localSheetId="16">#REF!</definedName>
    <definedName name="Hours_Yr2" localSheetId="19">#REF!</definedName>
    <definedName name="Hours_Yr2" localSheetId="22">#REF!</definedName>
    <definedName name="Hours_Yr2" localSheetId="0">#REF!</definedName>
    <definedName name="Hours_Yr2">#REF!</definedName>
    <definedName name="Hours_Yr3" localSheetId="3">#REF!</definedName>
    <definedName name="Hours_Yr3" localSheetId="6">#REF!</definedName>
    <definedName name="Hours_Yr3" localSheetId="18">#REF!</definedName>
    <definedName name="Hours_Yr3" localSheetId="21">#REF!</definedName>
    <definedName name="Hours_Yr3" localSheetId="24">#REF!</definedName>
    <definedName name="Hours_Yr3" localSheetId="2">#REF!</definedName>
    <definedName name="Hours_Yr3" localSheetId="5">#REF!</definedName>
    <definedName name="Hours_Yr3" localSheetId="17">#REF!</definedName>
    <definedName name="Hours_Yr3" localSheetId="20">#REF!</definedName>
    <definedName name="Hours_Yr3" localSheetId="23">#REF!</definedName>
    <definedName name="Hours_Yr3" localSheetId="1">#REF!</definedName>
    <definedName name="Hours_Yr3" localSheetId="4">#REF!</definedName>
    <definedName name="Hours_Yr3" localSheetId="16">#REF!</definedName>
    <definedName name="Hours_Yr3" localSheetId="19">#REF!</definedName>
    <definedName name="Hours_Yr3" localSheetId="22">#REF!</definedName>
    <definedName name="Hours_Yr3" localSheetId="0">#REF!</definedName>
    <definedName name="Hours_Yr3">#REF!</definedName>
    <definedName name="Hours_Yr4" localSheetId="3">#REF!</definedName>
    <definedName name="Hours_Yr4" localSheetId="6">#REF!</definedName>
    <definedName name="Hours_Yr4" localSheetId="18">#REF!</definedName>
    <definedName name="Hours_Yr4" localSheetId="21">#REF!</definedName>
    <definedName name="Hours_Yr4" localSheetId="24">#REF!</definedName>
    <definedName name="Hours_Yr4" localSheetId="2">#REF!</definedName>
    <definedName name="Hours_Yr4" localSheetId="5">#REF!</definedName>
    <definedName name="Hours_Yr4" localSheetId="17">#REF!</definedName>
    <definedName name="Hours_Yr4" localSheetId="20">#REF!</definedName>
    <definedName name="Hours_Yr4" localSheetId="23">#REF!</definedName>
    <definedName name="Hours_Yr4" localSheetId="1">#REF!</definedName>
    <definedName name="Hours_Yr4" localSheetId="4">#REF!</definedName>
    <definedName name="Hours_Yr4" localSheetId="16">#REF!</definedName>
    <definedName name="Hours_Yr4" localSheetId="19">#REF!</definedName>
    <definedName name="Hours_Yr4" localSheetId="22">#REF!</definedName>
    <definedName name="Hours_Yr4" localSheetId="0">#REF!</definedName>
    <definedName name="Hours_Yr4">#REF!</definedName>
    <definedName name="Hours_Yr5" localSheetId="3">#REF!</definedName>
    <definedName name="Hours_Yr5" localSheetId="6">#REF!</definedName>
    <definedName name="Hours_Yr5" localSheetId="18">#REF!</definedName>
    <definedName name="Hours_Yr5" localSheetId="21">#REF!</definedName>
    <definedName name="Hours_Yr5" localSheetId="24">#REF!</definedName>
    <definedName name="Hours_Yr5" localSheetId="2">#REF!</definedName>
    <definedName name="Hours_Yr5" localSheetId="5">#REF!</definedName>
    <definedName name="Hours_Yr5" localSheetId="17">#REF!</definedName>
    <definedName name="Hours_Yr5" localSheetId="20">#REF!</definedName>
    <definedName name="Hours_Yr5" localSheetId="23">#REF!</definedName>
    <definedName name="Hours_Yr5" localSheetId="1">#REF!</definedName>
    <definedName name="Hours_Yr5" localSheetId="4">#REF!</definedName>
    <definedName name="Hours_Yr5" localSheetId="16">#REF!</definedName>
    <definedName name="Hours_Yr5" localSheetId="19">#REF!</definedName>
    <definedName name="Hours_Yr5" localSheetId="22">#REF!</definedName>
    <definedName name="Hours_Yr5" localSheetId="0">#REF!</definedName>
    <definedName name="Hours_Yr5">#REF!</definedName>
    <definedName name="hshgsgfgdfg" localSheetId="2" hidden="1">{#N/A,#N/A,FALSE,"ALLOC"}</definedName>
    <definedName name="hshgsgfgdfg" localSheetId="1" hidden="1">{#N/A,#N/A,FALSE,"ALLOC"}</definedName>
    <definedName name="hshgsgfgdfg" hidden="1">{#N/A,#N/A,FALSE,"ALLOC"}</definedName>
    <definedName name="HTML_CodePage" hidden="1">1252</definedName>
    <definedName name="HTML_Control" localSheetId="2" hidden="1">{"'Sheet1'!$A$1:$I$89"}</definedName>
    <definedName name="HTML_Control" localSheetId="1" hidden="1">{"'Sheet1'!$A$1:$I$89"}</definedName>
    <definedName name="HTML_Control" hidden="1">{"'Sheet1'!$A$1:$I$89"}</definedName>
    <definedName name="html_control1" localSheetId="2" hidden="1">{"'Sheet1'!$A$1:$I$89"}</definedName>
    <definedName name="html_control1" localSheetId="1" hidden="1">{"'Sheet1'!$A$1:$I$89"}</definedName>
    <definedName name="html_control1" hidden="1">{"'Sheet1'!$A$1:$I$89"}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localSheetId="2" hidden="1">{#N/A,#N/A,FALSE,"EXPENSE"}</definedName>
    <definedName name="htyrtyfghfg" localSheetId="1" hidden="1">{#N/A,#N/A,FALSE,"EXPENSE"}</definedName>
    <definedName name="htyrtyfghfg" hidden="1">{#N/A,#N/A,FALSE,"EXPENSE"}</definedName>
    <definedName name="ID_sorted" localSheetId="3">#REF!</definedName>
    <definedName name="ID_sorted" localSheetId="6">#REF!</definedName>
    <definedName name="ID_sorted" localSheetId="18">#REF!</definedName>
    <definedName name="ID_sorted" localSheetId="21">#REF!</definedName>
    <definedName name="ID_sorted" localSheetId="24">#REF!</definedName>
    <definedName name="ID_sorted" localSheetId="2">#REF!</definedName>
    <definedName name="ID_sorted" localSheetId="5">#REF!</definedName>
    <definedName name="ID_sorted" localSheetId="17">#REF!</definedName>
    <definedName name="ID_sorted" localSheetId="20">#REF!</definedName>
    <definedName name="ID_sorted" localSheetId="23">#REF!</definedName>
    <definedName name="ID_sorted" localSheetId="1">#REF!</definedName>
    <definedName name="ID_sorted" localSheetId="4">#REF!</definedName>
    <definedName name="ID_sorted" localSheetId="16">#REF!</definedName>
    <definedName name="ID_sorted" localSheetId="19">#REF!</definedName>
    <definedName name="ID_sorted" localSheetId="22">#REF!</definedName>
    <definedName name="ID_sorted" localSheetId="0">#REF!</definedName>
    <definedName name="ID_sorted">#REF!</definedName>
    <definedName name="iiittuty" localSheetId="2" hidden="1">{#N/A,#N/A,FALSE,"EXPENSE"}</definedName>
    <definedName name="iiittuty" localSheetId="1" hidden="1">{#N/A,#N/A,FALSE,"EXPENSE"}</definedName>
    <definedName name="iiittuty" hidden="1">{#N/A,#N/A,FALSE,"EXPENSE"}</definedName>
    <definedName name="IND_09">#REF!</definedName>
    <definedName name="INPUT" localSheetId="3">#REF!</definedName>
    <definedName name="INPUT" localSheetId="6">#REF!</definedName>
    <definedName name="INPUT" localSheetId="18">#REF!</definedName>
    <definedName name="INPUT" localSheetId="21">#REF!</definedName>
    <definedName name="INPUT" localSheetId="24">#REF!</definedName>
    <definedName name="INPUT" localSheetId="2">#REF!</definedName>
    <definedName name="INPUT" localSheetId="5">#REF!</definedName>
    <definedName name="INPUT" localSheetId="17">#REF!</definedName>
    <definedName name="INPUT" localSheetId="20">#REF!</definedName>
    <definedName name="INPUT" localSheetId="23">#REF!</definedName>
    <definedName name="INPUT" localSheetId="1">#REF!</definedName>
    <definedName name="INPUT" localSheetId="4">#REF!</definedName>
    <definedName name="INPUT" localSheetId="16">#REF!</definedName>
    <definedName name="INPUT" localSheetId="19">#REF!</definedName>
    <definedName name="INPUT" localSheetId="22">#REF!</definedName>
    <definedName name="INPUT" localSheetId="0">#REF!</definedName>
    <definedName name="INPUT">#REF!</definedName>
    <definedName name="INPUT2" localSheetId="3">#REF!</definedName>
    <definedName name="INPUT2" localSheetId="6">#REF!</definedName>
    <definedName name="INPUT2" localSheetId="18">#REF!</definedName>
    <definedName name="INPUT2" localSheetId="21">#REF!</definedName>
    <definedName name="INPUT2" localSheetId="24">#REF!</definedName>
    <definedName name="INPUT2" localSheetId="2">#REF!</definedName>
    <definedName name="INPUT2" localSheetId="5">#REF!</definedName>
    <definedName name="INPUT2" localSheetId="17">#REF!</definedName>
    <definedName name="INPUT2" localSheetId="20">#REF!</definedName>
    <definedName name="INPUT2" localSheetId="23">#REF!</definedName>
    <definedName name="INPUT2" localSheetId="1">#REF!</definedName>
    <definedName name="INPUT2" localSheetId="4">#REF!</definedName>
    <definedName name="INPUT2" localSheetId="16">#REF!</definedName>
    <definedName name="INPUT2" localSheetId="19">#REF!</definedName>
    <definedName name="INPUT2" localSheetId="22">#REF!</definedName>
    <definedName name="INPUT2" localSheetId="0">#REF!</definedName>
    <definedName name="INPUT2">#REF!</definedName>
    <definedName name="INT_TAX_DEF">#REF!</definedName>
    <definedName name="INT_TAX_DEF2">#REF!</definedName>
    <definedName name="InterestSynch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40231.5582175926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39790.5582291667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localSheetId="2" hidden="1">{#N/A,#N/A,FALSE,"Aging Summary";#N/A,#N/A,FALSE,"Ratio Analysis";#N/A,#N/A,FALSE,"Test 120 Day Accts";#N/A,#N/A,FALSE,"Tickmarks"}</definedName>
    <definedName name="iu" localSheetId="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iuiyiiyi" localSheetId="2" hidden="1">{#N/A,#N/A,FALSE,"EXPENSE"}</definedName>
    <definedName name="iuiyiiyi" localSheetId="1" hidden="1">{#N/A,#N/A,FALSE,"EXPENSE"}</definedName>
    <definedName name="iuiyiiyi" hidden="1">{#N/A,#N/A,FALSE,"EXPENSE"}</definedName>
    <definedName name="iutyutytyu" localSheetId="2" hidden="1">{#N/A,#N/A,FALSE,"EXPENSE"}</definedName>
    <definedName name="iutyutytyu" localSheetId="1" hidden="1">{#N/A,#N/A,FALSE,"EXPENSE"}</definedName>
    <definedName name="iutyutytyu" hidden="1">{#N/A,#N/A,FALSE,"EXPENSE"}</definedName>
    <definedName name="JE_REV_ADJ">#REF!</definedName>
    <definedName name="jgjddd" localSheetId="2" hidden="1">{#N/A,#N/A,FALSE,"EXPENSE"}</definedName>
    <definedName name="jgjddd" localSheetId="1" hidden="1">{#N/A,#N/A,FALSE,"EXPENSE"}</definedName>
    <definedName name="jgjddd" hidden="1">{#N/A,#N/A,FALSE,"EXPENSE"}</definedName>
    <definedName name="jgjfgjghj" localSheetId="2" hidden="1">{#N/A,#N/A,FALSE,"EXPENSE"}</definedName>
    <definedName name="jgjfgjghj" localSheetId="1" hidden="1">{#N/A,#N/A,FALSE,"EXPENSE"}</definedName>
    <definedName name="jgjfgjghj" hidden="1">{#N/A,#N/A,FALSE,"EXPENSE"}</definedName>
    <definedName name="jgjghfhd" localSheetId="2" hidden="1">{#N/A,#N/A,FALSE,"EXPENSE"}</definedName>
    <definedName name="jgjghfhd" localSheetId="1" hidden="1">{#N/A,#N/A,FALSE,"EXPENSE"}</definedName>
    <definedName name="jgjghfhd" hidden="1">{#N/A,#N/A,FALSE,"EXPENSE"}</definedName>
    <definedName name="jgjythfg" localSheetId="2" hidden="1">{#N/A,#N/A,FALSE,"EXPENSE"}</definedName>
    <definedName name="jgjythfg" localSheetId="1" hidden="1">{#N/A,#N/A,FALSE,"EXPENSE"}</definedName>
    <definedName name="jgjythfg" hidden="1">{#N/A,#N/A,FALSE,"EXPENSE"}</definedName>
    <definedName name="jj" localSheetId="2" hidden="1">{"Page 1",#N/A,FALSE,"Sheet1";"Page 2",#N/A,FALSE,"Sheet1"}</definedName>
    <definedName name="jj" localSheetId="1" hidden="1">{"Page 1",#N/A,FALSE,"Sheet1";"Page 2",#N/A,FALSE,"Sheet1"}</definedName>
    <definedName name="jj" hidden="1">{"Page 1",#N/A,FALSE,"Sheet1";"Page 2",#N/A,FALSE,"Sheet1"}</definedName>
    <definedName name="jjj" localSheetId="2" hidden="1">{#N/A,#N/A,FALSE,"Assessment";#N/A,#N/A,FALSE,"Staffing";#N/A,#N/A,FALSE,"Hires";#N/A,#N/A,FALSE,"Assumptions"}</definedName>
    <definedName name="jjj" localSheetId="1" hidden="1">{#N/A,#N/A,FALSE,"Assessment";#N/A,#N/A,FALSE,"Staffing";#N/A,#N/A,FALSE,"Hires";#N/A,#N/A,FALSE,"Assumptions"}</definedName>
    <definedName name="jjj" hidden="1">{#N/A,#N/A,FALSE,"Assessment";#N/A,#N/A,FALSE,"Staffing";#N/A,#N/A,FALSE,"Hires";#N/A,#N/A,FALSE,"Assumptions"}</definedName>
    <definedName name="jjjj" localSheetId="2" hidden="1">{#N/A,#N/A,FALSE,"EXPENSE"}</definedName>
    <definedName name="jjjj" localSheetId="1" hidden="1">{#N/A,#N/A,FALSE,"EXPENSE"}</definedName>
    <definedName name="jjjj" hidden="1">{#N/A,#N/A,FALSE,"EXPENSE"}</definedName>
    <definedName name="jjjjjjjj" localSheetId="2" hidden="1">OFFSET(CompRange1Main,9,0,COUNTA(CompRange1Main)-COUNTA(#REF!),1)</definedName>
    <definedName name="jjjjjjjj" localSheetId="1" hidden="1">OFFSET(CompRange1Main,9,0,COUNTA(CompRange1Main)-COUNTA(#REF!),1)</definedName>
    <definedName name="jjjjjjjj" hidden="1">OFFSET(CompRange1Main,9,0,COUNTA(CompRange1Main)-COUNTA(#REF!),1)</definedName>
    <definedName name="jnhjhjggh" localSheetId="2" hidden="1">{#N/A,#N/A,FALSE,"EXPENSE"}</definedName>
    <definedName name="jnhjhjggh" localSheetId="1" hidden="1">{#N/A,#N/A,FALSE,"EXPENSE"}</definedName>
    <definedName name="jnhjhjggh" hidden="1">{#N/A,#N/A,FALSE,"EXPENSE"}</definedName>
    <definedName name="jnmhgjdbcxbvc" localSheetId="2" hidden="1">{#N/A,#N/A,FALSE,"EXPENSE"}</definedName>
    <definedName name="jnmhgjdbcxbvc" localSheetId="1" hidden="1">{#N/A,#N/A,FALSE,"EXPENSE"}</definedName>
    <definedName name="jnmhgjdbcxbvc" hidden="1">{#N/A,#N/A,FALSE,"EXPENSE"}</definedName>
    <definedName name="Joint_owner">#REF!</definedName>
    <definedName name="jukyukyujkyjm" localSheetId="2" hidden="1">{#N/A,#N/A,FALSE,"EXPENSE"}</definedName>
    <definedName name="jukyukyujkyjm" localSheetId="1" hidden="1">{#N/A,#N/A,FALSE,"EXPENSE"}</definedName>
    <definedName name="jukyukyujkyjm" hidden="1">{#N/A,#N/A,FALSE,"EXPENSE"}</definedName>
    <definedName name="JURIS" localSheetId="3">#REF!</definedName>
    <definedName name="JURIS" localSheetId="6">#REF!</definedName>
    <definedName name="JURIS" localSheetId="18">#REF!</definedName>
    <definedName name="JURIS" localSheetId="21">#REF!</definedName>
    <definedName name="JURIS" localSheetId="24">#REF!</definedName>
    <definedName name="JURIS" localSheetId="2">#REF!</definedName>
    <definedName name="JURIS" localSheetId="5">#REF!</definedName>
    <definedName name="JURIS" localSheetId="17">#REF!</definedName>
    <definedName name="JURIS" localSheetId="20">#REF!</definedName>
    <definedName name="JURIS" localSheetId="23">#REF!</definedName>
    <definedName name="JURIS" localSheetId="1">#REF!</definedName>
    <definedName name="JURIS" localSheetId="4">#REF!</definedName>
    <definedName name="JURIS" localSheetId="16">#REF!</definedName>
    <definedName name="JURIS" localSheetId="19">#REF!</definedName>
    <definedName name="JURIS" localSheetId="22">#REF!</definedName>
    <definedName name="JURIS" localSheetId="0">#REF!</definedName>
    <definedName name="JURIS">#REF!</definedName>
    <definedName name="juyjghjghjgt" localSheetId="2" hidden="1">{#N/A,#N/A,FALSE,"EXPENSE"}</definedName>
    <definedName name="juyjghjghjgt" localSheetId="1" hidden="1">{#N/A,#N/A,FALSE,"EXPENSE"}</definedName>
    <definedName name="juyjghjghjgt" hidden="1">{#N/A,#N/A,FALSE,"EXPENSE"}</definedName>
    <definedName name="jytuyutyu" localSheetId="2" hidden="1">{#N/A,#N/A,FALSE,"EXPENSE"}</definedName>
    <definedName name="jytuyutyu" localSheetId="1" hidden="1">{#N/A,#N/A,FALSE,"EXPENSE"}</definedName>
    <definedName name="jytuyutyu" hidden="1">{#N/A,#N/A,FALSE,"EXPENSE"}</definedName>
    <definedName name="k" localSheetId="2" hidden="1">{"Page 1",#N/A,FALSE,"Sheet1";"Page 2",#N/A,FALSE,"Sheet1"}</definedName>
    <definedName name="k" localSheetId="1" hidden="1">{"Page 1",#N/A,FALSE,"Sheet1";"Page 2",#N/A,FALSE,"Sheet1"}</definedName>
    <definedName name="k" hidden="1">{"Page 1",#N/A,FALSE,"Sheet1";"Page 2",#N/A,FALSE,"Sheet1"}</definedName>
    <definedName name="K200_A">#REF!</definedName>
    <definedName name="K202_A">#REF!</definedName>
    <definedName name="K204_A">#REF!</definedName>
    <definedName name="K220_A">#REF!</definedName>
    <definedName name="K240_A">#REF!</definedName>
    <definedName name="K242_A">#REF!</definedName>
    <definedName name="K244_A">#REF!</definedName>
    <definedName name="K246_A">#REF!</definedName>
    <definedName name="K248_A">#REF!</definedName>
    <definedName name="K627_A">#REF!</definedName>
    <definedName name="KAW" hidden="1">#REF!</definedName>
    <definedName name="kgkgjkghkj" localSheetId="2" hidden="1">{#N/A,#N/A,FALSE,"EXPENSE"}</definedName>
    <definedName name="kgkgjkghkj" localSheetId="1" hidden="1">{#N/A,#N/A,FALSE,"EXPENSE"}</definedName>
    <definedName name="kgkgjkghkj" hidden="1">{#N/A,#N/A,FALSE,"EXPENSE"}</definedName>
    <definedName name="khgkjgkghkhj" localSheetId="2" hidden="1">{#N/A,#N/A,FALSE,"EXPENSE"}</definedName>
    <definedName name="khgkjgkghkhj" localSheetId="1" hidden="1">{#N/A,#N/A,FALSE,"EXPENSE"}</definedName>
    <definedName name="khgkjgkghkhj" hidden="1">{#N/A,#N/A,FALSE,"EXPENSE"}</definedName>
    <definedName name="khkhkhkh" localSheetId="2" hidden="1">{#N/A,#N/A,FALSE,"EXPENSE"}</definedName>
    <definedName name="khkhkhkh" localSheetId="1" hidden="1">{#N/A,#N/A,FALSE,"EXPENSE"}</definedName>
    <definedName name="khkhkhkh" hidden="1">{#N/A,#N/A,FALSE,"EXPENSE"}</definedName>
    <definedName name="kkhkjhkjh" localSheetId="2" hidden="1">{#N/A,#N/A,FALSE,"EXPENSE"}</definedName>
    <definedName name="kkhkjhkjh" localSheetId="1" hidden="1">{#N/A,#N/A,FALSE,"EXPENSE"}</definedName>
    <definedName name="kkhkjhkjh" hidden="1">{#N/A,#N/A,FALSE,"EXPENSE"}</definedName>
    <definedName name="kkk" localSheetId="2" hidden="1">{#N/A,#N/A,FALSE,"Aging Summary";#N/A,#N/A,FALSE,"Ratio Analysis";#N/A,#N/A,FALSE,"Test 120 Day Accts";#N/A,#N/A,FALSE,"Tickmarks"}</definedName>
    <definedName name="kkk" localSheetId="1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kuhgjghjghj" localSheetId="2" hidden="1">{#N/A,#N/A,FALSE,"ALLOC"}</definedName>
    <definedName name="kuhgjghjghj" localSheetId="1" hidden="1">{#N/A,#N/A,FALSE,"ALLOC"}</definedName>
    <definedName name="kuhgjghjghj" hidden="1">{#N/A,#N/A,FALSE,"ALLOC"}</definedName>
    <definedName name="kyukytjgdhfgfd" localSheetId="2" hidden="1">{#N/A,#N/A,FALSE,"EXPENSE"}</definedName>
    <definedName name="kyukytjgdhfgfd" localSheetId="1" hidden="1">{#N/A,#N/A,FALSE,"EXPENSE"}</definedName>
    <definedName name="kyukytjgdhfgfd" hidden="1">{#N/A,#N/A,FALSE,"EXPENSE"}</definedName>
    <definedName name="LABOR_DATA">#REF!</definedName>
    <definedName name="LIAISON">#REF!</definedName>
    <definedName name="Lightning2002">#REF!</definedName>
    <definedName name="Lightning2003">#REF!</definedName>
    <definedName name="Lightning2004">#REF!</definedName>
    <definedName name="limcount" hidden="1">1</definedName>
    <definedName name="LineOps2004">#REF!</definedName>
    <definedName name="ListOffset" hidden="1">1</definedName>
    <definedName name="lk" localSheetId="2" hidden="1">{#N/A,#N/A,FALSE,"Aging Summary";#N/A,#N/A,FALSE,"Ratio Analysis";#N/A,#N/A,FALSE,"Test 120 Day Accts";#N/A,#N/A,FALSE,"Tickmarks"}</definedName>
    <definedName name="lk" localSheetId="1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fyhjfghfdgdgf" localSheetId="2" hidden="1">{#N/A,#N/A,FALSE,"ALLOC"}</definedName>
    <definedName name="lkfyhjfghfdgdgf" localSheetId="1" hidden="1">{#N/A,#N/A,FALSE,"ALLOC"}</definedName>
    <definedName name="lkfyhjfghfdgdgf" hidden="1">{#N/A,#N/A,FALSE,"ALLOC"}</definedName>
    <definedName name="lkj" localSheetId="2" hidden="1">{#N/A,#N/A,FALSE,"Assessment";#N/A,#N/A,FALSE,"Staffing";#N/A,#N/A,FALSE,"Hires";#N/A,#N/A,FALSE,"Assumptions"}</definedName>
    <definedName name="lkj" localSheetId="1" hidden="1">{#N/A,#N/A,FALSE,"Assessment";#N/A,#N/A,FALSE,"Staffing";#N/A,#N/A,FALSE,"Hires";#N/A,#N/A,FALSE,"Assumptions"}</definedName>
    <definedName name="lkj" hidden="1">{#N/A,#N/A,FALSE,"Assessment";#N/A,#N/A,FALSE,"Staffing";#N/A,#N/A,FALSE,"Hires";#N/A,#N/A,FALSE,"Assumptions"}</definedName>
    <definedName name="lkjh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 localSheetId="2" hidden="1">{#N/A,#N/A,FALSE,"Aging Summary";#N/A,#N/A,FALSE,"Ratio Analysis";#N/A,#N/A,FALSE,"Test 120 Day Accts";#N/A,#N/A,FALSE,"Tickmarks"}</definedName>
    <definedName name="lku" localSheetId="1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" localSheetId="2" hidden="1">{#N/A,#N/A,FALSE,"Aging Summary";#N/A,#N/A,FALSE,"Ratio Analysis";#N/A,#N/A,FALSE,"Test 120 Day Accts";#N/A,#N/A,FALSE,"Tickmarks"}</definedName>
    <definedName name="ll" localSheetId="1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localSheetId="2" hidden="1">{#N/A,#N/A,FALSE,"Aging Summary";#N/A,#N/A,FALSE,"Ratio Analysis";#N/A,#N/A,FALSE,"Test 120 Day Accts";#N/A,#N/A,FALSE,"Tickmarks"}</definedName>
    <definedName name="lll" localSheetId="1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lll" localSheetId="2" hidden="1">{#N/A,#N/A,FALSE,"EXPENSE"}</definedName>
    <definedName name="lllllll" localSheetId="1" hidden="1">{#N/A,#N/A,FALSE,"EXPENSE"}</definedName>
    <definedName name="lllllll" hidden="1">{#N/A,#N/A,FALSE,"EXPENSE"}</definedName>
    <definedName name="llmmn" localSheetId="2" hidden="1">{#N/A,#N/A,FALSE,"EXPENSE"}</definedName>
    <definedName name="llmmn" localSheetId="1" hidden="1">{#N/A,#N/A,FALSE,"EXPENSE"}</definedName>
    <definedName name="llmmn" hidden="1">{#N/A,#N/A,FALSE,"EXPENSE"}</definedName>
    <definedName name="llw">#REF!</definedName>
    <definedName name="LOAD_GROWTH_PROJECTS2003">#REF!</definedName>
    <definedName name="LOAD_GROWTH_PROJECTS2004">#REF!</definedName>
    <definedName name="LoadGrowth">#REF!</definedName>
    <definedName name="LOBBYING">#REF!</definedName>
    <definedName name="LRC">#REF!</definedName>
    <definedName name="LRC_Costs">#REF!</definedName>
    <definedName name="m" localSheetId="2" hidden="1">{"Page 1",#N/A,FALSE,"Sheet1";"Page 2",#N/A,FALSE,"Sheet1"}</definedName>
    <definedName name="m" localSheetId="1" hidden="1">{"Page 1",#N/A,FALSE,"Sheet1";"Page 2",#N/A,FALSE,"Sheet1"}</definedName>
    <definedName name="m" hidden="1">{"Page 1",#N/A,FALSE,"Sheet1";"Page 2",#N/A,FALSE,"Sheet1"}</definedName>
    <definedName name="M_PlaceofPath" hidden="1">"F:\HDEMOTT\DATA\vdf\amt_vdf.xls"</definedName>
    <definedName name="Map">#REF!</definedName>
    <definedName name="MapJobTypes">#REF!</definedName>
    <definedName name="May1Forecast" localSheetId="2" hidden="1">{"Page 1",#N/A,FALSE,"Sheet1";"Page 2",#N/A,FALSE,"Sheet1"}</definedName>
    <definedName name="May1Forecast" localSheetId="1" hidden="1">{"Page 1",#N/A,FALSE,"Sheet1";"Page 2",#N/A,FALSE,"Sheet1"}</definedName>
    <definedName name="May1Forecast" hidden="1">{"Page 1",#N/A,FALSE,"Sheet1";"Page 2",#N/A,FALSE,"Sheet1"}</definedName>
    <definedName name="MayForecast" localSheetId="2" hidden="1">{"Page 1",#N/A,FALSE,"Sheet1";"Page 2",#N/A,FALSE,"Sheet1"}</definedName>
    <definedName name="MayForecast" localSheetId="1" hidden="1">{"Page 1",#N/A,FALSE,"Sheet1";"Page 2",#N/A,FALSE,"Sheet1"}</definedName>
    <definedName name="MayForecast" hidden="1">{"Page 1",#N/A,FALSE,"Sheet1";"Page 2",#N/A,FALSE,"Sheet1"}</definedName>
    <definedName name="MenuItem.Caption">"RE2B - Budget Employee Headcount"</definedName>
    <definedName name="MeterReading2004">#REF!</definedName>
    <definedName name="Meters_Transformers2004">#REF!</definedName>
    <definedName name="MFR_PP">#REF!</definedName>
    <definedName name="Mis">#REF!</definedName>
    <definedName name="misc" hidden="1">#REF!</definedName>
    <definedName name="misc3" hidden="1">#REF!</definedName>
    <definedName name="misc4" hidden="1">#REF!</definedName>
    <definedName name="mmmmmmmm" localSheetId="2" hidden="1">{#N/A,#N/A,FALSE,"EXPENSE"}</definedName>
    <definedName name="mmmmmmmm" localSheetId="1" hidden="1">{#N/A,#N/A,FALSE,"EXPENSE"}</definedName>
    <definedName name="mmmmmmmm" hidden="1">{#N/A,#N/A,FALSE,"EXPENSE"}</definedName>
    <definedName name="mn" localSheetId="2" hidden="1">{#N/A,#N/A,FALSE,"Aging Summary";#N/A,#N/A,FALSE,"Ratio Analysis";#N/A,#N/A,FALSE,"Test 120 Day Accts";#N/A,#N/A,FALSE,"Tickmarks"}</definedName>
    <definedName name="mn" localSheetId="1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nhngfxvbcvx" localSheetId="2" hidden="1">{#N/A,#N/A,FALSE,"EXPENSE"}</definedName>
    <definedName name="mnhngfxvbcvx" localSheetId="1" hidden="1">{#N/A,#N/A,FALSE,"EXPENSE"}</definedName>
    <definedName name="mnhngfxvbcvx" hidden="1">{#N/A,#N/A,FALSE,"EXPENSE"}</definedName>
    <definedName name="MONTHS">#N/A</definedName>
    <definedName name="mypassword" hidden="1">"chuck"</definedName>
    <definedName name="n" localSheetId="2" hidden="1">{"Page 1",#N/A,FALSE,"Sheet1";"Page 2",#N/A,FALSE,"Sheet1"}</definedName>
    <definedName name="n" localSheetId="1" hidden="1">{"Page 1",#N/A,FALSE,"Sheet1";"Page 2",#N/A,FALSE,"Sheet1"}</definedName>
    <definedName name="n" hidden="1">{"Page 1",#N/A,FALSE,"Sheet1";"Page 2",#N/A,FALSE,"Sheet1"}</definedName>
    <definedName name="new" localSheetId="2" hidden="1">{#N/A,#N/A,FALSE,"EXPENSE"}</definedName>
    <definedName name="new" localSheetId="1" hidden="1">{#N/A,#N/A,FALSE,"EXPENSE"}</definedName>
    <definedName name="new" hidden="1">{#N/A,#N/A,FALSE,"EXPENSE"}</definedName>
    <definedName name="New_Customer_Units">#REF!</definedName>
    <definedName name="NEW_CUSTOMER_WORK2003">#REF!</definedName>
    <definedName name="NEW_CUSTOMER_WORK2004">#REF!</definedName>
    <definedName name="NewProject">#REF!</definedName>
    <definedName name="NFIP">#REF!</definedName>
    <definedName name="nghmndghbfdxgfd" localSheetId="2" hidden="1">{#N/A,#N/A,FALSE,"EXPENSE"}</definedName>
    <definedName name="nghmndghbfdxgfd" localSheetId="1" hidden="1">{#N/A,#N/A,FALSE,"EXPENSE"}</definedName>
    <definedName name="nghmndghbfdxgfd" hidden="1">{#N/A,#N/A,FALSE,"EXPENSE"}</definedName>
    <definedName name="nhgmnbcvbvc" localSheetId="2" hidden="1">{#N/A,#N/A,FALSE,"EXPENSE"}</definedName>
    <definedName name="nhgmnbcvbvc" localSheetId="1" hidden="1">{#N/A,#N/A,FALSE,"EXPENSE"}</definedName>
    <definedName name="nhgmnbcvbvc" hidden="1">{#N/A,#N/A,FALSE,"EXPENSE"}</definedName>
    <definedName name="nhmhgnbvnvb" localSheetId="2" hidden="1">{#N/A,#N/A,FALSE,"ALLOC"}</definedName>
    <definedName name="nhmhgnbvnvb" localSheetId="1" hidden="1">{#N/A,#N/A,FALSE,"ALLOC"}</definedName>
    <definedName name="nhmhgnbvnvb" hidden="1">{#N/A,#N/A,FALSE,"ALLOC"}</definedName>
    <definedName name="nhnjfgdzfvcv" localSheetId="2" hidden="1">{#N/A,#N/A,FALSE,"EXPENSE"}</definedName>
    <definedName name="nhnjfgdzfvcv" localSheetId="1" hidden="1">{#N/A,#N/A,FALSE,"EXPENSE"}</definedName>
    <definedName name="nhnjfgdzfvcv" hidden="1">{#N/A,#N/A,FALSE,"EXPENSE"}</definedName>
    <definedName name="njhgnfgchfgbf" localSheetId="2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hgnbvbvcb" localSheetId="2" hidden="1">{#N/A,#N/A,FALSE,"ALLOC"}</definedName>
    <definedName name="njhhgnbvbvcb" localSheetId="1" hidden="1">{#N/A,#N/A,FALSE,"ALLOC"}</definedName>
    <definedName name="njhhgnbvbvcb" hidden="1">{#N/A,#N/A,FALSE,"ALLOC"}</definedName>
    <definedName name="none" hidden="1">#REF!</definedName>
    <definedName name="NONFUELREC">#REF!</definedName>
    <definedName name="NPV_to_Risk_Labels" hidden="1">#REF!</definedName>
    <definedName name="NPV_to_Risk_X_Data" hidden="1">#REF!</definedName>
    <definedName name="NPV_to_Risk_Y_Data" hidden="1">#REF!</definedName>
    <definedName name="NPV_to_Risk_Z_Data" hidden="1">#REF!</definedName>
    <definedName name="NSC_2003_CandI_Units">#REF!</definedName>
    <definedName name="NSC_2003_Residential_Units">#REF!</definedName>
    <definedName name="NSC_CandI_CIAC">#REF!</definedName>
    <definedName name="NSC_CandI_Costs">#REF!</definedName>
    <definedName name="NSC_CandI_Units">#REF!</definedName>
    <definedName name="NSC_Combined_CIAC">#REF!</definedName>
    <definedName name="NSC_Combined_Costs">#REF!</definedName>
    <definedName name="NSC_Combined_Units">#REF!</definedName>
    <definedName name="NSC_Costs">#REF!</definedName>
    <definedName name="NSC_Residential_CIAC">#REF!</definedName>
    <definedName name="NSC_Residential_Costs">#REF!</definedName>
    <definedName name="NSC_Residential_Units">#REF!</definedName>
    <definedName name="NSC_Units">#REF!</definedName>
    <definedName name="NSC_Units2002">#REF!</definedName>
    <definedName name="NUMBER_OF_FEEDERS">#REF!</definedName>
    <definedName name="Number_of_Payments" localSheetId="2">MATCH(0.01,End_Bal,-1)+1</definedName>
    <definedName name="Number_of_Payments" localSheetId="1">MATCH(0.01,End_Bal,-1)+1</definedName>
    <definedName name="Number_of_Payments">MATCH(0.01,End_Bal,-1)+1</definedName>
    <definedName name="NvsASD">"V2001-12-31"</definedName>
    <definedName name="NvsAutoDrillOk">"VN"</definedName>
    <definedName name="NvsElapsedTime">0.00178425925696502</definedName>
    <definedName name="NvsEndTime">37277.5592229167</definedName>
    <definedName name="NvsInstSpec">"%"</definedName>
    <definedName name="NvsLayoutType">"M3"</definedName>
    <definedName name="NvsNplSpec">"%,X,RNF.ACCOUNT.robyn,CZF.."</definedName>
    <definedName name="NvsPanelEffdt">"V2000-01-01"</definedName>
    <definedName name="NvsPanelSetid">"VELECT"</definedName>
    <definedName name="NvsParentRef">#REF!</definedName>
    <definedName name="NvsReqBU">"V10008"</definedName>
    <definedName name="NvsReqBUOnly">"VN"</definedName>
    <definedName name="NvsTransLed">"VN"</definedName>
    <definedName name="NvsTreeASD">"V2001-12-31"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AMORT_ADJ">#REF!</definedName>
    <definedName name="October_2108">#REF!</definedName>
    <definedName name="OH_PRIMARY">#REF!</definedName>
    <definedName name="OHPrimary_wBranch">#REF!</definedName>
    <definedName name="oiu" localSheetId="2" hidden="1">{#N/A,#N/A,FALSE,"Aging Summary";#N/A,#N/A,FALSE,"Ratio Analysis";#N/A,#N/A,FALSE,"Test 120 Day Accts";#N/A,#N/A,FALSE,"Tickmarks"}</definedName>
    <definedName name="oiu" localSheetId="1" hidden="1">{#N/A,#N/A,FALSE,"Aging Summary";#N/A,#N/A,FALSE,"Ratio Analysis";#N/A,#N/A,FALSE,"Test 120 Day Accts";#N/A,#N/A,FALSE,"Tickmarks"}</definedName>
    <definedName name="oiu" hidden="1">{#N/A,#N/A,FALSE,"Aging Summary";#N/A,#N/A,FALSE,"Ratio Analysis";#N/A,#N/A,FALSE,"Test 120 Day Accts";#N/A,#N/A,FALSE,"Tickmarks"}</definedName>
    <definedName name="old">#REF!</definedName>
    <definedName name="OOM_ADJ">#REF!</definedName>
    <definedName name="op" localSheetId="2" hidden="1">{#N/A,#N/A,FALSE,"Aging Summary";#N/A,#N/A,FALSE,"Ratio Analysis";#N/A,#N/A,FALSE,"Test 120 Day Accts";#N/A,#N/A,FALSE,"Tickmarks"}</definedName>
    <definedName name="op" localSheetId="1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OpCntr">#REF!</definedName>
    <definedName name="OpCntrConvList">#REF!</definedName>
    <definedName name="OpCntrRates">#REF!</definedName>
    <definedName name="Other2002">#REF!</definedName>
    <definedName name="Other2003">#REF!</definedName>
    <definedName name="Other2004">#REF!</definedName>
    <definedName name="OtherIndirect2003">#REF!</definedName>
    <definedName name="Outages">#REF!</definedName>
    <definedName name="Outages2002">#REF!</definedName>
    <definedName name="Outages2003">#REF!</definedName>
    <definedName name="Outages2004">#REF!</definedName>
    <definedName name="OVERCHECK">#REF!</definedName>
    <definedName name="P" localSheetId="3">#REF!</definedName>
    <definedName name="P" localSheetId="6">#REF!</definedName>
    <definedName name="P" localSheetId="18">#REF!</definedName>
    <definedName name="P" localSheetId="21">#REF!</definedName>
    <definedName name="P" localSheetId="24">#REF!</definedName>
    <definedName name="P" localSheetId="2">#REF!</definedName>
    <definedName name="P" localSheetId="5">#REF!</definedName>
    <definedName name="P" localSheetId="17">#REF!</definedName>
    <definedName name="P" localSheetId="20">#REF!</definedName>
    <definedName name="P" localSheetId="23">#REF!</definedName>
    <definedName name="P" localSheetId="1">#REF!</definedName>
    <definedName name="P" localSheetId="4">#REF!</definedName>
    <definedName name="P" localSheetId="16">#REF!</definedName>
    <definedName name="P" localSheetId="19">#REF!</definedName>
    <definedName name="P" localSheetId="22">#REF!</definedName>
    <definedName name="P" localSheetId="0">#REF!</definedName>
    <definedName name="p" hidden="1">{#N/A,#N/A,FALSE,"Aging Summary";#N/A,#N/A,FALSE,"Ratio Analysis";#N/A,#N/A,FALSE,"Test 120 Day Accts";#N/A,#N/A,FALSE,"Tickmarks"}</definedName>
    <definedName name="page1" localSheetId="3">#REF!</definedName>
    <definedName name="page1" localSheetId="6">#REF!</definedName>
    <definedName name="page1" localSheetId="18">#REF!</definedName>
    <definedName name="page1" localSheetId="21">#REF!</definedName>
    <definedName name="page1" localSheetId="24">#REF!</definedName>
    <definedName name="page1" localSheetId="2">#REF!</definedName>
    <definedName name="page1" localSheetId="5">#REF!</definedName>
    <definedName name="page1" localSheetId="17">#REF!</definedName>
    <definedName name="page1" localSheetId="20">#REF!</definedName>
    <definedName name="page1" localSheetId="23">#REF!</definedName>
    <definedName name="page1" localSheetId="1">#REF!</definedName>
    <definedName name="page1" localSheetId="4">#REF!</definedName>
    <definedName name="page1" localSheetId="16">#REF!</definedName>
    <definedName name="page1" localSheetId="19">#REF!</definedName>
    <definedName name="page1" localSheetId="22">#REF!</definedName>
    <definedName name="page1" localSheetId="0">#REF!</definedName>
    <definedName name="page1">#REF!</definedName>
    <definedName name="page2" localSheetId="3">#REF!</definedName>
    <definedName name="page2" localSheetId="6">#REF!</definedName>
    <definedName name="page2" localSheetId="18">#REF!</definedName>
    <definedName name="page2" localSheetId="21">#REF!</definedName>
    <definedName name="page2" localSheetId="24">#REF!</definedName>
    <definedName name="page2" localSheetId="2">#REF!</definedName>
    <definedName name="page2" localSheetId="5">#REF!</definedName>
    <definedName name="page2" localSheetId="17">#REF!</definedName>
    <definedName name="page2" localSheetId="20">#REF!</definedName>
    <definedName name="page2" localSheetId="23">#REF!</definedName>
    <definedName name="page2" localSheetId="1">#REF!</definedName>
    <definedName name="page2" localSheetId="4">#REF!</definedName>
    <definedName name="page2" localSheetId="16">#REF!</definedName>
    <definedName name="page2" localSheetId="19">#REF!</definedName>
    <definedName name="page2" localSheetId="22">#REF!</definedName>
    <definedName name="page2" localSheetId="0">#REF!</definedName>
    <definedName name="page2">#REF!</definedName>
    <definedName name="page3" localSheetId="3">#REF!</definedName>
    <definedName name="page3" localSheetId="6">#REF!</definedName>
    <definedName name="page3" localSheetId="18">#REF!</definedName>
    <definedName name="page3" localSheetId="21">#REF!</definedName>
    <definedName name="page3" localSheetId="24">#REF!</definedName>
    <definedName name="page3" localSheetId="2">#REF!</definedName>
    <definedName name="page3" localSheetId="5">#REF!</definedName>
    <definedName name="page3" localSheetId="17">#REF!</definedName>
    <definedName name="page3" localSheetId="20">#REF!</definedName>
    <definedName name="page3" localSheetId="23">#REF!</definedName>
    <definedName name="page3" localSheetId="1">#REF!</definedName>
    <definedName name="page3" localSheetId="4">#REF!</definedName>
    <definedName name="page3" localSheetId="16">#REF!</definedName>
    <definedName name="page3" localSheetId="19">#REF!</definedName>
    <definedName name="page3" localSheetId="22">#REF!</definedName>
    <definedName name="page3" localSheetId="0">#REF!</definedName>
    <definedName name="page3">#REF!</definedName>
    <definedName name="PageOptions.page_1.Caption">"01A09S - POWER OPERATIONS PEC"</definedName>
    <definedName name="PageOptions.page_1.Caption.1">"01A09S - POWER OPERATIONS PEC"</definedName>
    <definedName name="PageOptions.page_1.Caption.Count">1</definedName>
    <definedName name="PageOptions.page_1.Key">"[ExpenditureOrg].[01A09S]"</definedName>
    <definedName name="PageOptions.page_1.Key.1">"[ExpenditureOrg].[01A09S]"</definedName>
    <definedName name="PageOptions.page_1.Key.Count">1</definedName>
    <definedName name="PageOptions.page_1.Name">"01A09S"</definedName>
    <definedName name="PageOptions.page_1.Name.1">"01A09S"</definedName>
    <definedName name="PageOptions.page_1.Name.Count">1</definedName>
    <definedName name="PageOptions.page_2.Caption">"FY2011"</definedName>
    <definedName name="PageOptions.page_2.Caption.1">"FY2011"</definedName>
    <definedName name="PageOptions.page_2.Caption.Count">1</definedName>
    <definedName name="PageOptions.page_2.Key">"[Year].[FY2011]"</definedName>
    <definedName name="PageOptions.page_2.Key.1">"[Year].[FY2011]"</definedName>
    <definedName name="PageOptions.page_2.Key.Count">1</definedName>
    <definedName name="PageOptions.page_2.Name">"FY2011"</definedName>
    <definedName name="PageOptions.page_2.Name.1">"FY2011"</definedName>
    <definedName name="PageOptions.page_2.Name.Count">1</definedName>
    <definedName name="Pal_Workbook_GUID" hidden="1">"1KSSGF3ZWY3E3EQEL76D82LV"</definedName>
    <definedName name="pam" localSheetId="2" hidden="1">{#N/A,#N/A,FALSE,"ALLOC"}</definedName>
    <definedName name="pam" localSheetId="1" hidden="1">{#N/A,#N/A,FALSE,"ALLOC"}</definedName>
    <definedName name="pam" hidden="1">{#N/A,#N/A,FALSE,"ALLOC"}</definedName>
    <definedName name="paul" localSheetId="3" hidden="1">#REF!</definedName>
    <definedName name="paul" localSheetId="6" hidden="1">#REF!</definedName>
    <definedName name="paul" localSheetId="18" hidden="1">#REF!</definedName>
    <definedName name="paul" localSheetId="21" hidden="1">#REF!</definedName>
    <definedName name="paul" localSheetId="24" hidden="1">#REF!</definedName>
    <definedName name="paul" localSheetId="2" hidden="1">#REF!</definedName>
    <definedName name="paul" localSheetId="5" hidden="1">#REF!</definedName>
    <definedName name="paul" localSheetId="17" hidden="1">#REF!</definedName>
    <definedName name="paul" localSheetId="20" hidden="1">#REF!</definedName>
    <definedName name="paul" localSheetId="23" hidden="1">#REF!</definedName>
    <definedName name="paul" localSheetId="1" hidden="1">#REF!</definedName>
    <definedName name="paul" localSheetId="4" hidden="1">#REF!</definedName>
    <definedName name="paul" localSheetId="16" hidden="1">#REF!</definedName>
    <definedName name="paul" localSheetId="19" hidden="1">#REF!</definedName>
    <definedName name="paul" localSheetId="22" hidden="1">#REF!</definedName>
    <definedName name="paul" localSheetId="0" hidden="1">#REF!</definedName>
    <definedName name="paul" hidden="1">#REF!</definedName>
    <definedName name="Payment_Date" localSheetId="2">DATE(YEAR(Loan_Start),MONTH(Loan_Start)+Payment_Number,DAY(Loan_Start))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esc1" localSheetId="3" hidden="1">{#N/A,#N/A,FALSE,"Aging Summary";#N/A,#N/A,FALSE,"Ratio Analysis";#N/A,#N/A,FALSE,"Test 120 Day Accts";#N/A,#N/A,FALSE,"Tickmarks"}</definedName>
    <definedName name="pesc1" localSheetId="6" hidden="1">{#N/A,#N/A,FALSE,"Aging Summary";#N/A,#N/A,FALSE,"Ratio Analysis";#N/A,#N/A,FALSE,"Test 120 Day Accts";#N/A,#N/A,FALSE,"Tickmarks"}</definedName>
    <definedName name="pesc1" localSheetId="18" hidden="1">{#N/A,#N/A,FALSE,"Aging Summary";#N/A,#N/A,FALSE,"Ratio Analysis";#N/A,#N/A,FALSE,"Test 120 Day Accts";#N/A,#N/A,FALSE,"Tickmarks"}</definedName>
    <definedName name="pesc1" localSheetId="21" hidden="1">{#N/A,#N/A,FALSE,"Aging Summary";#N/A,#N/A,FALSE,"Ratio Analysis";#N/A,#N/A,FALSE,"Test 120 Day Accts";#N/A,#N/A,FALSE,"Tickmarks"}</definedName>
    <definedName name="pesc1" localSheetId="24" hidden="1">{#N/A,#N/A,FALSE,"Aging Summary";#N/A,#N/A,FALSE,"Ratio Analysis";#N/A,#N/A,FALSE,"Test 120 Day Accts";#N/A,#N/A,FALSE,"Tickmarks"}</definedName>
    <definedName name="pesc1" localSheetId="2" hidden="1">{#N/A,#N/A,FALSE,"Aging Summary";#N/A,#N/A,FALSE,"Ratio Analysis";#N/A,#N/A,FALSE,"Test 120 Day Accts";#N/A,#N/A,FALSE,"Tickmarks"}</definedName>
    <definedName name="pesc1" localSheetId="5" hidden="1">{#N/A,#N/A,FALSE,"Aging Summary";#N/A,#N/A,FALSE,"Ratio Analysis";#N/A,#N/A,FALSE,"Test 120 Day Accts";#N/A,#N/A,FALSE,"Tickmarks"}</definedName>
    <definedName name="pesc1" localSheetId="17" hidden="1">{#N/A,#N/A,FALSE,"Aging Summary";#N/A,#N/A,FALSE,"Ratio Analysis";#N/A,#N/A,FALSE,"Test 120 Day Accts";#N/A,#N/A,FALSE,"Tickmarks"}</definedName>
    <definedName name="pesc1" localSheetId="20" hidden="1">{#N/A,#N/A,FALSE,"Aging Summary";#N/A,#N/A,FALSE,"Ratio Analysis";#N/A,#N/A,FALSE,"Test 120 Day Accts";#N/A,#N/A,FALSE,"Tickmarks"}</definedName>
    <definedName name="pesc1" localSheetId="23" hidden="1">{#N/A,#N/A,FALSE,"Aging Summary";#N/A,#N/A,FALSE,"Ratio Analysis";#N/A,#N/A,FALSE,"Test 120 Day Accts";#N/A,#N/A,FALSE,"Tickmarks"}</definedName>
    <definedName name="pesc1" localSheetId="1" hidden="1">{#N/A,#N/A,FALSE,"Aging Summary";#N/A,#N/A,FALSE,"Ratio Analysis";#N/A,#N/A,FALSE,"Test 120 Day Accts";#N/A,#N/A,FALSE,"Tickmarks"}</definedName>
    <definedName name="pesc1" localSheetId="4" hidden="1">{#N/A,#N/A,FALSE,"Aging Summary";#N/A,#N/A,FALSE,"Ratio Analysis";#N/A,#N/A,FALSE,"Test 120 Day Accts";#N/A,#N/A,FALSE,"Tickmarks"}</definedName>
    <definedName name="pesc1" localSheetId="16" hidden="1">{#N/A,#N/A,FALSE,"Aging Summary";#N/A,#N/A,FALSE,"Ratio Analysis";#N/A,#N/A,FALSE,"Test 120 Day Accts";#N/A,#N/A,FALSE,"Tickmarks"}</definedName>
    <definedName name="pesc1" localSheetId="19" hidden="1">{#N/A,#N/A,FALSE,"Aging Summary";#N/A,#N/A,FALSE,"Ratio Analysis";#N/A,#N/A,FALSE,"Test 120 Day Accts";#N/A,#N/A,FALSE,"Tickmarks"}</definedName>
    <definedName name="pesc1" localSheetId="22" hidden="1">{#N/A,#N/A,FALSE,"Aging Summary";#N/A,#N/A,FALSE,"Ratio Analysis";#N/A,#N/A,FALSE,"Test 120 Day Accts";#N/A,#N/A,FALSE,"Tickmarks"}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iii" localSheetId="2" hidden="1">{#N/A,#N/A,FALSE,"EXPENSE"}</definedName>
    <definedName name="piiiiii" localSheetId="1" hidden="1">{#N/A,#N/A,FALSE,"EXPENSE"}</definedName>
    <definedName name="piiiiii" hidden="1">{#N/A,#N/A,FALSE,"EXPENSE"}</definedName>
    <definedName name="po" localSheetId="2" hidden="1">{#N/A,#N/A,FALSE,"Aging Summary";#N/A,#N/A,FALSE,"Ratio Analysis";#N/A,#N/A,FALSE,"Test 120 Day Accts";#N/A,#N/A,FALSE,"Tickmarks"}</definedName>
    <definedName name="po" localSheetId="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folio_One_Risk_Return_Labels" hidden="1">#REF!</definedName>
    <definedName name="Porfolio_One_Risk_Return_X_Data" hidden="1">#REF!</definedName>
    <definedName name="Porfolio_One_Risk_Return_Y_Data" hidden="1">#REF!</definedName>
    <definedName name="Porfolio_One_Risk_Return_Z_Data" hidden="1">#REF!</definedName>
    <definedName name="Port_One_Correct_Risk_Reward_Labels" hidden="1">#REF!</definedName>
    <definedName name="Port_One_Correct_Risk_Reward_X_Data" hidden="1">#REF!</definedName>
    <definedName name="Port_One_Correct_Risk_Reward_Y_Data" hidden="1">#REF!</definedName>
    <definedName name="Port_One_Correct_Risk_Reward_Z_Data" hidden="1">#REF!</definedName>
    <definedName name="Port_One_Tech_Risk_New_Labels" hidden="1">#REF!</definedName>
    <definedName name="Port_One_Tech_Risk_New_X_Data" hidden="1">#REF!</definedName>
    <definedName name="Port_One_Tech_Risk_New_Y_Data" hidden="1">#REF!</definedName>
    <definedName name="Port_One_Tech_Risk_New_Z_Data" hidden="1">#REF!</definedName>
    <definedName name="Port_Three_Risk_Return_Labels" hidden="1">#REF!</definedName>
    <definedName name="Port_Three_Risk_Return_X_Data" hidden="1">#REF!</definedName>
    <definedName name="Port_Three_Risk_Return_Y_Data" hidden="1">#REF!</definedName>
    <definedName name="Port_Three_Risk_Return_Z_Data" hidden="1">#REF!</definedName>
    <definedName name="ppp" localSheetId="2" hidden="1">{#N/A,#N/A,FALSE,"Aging Summary";#N/A,#N/A,FALSE,"Ratio Analysis";#N/A,#N/A,FALSE,"Test 120 Day Accts";#N/A,#N/A,FALSE,"Tickmarks"}</definedName>
    <definedName name="ppp" localSheetId="1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pppppp" localSheetId="2" hidden="1">{#N/A,#N/A,FALSE,"ALLOC"}</definedName>
    <definedName name="ppppppp" localSheetId="1" hidden="1">{#N/A,#N/A,FALSE,"ALLOC"}</definedName>
    <definedName name="ppppppp" hidden="1">{#N/A,#N/A,FALSE,"ALLOC"}</definedName>
    <definedName name="pppppppp" localSheetId="2" hidden="1">{#N/A,#N/A,FALSE,"EXPENSE"}</definedName>
    <definedName name="pppppppp" localSheetId="1" hidden="1">{#N/A,#N/A,FALSE,"EXPENSE"}</definedName>
    <definedName name="pppppppp" hidden="1">{#N/A,#N/A,FALSE,"EXPENSE"}</definedName>
    <definedName name="PriceRange" hidden="1">OFFSET([0]!PriceRangeMain,5,0,COUNTA([0]!PriceRangeMain)-COUNTA(#REF!),1)</definedName>
    <definedName name="PriceRangeMain" hidden="1">#REF!</definedName>
    <definedName name="PRINT" localSheetId="3">#REF!</definedName>
    <definedName name="PRINT" localSheetId="6">#REF!</definedName>
    <definedName name="PRINT" localSheetId="18">#REF!</definedName>
    <definedName name="PRINT" localSheetId="21">#REF!</definedName>
    <definedName name="PRINT" localSheetId="24">#REF!</definedName>
    <definedName name="PRINT" localSheetId="2">#REF!</definedName>
    <definedName name="PRINT" localSheetId="5">#REF!</definedName>
    <definedName name="PRINT" localSheetId="17">#REF!</definedName>
    <definedName name="PRINT" localSheetId="20">#REF!</definedName>
    <definedName name="PRINT" localSheetId="23">#REF!</definedName>
    <definedName name="PRINT" localSheetId="1">#REF!</definedName>
    <definedName name="PRINT" localSheetId="4">#REF!</definedName>
    <definedName name="PRINT" localSheetId="16">#REF!</definedName>
    <definedName name="PRINT" localSheetId="19">#REF!</definedName>
    <definedName name="PRINT" localSheetId="22">#REF!</definedName>
    <definedName name="PRINT" localSheetId="0">#REF!</definedName>
    <definedName name="PRINT">#REF!</definedName>
    <definedName name="_xlnm.Print_Area" localSheetId="3">'2025 E-14A'!$A$2:$L$299</definedName>
    <definedName name="_xlnm.Print_Area" localSheetId="6">'2025 E-14B'!$B$2:$J$55</definedName>
    <definedName name="_xlnm.Print_Area" localSheetId="9">'2025 E-14C'!$A$3:$M$282</definedName>
    <definedName name="_xlnm.Print_Area" localSheetId="12">'2025 E-14D1'!$B$2:$Q$49</definedName>
    <definedName name="_xlnm.Print_Area" localSheetId="15">'2025 E-14D2'!$B$2:$L$59</definedName>
    <definedName name="_xlnm.Print_Area" localSheetId="18">'2025 E-14E'!$B$2:$M$56</definedName>
    <definedName name="_xlnm.Print_Area" localSheetId="21">'2025 E-14G'!$A$1:$J$36</definedName>
    <definedName name="_xlnm.Print_Area" localSheetId="24">'2025 E-14H'!$B$2:$G$21</definedName>
    <definedName name="_xlnm.Print_Area" localSheetId="2">'2026 E-14A'!$A$2:$L$300</definedName>
    <definedName name="_xlnm.Print_Area" localSheetId="5">'2026 E-14B'!$B$2:$J$55</definedName>
    <definedName name="_xlnm.Print_Area" localSheetId="8">'2026 E-14C'!$A$3:$M$282</definedName>
    <definedName name="_xlnm.Print_Area" localSheetId="11">'2026 E-14D1'!$B$2:$Q$49</definedName>
    <definedName name="_xlnm.Print_Area" localSheetId="14">'2026 E-14D2'!$B$2:$L$59</definedName>
    <definedName name="_xlnm.Print_Area" localSheetId="17">'2026 E-14E'!$B$2:$M$56</definedName>
    <definedName name="_xlnm.Print_Area" localSheetId="20">'2026 E-14G'!$A$1:$J$36</definedName>
    <definedName name="_xlnm.Print_Area" localSheetId="23">'2026 E-14H'!$B$3:$G$21</definedName>
    <definedName name="_xlnm.Print_Area" localSheetId="1">'2027 E-14A'!$A$2:$L$300</definedName>
    <definedName name="_xlnm.Print_Area" localSheetId="4">'2027 E-14B'!$B$2:$J$55</definedName>
    <definedName name="_xlnm.Print_Area" localSheetId="7">'2027 E-14C'!$A$3:$M$282</definedName>
    <definedName name="_xlnm.Print_Area" localSheetId="10">'2027 E-14D1'!$B$2:$Q$49</definedName>
    <definedName name="_xlnm.Print_Area" localSheetId="13">'2027 E-14D2'!$B$2:$L$59</definedName>
    <definedName name="_xlnm.Print_Area" localSheetId="16">'2027 E-14E'!$B$2:$M$56</definedName>
    <definedName name="_xlnm.Print_Area" localSheetId="19">'2027 E-14G'!$A$1:$J$36</definedName>
    <definedName name="_xlnm.Print_Area" localSheetId="22">'2027 E-14H'!$B$3:$G$21</definedName>
    <definedName name="_xlnm.Print_Area" localSheetId="0">'MFR E-14'!$A$1:$N$40</definedName>
    <definedName name="_xlnm.Print_Area">#REF!</definedName>
    <definedName name="Print_Area_0">#REF!</definedName>
    <definedName name="Print_Area_1">#REF!</definedName>
    <definedName name="Print_Area_2">#REF!</definedName>
    <definedName name="Print_Area_3">#REF!</definedName>
    <definedName name="Print_Area_4">#REF!</definedName>
    <definedName name="Print_Area_9">#REF!</definedName>
    <definedName name="Print_Area_MI" localSheetId="3">#REF!</definedName>
    <definedName name="Print_Area_MI" localSheetId="6">#REF!</definedName>
    <definedName name="Print_Area_MI" localSheetId="18">#REF!</definedName>
    <definedName name="Print_Area_MI" localSheetId="21">#REF!</definedName>
    <definedName name="Print_Area_MI" localSheetId="24">#REF!</definedName>
    <definedName name="Print_Area_MI" localSheetId="2">#REF!</definedName>
    <definedName name="Print_Area_MI" localSheetId="5">#REF!</definedName>
    <definedName name="Print_Area_MI" localSheetId="17">#REF!</definedName>
    <definedName name="Print_Area_MI" localSheetId="20">#REF!</definedName>
    <definedName name="Print_Area_MI" localSheetId="23">#REF!</definedName>
    <definedName name="Print_Area_MI" localSheetId="1">#REF!</definedName>
    <definedName name="Print_Area_MI" localSheetId="4">#REF!</definedName>
    <definedName name="Print_Area_MI" localSheetId="16">#REF!</definedName>
    <definedName name="Print_Area_MI" localSheetId="19">#REF!</definedName>
    <definedName name="Print_Area_MI" localSheetId="22">#REF!</definedName>
    <definedName name="Print_Area_MI" localSheetId="0">#REF!</definedName>
    <definedName name="Print_Area_MI">#REF!</definedName>
    <definedName name="Print_Area_Reset" localSheetId="2">OFFSET(Full_Print,0,0,Last_Row)</definedName>
    <definedName name="Print_Area_Reset" localSheetId="1">OFFSET(Full_Print,0,0,Last_Row)</definedName>
    <definedName name="Print_Area_Reset">OFFSET(Full_Print,0,0,Last_Row)</definedName>
    <definedName name="Print_Proj">#REF!,#REF!,#REF!</definedName>
    <definedName name="_xlnm.Print_Titles" localSheetId="24">#REF!,#REF!</definedName>
    <definedName name="_xlnm.Print_Titles" localSheetId="23">#REF!,#REF!</definedName>
    <definedName name="_xlnm.Print_Titles" localSheetId="22">#REF!,#REF!</definedName>
    <definedName name="_xlnm.Print_Titles" localSheetId="0">#REF!,#REF!</definedName>
    <definedName name="_xlnm.Print_Titles">#N/A</definedName>
    <definedName name="Print_Titles_MI" localSheetId="3">#REF!,#REF!</definedName>
    <definedName name="Print_Titles_MI" localSheetId="6">#REF!,#REF!</definedName>
    <definedName name="Print_Titles_MI" localSheetId="18">#REF!,#REF!</definedName>
    <definedName name="Print_Titles_MI" localSheetId="21">#REF!,#REF!</definedName>
    <definedName name="Print_Titles_MI" localSheetId="24">#REF!,#REF!</definedName>
    <definedName name="Print_Titles_MI" localSheetId="2">#REF!,#REF!</definedName>
    <definedName name="Print_Titles_MI" localSheetId="5">#REF!,#REF!</definedName>
    <definedName name="Print_Titles_MI" localSheetId="17">#REF!,#REF!</definedName>
    <definedName name="Print_Titles_MI" localSheetId="20">#REF!,#REF!</definedName>
    <definedName name="Print_Titles_MI" localSheetId="23">#REF!,#REF!</definedName>
    <definedName name="Print_Titles_MI" localSheetId="1">#REF!,#REF!</definedName>
    <definedName name="Print_Titles_MI" localSheetId="4">#REF!,#REF!</definedName>
    <definedName name="Print_Titles_MI" localSheetId="16">#REF!,#REF!</definedName>
    <definedName name="Print_Titles_MI" localSheetId="19">#REF!,#REF!</definedName>
    <definedName name="Print_Titles_MI" localSheetId="22">#REF!,#REF!</definedName>
    <definedName name="Print_Titles_MI" localSheetId="0">#REF!,#REF!</definedName>
    <definedName name="Print_Titles_MI">#REF!,#REF!</definedName>
    <definedName name="PRIORMOACTUAL">#REF!</definedName>
    <definedName name="PRIORMOBUDGET">#REF!</definedName>
    <definedName name="PRIORYRACCURMO">#REF!</definedName>
    <definedName name="Product_S_Curve_Labels" hidden="1">#REF!</definedName>
    <definedName name="Product_S_Curve_X_Data" hidden="1">#REF!</definedName>
    <definedName name="Projection">#REF!</definedName>
    <definedName name="PSC_OM_ADJ">#REF!</definedName>
    <definedName name="qqq" localSheetId="3">#REF!</definedName>
    <definedName name="qqq" localSheetId="6">#REF!</definedName>
    <definedName name="qqq" localSheetId="18">#REF!</definedName>
    <definedName name="qqq" localSheetId="21">#REF!</definedName>
    <definedName name="qqq" localSheetId="24">#REF!</definedName>
    <definedName name="qqq" localSheetId="2">#REF!</definedName>
    <definedName name="qqq" localSheetId="5">#REF!</definedName>
    <definedName name="qqq" localSheetId="17">#REF!</definedName>
    <definedName name="qqq" localSheetId="20">#REF!</definedName>
    <definedName name="qqq" localSheetId="23">#REF!</definedName>
    <definedName name="qqq" localSheetId="1">#REF!</definedName>
    <definedName name="qqq" localSheetId="4">#REF!</definedName>
    <definedName name="qqq" localSheetId="16">#REF!</definedName>
    <definedName name="qqq" localSheetId="19">#REF!</definedName>
    <definedName name="qqq" localSheetId="22">#REF!</definedName>
    <definedName name="qqq" localSheetId="0">#REF!</definedName>
    <definedName name="qqq">#REF!</definedName>
    <definedName name="qqqqq" localSheetId="2" hidden="1">{#N/A,#N/A,FALSE,"EXPENSE"}</definedName>
    <definedName name="qqqqq" localSheetId="1" hidden="1">{#N/A,#N/A,FALSE,"EXPENSE"}</definedName>
    <definedName name="qqqqq" hidden="1">{#N/A,#N/A,FALSE,"EXPENSE"}</definedName>
    <definedName name="qw" localSheetId="2" hidden="1">{#N/A,#N/A,FALSE,"Aging Summary";#N/A,#N/A,FALSE,"Ratio Analysis";#N/A,#N/A,FALSE,"Test 120 Day Accts";#N/A,#N/A,FALSE,"Tickmarks"}</definedName>
    <definedName name="qw" localSheetId="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rAllocatorList">#REF!</definedName>
    <definedName name="range" localSheetId="2" hidden="1">{#N/A,#N/A,FALSE,"EXPENSE"}</definedName>
    <definedName name="range" localSheetId="1" hidden="1">{#N/A,#N/A,FALSE,"EXPENSE"}</definedName>
    <definedName name="range" hidden="1">{#N/A,#N/A,FALSE,"EXPENSE"}</definedName>
    <definedName name="Range1">#NAME?</definedName>
    <definedName name="range2" localSheetId="2" hidden="1">{#N/A,#N/A,FALSE,"EXPENSE"}</definedName>
    <definedName name="range2" localSheetId="1" hidden="1">{#N/A,#N/A,FALSE,"EXPENSE"}</definedName>
    <definedName name="range2" hidden="1">{#N/A,#N/A,FALSE,"EXPENSE"}</definedName>
    <definedName name="range3" localSheetId="2" hidden="1">{#N/A,#N/A,FALSE,"EXPENSE"}</definedName>
    <definedName name="range3" localSheetId="1" hidden="1">{#N/A,#N/A,FALSE,"EXPENSE"}</definedName>
    <definedName name="range3" hidden="1">{#N/A,#N/A,FALSE,"EXPENSE"}</definedName>
    <definedName name="rap" localSheetId="2" hidden="1">{"Page 1",#N/A,FALSE,"Sheet1";"Page 2",#N/A,FALSE,"Sheet1"}</definedName>
    <definedName name="rap" localSheetId="1" hidden="1">{"Page 1",#N/A,FALSE,"Sheet1";"Page 2",#N/A,FALSE,"Sheet1"}</definedName>
    <definedName name="rap" hidden="1">{"Page 1",#N/A,FALSE,"Sheet1";"Page 2",#N/A,FALSE,"Sheet1"}</definedName>
    <definedName name="RBT_A">#REF!</definedName>
    <definedName name="RD_2004">#REF!</definedName>
    <definedName name="RDReg2004">#REF!</definedName>
    <definedName name="reagsrgsrgfaefda" localSheetId="2" hidden="1">{#N/A,#N/A,FALSE,"ALLOC"}</definedName>
    <definedName name="reagsrgsrgfaefda" localSheetId="1" hidden="1">{#N/A,#N/A,FALSE,"ALLOC"}</definedName>
    <definedName name="reagsrgsrgfaefda" hidden="1">{#N/A,#N/A,FALSE,"ALLOC"}</definedName>
    <definedName name="REG_PRAC">#REF!</definedName>
    <definedName name="ReportGroup" hidden="1">0</definedName>
    <definedName name="RESIDENTIAL" localSheetId="3">#REF!</definedName>
    <definedName name="RESIDENTIAL" localSheetId="6">#REF!</definedName>
    <definedName name="RESIDENTIAL" localSheetId="18">#REF!</definedName>
    <definedName name="RESIDENTIAL" localSheetId="21">#REF!</definedName>
    <definedName name="RESIDENTIAL" localSheetId="24">#REF!</definedName>
    <definedName name="RESIDENTIAL" localSheetId="2">#REF!</definedName>
    <definedName name="RESIDENTIAL" localSheetId="5">#REF!</definedName>
    <definedName name="RESIDENTIAL" localSheetId="17">#REF!</definedName>
    <definedName name="RESIDENTIAL" localSheetId="20">#REF!</definedName>
    <definedName name="RESIDENTIAL" localSheetId="23">#REF!</definedName>
    <definedName name="RESIDENTIAL" localSheetId="1">#REF!</definedName>
    <definedName name="RESIDENTIAL" localSheetId="4">#REF!</definedName>
    <definedName name="RESIDENTIAL" localSheetId="16">#REF!</definedName>
    <definedName name="RESIDENTIAL" localSheetId="19">#REF!</definedName>
    <definedName name="RESIDENTIAL" localSheetId="22">#REF!</definedName>
    <definedName name="RESIDENTIAL" localSheetId="0">#REF!</definedName>
    <definedName name="RESIDENTIAL">#REF!</definedName>
    <definedName name="rest" hidden="1">#REF!</definedName>
    <definedName name="RESTORATION2003">#REF!</definedName>
    <definedName name="RESTORATION2004">#REF!</definedName>
    <definedName name="RestorationbyGMOHUG_2003">#REF!</definedName>
    <definedName name="RestorationbyGMOHUG_2004">#REF!</definedName>
    <definedName name="ret" localSheetId="2" hidden="1">{#N/A,#N/A,FALSE,"Aging Summary";#N/A,#N/A,FALSE,"Ratio Analysis";#N/A,#N/A,FALSE,"Test 120 Day Accts";#N/A,#N/A,FALSE,"Tickmarks"}</definedName>
    <definedName name="ret" localSheetId="1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ETPVVAR">#REF!</definedName>
    <definedName name="REVIEW" localSheetId="24">#REF!</definedName>
    <definedName name="REVIEW" localSheetId="23">#REF!</definedName>
    <definedName name="REVIEW" localSheetId="22">#REF!</definedName>
    <definedName name="REVIEW">#REF!</definedName>
    <definedName name="REVIEW2">#REF!</definedName>
    <definedName name="rew4wwer" localSheetId="2" hidden="1">{#N/A,#N/A,FALSE,"EXPENSE"}</definedName>
    <definedName name="rew4wwer" localSheetId="1" hidden="1">{#N/A,#N/A,FALSE,"EXPENSE"}</definedName>
    <definedName name="rew4wwer" hidden="1">{#N/A,#N/A,FALSE,"EXPENSE"}</definedName>
    <definedName name="rfgfdcvc" localSheetId="2" hidden="1">{#N/A,#N/A,FALSE,"ALLOC"}</definedName>
    <definedName name="rfgfdcvc" localSheetId="1" hidden="1">{#N/A,#N/A,FALSE,"ALLOC"}</definedName>
    <definedName name="rfgfdcvc" hidden="1">{#N/A,#N/A,FALSE,"ALLOC"}</definedName>
    <definedName name="rfsetgthnyukmgff" localSheetId="2" hidden="1">{#N/A,#N/A,FALSE,"EXPENSE"}</definedName>
    <definedName name="rfsetgthnyukmgff" localSheetId="1" hidden="1">{#N/A,#N/A,FALSE,"EXPENSE"}</definedName>
    <definedName name="rfsetgthnyukmgff" hidden="1">{#N/A,#N/A,FALSE,"EXPENSE"}</definedName>
    <definedName name="rfwaerwaerwerwe" localSheetId="2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hidden="1">#REF!</definedName>
    <definedName name="rngCopyFormulasSource" hidden="1">#REF!</definedName>
    <definedName name="RowRanges.Header">#REF!</definedName>
    <definedName name="Roxboro">#REF!</definedName>
    <definedName name="rPeakPeriodDefinition">#REF!</definedName>
    <definedName name="rPeriodNames">#REF!</definedName>
    <definedName name="rrr" localSheetId="2" hidden="1">{"capital",#N/A,FALSE,"Analysis";"input data",#N/A,FALSE,"Analysis"}</definedName>
    <definedName name="rrr" localSheetId="1" hidden="1">{"capital",#N/A,FALSE,"Analysis";"input data",#N/A,FALSE,"Analysis"}</definedName>
    <definedName name="rrr" hidden="1">{"capital",#N/A,FALSE,"Analysis";"input data",#N/A,FALSE,"Analysis"}</definedName>
    <definedName name="rt" localSheetId="2" hidden="1">{#N/A,#N/A,FALSE,"Aging Summary";#N/A,#N/A,FALSE,"Ratio Analysis";#N/A,#N/A,FALSE,"Test 120 Day Accts";#N/A,#N/A,FALSE,"Tickmarks"}</definedName>
    <definedName name="rt" localSheetId="1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rtyrsygyuiukhjghgt" localSheetId="2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tyrty" localSheetId="2" hidden="1">{#N/A,#N/A,FALSE,"ALLOC"}</definedName>
    <definedName name="rtyrtyrty" localSheetId="1" hidden="1">{#N/A,#N/A,FALSE,"ALLOC"}</definedName>
    <definedName name="rtyrtyrty" hidden="1">{#N/A,#N/A,FALSE,"ALLOC"}</definedName>
    <definedName name="rWeekendReplacement">#REF!</definedName>
    <definedName name="rwerfwerewrew" localSheetId="2" hidden="1">{#N/A,#N/A,FALSE,"ALLOC"}</definedName>
    <definedName name="rwerfwerewrew" localSheetId="1" hidden="1">{#N/A,#N/A,FALSE,"ALLOC"}</definedName>
    <definedName name="rwerfwerewrew" hidden="1">{#N/A,#N/A,FALSE,"ALLOC"}</definedName>
    <definedName name="rysrysrtygthgh" localSheetId="2" hidden="1">{#N/A,#N/A,FALSE,"EXPENSE"}</definedName>
    <definedName name="rysrysrtygthgh" localSheetId="1" hidden="1">{#N/A,#N/A,FALSE,"EXPENSE"}</definedName>
    <definedName name="rysrysrtygthgh" hidden="1">{#N/A,#N/A,FALSE,"EXPENSE"}</definedName>
    <definedName name="s">#REF!</definedName>
    <definedName name="S1Qtr1">#REF!</definedName>
    <definedName name="S1Qtr2">#REF!</definedName>
    <definedName name="S1Qtr3">#REF!</definedName>
    <definedName name="S1Qtr4">#REF!</definedName>
    <definedName name="sa" localSheetId="2" hidden="1">{#N/A,#N/A,FALSE,"Aging Summary";#N/A,#N/A,FALSE,"Ratio Analysis";#N/A,#N/A,FALSE,"Test 120 Day Accts";#N/A,#N/A,FALSE,"Tickmarks"}</definedName>
    <definedName name="sa" localSheetId="1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saf" localSheetId="2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localSheetId="1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ety_Training2004">#REF!</definedName>
    <definedName name="SAIDI2002">#REF!</definedName>
    <definedName name="SAIDI2003">#REF!</definedName>
    <definedName name="SAIDI2004">#REF!</definedName>
    <definedName name="SAPBEXdnldView" hidden="1">"446WX5JSQEDTJ1NXGMPPIICZ8"</definedName>
    <definedName name="SAPBEXsysID" hidden="1">"UGP"</definedName>
    <definedName name="sc" localSheetId="2" hidden="1">{"Page 1",#N/A,FALSE,"Sheet1";"Page 2",#N/A,FALSE,"Sheet1"}</definedName>
    <definedName name="sc" localSheetId="1" hidden="1">{"Page 1",#N/A,FALSE,"Sheet1";"Page 2",#N/A,FALSE,"Sheet1"}</definedName>
    <definedName name="sc" hidden="1">{"Page 1",#N/A,FALSE,"Sheet1";"Page 2",#N/A,FALSE,"Sheet1"}</definedName>
    <definedName name="Scatter_of_Projects_Labels" hidden="1">#REF!</definedName>
    <definedName name="Scatter_of_Projects_X_Data" hidden="1">#REF!</definedName>
    <definedName name="Scatter_of_Projects_Y_Data" hidden="1">#REF!</definedName>
    <definedName name="Scatter_of_Projects_Z_Data" hidden="1">#REF!</definedName>
    <definedName name="SCR_Feb02_Transactions">#REF!</definedName>
    <definedName name="sdfg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BRING">#REF!</definedName>
    <definedName name="SECTION_1341">#REF!</definedName>
    <definedName name="sencount" hidden="1">1</definedName>
    <definedName name="SEP_FACTOR" localSheetId="3">#REF!</definedName>
    <definedName name="SEP_FACTOR" localSheetId="6">#REF!</definedName>
    <definedName name="SEP_FACTOR" localSheetId="18">#REF!</definedName>
    <definedName name="SEP_FACTOR" localSheetId="21">#REF!</definedName>
    <definedName name="SEP_FACTOR" localSheetId="24">#REF!</definedName>
    <definedName name="SEP_FACTOR" localSheetId="2">#REF!</definedName>
    <definedName name="SEP_FACTOR" localSheetId="5">#REF!</definedName>
    <definedName name="SEP_FACTOR" localSheetId="17">#REF!</definedName>
    <definedName name="SEP_FACTOR" localSheetId="20">#REF!</definedName>
    <definedName name="SEP_FACTOR" localSheetId="23">#REF!</definedName>
    <definedName name="SEP_FACTOR" localSheetId="1">#REF!</definedName>
    <definedName name="SEP_FACTOR" localSheetId="4">#REF!</definedName>
    <definedName name="SEP_FACTOR" localSheetId="16">#REF!</definedName>
    <definedName name="SEP_FACTOR" localSheetId="19">#REF!</definedName>
    <definedName name="SEP_FACTOR" localSheetId="22">#REF!</definedName>
    <definedName name="SEP_FACTOR" localSheetId="0">#REF!</definedName>
    <definedName name="SEP_FACTOR">#REF!</definedName>
    <definedName name="SEPDEM" localSheetId="3">#REF!</definedName>
    <definedName name="SEPDEM" localSheetId="6">#REF!</definedName>
    <definedName name="SEPDEM" localSheetId="18">#REF!</definedName>
    <definedName name="SEPDEM" localSheetId="21">#REF!</definedName>
    <definedName name="SEPDEM" localSheetId="24">#REF!</definedName>
    <definedName name="SEPDEM" localSheetId="2">#REF!</definedName>
    <definedName name="SEPDEM" localSheetId="5">#REF!</definedName>
    <definedName name="SEPDEM" localSheetId="17">#REF!</definedName>
    <definedName name="SEPDEM" localSheetId="20">#REF!</definedName>
    <definedName name="SEPDEM" localSheetId="23">#REF!</definedName>
    <definedName name="SEPDEM" localSheetId="1">#REF!</definedName>
    <definedName name="SEPDEM" localSheetId="4">#REF!</definedName>
    <definedName name="SEPDEM" localSheetId="16">#REF!</definedName>
    <definedName name="SEPDEM" localSheetId="19">#REF!</definedName>
    <definedName name="SEPDEM" localSheetId="22">#REF!</definedName>
    <definedName name="SEPDEM" localSheetId="0">#REF!</definedName>
    <definedName name="SEPDEM">#REF!</definedName>
    <definedName name="sersadffasf" localSheetId="2" hidden="1">{#N/A,#N/A,FALSE,"ALLOC"}</definedName>
    <definedName name="sersadffasf" localSheetId="1" hidden="1">{#N/A,#N/A,FALSE,"ALLOC"}</definedName>
    <definedName name="sersadffasf" hidden="1">{#N/A,#N/A,FALSE,"ALLOC"}</definedName>
    <definedName name="sertearawertutyu" localSheetId="2" hidden="1">{#N/A,#N/A,FALSE,"EXPENSE"}</definedName>
    <definedName name="sertearawertutyu" localSheetId="1" hidden="1">{#N/A,#N/A,FALSE,"EXPENSE"}</definedName>
    <definedName name="sertearawertutyu" hidden="1">{#N/A,#N/A,FALSE,"EXPENSE"}</definedName>
    <definedName name="sfsadfafsdaf" localSheetId="2" hidden="1">{#N/A,#N/A,FALSE,"EXPENSE"}</definedName>
    <definedName name="sfsadfafsdaf" localSheetId="1" hidden="1">{#N/A,#N/A,FALSE,"EXPENSE"}</definedName>
    <definedName name="sfsadfafsdaf" hidden="1">{#N/A,#N/A,FALSE,"EXPENSE"}</definedName>
    <definedName name="spoc" localSheetId="2" hidden="1">{"Page 1",#N/A,FALSE,"Sheet1";"Page 2",#N/A,FALSE,"Sheet1"}</definedName>
    <definedName name="spoc" localSheetId="1" hidden="1">{"Page 1",#N/A,FALSE,"Sheet1";"Page 2",#N/A,FALSE,"Sheet1"}</definedName>
    <definedName name="spoc" hidden="1">{"Page 1",#N/A,FALSE,"Sheet1";"Page 2",#N/A,FALSE,"Sheet1"}</definedName>
    <definedName name="srfaedtgthjtdhfdg" localSheetId="2" hidden="1">{#N/A,#N/A,FALSE,"EXPENSE"}</definedName>
    <definedName name="srfaedtgthjtdhfdg" localSheetId="1" hidden="1">{#N/A,#N/A,FALSE,"EXPENSE"}</definedName>
    <definedName name="srfaedtgthjtdhfdg" hidden="1">{#N/A,#N/A,FALSE,"EXPENSE"}</definedName>
    <definedName name="ssss" localSheetId="2" hidden="1">{#N/A,#N/A,FALSE,"EXPENSE"}</definedName>
    <definedName name="ssss" localSheetId="1" hidden="1">{#N/A,#N/A,FALSE,"EXPENSE"}</definedName>
    <definedName name="ssss" hidden="1">{#N/A,#N/A,FALSE,"EXPENSE"}</definedName>
    <definedName name="staffing2" localSheetId="2" hidden="1">{#N/A,#N/A,FALSE,"Assessment";#N/A,#N/A,FALSE,"Staffing";#N/A,#N/A,FALSE,"Hires";#N/A,#N/A,FALSE,"Assumptions"}</definedName>
    <definedName name="staffing2" localSheetId="1" hidden="1">{#N/A,#N/A,FALSE,"Assessment";#N/A,#N/A,FALSE,"Staffing";#N/A,#N/A,FALSE,"Hires";#N/A,#N/A,FALSE,"Assumptions"}</definedName>
    <definedName name="staffing2" hidden="1">{#N/A,#N/A,FALSE,"Assessment";#N/A,#N/A,FALSE,"Staffing";#N/A,#N/A,FALSE,"Hires";#N/A,#N/A,FALSE,"Assumptions"}</definedName>
    <definedName name="Staffing3" localSheetId="2" hidden="1">{#N/A,#N/A,FALSE,"Assessment";#N/A,#N/A,FALSE,"Staffing";#N/A,#N/A,FALSE,"Hires";#N/A,#N/A,FALSE,"Assumptions"}</definedName>
    <definedName name="Staffing3" localSheetId="1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ging_List">#REF!</definedName>
    <definedName name="StagingSite">#REF!</definedName>
    <definedName name="StartingPoint" hidden="1">#REF!</definedName>
    <definedName name="STATE_TX_ADJ">#REF!</definedName>
    <definedName name="STD_13MoAve_OS">#REF!</definedName>
    <definedName name="Streetlight">#REF!</definedName>
    <definedName name="STREETLIGHT_MAINTENANCE">#REF!</definedName>
    <definedName name="STREETLIGHT_MAINTENANCE2003">#REF!</definedName>
    <definedName name="STREETLIGHT_MAINTENANCE2004">#REF!</definedName>
    <definedName name="STREETLIGHT2003">#REF!</definedName>
    <definedName name="STREETLIGHT2004">#REF!</definedName>
    <definedName name="StreetlightMaint2004">#REF!</definedName>
    <definedName name="STREETLIGHTS_INSTALLED">#REF!</definedName>
    <definedName name="StreetlightUnits">#REF!</definedName>
    <definedName name="stsaeryyjiutjdhg" localSheetId="2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upid" hidden="1">0</definedName>
    <definedName name="SUMRY_BY_TIME" localSheetId="3">#REF!</definedName>
    <definedName name="SUMRY_BY_TIME" localSheetId="6">#REF!</definedName>
    <definedName name="SUMRY_BY_TIME" localSheetId="18">#REF!</definedName>
    <definedName name="SUMRY_BY_TIME" localSheetId="21">#REF!</definedName>
    <definedName name="SUMRY_BY_TIME" localSheetId="24">#REF!</definedName>
    <definedName name="SUMRY_BY_TIME" localSheetId="2">#REF!</definedName>
    <definedName name="SUMRY_BY_TIME" localSheetId="5">#REF!</definedName>
    <definedName name="SUMRY_BY_TIME" localSheetId="17">#REF!</definedName>
    <definedName name="SUMRY_BY_TIME" localSheetId="20">#REF!</definedName>
    <definedName name="SUMRY_BY_TIME" localSheetId="23">#REF!</definedName>
    <definedName name="SUMRY_BY_TIME" localSheetId="1">#REF!</definedName>
    <definedName name="SUMRY_BY_TIME" localSheetId="4">#REF!</definedName>
    <definedName name="SUMRY_BY_TIME" localSheetId="16">#REF!</definedName>
    <definedName name="SUMRY_BY_TIME" localSheetId="19">#REF!</definedName>
    <definedName name="SUMRY_BY_TIME" localSheetId="22">#REF!</definedName>
    <definedName name="SUMRY_BY_TIME" localSheetId="0">#REF!</definedName>
    <definedName name="SUMRY_BY_TIME">#REF!</definedName>
    <definedName name="SUMRY_BY_YEAR" localSheetId="3">#REF!</definedName>
    <definedName name="SUMRY_BY_YEAR" localSheetId="6">#REF!</definedName>
    <definedName name="SUMRY_BY_YEAR" localSheetId="18">#REF!</definedName>
    <definedName name="SUMRY_BY_YEAR" localSheetId="21">#REF!</definedName>
    <definedName name="SUMRY_BY_YEAR" localSheetId="24">#REF!</definedName>
    <definedName name="SUMRY_BY_YEAR" localSheetId="2">#REF!</definedName>
    <definedName name="SUMRY_BY_YEAR" localSheetId="5">#REF!</definedName>
    <definedName name="SUMRY_BY_YEAR" localSheetId="17">#REF!</definedName>
    <definedName name="SUMRY_BY_YEAR" localSheetId="20">#REF!</definedName>
    <definedName name="SUMRY_BY_YEAR" localSheetId="23">#REF!</definedName>
    <definedName name="SUMRY_BY_YEAR" localSheetId="1">#REF!</definedName>
    <definedName name="SUMRY_BY_YEAR" localSheetId="4">#REF!</definedName>
    <definedName name="SUMRY_BY_YEAR" localSheetId="16">#REF!</definedName>
    <definedName name="SUMRY_BY_YEAR" localSheetId="19">#REF!</definedName>
    <definedName name="SUMRY_BY_YEAR" localSheetId="22">#REF!</definedName>
    <definedName name="SUMRY_BY_YEAR" localSheetId="0">#REF!</definedName>
    <definedName name="SUMRY_BY_YEAR">#REF!</definedName>
    <definedName name="SupportOrgRates">#REF!</definedName>
    <definedName name="SURVRPT" localSheetId="3">#REF!</definedName>
    <definedName name="SURVRPT" localSheetId="6">#REF!</definedName>
    <definedName name="SURVRPT" localSheetId="18">#REF!</definedName>
    <definedName name="SURVRPT" localSheetId="21">#REF!</definedName>
    <definedName name="SURVRPT" localSheetId="24">#REF!</definedName>
    <definedName name="SURVRPT" localSheetId="2">#REF!</definedName>
    <definedName name="SURVRPT" localSheetId="5">#REF!</definedName>
    <definedName name="SURVRPT" localSheetId="17">#REF!</definedName>
    <definedName name="SURVRPT" localSheetId="20">#REF!</definedName>
    <definedName name="SURVRPT" localSheetId="23">#REF!</definedName>
    <definedName name="SURVRPT" localSheetId="1">#REF!</definedName>
    <definedName name="SURVRPT" localSheetId="4">#REF!</definedName>
    <definedName name="SURVRPT" localSheetId="16">#REF!</definedName>
    <definedName name="SURVRPT" localSheetId="19">#REF!</definedName>
    <definedName name="SURVRPT" localSheetId="22">#REF!</definedName>
    <definedName name="SURVRPT" localSheetId="0">#REF!</definedName>
    <definedName name="SURVRPT">#REF!</definedName>
    <definedName name="Swvu.print2." hidden="1">#REF!</definedName>
    <definedName name="Swvu.print3." hidden="1">#REF!</definedName>
    <definedName name="T">#REF!</definedName>
    <definedName name="t5terer" localSheetId="2" hidden="1">{#N/A,#N/A,FALSE,"EXPENSE"}</definedName>
    <definedName name="t5terer" localSheetId="1" hidden="1">{#N/A,#N/A,FALSE,"EXPENSE"}</definedName>
    <definedName name="t5terer" hidden="1">{#N/A,#N/A,FALSE,"EXPENSE"}</definedName>
    <definedName name="table">#REF!</definedName>
    <definedName name="taxable_plant" localSheetId="2">INDEX(bs_netplant,1,period_summary_col)</definedName>
    <definedName name="taxable_plant" localSheetId="1">INDEX(bs_netplant,1,period_summary_col)</definedName>
    <definedName name="taxable_plant">INDEX(bs_netplant,1,period_summary_col)</definedName>
    <definedName name="team" hidden="1">255</definedName>
    <definedName name="Temp_2" localSheetId="2" hidden="1">{#N/A,#N/A,FALSE,"Assessment";#N/A,#N/A,FALSE,"Staffing";#N/A,#N/A,FALSE,"Hires";#N/A,#N/A,FALSE,"Assumptions"}</definedName>
    <definedName name="Temp_2" localSheetId="1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localSheetId="2" hidden="1">{#N/A,#N/A,FALSE,"Assessment";#N/A,#N/A,FALSE,"Staffing";#N/A,#N/A,FALSE,"Hires";#N/A,#N/A,FALSE,"Assumptions"}</definedName>
    <definedName name="Temp_3" localSheetId="1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late.Build.End">40589.4973630556</definedName>
    <definedName name="Template.Build.Start">40589.4973388542</definedName>
    <definedName name="Template.Name">"RE2B-SummaryEmployeeHeadcount"</definedName>
    <definedName name="Template.SaveAll">"false"</definedName>
    <definedName name="TemplateNotes.HasNote">"False"</definedName>
    <definedName name="test" localSheetId="2" hidden="1">{"Reconciliation 151",#N/A,FALSE,"A"}</definedName>
    <definedName name="test" localSheetId="1" hidden="1">{"Reconciliation 151",#N/A,FALSE,"A"}</definedName>
    <definedName name="test" hidden="1">{"Reconciliation 151",#N/A,FALSE,"A"}</definedName>
    <definedName name="test1" localSheetId="2" hidden="1">{"Page 1",#N/A,FALSE,"Sheet1";"Page 2",#N/A,FALSE,"Sheet1"}</definedName>
    <definedName name="test1" localSheetId="1" hidden="1">{"Page 1",#N/A,FALSE,"Sheet1";"Page 2",#N/A,FALSE,"Sheet1"}</definedName>
    <definedName name="test1" hidden="1">{"Page 1",#N/A,FALSE,"Sheet1";"Page 2",#N/A,FALSE,"Sheet1"}</definedName>
    <definedName name="test2" localSheetId="2" hidden="1">{"Page 1",#N/A,FALSE,"Sheet1";"Page 2",#N/A,FALSE,"Sheet1"}</definedName>
    <definedName name="test2" localSheetId="1" hidden="1">{"Page 1",#N/A,FALSE,"Sheet1";"Page 2",#N/A,FALSE,"Sheet1"}</definedName>
    <definedName name="test2" hidden="1">{"Page 1",#N/A,FALSE,"Sheet1";"Page 2",#N/A,FALSE,"Sheet1"}</definedName>
    <definedName name="testpage" localSheetId="2" hidden="1">{"Page 1",#N/A,FALSE,"Sheet1";"Page 2",#N/A,FALSE,"Sheet1"}</definedName>
    <definedName name="testpage" localSheetId="1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grgfdgfdg" localSheetId="2" hidden="1">{#N/A,#N/A,FALSE,"EXPENSE"}</definedName>
    <definedName name="tgrgfdgfdg" localSheetId="1" hidden="1">{#N/A,#N/A,FALSE,"EXPENSE"}</definedName>
    <definedName name="tgrgfdgfdg" hidden="1">{#N/A,#N/A,FALSE,"EXPENSE"}</definedName>
    <definedName name="tom" localSheetId="2" hidden="1">{#N/A,#N/A,FALSE,"EXPENSE"}</definedName>
    <definedName name="tom" localSheetId="1" hidden="1">{#N/A,#N/A,FALSE,"EXPENSE"}</definedName>
    <definedName name="tom" hidden="1">{#N/A,#N/A,FALSE,"EXPENSE"}</definedName>
    <definedName name="ton" localSheetId="2" hidden="1">{#N/A,#N/A,FALSE,"EXPENSE"}</definedName>
    <definedName name="ton" localSheetId="1" hidden="1">{#N/A,#N/A,FALSE,"EXPENSE"}</definedName>
    <definedName name="ton" hidden="1">{#N/A,#N/A,FALSE,"EXPENSE"}</definedName>
    <definedName name="Total_Emissions" localSheetId="3">#REF!</definedName>
    <definedName name="Total_Emissions" localSheetId="6">#REF!</definedName>
    <definedName name="Total_Emissions" localSheetId="18">#REF!</definedName>
    <definedName name="Total_Emissions" localSheetId="21">#REF!</definedName>
    <definedName name="Total_Emissions" localSheetId="24">#REF!</definedName>
    <definedName name="Total_Emissions" localSheetId="2">#REF!</definedName>
    <definedName name="Total_Emissions" localSheetId="5">#REF!</definedName>
    <definedName name="Total_Emissions" localSheetId="17">#REF!</definedName>
    <definedName name="Total_Emissions" localSheetId="20">#REF!</definedName>
    <definedName name="Total_Emissions" localSheetId="23">#REF!</definedName>
    <definedName name="Total_Emissions" localSheetId="1">#REF!</definedName>
    <definedName name="Total_Emissions" localSheetId="4">#REF!</definedName>
    <definedName name="Total_Emissions" localSheetId="16">#REF!</definedName>
    <definedName name="Total_Emissions" localSheetId="19">#REF!</definedName>
    <definedName name="Total_Emissions" localSheetId="22">#REF!</definedName>
    <definedName name="Total_Emissions" localSheetId="0">#REF!</definedName>
    <definedName name="Total_Emissions">#REF!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TP_Footer_User" hidden="1">"combsk"</definedName>
    <definedName name="TP_Footer_Version" hidden="1">"v4.00"</definedName>
    <definedName name="TPAYNE" hidden="1">#REF!</definedName>
    <definedName name="TRANS_ALL">#REF!</definedName>
    <definedName name="TransMerchant">#REF!</definedName>
    <definedName name="tre" localSheetId="2" hidden="1">{#N/A,#N/A,FALSE,"Aging Summary";#N/A,#N/A,FALSE,"Ratio Analysis";#N/A,#N/A,FALSE,"Test 120 Day Accts";#N/A,#N/A,FALSE,"Tickmarks"}</definedName>
    <definedName name="tre" localSheetId="1" hidden="1">{#N/A,#N/A,FALSE,"Aging Summary";#N/A,#N/A,FALSE,"Ratio Analysis";#N/A,#N/A,FALSE,"Test 120 Day Accts";#N/A,#N/A,FALSE,"Tickmarks"}</definedName>
    <definedName name="tre" hidden="1">{#N/A,#N/A,FALSE,"Aging Summary";#N/A,#N/A,FALSE,"Ratio Analysis";#N/A,#N/A,FALSE,"Test 120 Day Accts";#N/A,#N/A,FALSE,"Tickmarks"}</definedName>
    <definedName name="TreeTrimming">#REF!</definedName>
    <definedName name="trend" localSheetId="2" hidden="1">{#N/A,#N/A,FALSE,"Aging Summary";#N/A,#N/A,FALSE,"Ratio Analysis";#N/A,#N/A,FALSE,"Test 120 Day Accts";#N/A,#N/A,FALSE,"Tickmarks"}</definedName>
    <definedName name="trend" localSheetId="1" hidden="1">{#N/A,#N/A,FALSE,"Aging Summary";#N/A,#N/A,FALSE,"Ratio Analysis";#N/A,#N/A,FALSE,"Test 120 Day Accts";#N/A,#N/A,FALSE,"Tickmarks"}</definedName>
    <definedName name="trend" hidden="1">{#N/A,#N/A,FALSE,"Aging Summary";#N/A,#N/A,FALSE,"Ratio Analysis";#N/A,#N/A,FALSE,"Test 120 Day Accts";#N/A,#N/A,FALSE,"Tickmarks"}</definedName>
    <definedName name="tresrtesrtresrftg" localSheetId="2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ytyuijiukuyjfghgh" localSheetId="2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tertertret" localSheetId="2" hidden="1">{#N/A,#N/A,FALSE,"EXPENSE"}</definedName>
    <definedName name="trtertertret" localSheetId="1" hidden="1">{#N/A,#N/A,FALSE,"EXPENSE"}</definedName>
    <definedName name="trtertertret" hidden="1">{#N/A,#N/A,FALSE,"EXPENSE"}</definedName>
    <definedName name="TST_YR">#REF!</definedName>
    <definedName name="tterr4r4" localSheetId="2" hidden="1">{#N/A,#N/A,FALSE,"ALLOC"}</definedName>
    <definedName name="tterr4r4" localSheetId="1" hidden="1">{#N/A,#N/A,FALSE,"ALLOC"}</definedName>
    <definedName name="tterr4r4" hidden="1">{#N/A,#N/A,FALSE,"ALLOC"}</definedName>
    <definedName name="ttttt" localSheetId="2" hidden="1">{#N/A,#N/A,FALSE,"EXPENSE"}</definedName>
    <definedName name="ttttt" localSheetId="1" hidden="1">{#N/A,#N/A,FALSE,"EXPENSE"}</definedName>
    <definedName name="ttttt" hidden="1">{#N/A,#N/A,FALSE,"EXPENSE"}</definedName>
    <definedName name="ttttttt" localSheetId="2" hidden="1">{#N/A,#N/A,FALSE,"ALLOC"}</definedName>
    <definedName name="ttttttt" localSheetId="1" hidden="1">{#N/A,#N/A,FALSE,"ALLOC"}</definedName>
    <definedName name="ttttttt" hidden="1">{#N/A,#N/A,FALSE,"ALLOC"}</definedName>
    <definedName name="ttttttttttttt" localSheetId="2" hidden="1">{#N/A,#N/A,FALSE,"EXPENSE"}</definedName>
    <definedName name="ttttttttttttt" localSheetId="1" hidden="1">{#N/A,#N/A,FALSE,"EXPENSE"}</definedName>
    <definedName name="ttttttttttttt" hidden="1">{#N/A,#N/A,FALSE,"EXPENSE"}</definedName>
    <definedName name="tutututu" localSheetId="2" hidden="1">{#N/A,#N/A,FALSE,"ALLOC"}</definedName>
    <definedName name="tutututu" localSheetId="1" hidden="1">{#N/A,#N/A,FALSE,"ALLOC"}</definedName>
    <definedName name="tutututu" hidden="1">{#N/A,#N/A,FALSE,"ALLOC"}</definedName>
    <definedName name="twrtesrsf" localSheetId="2" hidden="1">{#N/A,#N/A,FALSE,"EXPENSE"}</definedName>
    <definedName name="twrtesrsf" localSheetId="1" hidden="1">{#N/A,#N/A,FALSE,"EXPENSE"}</definedName>
    <definedName name="twrtesrsf" hidden="1">{#N/A,#N/A,FALSE,"EXPENSE"}</definedName>
    <definedName name="ty" localSheetId="2" hidden="1">{#N/A,#N/A,FALSE,"Aging Summary";#N/A,#N/A,FALSE,"Ratio Analysis";#N/A,#N/A,FALSE,"Test 120 Day Accts";#N/A,#N/A,FALSE,"Tickmarks"}</definedName>
    <definedName name="ty" localSheetId="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htiiliklhjhgj" localSheetId="2" hidden="1">{#N/A,#N/A,FALSE,"ALLOC"}</definedName>
    <definedName name="tyhtiiliklhjhgj" localSheetId="1" hidden="1">{#N/A,#N/A,FALSE,"ALLOC"}</definedName>
    <definedName name="tyhtiiliklhjhgj" hidden="1">{#N/A,#N/A,FALSE,"ALLOC"}</definedName>
    <definedName name="tyseryuykiiukhjg" localSheetId="2" hidden="1">{#N/A,#N/A,FALSE,"EXPENSE"}</definedName>
    <definedName name="tyseryuykiiukhjg" localSheetId="1" hidden="1">{#N/A,#N/A,FALSE,"EXPENSE"}</definedName>
    <definedName name="tyseryuykiiukhjg" hidden="1">{#N/A,#N/A,FALSE,"EXPENSE"}</definedName>
    <definedName name="u6yr5y5yrty" localSheetId="2" hidden="1">{#N/A,#N/A,FALSE,"EXPENSE"}</definedName>
    <definedName name="u6yr5y5yrty" localSheetId="1" hidden="1">{#N/A,#N/A,FALSE,"EXPENSE"}</definedName>
    <definedName name="u6yr5y5yrty" hidden="1">{#N/A,#N/A,FALSE,"EXPENSE"}</definedName>
    <definedName name="UG_PRIMARY">#REF!</definedName>
    <definedName name="UGPrimary_wBranch">#REF!</definedName>
    <definedName name="UI_BS_DATA">#REF!</definedName>
    <definedName name="UI_DATA_ANNUAL">#REF!</definedName>
    <definedName name="UnderOverCCR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Data">#REF!</definedName>
    <definedName name="uryryryry" localSheetId="2" hidden="1">{#N/A,#N/A,FALSE,"ALLOC"}</definedName>
    <definedName name="uryryryry" localSheetId="1" hidden="1">{#N/A,#N/A,FALSE,"ALLOC"}</definedName>
    <definedName name="uryryryry" hidden="1">{#N/A,#N/A,FALSE,"ALLOC"}</definedName>
    <definedName name="usage" localSheetId="3">#REF!</definedName>
    <definedName name="usage" localSheetId="6">#REF!</definedName>
    <definedName name="usage" localSheetId="18">#REF!</definedName>
    <definedName name="usage" localSheetId="21">#REF!</definedName>
    <definedName name="usage" localSheetId="24">#REF!</definedName>
    <definedName name="usage" localSheetId="2">#REF!</definedName>
    <definedName name="usage" localSheetId="5">#REF!</definedName>
    <definedName name="usage" localSheetId="17">#REF!</definedName>
    <definedName name="usage" localSheetId="20">#REF!</definedName>
    <definedName name="usage" localSheetId="23">#REF!</definedName>
    <definedName name="usage" localSheetId="1">#REF!</definedName>
    <definedName name="usage" localSheetId="4">#REF!</definedName>
    <definedName name="usage" localSheetId="16">#REF!</definedName>
    <definedName name="usage" localSheetId="19">#REF!</definedName>
    <definedName name="usage" localSheetId="22">#REF!</definedName>
    <definedName name="usage" localSheetId="0">#REF!</definedName>
    <definedName name="usage">#REF!</definedName>
    <definedName name="User.Language">"en-US"</definedName>
    <definedName name="User.Name">"i42833"</definedName>
    <definedName name="User.Session">"xyrrmx55wpufl555puoa2cnq"</definedName>
    <definedName name="UserPass" hidden="1">"verify"</definedName>
    <definedName name="uturfhfh" localSheetId="2" hidden="1">{#N/A,#N/A,FALSE,"EXPENSE"}</definedName>
    <definedName name="uturfhfh" localSheetId="1" hidden="1">{#N/A,#N/A,FALSE,"EXPENSE"}</definedName>
    <definedName name="uturfhfh" hidden="1">{#N/A,#N/A,FALSE,"EXPENSE"}</definedName>
    <definedName name="utututt" localSheetId="2" hidden="1">{#N/A,#N/A,FALSE,"EXPENSE"}</definedName>
    <definedName name="utututt" localSheetId="1" hidden="1">{#N/A,#N/A,FALSE,"EXPENSE"}</definedName>
    <definedName name="utututt" hidden="1">{#N/A,#N/A,FALSE,"EXPENSE"}</definedName>
    <definedName name="utututu" localSheetId="2" hidden="1">{#N/A,#N/A,FALSE,"EXPENSE"}</definedName>
    <definedName name="utututu" localSheetId="1" hidden="1">{#N/A,#N/A,FALSE,"EXPENSE"}</definedName>
    <definedName name="utututu" hidden="1">{#N/A,#N/A,FALSE,"EXPENSE"}</definedName>
    <definedName name="utuyututyu" localSheetId="2" hidden="1">{#N/A,#N/A,FALSE,"EXPENSE"}</definedName>
    <definedName name="utuyututyu" localSheetId="1" hidden="1">{#N/A,#N/A,FALSE,"EXPENSE"}</definedName>
    <definedName name="utuyututyu" hidden="1">{#N/A,#N/A,FALSE,"EXPENSE"}</definedName>
    <definedName name="utyurturhfg" localSheetId="2" hidden="1">{#N/A,#N/A,FALSE,"EXPENSE"}</definedName>
    <definedName name="utyurturhfg" localSheetId="1" hidden="1">{#N/A,#N/A,FALSE,"EXPENSE"}</definedName>
    <definedName name="utyurturhfg" hidden="1">{#N/A,#N/A,FALSE,"EXPENSE"}</definedName>
    <definedName name="utyutfghgf" localSheetId="2" hidden="1">{#N/A,#N/A,FALSE,"EXPENSE"}</definedName>
    <definedName name="utyutfghgf" localSheetId="1" hidden="1">{#N/A,#N/A,FALSE,"EXPENSE"}</definedName>
    <definedName name="utyutfghgf" hidden="1">{#N/A,#N/A,FALSE,"EXPENSE"}</definedName>
    <definedName name="uuututu" localSheetId="2" hidden="1">{#N/A,#N/A,FALSE,"EXPENSE"}</definedName>
    <definedName name="uuututu" localSheetId="1" hidden="1">{#N/A,#N/A,FALSE,"EXPENSE"}</definedName>
    <definedName name="uuututu" hidden="1">{#N/A,#N/A,FALSE,"EXPENSE"}</definedName>
    <definedName name="uuuuu" localSheetId="2" hidden="1">{#N/A,#N/A,FALSE,"EXPENSE"}</definedName>
    <definedName name="uuuuu" localSheetId="1" hidden="1">{#N/A,#N/A,FALSE,"EXPENSE"}</definedName>
    <definedName name="uuuuu" hidden="1">{#N/A,#N/A,FALSE,"EXPENSE"}</definedName>
    <definedName name="uuuuuu" localSheetId="2" hidden="1">{#N/A,#N/A,FALSE,"EXPENSE"}</definedName>
    <definedName name="uuuuuu" localSheetId="1" hidden="1">{#N/A,#N/A,FALSE,"EXPENSE"}</definedName>
    <definedName name="uuuuuu" hidden="1">{#N/A,#N/A,FALSE,"EXPENSE"}</definedName>
    <definedName name="uytututut" localSheetId="2" hidden="1">{#N/A,#N/A,FALSE,"EXPENSE"}</definedName>
    <definedName name="uytututut" localSheetId="1" hidden="1">{#N/A,#N/A,FALSE,"EXPENSE"}</definedName>
    <definedName name="uytututut" hidden="1">{#N/A,#N/A,FALSE,"EXPENSE"}</definedName>
    <definedName name="uytutyht" localSheetId="2" hidden="1">{#N/A,#N/A,FALSE,"ALLOC"}</definedName>
    <definedName name="uytutyht" localSheetId="1" hidden="1">{#N/A,#N/A,FALSE,"ALLOC"}</definedName>
    <definedName name="uytutyht" hidden="1">{#N/A,#N/A,FALSE,"ALLOC"}</definedName>
    <definedName name="Values_Entered" localSheetId="2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>#REF!</definedName>
    <definedName name="vcscvbxvbfvb" localSheetId="2" hidden="1">{#N/A,#N/A,FALSE,"EXPENSE"}</definedName>
    <definedName name="vcscvbxvbfvb" localSheetId="1" hidden="1">{#N/A,#N/A,FALSE,"EXPENSE"}</definedName>
    <definedName name="vcscvbxvbfvb" hidden="1">{#N/A,#N/A,FALSE,"EXPENSE"}</definedName>
    <definedName name="versionnumber">"2.00"</definedName>
    <definedName name="wearwaerwearfefr" localSheetId="2" hidden="1">{#N/A,#N/A,FALSE,"ALLOC"}</definedName>
    <definedName name="wearwaerwearfefr" localSheetId="1" hidden="1">{#N/A,#N/A,FALSE,"ALLOC"}</definedName>
    <definedName name="wearwaerwearfefr" hidden="1">{#N/A,#N/A,FALSE,"ALLOC"}</definedName>
    <definedName name="weqeqwewqewewe" localSheetId="2" hidden="1">{#N/A,#N/A,FALSE,"EXPENSE"}</definedName>
    <definedName name="weqeqwewqewewe" localSheetId="1" hidden="1">{#N/A,#N/A,FALSE,"EXPENSE"}</definedName>
    <definedName name="weqeqwewqewewe" hidden="1">{#N/A,#N/A,FALSE,"EXPENSE"}</definedName>
    <definedName name="weqweqweqw" localSheetId="2" hidden="1">{#N/A,#N/A,FALSE,"EXPENSE"}</definedName>
    <definedName name="weqweqweqw" localSheetId="1" hidden="1">{#N/A,#N/A,FALSE,"EXPENSE"}</definedName>
    <definedName name="weqweqweqw" hidden="1">{#N/A,#N/A,FALSE,"EXPENSE"}</definedName>
    <definedName name="werwerwerwefrd" localSheetId="2" hidden="1">{#N/A,#N/A,FALSE,"ALLOC"}</definedName>
    <definedName name="werwerwerwefrd" localSheetId="1" hidden="1">{#N/A,#N/A,FALSE,"ALLOC"}</definedName>
    <definedName name="werwerwerwefrd" hidden="1">{#N/A,#N/A,FALSE,"ALLOC"}</definedName>
    <definedName name="wfvsd" localSheetId="2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localSheetId="1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_DEPOSITS">#REF!</definedName>
    <definedName name="WHLPVVAR">#REF!</definedName>
    <definedName name="wrn.114." localSheetId="2" hidden="1">{#N/A,#N/A,FALSE,"PAGE-114";#N/A,#N/A,FALSE,"Directions"}</definedName>
    <definedName name="wrn.114." localSheetId="1" hidden="1">{#N/A,#N/A,FALSE,"PAGE-114";#N/A,#N/A,FALSE,"Directions"}</definedName>
    <definedName name="wrn.114." hidden="1">{#N/A,#N/A,FALSE,"PAGE-114";#N/A,#N/A,FALSE,"Directions"}</definedName>
    <definedName name="wrn.3cases." localSheetId="2" hidden="1">{#N/A,"Base",FALSE,"Dividend";#N/A,"Conservative",FALSE,"Dividend";#N/A,"Downside",FALSE,"Dividend"}</definedName>
    <definedName name="wrn.3cases." localSheetId="1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740._.Closeout._.Support." localSheetId="2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localSheetId="1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localSheetId="2" hidden="1">{"Accretion",#N/A,FALSE,"Assum"}</definedName>
    <definedName name="wrn.Accretion." localSheetId="1" hidden="1">{"Accretion",#N/A,FALSE,"Assum"}</definedName>
    <definedName name="wrn.Accretion." hidden="1">{"Accretion",#N/A,FALSE,"Assum"}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18" hidden="1">{#N/A,#N/A,FALSE,"Aging Summary";#N/A,#N/A,FALSE,"Ratio Analysis";#N/A,#N/A,FALSE,"Test 120 Day Accts";#N/A,#N/A,FALSE,"Tickmarks"}</definedName>
    <definedName name="wrn.Aging._.and._.Trend._.Analysis." localSheetId="21" hidden="1">{#N/A,#N/A,FALSE,"Aging Summary";#N/A,#N/A,FALSE,"Ratio Analysis";#N/A,#N/A,FALSE,"Test 120 Day Accts";#N/A,#N/A,FALSE,"Tickmarks"}</definedName>
    <definedName name="wrn.Aging._.and._.Trend._.Analysis." localSheetId="24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6" hidden="1">{#N/A,#N/A,FALSE,"Aging Summary";#N/A,#N/A,FALSE,"Ratio Analysis";#N/A,#N/A,FALSE,"Test 120 Day Accts";#N/A,#N/A,FALSE,"Tickmarks"}</definedName>
    <definedName name="wrn.Aging._.and._.Trend._.Analysis." localSheetId="19" hidden="1">{#N/A,#N/A,FALSE,"Aging Summary";#N/A,#N/A,FALSE,"Ratio Analysis";#N/A,#N/A,FALSE,"Test 120 Day Accts";#N/A,#N/A,FALSE,"Tickmarks"}</definedName>
    <definedName name="wrn.Aging._.and._.Trend._.Analysis." localSheetId="22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chua." localSheetId="2" hidden="1">{#N/A,#N/A,TRUE,"Inv - Alac";#N/A,#N/A,TRUE,"Nuclear Fuel";#N/A,#N/A,TRUE,"Nuclear Invoice";#N/A,#N/A,TRUE,"Sch A - Alachua";#N/A,#N/A,TRUE,"Gen Replace Cap";#N/A,#N/A,TRUE,"SCHED C - Alachua"}</definedName>
    <definedName name="wrn.Alachua." localSheetId="1" hidden="1">{#N/A,#N/A,TRUE,"Inv - Alac";#N/A,#N/A,TRUE,"Nuclear Fuel";#N/A,#N/A,TRUE,"Nuclear Invoice";#N/A,#N/A,TRUE,"Sch A - Alachua";#N/A,#N/A,TRUE,"Gen Replace Cap";#N/A,#N/A,TRUE,"SCHED C - Alachua"}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Pages." localSheetId="2" hidden="1">{"total page",#N/A,FALSE,"Gib 5 June 01";"WVPA Page",#N/A,FALSE,"Gib 5 June 01";"IMPA Page",#N/A,FALSE,"Gib 5 June 01"}</definedName>
    <definedName name="wrn.All._.Pages." localSheetId="1" hidden="1">{"total page",#N/A,FALSE,"Gib 5 June 01";"WVPA Page",#N/A,FALSE,"Gib 5 June 01";"IMPA Page",#N/A,FALSE,"Gib 5 June 01"}</definedName>
    <definedName name="wrn.All._.Pages." hidden="1">{"total page",#N/A,FALSE,"Gib 5 June 01";"WVPA Page",#N/A,FALSE,"Gib 5 June 01";"IMPA Page",#N/A,FALSE,"Gib 5 June 01"}</definedName>
    <definedName name="wrn.All_Sheets." localSheetId="3" hidden="1">{#N/A,#N/A,FALSE,"CONT_MWH";#N/A,#N/A,FALSE,"CONT_MW";#N/A,#N/A,FALSE,"MIN_MWH";#N/A,#N/A,FALSE,"MIN_MW";#N/A,#N/A,FALSE,"BASECASE_MWH";#N/A,#N/A,FALSE,"BASECASE_MW"}</definedName>
    <definedName name="wrn.All_Sheets." localSheetId="6" hidden="1">{#N/A,#N/A,FALSE,"CONT_MWH";#N/A,#N/A,FALSE,"CONT_MW";#N/A,#N/A,FALSE,"MIN_MWH";#N/A,#N/A,FALSE,"MIN_MW";#N/A,#N/A,FALSE,"BASECASE_MWH";#N/A,#N/A,FALSE,"BASECASE_MW"}</definedName>
    <definedName name="wrn.All_Sheets." localSheetId="18" hidden="1">{#N/A,#N/A,FALSE,"CONT_MWH";#N/A,#N/A,FALSE,"CONT_MW";#N/A,#N/A,FALSE,"MIN_MWH";#N/A,#N/A,FALSE,"MIN_MW";#N/A,#N/A,FALSE,"BASECASE_MWH";#N/A,#N/A,FALSE,"BASECASE_MW"}</definedName>
    <definedName name="wrn.All_Sheets." localSheetId="21" hidden="1">{#N/A,#N/A,FALSE,"CONT_MWH";#N/A,#N/A,FALSE,"CONT_MW";#N/A,#N/A,FALSE,"MIN_MWH";#N/A,#N/A,FALSE,"MIN_MW";#N/A,#N/A,FALSE,"BASECASE_MWH";#N/A,#N/A,FALSE,"BASECASE_MW"}</definedName>
    <definedName name="wrn.All_Sheets." localSheetId="24" hidden="1">{#N/A,#N/A,FALSE,"CONT_MWH";#N/A,#N/A,FALSE,"CONT_MW";#N/A,#N/A,FALSE,"MIN_MWH";#N/A,#N/A,FALSE,"MIN_MW";#N/A,#N/A,FALSE,"BASECASE_MWH";#N/A,#N/A,FALSE,"BASECASE_MW"}</definedName>
    <definedName name="wrn.All_Sheets." localSheetId="2" hidden="1">{#N/A,#N/A,FALSE,"CONT_MWH";#N/A,#N/A,FALSE,"CONT_MW";#N/A,#N/A,FALSE,"MIN_MWH";#N/A,#N/A,FALSE,"MIN_MW";#N/A,#N/A,FALSE,"BASECASE_MWH";#N/A,#N/A,FALSE,"BASECASE_MW"}</definedName>
    <definedName name="wrn.All_Sheets." localSheetId="5" hidden="1">{#N/A,#N/A,FALSE,"CONT_MWH";#N/A,#N/A,FALSE,"CONT_MW";#N/A,#N/A,FALSE,"MIN_MWH";#N/A,#N/A,FALSE,"MIN_MW";#N/A,#N/A,FALSE,"BASECASE_MWH";#N/A,#N/A,FALSE,"BASECASE_MW"}</definedName>
    <definedName name="wrn.All_Sheets." localSheetId="17" hidden="1">{#N/A,#N/A,FALSE,"CONT_MWH";#N/A,#N/A,FALSE,"CONT_MW";#N/A,#N/A,FALSE,"MIN_MWH";#N/A,#N/A,FALSE,"MIN_MW";#N/A,#N/A,FALSE,"BASECASE_MWH";#N/A,#N/A,FALSE,"BASECASE_MW"}</definedName>
    <definedName name="wrn.All_Sheets." localSheetId="20" hidden="1">{#N/A,#N/A,FALSE,"CONT_MWH";#N/A,#N/A,FALSE,"CONT_MW";#N/A,#N/A,FALSE,"MIN_MWH";#N/A,#N/A,FALSE,"MIN_MW";#N/A,#N/A,FALSE,"BASECASE_MWH";#N/A,#N/A,FALSE,"BASECASE_MW"}</definedName>
    <definedName name="wrn.All_Sheets." localSheetId="23" hidden="1">{#N/A,#N/A,FALSE,"CONT_MWH";#N/A,#N/A,FALSE,"CONT_MW";#N/A,#N/A,FALSE,"MIN_MWH";#N/A,#N/A,FALSE,"MIN_MW";#N/A,#N/A,FALSE,"BASECASE_MWH";#N/A,#N/A,FALSE,"BASECASE_MW"}</definedName>
    <definedName name="wrn.All_Sheets." localSheetId="1" hidden="1">{#N/A,#N/A,FALSE,"CONT_MWH";#N/A,#N/A,FALSE,"CONT_MW";#N/A,#N/A,FALSE,"MIN_MWH";#N/A,#N/A,FALSE,"MIN_MW";#N/A,#N/A,FALSE,"BASECASE_MWH";#N/A,#N/A,FALSE,"BASECASE_MW"}</definedName>
    <definedName name="wrn.All_Sheets." localSheetId="4" hidden="1">{#N/A,#N/A,FALSE,"CONT_MWH";#N/A,#N/A,FALSE,"CONT_MW";#N/A,#N/A,FALSE,"MIN_MWH";#N/A,#N/A,FALSE,"MIN_MW";#N/A,#N/A,FALSE,"BASECASE_MWH";#N/A,#N/A,FALSE,"BASECASE_MW"}</definedName>
    <definedName name="wrn.All_Sheets." localSheetId="16" hidden="1">{#N/A,#N/A,FALSE,"CONT_MWH";#N/A,#N/A,FALSE,"CONT_MW";#N/A,#N/A,FALSE,"MIN_MWH";#N/A,#N/A,FALSE,"MIN_MW";#N/A,#N/A,FALSE,"BASECASE_MWH";#N/A,#N/A,FALSE,"BASECASE_MW"}</definedName>
    <definedName name="wrn.All_Sheets." localSheetId="19" hidden="1">{#N/A,#N/A,FALSE,"CONT_MWH";#N/A,#N/A,FALSE,"CONT_MW";#N/A,#N/A,FALSE,"MIN_MWH";#N/A,#N/A,FALSE,"MIN_MW";#N/A,#N/A,FALSE,"BASECASE_MWH";#N/A,#N/A,FALSE,"BASECASE_MW"}</definedName>
    <definedName name="wrn.All_Sheets." localSheetId="22" hidden="1">{#N/A,#N/A,FALSE,"CONT_MWH";#N/A,#N/A,FALSE,"CONT_MW";#N/A,#N/A,FALSE,"MIN_MWH";#N/A,#N/A,FALSE,"MIN_MW";#N/A,#N/A,FALSE,"BASECASE_MWH";#N/A,#N/A,FALSE,"BASECASE_MW"}</definedName>
    <definedName name="wrn.All_Sheets." localSheetId="0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localSheetId="2" hidden="1">{#N/A,#N/A,FALSE,"ALLOC"}</definedName>
    <definedName name="wrn.ALLOC." localSheetId="1" hidden="1">{#N/A,#N/A,FALSE,"ALLOC"}</definedName>
    <definedName name="wrn.ALLOC." hidden="1">{#N/A,#N/A,FALSE,"ALLOC"}</definedName>
    <definedName name="wrn.Analysis." localSheetId="2" hidden="1">{"Analysis",#N/A,FALSE,"Analysis";"Details",#N/A,FALSE,"Analysis"}</definedName>
    <definedName name="wrn.Analysis." localSheetId="1" hidden="1">{"Analysis",#N/A,FALSE,"Analysis";"Details",#N/A,FALSE,"Analysis"}</definedName>
    <definedName name="wrn.Analysis." hidden="1">{"Analysis",#N/A,FALSE,"Analysis";"Details",#N/A,FALSE,"Analysis"}</definedName>
    <definedName name="wrn.Assumptions." localSheetId="2" hidden="1">{"Assumptions",#N/A,FALSE,"Assum"}</definedName>
    <definedName name="wrn.Assumptions." localSheetId="1" hidden="1">{"Assumptions",#N/A,FALSE,"Assum"}</definedName>
    <definedName name="wrn.Assumptions." hidden="1">{"Assumptions",#N/A,FALSE,"Assum"}</definedName>
    <definedName name="wrn.balsheet." localSheetId="2" hidden="1">{"balsheet",#N/A,FALSE,"A"}</definedName>
    <definedName name="wrn.balsheet." localSheetId="1" hidden="1">{"balsheet",#N/A,FALSE,"A"}</definedName>
    <definedName name="wrn.balsheet." hidden="1">{"balsheet",#N/A,FALSE,"A"}</definedName>
    <definedName name="wrn.CAG." localSheetId="2" hidden="1">{#N/A,#N/A,FALSE,"CAG"}</definedName>
    <definedName name="wrn.CAG." localSheetId="1" hidden="1">{#N/A,#N/A,FALSE,"CAG"}</definedName>
    <definedName name="wrn.CAG." hidden="1">{#N/A,#N/A,FALSE,"CAG"}</definedName>
    <definedName name="wrn.capandinputs." localSheetId="2" hidden="1">{"capital",#N/A,FALSE,"Analysis";"input data",#N/A,FALSE,"Analysis"}</definedName>
    <definedName name="wrn.capandinputs." localSheetId="1" hidden="1">{"capital",#N/A,FALSE,"Analysis";"input data",#N/A,FALSE,"Analysis"}</definedName>
    <definedName name="wrn.capandinputs." hidden="1">{"capital",#N/A,FALSE,"Analysis";"input data",#N/A,FALSE,"Analysis"}</definedName>
    <definedName name="wrn.CG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localSheetId="2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localSheetId="1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localSheetId="2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localSheetId="1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localSheetId="2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localSheetId="1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localSheetId="2" hidden="1">{#N/A,#N/A,FALSE,"Configuration";#N/A,#N/A,FALSE,"Summary of Transaction";#N/A,#N/A,FALSE,"Calculations"}</definedName>
    <definedName name="wrn.Config._.and._.Calcs." localSheetId="1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CPB." localSheetId="2" hidden="1">{#N/A,#N/A,FALSE,"CPB"}</definedName>
    <definedName name="wrn.CPB." localSheetId="1" hidden="1">{#N/A,#N/A,FALSE,"CPB"}</definedName>
    <definedName name="wrn.CPB." hidden="1">{#N/A,#N/A,FALSE,"CPB"}</definedName>
    <definedName name="wrn.CR3._.All._.Invoices." localSheetId="2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localSheetId="1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localSheetId="2" hidden="1">{#N/A,#N/A,FALSE,"Credit Summary"}</definedName>
    <definedName name="wrn.Credit._.Summary." localSheetId="1" hidden="1">{#N/A,#N/A,FALSE,"Credit Summary"}</definedName>
    <definedName name="wrn.Credit._.Summary." hidden="1">{#N/A,#N/A,FALSE,"Credit Summary"}</definedName>
    <definedName name="wrn.edcredit." localSheetId="2" hidden="1">{"edcredit",#N/A,FALSE,"edcredit"}</definedName>
    <definedName name="wrn.edcredit." localSheetId="1" hidden="1">{"edcredit",#N/A,FALSE,"edcredit"}</definedName>
    <definedName name="wrn.edcredit." hidden="1">{"edcredit",#N/A,FALSE,"edcredit"}</definedName>
    <definedName name="wrn.Executive._.Reports." localSheetId="2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localSheetId="1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localSheetId="2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1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localSheetId="2" hidden="1">{#N/A,#N/A,FALSE,"EXPENSE"}</definedName>
    <definedName name="wrn.EXPENSE." localSheetId="1" hidden="1">{#N/A,#N/A,FALSE,"EXPENSE"}</definedName>
    <definedName name="wrn.EXPENSE." hidden="1">{#N/A,#N/A,FALSE,"EXPENSE"}</definedName>
    <definedName name="wrn.FCB." localSheetId="2" hidden="1">{"FCB_ALL",#N/A,FALSE,"FCB"}</definedName>
    <definedName name="wrn.FCB." localSheetId="1" hidden="1">{"FCB_ALL",#N/A,FALSE,"FCB"}</definedName>
    <definedName name="wrn.FCB." hidden="1">{"FCB_ALL",#N/A,FALSE,"FCB"}</definedName>
    <definedName name="wrn.fcb2" localSheetId="2" hidden="1">{"FCB_ALL",#N/A,FALSE,"FCB"}</definedName>
    <definedName name="wrn.fcb2" localSheetId="1" hidden="1">{"FCB_ALL",#N/A,FALSE,"FCB"}</definedName>
    <definedName name="wrn.fcb2" hidden="1">{"FCB_ALL",#N/A,FALSE,"FCB"}</definedName>
    <definedName name="wrn.Financials." localSheetId="2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localSheetId="1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localSheetId="2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localSheetId="1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localSheetId="2" hidden="1">{#N/A,#N/A,FALSE,"GIS"}</definedName>
    <definedName name="wrn.GIS." localSheetId="1" hidden="1">{#N/A,#N/A,FALSE,"GIS"}</definedName>
    <definedName name="wrn.GIS." hidden="1">{#N/A,#N/A,FALSE,"GIS"}</definedName>
    <definedName name="wrn.GL._.151._.FUEL._.REPORT." localSheetId="2" hidden="1">{#N/A,#N/A,FALSE,"ISSUES";#N/A,#N/A,FALSE,"BALANCE";#N/A,#N/A,FALSE,"RECEIPTS"}</definedName>
    <definedName name="wrn.GL._.151._.FUEL._.REPORT." localSheetId="1" hidden="1">{#N/A,#N/A,FALSE,"ISSUES";#N/A,#N/A,FALSE,"BALANCE";#N/A,#N/A,FALSE,"RECEIPTS"}</definedName>
    <definedName name="wrn.GL._.151._.FUEL._.REPORT." hidden="1">{#N/A,#N/A,FALSE,"ISSUES";#N/A,#N/A,FALSE,"BALANCE";#N/A,#N/A,FALSE,"RECEIPTS"}</definedName>
    <definedName name="wrn.GL._.154._.BALANCE." localSheetId="3" hidden="1">{#N/A,#N/A,FALSE,"BALANCE"}</definedName>
    <definedName name="wrn.GL._.154._.BALANCE." localSheetId="6" hidden="1">{#N/A,#N/A,FALSE,"BALANCE"}</definedName>
    <definedName name="wrn.GL._.154._.BALANCE." localSheetId="18" hidden="1">{#N/A,#N/A,FALSE,"BALANCE"}</definedName>
    <definedName name="wrn.GL._.154._.BALANCE." localSheetId="21" hidden="1">{#N/A,#N/A,FALSE,"BALANCE"}</definedName>
    <definedName name="wrn.GL._.154._.BALANCE." localSheetId="24" hidden="1">{#N/A,#N/A,FALSE,"BALANCE"}</definedName>
    <definedName name="wrn.GL._.154._.BALANCE." localSheetId="2" hidden="1">{#N/A,#N/A,FALSE,"BALANCE"}</definedName>
    <definedName name="wrn.GL._.154._.BALANCE." localSheetId="5" hidden="1">{#N/A,#N/A,FALSE,"BALANCE"}</definedName>
    <definedName name="wrn.GL._.154._.BALANCE." localSheetId="17" hidden="1">{#N/A,#N/A,FALSE,"BALANCE"}</definedName>
    <definedName name="wrn.GL._.154._.BALANCE." localSheetId="20" hidden="1">{#N/A,#N/A,FALSE,"BALANCE"}</definedName>
    <definedName name="wrn.GL._.154._.BALANCE." localSheetId="23" hidden="1">{#N/A,#N/A,FALSE,"BALANCE"}</definedName>
    <definedName name="wrn.GL._.154._.BALANCE." localSheetId="1" hidden="1">{#N/A,#N/A,FALSE,"BALANCE"}</definedName>
    <definedName name="wrn.GL._.154._.BALANCE." localSheetId="4" hidden="1">{#N/A,#N/A,FALSE,"BALANCE"}</definedName>
    <definedName name="wrn.GL._.154._.BALANCE." localSheetId="16" hidden="1">{#N/A,#N/A,FALSE,"BALANCE"}</definedName>
    <definedName name="wrn.GL._.154._.BALANCE." localSheetId="19" hidden="1">{#N/A,#N/A,FALSE,"BALANCE"}</definedName>
    <definedName name="wrn.GL._.154._.BALANCE." localSheetId="22" hidden="1">{#N/A,#N/A,FALSE,"BALANCE"}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3" hidden="1">{#N/A,#N/A,FALSE,"ISSUES"}</definedName>
    <definedName name="wrn.GL154._.ISSUES." localSheetId="6" hidden="1">{#N/A,#N/A,FALSE,"ISSUES"}</definedName>
    <definedName name="wrn.GL154._.ISSUES." localSheetId="18" hidden="1">{#N/A,#N/A,FALSE,"ISSUES"}</definedName>
    <definedName name="wrn.GL154._.ISSUES." localSheetId="21" hidden="1">{#N/A,#N/A,FALSE,"ISSUES"}</definedName>
    <definedName name="wrn.GL154._.ISSUES." localSheetId="24" hidden="1">{#N/A,#N/A,FALSE,"ISSUES"}</definedName>
    <definedName name="wrn.GL154._.ISSUES." localSheetId="2" hidden="1">{#N/A,#N/A,FALSE,"ISSUES"}</definedName>
    <definedName name="wrn.GL154._.ISSUES." localSheetId="5" hidden="1">{#N/A,#N/A,FALSE,"ISSUES"}</definedName>
    <definedName name="wrn.GL154._.ISSUES." localSheetId="17" hidden="1">{#N/A,#N/A,FALSE,"ISSUES"}</definedName>
    <definedName name="wrn.GL154._.ISSUES." localSheetId="20" hidden="1">{#N/A,#N/A,FALSE,"ISSUES"}</definedName>
    <definedName name="wrn.GL154._.ISSUES." localSheetId="23" hidden="1">{#N/A,#N/A,FALSE,"ISSUES"}</definedName>
    <definedName name="wrn.GL154._.ISSUES." localSheetId="1" hidden="1">{#N/A,#N/A,FALSE,"ISSUES"}</definedName>
    <definedName name="wrn.GL154._.ISSUES." localSheetId="4" hidden="1">{#N/A,#N/A,FALSE,"ISSUES"}</definedName>
    <definedName name="wrn.GL154._.ISSUES." localSheetId="16" hidden="1">{#N/A,#N/A,FALSE,"ISSUES"}</definedName>
    <definedName name="wrn.GL154._.ISSUES." localSheetId="19" hidden="1">{#N/A,#N/A,FALSE,"ISSUES"}</definedName>
    <definedName name="wrn.GL154._.ISSUES." localSheetId="22" hidden="1">{#N/A,#N/A,FALSE,"ISSUES"}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3" hidden="1">{#N/A,#N/A,FALSE,"RECEIPTS"}</definedName>
    <definedName name="wrn.GL154._.RECEIPTS." localSheetId="6" hidden="1">{#N/A,#N/A,FALSE,"RECEIPTS"}</definedName>
    <definedName name="wrn.GL154._.RECEIPTS." localSheetId="18" hidden="1">{#N/A,#N/A,FALSE,"RECEIPTS"}</definedName>
    <definedName name="wrn.GL154._.RECEIPTS." localSheetId="21" hidden="1">{#N/A,#N/A,FALSE,"RECEIPTS"}</definedName>
    <definedName name="wrn.GL154._.RECEIPTS." localSheetId="24" hidden="1">{#N/A,#N/A,FALSE,"RECEIPTS"}</definedName>
    <definedName name="wrn.GL154._.RECEIPTS." localSheetId="2" hidden="1">{#N/A,#N/A,FALSE,"RECEIPTS"}</definedName>
    <definedName name="wrn.GL154._.RECEIPTS." localSheetId="5" hidden="1">{#N/A,#N/A,FALSE,"RECEIPTS"}</definedName>
    <definedName name="wrn.GL154._.RECEIPTS." localSheetId="17" hidden="1">{#N/A,#N/A,FALSE,"RECEIPTS"}</definedName>
    <definedName name="wrn.GL154._.RECEIPTS." localSheetId="20" hidden="1">{#N/A,#N/A,FALSE,"RECEIPTS"}</definedName>
    <definedName name="wrn.GL154._.RECEIPTS." localSheetId="23" hidden="1">{#N/A,#N/A,FALSE,"RECEIPTS"}</definedName>
    <definedName name="wrn.GL154._.RECEIPTS." localSheetId="1" hidden="1">{#N/A,#N/A,FALSE,"RECEIPTS"}</definedName>
    <definedName name="wrn.GL154._.RECEIPTS." localSheetId="4" hidden="1">{#N/A,#N/A,FALSE,"RECEIPTS"}</definedName>
    <definedName name="wrn.GL154._.RECEIPTS." localSheetId="16" hidden="1">{#N/A,#N/A,FALSE,"RECEIPTS"}</definedName>
    <definedName name="wrn.GL154._.RECEIPTS." localSheetId="19" hidden="1">{#N/A,#N/A,FALSE,"RECEIPTS"}</definedName>
    <definedName name="wrn.GL154._.RECEIPTS." localSheetId="22" hidden="1">{#N/A,#N/A,FALSE,"RECEIPTS"}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3" hidden="1">{#N/A,#N/A,FALSE,"SALVAGE"}</definedName>
    <definedName name="wrn.GL154._.SALVAGE." localSheetId="6" hidden="1">{#N/A,#N/A,FALSE,"SALVAGE"}</definedName>
    <definedName name="wrn.GL154._.SALVAGE." localSheetId="18" hidden="1">{#N/A,#N/A,FALSE,"SALVAGE"}</definedName>
    <definedName name="wrn.GL154._.SALVAGE." localSheetId="21" hidden="1">{#N/A,#N/A,FALSE,"SALVAGE"}</definedName>
    <definedName name="wrn.GL154._.SALVAGE." localSheetId="24" hidden="1">{#N/A,#N/A,FALSE,"SALVAGE"}</definedName>
    <definedName name="wrn.GL154._.SALVAGE." localSheetId="2" hidden="1">{#N/A,#N/A,FALSE,"SALVAGE"}</definedName>
    <definedName name="wrn.GL154._.SALVAGE." localSheetId="5" hidden="1">{#N/A,#N/A,FALSE,"SALVAGE"}</definedName>
    <definedName name="wrn.GL154._.SALVAGE." localSheetId="17" hidden="1">{#N/A,#N/A,FALSE,"SALVAGE"}</definedName>
    <definedName name="wrn.GL154._.SALVAGE." localSheetId="20" hidden="1">{#N/A,#N/A,FALSE,"SALVAGE"}</definedName>
    <definedName name="wrn.GL154._.SALVAGE." localSheetId="23" hidden="1">{#N/A,#N/A,FALSE,"SALVAGE"}</definedName>
    <definedName name="wrn.GL154._.SALVAGE." localSheetId="1" hidden="1">{#N/A,#N/A,FALSE,"SALVAGE"}</definedName>
    <definedName name="wrn.GL154._.SALVAGE." localSheetId="4" hidden="1">{#N/A,#N/A,FALSE,"SALVAGE"}</definedName>
    <definedName name="wrn.GL154._.SALVAGE." localSheetId="16" hidden="1">{#N/A,#N/A,FALSE,"SALVAGE"}</definedName>
    <definedName name="wrn.GL154._.SALVAGE." localSheetId="19" hidden="1">{#N/A,#N/A,FALSE,"SALVAGE"}</definedName>
    <definedName name="wrn.GL154._.SALVAGE." localSheetId="22" hidden="1">{#N/A,#N/A,FALSE,"SALVAGE"}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3" hidden="1">{#N/A,#N/A,FALSE,"BALANCE";#N/A,#N/A,FALSE,"ISSUES";#N/A,#N/A,FALSE,"RECEIPTS";#N/A,#N/A,FALSE,"SALVAGE"}</definedName>
    <definedName name="wrn.GL154._.SYSTEM._.LEDGER._.REPORTS." localSheetId="6" hidden="1">{#N/A,#N/A,FALSE,"BALANCE";#N/A,#N/A,FALSE,"ISSUES";#N/A,#N/A,FALSE,"RECEIPTS";#N/A,#N/A,FALSE,"SALVAGE"}</definedName>
    <definedName name="wrn.GL154._.SYSTEM._.LEDGER._.REPORTS." localSheetId="18" hidden="1">{#N/A,#N/A,FALSE,"BALANCE";#N/A,#N/A,FALSE,"ISSUES";#N/A,#N/A,FALSE,"RECEIPTS";#N/A,#N/A,FALSE,"SALVAGE"}</definedName>
    <definedName name="wrn.GL154._.SYSTEM._.LEDGER._.REPORTS." localSheetId="21" hidden="1">{#N/A,#N/A,FALSE,"BALANCE";#N/A,#N/A,FALSE,"ISSUES";#N/A,#N/A,FALSE,"RECEIPTS";#N/A,#N/A,FALSE,"SALVAGE"}</definedName>
    <definedName name="wrn.GL154._.SYSTEM._.LEDGER._.REPORTS." localSheetId="24" hidden="1">{#N/A,#N/A,FALSE,"BALANCE";#N/A,#N/A,FALSE,"ISSUES";#N/A,#N/A,FALSE,"RECEIPTS";#N/A,#N/A,FALSE,"SALVAGE"}</definedName>
    <definedName name="wrn.GL154._.SYSTEM._.LEDGER._.REPORTS." localSheetId="2" hidden="1">{#N/A,#N/A,FALSE,"BALANCE";#N/A,#N/A,FALSE,"ISSUES";#N/A,#N/A,FALSE,"RECEIPTS";#N/A,#N/A,FALSE,"SALVAGE"}</definedName>
    <definedName name="wrn.GL154._.SYSTEM._.LEDGER._.REPORTS." localSheetId="5" hidden="1">{#N/A,#N/A,FALSE,"BALANCE";#N/A,#N/A,FALSE,"ISSUES";#N/A,#N/A,FALSE,"RECEIPTS";#N/A,#N/A,FALSE,"SALVAGE"}</definedName>
    <definedName name="wrn.GL154._.SYSTEM._.LEDGER._.REPORTS." localSheetId="17" hidden="1">{#N/A,#N/A,FALSE,"BALANCE";#N/A,#N/A,FALSE,"ISSUES";#N/A,#N/A,FALSE,"RECEIPTS";#N/A,#N/A,FALSE,"SALVAGE"}</definedName>
    <definedName name="wrn.GL154._.SYSTEM._.LEDGER._.REPORTS." localSheetId="20" hidden="1">{#N/A,#N/A,FALSE,"BALANCE";#N/A,#N/A,FALSE,"ISSUES";#N/A,#N/A,FALSE,"RECEIPTS";#N/A,#N/A,FALSE,"SALVAGE"}</definedName>
    <definedName name="wrn.GL154._.SYSTEM._.LEDGER._.REPORTS." localSheetId="23" hidden="1">{#N/A,#N/A,FALSE,"BALANCE";#N/A,#N/A,FALSE,"ISSUES";#N/A,#N/A,FALSE,"RECEIPTS";#N/A,#N/A,FALSE,"SALVAGE"}</definedName>
    <definedName name="wrn.GL154._.SYSTEM._.LEDGER._.REPORTS." localSheetId="1" hidden="1">{#N/A,#N/A,FALSE,"BALANCE";#N/A,#N/A,FALSE,"ISSUES";#N/A,#N/A,FALSE,"RECEIPTS";#N/A,#N/A,FALSE,"SALVAGE"}</definedName>
    <definedName name="wrn.GL154._.SYSTEM._.LEDGER._.REPORTS." localSheetId="4" hidden="1">{#N/A,#N/A,FALSE,"BALANCE";#N/A,#N/A,FALSE,"ISSUES";#N/A,#N/A,FALSE,"RECEIPTS";#N/A,#N/A,FALSE,"SALVAGE"}</definedName>
    <definedName name="wrn.GL154._.SYSTEM._.LEDGER._.REPORTS." localSheetId="16" hidden="1">{#N/A,#N/A,FALSE,"BALANCE";#N/A,#N/A,FALSE,"ISSUES";#N/A,#N/A,FALSE,"RECEIPTS";#N/A,#N/A,FALSE,"SALVAGE"}</definedName>
    <definedName name="wrn.GL154._.SYSTEM._.LEDGER._.REPORTS." localSheetId="19" hidden="1">{#N/A,#N/A,FALSE,"BALANCE";#N/A,#N/A,FALSE,"ISSUES";#N/A,#N/A,FALSE,"RECEIPTS";#N/A,#N/A,FALSE,"SALVAGE"}</definedName>
    <definedName name="wrn.GL154._.SYSTEM._.LEDGER._.REPORTS." localSheetId="22" hidden="1">{#N/A,#N/A,FALSE,"BALANCE";#N/A,#N/A,FALSE,"ISSUES";#N/A,#N/A,FALSE,"RECEIPTS";#N/A,#N/A,FALSE,"SALVAGE"}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HNZ." localSheetId="2" hidden="1">{#N/A,#N/A,FALSE,"HNZ"}</definedName>
    <definedName name="wrn.HNZ." localSheetId="1" hidden="1">{#N/A,#N/A,FALSE,"HNZ"}</definedName>
    <definedName name="wrn.HNZ." hidden="1">{#N/A,#N/A,FALSE,"HNZ"}</definedName>
    <definedName name="wrn.INT." localSheetId="2" hidden="1">{#N/A,#N/A,FALSE,"EXPENSE"}</definedName>
    <definedName name="wrn.INT." localSheetId="1" hidden="1">{#N/A,#N/A,FALSE,"EXPENSE"}</definedName>
    <definedName name="wrn.INT." hidden="1">{#N/A,#N/A,FALSE,"EXPENSE"}</definedName>
    <definedName name="wrn.InterSystem." localSheetId="2" hidden="1">{"Purchases",#N/A,TRUE,"Sheet1";"Sales",#N/A,TRUE,"Sheet1"}</definedName>
    <definedName name="wrn.InterSystem." localSheetId="1" hidden="1">{"Purchases",#N/A,TRUE,"Sheet1";"Sales",#N/A,TRUE,"Sheet1"}</definedName>
    <definedName name="wrn.InterSystem." hidden="1">{"Purchases",#N/A,TRUE,"Sheet1";"Sales",#N/A,TRUE,"Sheet1"}</definedName>
    <definedName name="wrn.Jury." localSheetId="2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localSheetId="1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localSheetId="2" hidden="1">{#N/A,#N/A,FALSE,"K"}</definedName>
    <definedName name="wrn.K." localSheetId="1" hidden="1">{#N/A,#N/A,FALSE,"K"}</definedName>
    <definedName name="wrn.K." hidden="1">{#N/A,#N/A,FALSE,"K"}</definedName>
    <definedName name="wrn.Key._.Messages." localSheetId="2" hidden="1">{"mad0291 - Personal View",#N/A,FALSE,"FEG";#N/A,#N/A,FALSE,"Carolinas";#N/A,#N/A,FALSE,"OH-KY";#N/A,#N/A,FALSE,"Indiana";#N/A,#N/A,FALSE,"Other Retail";#N/A,#N/A,FALSE,"Other "}</definedName>
    <definedName name="wrn.Key._.Messages." localSheetId="1" hidden="1">{"mad0291 - Personal View",#N/A,FALSE,"FEG";#N/A,#N/A,FALSE,"Carolinas";#N/A,#N/A,FALSE,"OH-KY";#N/A,#N/A,FALSE,"Indiana";#N/A,#N/A,FALSE,"Other Retail";#N/A,#N/A,FALSE,"Other 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localSheetId="2" hidden="1">{#N/A,#N/A,FALSE,"Mike"}</definedName>
    <definedName name="wrn.KeyCorp._.Summary." localSheetId="1" hidden="1">{#N/A,#N/A,FALSE,"Mike"}</definedName>
    <definedName name="wrn.KeyCorp._.Summary." hidden="1">{#N/A,#N/A,FALSE,"Mike"}</definedName>
    <definedName name="wrn.LEM." localSheetId="2" hidden="1">{#N/A,#N/A,TRUE,"Summary";#N/A,#N/A,TRUE,"Sales";#N/A,#N/A,TRUE,"Inc. Stmt.";#N/A,#N/A,TRUE,"Cash Flow"}</definedName>
    <definedName name="wrn.LEM." localSheetId="1" hidden="1">{#N/A,#N/A,TRUE,"Summary";#N/A,#N/A,TRUE,"Sales";#N/A,#N/A,TRUE,"Inc. Stmt.";#N/A,#N/A,TRUE,"Cash Flow"}</definedName>
    <definedName name="wrn.LEM." hidden="1">{#N/A,#N/A,TRUE,"Summary";#N/A,#N/A,TRUE,"Sales";#N/A,#N/A,TRUE,"Inc. Stmt.";#N/A,#N/A,TRUE,"Cash Flow"}</definedName>
    <definedName name="wrn.MBTUs." localSheetId="2" hidden="1">{"MBTUs",#N/A,FALSE,"A"}</definedName>
    <definedName name="wrn.MBTUs." localSheetId="1" hidden="1">{"MBTUs",#N/A,FALSE,"A"}</definedName>
    <definedName name="wrn.MBTUs." hidden="1">{"MBTUs",#N/A,FALSE,"A"}</definedName>
    <definedName name="wrn.MCCRK." localSheetId="2" hidden="1">{#N/A,#N/A,FALSE,"MCCRK"}</definedName>
    <definedName name="wrn.MCCRK." localSheetId="1" hidden="1">{#N/A,#N/A,FALSE,"MCCRK"}</definedName>
    <definedName name="wrn.MCCRK." hidden="1">{#N/A,#N/A,FALSE,"MCCRK"}</definedName>
    <definedName name="wrn.Monthly._.Report." localSheetId="2" hidden="1">{"Mwh Monthly Analysis",#N/A,FALSE,"Mwh Analysis";"Burn Monthly Analysis",#N/A,FALSE,"Burned Analysis"}</definedName>
    <definedName name="wrn.Monthly._.Report." localSheetId="1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NA." localSheetId="2" hidden="1">{#N/A,#N/A,FALSE,"NA"}</definedName>
    <definedName name="wrn.NA." localSheetId="1" hidden="1">{#N/A,#N/A,FALSE,"NA"}</definedName>
    <definedName name="wrn.NA." hidden="1">{#N/A,#N/A,FALSE,"NA"}</definedName>
    <definedName name="wrn.NCDSM." localSheetId="2" hidden="1">{"NC DSM",#N/A,FALSE,"SCHEDULE A; NC"}</definedName>
    <definedName name="wrn.NCDSM." localSheetId="1" hidden="1">{"NC DSM",#N/A,FALSE,"SCHEDULE A; NC"}</definedName>
    <definedName name="wrn.NCDSM." hidden="1">{"NC DSM",#N/A,FALSE,"SCHEDULE A; NC"}</definedName>
    <definedName name="wrn.ND._.Schedules._.Clean." localSheetId="2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1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localSheetId="2" hidden="1">{#N/A,#N/A,TRUE,"Inv - Alac";#N/A,#N/A,TRUE,"Nuclear Fuel";#N/A,#N/A,TRUE,"Nuclear Invoice";#N/A,#N/A,TRUE,"Sch A - Alachua";#N/A,#N/A,TRUE,"Gen Replace Cap";#N/A,#N/A,TRUE,"SCHED C - Alachua"}</definedName>
    <definedName name="wrn.Ocala" localSheetId="1" hidden="1">{#N/A,#N/A,TRUE,"Inv - Alac";#N/A,#N/A,TRUE,"Nuclear Fuel";#N/A,#N/A,TRUE,"Nuclear Invoice";#N/A,#N/A,TRUE,"Sch A - Alachua";#N/A,#N/A,TRUE,"Gen Replace Cap";#N/A,#N/A,TRUE,"SCHED C - Alachua"}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localSheetId="2" hidden="1">{"Page 1",#N/A,FALSE,"Sheet1";"Page 2",#N/A,FALSE,"Sheet1"}</definedName>
    <definedName name="wrn.Page._.1." localSheetId="1" hidden="1">{"Page 1",#N/A,FALSE,"Sheet1";"Page 2",#N/A,FALSE,"Sheet1"}</definedName>
    <definedName name="wrn.Page._.1." hidden="1">{"Page 1",#N/A,FALSE,"Sheet1";"Page 2",#N/A,FALSE,"Sheet1"}</definedName>
    <definedName name="wrn.PORTFOLIO." localSheetId="2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localSheetId="1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localSheetId="2" hidden="1">{#N/A,#N/A,FALSE,"EXPENSE"}</definedName>
    <definedName name="wrn.PREMDISC." localSheetId="1" hidden="1">{#N/A,#N/A,FALSE,"EXPENSE"}</definedName>
    <definedName name="wrn.PREMDISC." hidden="1">{#N/A,#N/A,FALSE,"EXPENSE"}</definedName>
    <definedName name="wrn.print." localSheetId="2" hidden="1">{"Input",#N/A,FALSE,"Input";"trueup",#N/A,FALSE,"Input";"Interest",#N/A,FALSE,"Input"}</definedName>
    <definedName name="wrn.print." localSheetId="1" hidden="1">{"Input",#N/A,FALSE,"Input";"trueup",#N/A,FALSE,"Input";"Interest",#N/A,FALSE,"Input"}</definedName>
    <definedName name="wrn.print." hidden="1">{"Input",#N/A,FALSE,"Input";"trueup",#N/A,FALSE,"Input";"Interest",#N/A,FALSE,"Input"}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localSheetId="2" hidden="1">{"EXHSPortrait1",#N/A,FALSE,"EXHIBITS";"EXHSLandscape",#N/A,FALSE,"EXHIBITS";"EXHSPortrait2",#N/A,FALSE,"EXHIBITS";"EXHSPortrait3",#N/A,FALSE,"EXHIBITS";"EXHSPortrait4",#N/A,FALSE,"EXHIBITS"}</definedName>
    <definedName name="wrn.PrintExhibits." localSheetId="1" hidden="1">{"EXHSPortrait1",#N/A,FALSE,"EXHIBITS";"EXHSLandscape",#N/A,FALSE,"EXHIBITS";"EXHSPortrait2",#N/A,FALSE,"EXHIBITS";"EXHSPortrait3",#N/A,FALSE,"EXHIBITS";"EXHSPortrait4",#N/A,FALSE,"EXHIBITS"}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Y_Sum." localSheetId="2" hidden="1">{"PY_SumDol",#N/A,TRUE,"Revenue";"PY_SumPct",#N/A,TRUE,"Revenue"}</definedName>
    <definedName name="wrn.PY_Sum." localSheetId="1" hidden="1">{"PY_SumDol",#N/A,TRUE,"Revenue";"PY_SumPct",#N/A,TRUE,"Revenue"}</definedName>
    <definedName name="wrn.PY_Sum." hidden="1">{"PY_SumDol",#N/A,TRUE,"Revenue";"PY_SumPct",#N/A,TRUE,"Revenue"}</definedName>
    <definedName name="wrn.Rate._.Reports." localSheetId="2" hidden="1">{#N/A,#N/A,FALSE,"Monthly Rate By Activity";#N/A,#N/A,FALSE,"Hourly Rate By Activity";#N/A,#N/A,FALSE,"Monthly Rate By Custom Resource";#N/A,#N/A,FALSE,"Hourly Rate By Custom Resource"}</definedName>
    <definedName name="wrn.Rate._.Reports." localSheetId="1" hidden="1">{#N/A,#N/A,FALSE,"Monthly Rate By Activity";#N/A,#N/A,FALSE,"Hourly Rate By Activity";#N/A,#N/A,FALSE,"Monthly Rate By Custom Resource";#N/A,#N/A,FALSE,"Hourly Rate By Custom Resource"}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localSheetId="2" hidden="1">{"Reconciliation 151",#N/A,FALSE,"A"}</definedName>
    <definedName name="wrn.Reconciliation._.151." localSheetId="1" hidden="1">{"Reconciliation 151",#N/A,FALSE,"A"}</definedName>
    <definedName name="wrn.Reconciliation._.151." hidden="1">{"Reconciliation 151",#N/A,FALSE,"A"}</definedName>
    <definedName name="wrn.Rippert." localSheetId="2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localSheetId="1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localSheetId="2" hidden="1">{"SC DSM",#N/A,FALSE,"SCHEDULE A; SC"}</definedName>
    <definedName name="wrn.SCDSM." localSheetId="1" hidden="1">{"SC DSM",#N/A,FALSE,"SCHEDULE A; SC"}</definedName>
    <definedName name="wrn.SCDSM." hidden="1">{"SC DSM",#N/A,FALSE,"SCHEDULE A; SC"}</definedName>
    <definedName name="wrn.Schedule._.2c." localSheetId="2" hidden="1">{"Schedule 2c",#N/A,FALSE,"SCHEDULE2c"}</definedName>
    <definedName name="wrn.Schedule._.2c." localSheetId="1" hidden="1">{"Schedule 2c",#N/A,FALSE,"SCHEDULE2c"}</definedName>
    <definedName name="wrn.Schedule._.2c." hidden="1">{"Schedule 2c",#N/A,FALSE,"SCHEDULE2c"}</definedName>
    <definedName name="wrn.Schedule._.5." localSheetId="2" hidden="1">{"Schedule 5",#N/A,FALSE,"A"}</definedName>
    <definedName name="wrn.Schedule._.5." localSheetId="1" hidden="1">{"Schedule 5",#N/A,FALSE,"A"}</definedName>
    <definedName name="wrn.Schedule._.5." hidden="1">{"Schedule 5",#N/A,FALSE,"A"}</definedName>
    <definedName name="wrn.Staffing." localSheetId="2" hidden="1">{#N/A,#N/A,FALSE,"Assessment";#N/A,#N/A,FALSE,"Staffing";#N/A,#N/A,FALSE,"Hires";#N/A,#N/A,FALSE,"Assumptions"}</definedName>
    <definedName name="wrn.Staffing." localSheetId="1" hidden="1">{#N/A,#N/A,FALSE,"Assessment";#N/A,#N/A,FALSE,"Staffing";#N/A,#N/A,FALSE,"Hires";#N/A,#N/A,FALSE,"Assumptions"}</definedName>
    <definedName name="wrn.Staffing." hidden="1">{#N/A,#N/A,FALSE,"Assessment";#N/A,#N/A,FALSE,"Staffing";#N/A,#N/A,FALSE,"Hires";#N/A,#N/A,FALSE,"Assumptions"}</definedName>
    <definedName name="wrn.Staffing._.Inputs." localSheetId="2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localSheetId="1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localSheetId="2" hidden="1">{#N/A,#N/A,FALSE,"Assessment";#N/A,#N/A,FALSE,"Staffing";#N/A,#N/A,FALSE,"Hires";#N/A,#N/A,FALSE,"Assumptions"}</definedName>
    <definedName name="wrn.Staffing1" localSheetId="1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_BOTH." localSheetId="2" hidden="1">{"FCB_ALL",#N/A,FALSE,"FCB";"GREY_ALL",#N/A,FALSE,"GREY"}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ETSON.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localSheetId="2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localSheetId="1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localSheetId="2" hidden="1">{"Mwh Summary",#N/A,FALSE,"Mwh Analysis";"Burn Summary",#N/A,FALSE,"Burned Analysis";"Summary 2008",#N/A,FALSE,"Summary 2008"}</definedName>
    <definedName name="wrn.Summary._.Report." localSheetId="1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wrn.Supplemental._.Information." localSheetId="2" hidden="1">{#N/A,#N/A,FALSE,"Assumptions";#N/A,#N/A,FALSE,"DNP Expense Summary";#N/A,#N/A,FALSE,"Sensitivity Analysis"}</definedName>
    <definedName name="wrn.Supplemental._.Information." localSheetId="1" hidden="1">{#N/A,#N/A,FALSE,"Assumptions";#N/A,#N/A,FALSE,"DNP Expense Summary";#N/A,#N/A,FALSE,"Sensitivity Analysis"}</definedName>
    <definedName name="wrn.Supplemental._.Information." hidden="1">{#N/A,#N/A,FALSE,"Assumptions";#N/A,#N/A,FALSE,"DNP Expense Summary";#N/A,#N/A,FALSE,"Sensitivity Analysis"}</definedName>
    <definedName name="wrn.TESTS." localSheetId="2" hidden="1">{"PAGE_1",#N/A,FALSE,"MONTH"}</definedName>
    <definedName name="wrn.TESTS." localSheetId="1" hidden="1">{"PAGE_1",#N/A,FALSE,"MONTH"}</definedName>
    <definedName name="wrn.TESTS." hidden="1">{"PAGE_1",#N/A,FALSE,"MONTH"}</definedName>
    <definedName name="wrn.Trading._.Summary." localSheetId="2" hidden="1">{#N/A,#N/A,FALSE,"Trading Summary"}</definedName>
    <definedName name="wrn.Trading._.Summary." localSheetId="1" hidden="1">{#N/A,#N/A,FALSE,"Trading Summary"}</definedName>
    <definedName name="wrn.Trading._.Summary." hidden="1">{#N/A,#N/A,FALSE,"Trading Summary"}</definedName>
    <definedName name="wrn.Unit._.Financials." localSheetId="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localSheetId="2" hidden="1">{#N/A,#N/A,FALSE,"USA"}</definedName>
    <definedName name="wrn.USA." localSheetId="1" hidden="1">{#N/A,#N/A,FALSE,"USA"}</definedName>
    <definedName name="wrn.USA." hidden="1">{#N/A,#N/A,FALSE,"USA"}</definedName>
    <definedName name="wrn.Workfile." localSheetId="2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1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localSheetId="2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1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localSheetId="2" hidden="1">{#N/A,#N/A,FALSE,"WWY"}</definedName>
    <definedName name="wrn.WWY." localSheetId="1" hidden="1">{#N/A,#N/A,FALSE,"WWY"}</definedName>
    <definedName name="wrn.WWY." hidden="1">{#N/A,#N/A,FALSE,"WWY"}</definedName>
    <definedName name="wrt" localSheetId="2" hidden="1">{#N/A,#N/A,FALSE,"EXPENSE"}</definedName>
    <definedName name="wrt" localSheetId="1" hidden="1">{#N/A,#N/A,FALSE,"EXPENSE"}</definedName>
    <definedName name="wrt" hidden="1">{#N/A,#N/A,FALSE,"EXPENSE"}</definedName>
    <definedName name="wrwerrwer" localSheetId="2" hidden="1">{#N/A,#N/A,FALSE,"ALLOC"}</definedName>
    <definedName name="wrwerrwer" localSheetId="1" hidden="1">{#N/A,#N/A,FALSE,"ALLOC"}</definedName>
    <definedName name="wrwerrwer" hidden="1">{#N/A,#N/A,FALSE,"ALLOC"}</definedName>
    <definedName name="wtyu" localSheetId="2" hidden="1">{#N/A,#N/A,FALSE,"Aging Summary";#N/A,#N/A,FALSE,"Ratio Analysis";#N/A,#N/A,FALSE,"Test 120 Day Accts";#N/A,#N/A,FALSE,"Tickmarks"}</definedName>
    <definedName name="wtyu" localSheetId="1" hidden="1">{#N/A,#N/A,FALSE,"Aging Summary";#N/A,#N/A,FALSE,"Ratio Analysis";#N/A,#N/A,FALSE,"Test 120 Day Accts";#N/A,#N/A,FALSE,"Tickmarks"}</definedName>
    <definedName name="wtyu" hidden="1">{#N/A,#N/A,FALSE,"Aging Summary";#N/A,#N/A,FALSE,"Ratio Analysis";#N/A,#N/A,FALSE,"Test 120 Day Accts";#N/A,#N/A,FALSE,"Tickmarks"}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localSheetId="2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localSheetId="1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localSheetId="2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localSheetId="1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localSheetId="2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localSheetId="1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localSheetId="2" hidden="1">{#N/A,#N/A,FALSE,"EXPENSE"}</definedName>
    <definedName name="wwwwwww" localSheetId="1" hidden="1">{#N/A,#N/A,FALSE,"EXPENSE"}</definedName>
    <definedName name="wwwwwww" hidden="1">{#N/A,#N/A,FALSE,"EXPENSE"}</definedName>
    <definedName name="X" localSheetId="3">#REF!</definedName>
    <definedName name="X" localSheetId="6">#REF!</definedName>
    <definedName name="X" localSheetId="18">#REF!</definedName>
    <definedName name="X" localSheetId="21">#REF!</definedName>
    <definedName name="X" localSheetId="24">#REF!</definedName>
    <definedName name="X" localSheetId="2">#REF!</definedName>
    <definedName name="X" localSheetId="5">#REF!</definedName>
    <definedName name="X" localSheetId="17">#REF!</definedName>
    <definedName name="X" localSheetId="20">#REF!</definedName>
    <definedName name="X" localSheetId="23">#REF!</definedName>
    <definedName name="X" localSheetId="1">#REF!</definedName>
    <definedName name="X" localSheetId="4">#REF!</definedName>
    <definedName name="X" localSheetId="16">#REF!</definedName>
    <definedName name="X" localSheetId="19">#REF!</definedName>
    <definedName name="X" localSheetId="22">#REF!</definedName>
    <definedName name="X" localSheetId="0">#REF!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hidden="1">#REF!</definedName>
    <definedName name="Xbrl_Tag_075d33f9_8d44_4b5e_8fc8_85eada4f464a" hidden="1">#REF!</definedName>
    <definedName name="Xbrl_Tag_0a527475_1b41_4c03_bf3e_82e631232d6b" hidden="1">#REF!</definedName>
    <definedName name="Xbrl_Tag_0bc4560b_9d42_4e7c_bfcf_072f8e0e087b" hidden="1">#REF!</definedName>
    <definedName name="Xbrl_Tag_0c54907b_74c4_4d3a_b16d_9d5b6191a8f0" hidden="1">#REF!</definedName>
    <definedName name="Xbrl_Tag_0f074d5a_3373_452d_affc_9e3adc16f0cc" hidden="1">#REF!</definedName>
    <definedName name="Xbrl_Tag_10857a19_f8a4_4178_b6d5_1f56875498d8" hidden="1">#REF!</definedName>
    <definedName name="Xbrl_Tag_157035cb_bd67_4700_bac9_8654f3e0e9d9" hidden="1">#REF!</definedName>
    <definedName name="Xbrl_Tag_1a17ee58_77be_41d6_a839_b459b55e8e50" hidden="1">#REF!</definedName>
    <definedName name="Xbrl_Tag_1d7e0664_9af3_4cfd_93bd_b4acb420ada8" hidden="1">#REF!</definedName>
    <definedName name="Xbrl_Tag_1f22c9c6_d780_4c43_95fb_8b6123261b05" hidden="1">#REF!</definedName>
    <definedName name="Xbrl_Tag_25b41a93_9486_45f9_8873_cc646f7592ac" hidden="1">#REF!</definedName>
    <definedName name="Xbrl_Tag_3389f7d8_f533_46e1_b4e3_fbec1f4d27f5" hidden="1">#REF!</definedName>
    <definedName name="Xbrl_Tag_359d872e_df59_485a_a441_e3067597753f" hidden="1">#REF!</definedName>
    <definedName name="Xbrl_Tag_359eab43_6bae_4f5a_8af7_8f81553cd43d" hidden="1">#REF!</definedName>
    <definedName name="Xbrl_Tag_3a2d5606_5470_4db9_9313_3dc1f43a8b30" hidden="1">#REF!</definedName>
    <definedName name="Xbrl_Tag_3b572db0_b5be_49cb_9497_3be0c26ec438" hidden="1">#REF!</definedName>
    <definedName name="Xbrl_Tag_3e2a4b0f_a9ba_404c_8c83_bbd3862592e4" hidden="1">#REF!</definedName>
    <definedName name="Xbrl_Tag_3f1c33f0_bff2_4296_9181_d7cc1cb508ad" hidden="1">#REF!</definedName>
    <definedName name="Xbrl_Tag_43160aa8_61a0_4559_8ee5_d6da660cfd7b" hidden="1">#REF!</definedName>
    <definedName name="Xbrl_Tag_47e22a59_7971_444b_8e73_01e5291185bb" hidden="1">#REF!</definedName>
    <definedName name="Xbrl_Tag_5225a8bc_9d76_4e4d_8197_37f70d298267" hidden="1">#REF!</definedName>
    <definedName name="Xbrl_Tag_56e27846_9e07_4473_ad08_7bb4a5bf7faa" hidden="1">#REF!</definedName>
    <definedName name="Xbrl_Tag_5b7286ee_d427_4e54_9399_1a836cd32976" hidden="1">#REF!</definedName>
    <definedName name="Xbrl_Tag_5e2f6e4c_effc_4374_9096_f6a66490bc43" hidden="1">#REF!</definedName>
    <definedName name="Xbrl_Tag_5e4ed468_08c0_4e10_b780_063e9fad75bb" hidden="1">#REF!</definedName>
    <definedName name="Xbrl_Tag_5efedf90_6eb4_4d47_8343_cb1307f08d80" hidden="1">#REF!</definedName>
    <definedName name="Xbrl_Tag_60671786_7f0e_4efe_b101_fc89065bbbc4" hidden="1">#REF!</definedName>
    <definedName name="Xbrl_Tag_60802841_ecf0_4e57_a96e_084d65541dcb" hidden="1">#REF!</definedName>
    <definedName name="Xbrl_Tag_6b90dd42_fcd8_4968_8afd_6736492259b1" hidden="1">#REF!</definedName>
    <definedName name="Xbrl_Tag_6e1527a0_8e9b_41c7_b670_b6099df9c72f" hidden="1">#REF!</definedName>
    <definedName name="Xbrl_Tag_7003e101_ef6f_40fd_959a_81c14d2cf88a" hidden="1">#REF!</definedName>
    <definedName name="Xbrl_Tag_7120f3c6_2d5d_417b_9dd0_ecab9471dbc9" hidden="1">#REF!</definedName>
    <definedName name="Xbrl_Tag_717e1b49_4a4d_41a2_8691_a3ef7d067cf1" hidden="1">#REF!</definedName>
    <definedName name="Xbrl_Tag_729b319e_8812_4e23_9b44_cd813ffaf1fe" hidden="1">#REF!</definedName>
    <definedName name="Xbrl_Tag_74e27f18_3a0d_499e_a65b_355cefde250d" hidden="1">#REF!</definedName>
    <definedName name="Xbrl_Tag_76377ee8_44ec_4706_b36c_e475d4a6cffc" hidden="1">#REF!</definedName>
    <definedName name="Xbrl_Tag_7bfd249d_4459_4a20_97f6_779ca44ada3b" hidden="1">#REF!</definedName>
    <definedName name="Xbrl_Tag_848a3bbd_ffb9_4097_93bf_014229938d6a" hidden="1">#REF!</definedName>
    <definedName name="Xbrl_Tag_8d5cd3d4_55e4_4713_bce9_54948c631266" hidden="1">#REF!</definedName>
    <definedName name="Xbrl_Tag_9265a09f_3d1f_4e90_8181_a55f534abcf7" hidden="1">#REF!</definedName>
    <definedName name="Xbrl_Tag_94cf5a67_ea28_42d1_b071_8f24a2864445" hidden="1">#REF!</definedName>
    <definedName name="Xbrl_Tag_95086fc4_6c0f_4a0f_bf5f_c393cf959e9a" hidden="1">#REF!</definedName>
    <definedName name="Xbrl_Tag_99933dd6_f0fc_421a_9b9b_634b2b60dec3" hidden="1">#REF!</definedName>
    <definedName name="Xbrl_Tag_a862d720_9241_4a30_a271_b70e9c381f31" hidden="1">#REF!</definedName>
    <definedName name="Xbrl_Tag_adfbba3c_68ad_4b08_a539_0ed55d3f9d5a" hidden="1">#REF!</definedName>
    <definedName name="Xbrl_Tag_ae50734f_518c_403d_9d12_e2a921b026bb" hidden="1">#REF!</definedName>
    <definedName name="Xbrl_Tag_b0241925_c1ae_46bf_a767_386c3caff01d" hidden="1">#REF!</definedName>
    <definedName name="Xbrl_Tag_b5d40829_0fdd_433d_a950_71e472d9ef83" hidden="1">#REF!</definedName>
    <definedName name="Xbrl_Tag_b649d62e_a6bc_4241_a6b7_068087ca85f4" hidden="1">#REF!</definedName>
    <definedName name="Xbrl_Tag_b8bf6112_e4b6_49dc_ba78_da6302bc43e7" hidden="1">#REF!</definedName>
    <definedName name="Xbrl_Tag_bae390fc_4591_4996_aba5_07899907ff02" hidden="1">#REF!</definedName>
    <definedName name="Xbrl_Tag_c251f426_b699_40b7_ba72_06cdc2336bb3" hidden="1">#REF!</definedName>
    <definedName name="Xbrl_Tag_c9749016_30d3_4a1c_a478_72760a5958e3" hidden="1">#REF!</definedName>
    <definedName name="Xbrl_Tag_c9f670e1_f64d_4c34_a82b_5400bfb21c56" hidden="1">#REF!</definedName>
    <definedName name="Xbrl_Tag_cd60a268_2a82_4c24_ac15_f0f7ad874107" hidden="1">#REF!</definedName>
    <definedName name="Xbrl_Tag_cedeaf5a_67a1_461e_8505_b0f9b2659e01" hidden="1">#REF!</definedName>
    <definedName name="Xbrl_Tag_d4afa79e_d64b_4386_af66_81110932cac7" hidden="1">#REF!</definedName>
    <definedName name="Xbrl_Tag_d646885a_13e7_48b6_a22b_b23dd67119ff" hidden="1">#REF!</definedName>
    <definedName name="Xbrl_Tag_d9ae9ca8_593c_41e1_a638_114bebca7596" hidden="1">#REF!</definedName>
    <definedName name="Xbrl_Tag_e18ec5c4_a090_4244_ac37_0dcecc7c81d8" hidden="1">#REF!</definedName>
    <definedName name="Xbrl_Tag_e1ea8c88_b797_4407_a87d_9da2892362e4" hidden="1">#REF!</definedName>
    <definedName name="Xbrl_Tag_e75da760_6958_4085_aa7d_1b3c5e32dd34" hidden="1">#REF!</definedName>
    <definedName name="Xbrl_Tag_e8bfc542_785c_45ec_9dbe_3b93db69332e" hidden="1">#REF!</definedName>
    <definedName name="Xbrl_Tag_eade47b0_2243_4d32_861b_8c3268e26cf3" hidden="1">#REF!</definedName>
    <definedName name="Xbrl_Tag_ed34a669_2210_43e3_8d94_63f3a7a48c96" hidden="1">#REF!</definedName>
    <definedName name="Xbrl_Tag_ee7a2416_a975_4201_9277_8290d8908ccf" hidden="1">#REF!</definedName>
    <definedName name="Xbrl_Tag_ee8a51a9_161a_4f09_82e8_d18efd1119a1" hidden="1">#REF!</definedName>
    <definedName name="Xbrl_Tag_efa044fd_a1b2_40a5_b1f9_72090c947b21" hidden="1">#REF!</definedName>
    <definedName name="Xbrl_Tag_f5d3fddf_4f85_4525_871f_f5d116e6ca67" hidden="1">#REF!</definedName>
    <definedName name="Xbrl_Tag_f80d63c5_ffff_4f9e_a25e_9c37480fc1ae" hidden="1">#REF!</definedName>
    <definedName name="Xbrl_Tag_f91e44a0_2671_4cea_8dec_43ad8dbe440f" hidden="1">#REF!</definedName>
    <definedName name="Xbrl_Tag_fab5f0e9_4198_47ff_9b56_c2280e7e2d27" hidden="1">#REF!</definedName>
    <definedName name="Xbrl_Tag_fc82f321_49fd_456c_a7a3_9e9b572f9fad" hidden="1">#REF!</definedName>
    <definedName name="Xbrl_Tag_fd0762ba_faef_48ae_8f93_3b1682db973d" hidden="1">#REF!</definedName>
    <definedName name="Xbrl_Tag_fdbfb964_4eb0_44bd_ba7a_9dfdfb13f3a4" hidden="1">#REF!</definedName>
    <definedName name="XRefActiveRow" localSheetId="3" hidden="1">#REF!</definedName>
    <definedName name="XRefActiveRow" localSheetId="6" hidden="1">#REF!</definedName>
    <definedName name="XRefActiveRow" localSheetId="18" hidden="1">#REF!</definedName>
    <definedName name="XRefActiveRow" localSheetId="21" hidden="1">#REF!</definedName>
    <definedName name="XRefActiveRow" localSheetId="24" hidden="1">#REF!</definedName>
    <definedName name="XRefActiveRow" localSheetId="2" hidden="1">#REF!</definedName>
    <definedName name="XRefActiveRow" localSheetId="5" hidden="1">#REF!</definedName>
    <definedName name="XRefActiveRow" localSheetId="17" hidden="1">#REF!</definedName>
    <definedName name="XRefActiveRow" localSheetId="20" hidden="1">#REF!</definedName>
    <definedName name="XRefActiveRow" localSheetId="23" hidden="1">#REF!</definedName>
    <definedName name="XRefActiveRow" localSheetId="1" hidden="1">#REF!</definedName>
    <definedName name="XRefActiveRow" localSheetId="4" hidden="1">#REF!</definedName>
    <definedName name="XRefActiveRow" localSheetId="16" hidden="1">#REF!</definedName>
    <definedName name="XRefActiveRow" localSheetId="19" hidden="1">#REF!</definedName>
    <definedName name="XRefActiveRow" localSheetId="22" hidden="1">#REF!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3" hidden="1">#REF!</definedName>
    <definedName name="XRefCopy1Row" localSheetId="6" hidden="1">#REF!</definedName>
    <definedName name="XRefCopy1Row" localSheetId="18" hidden="1">#REF!</definedName>
    <definedName name="XRefCopy1Row" localSheetId="21" hidden="1">#REF!</definedName>
    <definedName name="XRefCopy1Row" localSheetId="24" hidden="1">#REF!</definedName>
    <definedName name="XRefCopy1Row" localSheetId="2" hidden="1">#REF!</definedName>
    <definedName name="XRefCopy1Row" localSheetId="5" hidden="1">#REF!</definedName>
    <definedName name="XRefCopy1Row" localSheetId="17" hidden="1">#REF!</definedName>
    <definedName name="XRefCopy1Row" localSheetId="20" hidden="1">#REF!</definedName>
    <definedName name="XRefCopy1Row" localSheetId="23" hidden="1">#REF!</definedName>
    <definedName name="XRefCopy1Row" localSheetId="1" hidden="1">#REF!</definedName>
    <definedName name="XRefCopy1Row" localSheetId="4" hidden="1">#REF!</definedName>
    <definedName name="XRefCopy1Row" localSheetId="16" hidden="1">#REF!</definedName>
    <definedName name="XRefCopy1Row" localSheetId="19" hidden="1">#REF!</definedName>
    <definedName name="XRefCopy1Row" localSheetId="22" hidden="1">#REF!</definedName>
    <definedName name="XRefCopy1Row" localSheetId="0" hidden="1">#REF!</definedName>
    <definedName name="XRefCopy1Row" hidden="1">#REF!</definedName>
    <definedName name="XRefCopy2Row" localSheetId="3" hidden="1">#REF!</definedName>
    <definedName name="XRefCopy2Row" localSheetId="6" hidden="1">#REF!</definedName>
    <definedName name="XRefCopy2Row" localSheetId="18" hidden="1">#REF!</definedName>
    <definedName name="XRefCopy2Row" localSheetId="21" hidden="1">#REF!</definedName>
    <definedName name="XRefCopy2Row" localSheetId="24" hidden="1">#REF!</definedName>
    <definedName name="XRefCopy2Row" localSheetId="2" hidden="1">#REF!</definedName>
    <definedName name="XRefCopy2Row" localSheetId="5" hidden="1">#REF!</definedName>
    <definedName name="XRefCopy2Row" localSheetId="17" hidden="1">#REF!</definedName>
    <definedName name="XRefCopy2Row" localSheetId="20" hidden="1">#REF!</definedName>
    <definedName name="XRefCopy2Row" localSheetId="23" hidden="1">#REF!</definedName>
    <definedName name="XRefCopy2Row" localSheetId="1" hidden="1">#REF!</definedName>
    <definedName name="XRefCopy2Row" localSheetId="4" hidden="1">#REF!</definedName>
    <definedName name="XRefCopy2Row" localSheetId="16" hidden="1">#REF!</definedName>
    <definedName name="XRefCopy2Row" localSheetId="19" hidden="1">#REF!</definedName>
    <definedName name="XRefCopy2Row" localSheetId="22" hidden="1">#REF!</definedName>
    <definedName name="XRefCopy2Row" localSheetId="0" hidden="1">#REF!</definedName>
    <definedName name="XRefCopy2Row" hidden="1">#REF!</definedName>
    <definedName name="XRefCopy3Row" localSheetId="3" hidden="1">#REF!</definedName>
    <definedName name="XRefCopy3Row" localSheetId="6" hidden="1">#REF!</definedName>
    <definedName name="XRefCopy3Row" localSheetId="18" hidden="1">#REF!</definedName>
    <definedName name="XRefCopy3Row" localSheetId="21" hidden="1">#REF!</definedName>
    <definedName name="XRefCopy3Row" localSheetId="24" hidden="1">#REF!</definedName>
    <definedName name="XRefCopy3Row" localSheetId="2" hidden="1">#REF!</definedName>
    <definedName name="XRefCopy3Row" localSheetId="5" hidden="1">#REF!</definedName>
    <definedName name="XRefCopy3Row" localSheetId="17" hidden="1">#REF!</definedName>
    <definedName name="XRefCopy3Row" localSheetId="20" hidden="1">#REF!</definedName>
    <definedName name="XRefCopy3Row" localSheetId="23" hidden="1">#REF!</definedName>
    <definedName name="XRefCopy3Row" localSheetId="1" hidden="1">#REF!</definedName>
    <definedName name="XRefCopy3Row" localSheetId="4" hidden="1">#REF!</definedName>
    <definedName name="XRefCopy3Row" localSheetId="16" hidden="1">#REF!</definedName>
    <definedName name="XRefCopy3Row" localSheetId="19" hidden="1">#REF!</definedName>
    <definedName name="XRefCopy3Row" localSheetId="22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3" hidden="1">#REF!</definedName>
    <definedName name="XRefPaste1Row" localSheetId="6" hidden="1">#REF!</definedName>
    <definedName name="XRefPaste1Row" localSheetId="18" hidden="1">#REF!</definedName>
    <definedName name="XRefPaste1Row" localSheetId="21" hidden="1">#REF!</definedName>
    <definedName name="XRefPaste1Row" localSheetId="24" hidden="1">#REF!</definedName>
    <definedName name="XRefPaste1Row" localSheetId="2" hidden="1">#REF!</definedName>
    <definedName name="XRefPaste1Row" localSheetId="5" hidden="1">#REF!</definedName>
    <definedName name="XRefPaste1Row" localSheetId="17" hidden="1">#REF!</definedName>
    <definedName name="XRefPaste1Row" localSheetId="20" hidden="1">#REF!</definedName>
    <definedName name="XRefPaste1Row" localSheetId="23" hidden="1">#REF!</definedName>
    <definedName name="XRefPaste1Row" localSheetId="1" hidden="1">#REF!</definedName>
    <definedName name="XRefPaste1Row" localSheetId="4" hidden="1">#REF!</definedName>
    <definedName name="XRefPaste1Row" localSheetId="16" hidden="1">#REF!</definedName>
    <definedName name="XRefPaste1Row" localSheetId="19" hidden="1">#REF!</definedName>
    <definedName name="XRefPaste1Row" localSheetId="22" hidden="1">#REF!</definedName>
    <definedName name="XRefPaste1Row" localSheetId="0" hidden="1">#REF!</definedName>
    <definedName name="XRefPaste1Row" hidden="1">#REF!</definedName>
    <definedName name="XRefPaste2Row" localSheetId="3" hidden="1">#REF!</definedName>
    <definedName name="XRefPaste2Row" localSheetId="6" hidden="1">#REF!</definedName>
    <definedName name="XRefPaste2Row" localSheetId="18" hidden="1">#REF!</definedName>
    <definedName name="XRefPaste2Row" localSheetId="21" hidden="1">#REF!</definedName>
    <definedName name="XRefPaste2Row" localSheetId="24" hidden="1">#REF!</definedName>
    <definedName name="XRefPaste2Row" localSheetId="2" hidden="1">#REF!</definedName>
    <definedName name="XRefPaste2Row" localSheetId="5" hidden="1">#REF!</definedName>
    <definedName name="XRefPaste2Row" localSheetId="17" hidden="1">#REF!</definedName>
    <definedName name="XRefPaste2Row" localSheetId="20" hidden="1">#REF!</definedName>
    <definedName name="XRefPaste2Row" localSheetId="23" hidden="1">#REF!</definedName>
    <definedName name="XRefPaste2Row" localSheetId="1" hidden="1">#REF!</definedName>
    <definedName name="XRefPaste2Row" localSheetId="4" hidden="1">#REF!</definedName>
    <definedName name="XRefPaste2Row" localSheetId="16" hidden="1">#REF!</definedName>
    <definedName name="XRefPaste2Row" localSheetId="19" hidden="1">#REF!</definedName>
    <definedName name="XRefPaste2Row" localSheetId="22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x" localSheetId="3">#REF!</definedName>
    <definedName name="xx" localSheetId="6">#REF!</definedName>
    <definedName name="xx" localSheetId="18">#REF!</definedName>
    <definedName name="xx" localSheetId="21">#REF!</definedName>
    <definedName name="xx" localSheetId="24">#REF!</definedName>
    <definedName name="xx" localSheetId="2">#REF!</definedName>
    <definedName name="xx" localSheetId="5">#REF!</definedName>
    <definedName name="xx" localSheetId="17">#REF!</definedName>
    <definedName name="xx" localSheetId="20">#REF!</definedName>
    <definedName name="xx" localSheetId="23">#REF!</definedName>
    <definedName name="xx" localSheetId="1">#REF!</definedName>
    <definedName name="xx" localSheetId="4">#REF!</definedName>
    <definedName name="xx" localSheetId="16">#REF!</definedName>
    <definedName name="xx" localSheetId="19">#REF!</definedName>
    <definedName name="xx" localSheetId="22">#REF!</definedName>
    <definedName name="xx" localSheetId="0">#REF!</definedName>
    <definedName name="xx">#REF!</definedName>
    <definedName name="xxx" localSheetId="2" hidden="1">{"capital",#N/A,FALSE,"Analysis";"input data",#N/A,FALSE,"Analysis"}</definedName>
    <definedName name="xxx" localSheetId="1" hidden="1">{"capital",#N/A,FALSE,"Analysis";"input data",#N/A,FALSE,"Analysis"}</definedName>
    <definedName name="xxx" hidden="1">{"capital",#N/A,FALSE,"Analysis";"input data",#N/A,FALSE,"Analysis"}</definedName>
    <definedName name="xxxxxxxxxxxxxxxxxxxxxx" localSheetId="2" hidden="1">{#N/A,#N/A,FALSE,"EXPENSE"}</definedName>
    <definedName name="xxxxxxxxxxxxxxxxxxxxxx" localSheetId="1" hidden="1">{#N/A,#N/A,FALSE,"EXPENSE"}</definedName>
    <definedName name="xxxxxxxxxxxxxxxxxxxxxx" hidden="1">{#N/A,#N/A,FALSE,"EXPENSE"}</definedName>
    <definedName name="XYZ" localSheetId="2" hidden="1">{"PAGE_1",#N/A,FALSE,"MONTH"}</definedName>
    <definedName name="XYZ" localSheetId="1" hidden="1">{"PAGE_1",#N/A,FALSE,"MONTH"}</definedName>
    <definedName name="XYZ" hidden="1">{"PAGE_1",#N/A,FALSE,"MONTH"}</definedName>
    <definedName name="xyzUserPassword" hidden="1">"abcd"</definedName>
    <definedName name="xz" localSheetId="2" hidden="1">{#N/A,#N/A,FALSE,"Aging Summary";#N/A,#N/A,FALSE,"Ratio Analysis";#N/A,#N/A,FALSE,"Test 120 Day Accts";#N/A,#N/A,FALSE,"Tickmarks"}</definedName>
    <definedName name="xz" localSheetId="1" hidden="1">{#N/A,#N/A,FALSE,"Aging Summary";#N/A,#N/A,FALSE,"Ratio Analysis";#N/A,#N/A,FALSE,"Test 120 Day Accts";#N/A,#N/A,FALSE,"Tickmarks"}</definedName>
    <definedName name="xz" hidden="1">{#N/A,#N/A,FALSE,"Aging Summary";#N/A,#N/A,FALSE,"Ratio Analysis";#N/A,#N/A,FALSE,"Test 120 Day Accts";#N/A,#N/A,FALSE,"Tickmarks"}</definedName>
    <definedName name="xzy" localSheetId="2" hidden="1">{#N/A,#N/A,FALSE,"ALLOC"}</definedName>
    <definedName name="xzy" localSheetId="1" hidden="1">{#N/A,#N/A,FALSE,"ALLOC"}</definedName>
    <definedName name="xzy" hidden="1">{#N/A,#N/A,FALSE,"ALLOC"}</definedName>
    <definedName name="y" hidden="1">#REF!</definedName>
    <definedName name="ydrtydgdg" localSheetId="2" hidden="1">{#N/A,#N/A,FALSE,"EXPENSE"}</definedName>
    <definedName name="ydrtydgdg" localSheetId="1" hidden="1">{#N/A,#N/A,FALSE,"EXPENSE"}</definedName>
    <definedName name="ydrtydgdg" hidden="1">{#N/A,#N/A,FALSE,"EXPENSE"}</definedName>
    <definedName name="Yes.No">#REF!</definedName>
    <definedName name="yeteterter" localSheetId="2" hidden="1">{#N/A,#N/A,FALSE,"ALLOC"}</definedName>
    <definedName name="yeteterter" localSheetId="1" hidden="1">{#N/A,#N/A,FALSE,"ALLOC"}</definedName>
    <definedName name="yeteterter" hidden="1">{#N/A,#N/A,FALSE,"ALLOC"}</definedName>
    <definedName name="yeyertrt" localSheetId="2" hidden="1">{#N/A,#N/A,FALSE,"ALLOC"}</definedName>
    <definedName name="yeyertrt" localSheetId="1" hidden="1">{#N/A,#N/A,FALSE,"ALLOC"}</definedName>
    <definedName name="yeyertrt" hidden="1">{#N/A,#N/A,FALSE,"ALLOC"}</definedName>
    <definedName name="yjtdhjhtshbrfgadf" localSheetId="2" hidden="1">{#N/A,#N/A,FALSE,"EXPENSE"}</definedName>
    <definedName name="yjtdhjhtshbrfgadf" localSheetId="1" hidden="1">{#N/A,#N/A,FALSE,"EXPENSE"}</definedName>
    <definedName name="yjtdhjhtshbrfgadf" hidden="1">{#N/A,#N/A,FALSE,"EXPENSE"}</definedName>
    <definedName name="YR">#REF!</definedName>
    <definedName name="yr00" localSheetId="3">#REF!</definedName>
    <definedName name="yr00" localSheetId="6">#REF!</definedName>
    <definedName name="yr00" localSheetId="18">#REF!</definedName>
    <definedName name="yr00" localSheetId="21">#REF!</definedName>
    <definedName name="yr00" localSheetId="24">#REF!</definedName>
    <definedName name="yr00" localSheetId="2">#REF!</definedName>
    <definedName name="yr00" localSheetId="5">#REF!</definedName>
    <definedName name="yr00" localSheetId="17">#REF!</definedName>
    <definedName name="yr00" localSheetId="20">#REF!</definedName>
    <definedName name="yr00" localSheetId="23">#REF!</definedName>
    <definedName name="yr00" localSheetId="1">#REF!</definedName>
    <definedName name="yr00" localSheetId="4">#REF!</definedName>
    <definedName name="yr00" localSheetId="16">#REF!</definedName>
    <definedName name="yr00" localSheetId="19">#REF!</definedName>
    <definedName name="yr00" localSheetId="22">#REF!</definedName>
    <definedName name="yr00" localSheetId="0">#REF!</definedName>
    <definedName name="yr00">#REF!</definedName>
    <definedName name="yrtyrtyrt" localSheetId="2" hidden="1">{#N/A,#N/A,FALSE,"ALLOC"}</definedName>
    <definedName name="yrtyrtyrt" localSheetId="1" hidden="1">{#N/A,#N/A,FALSE,"ALLOC"}</definedName>
    <definedName name="yrtyrtyrt" hidden="1">{#N/A,#N/A,FALSE,"ALLOC"}</definedName>
    <definedName name="yrtyryryf" localSheetId="2" hidden="1">{#N/A,#N/A,FALSE,"EXPENSE"}</definedName>
    <definedName name="yrtyryryf" localSheetId="1" hidden="1">{#N/A,#N/A,FALSE,"EXPENSE"}</definedName>
    <definedName name="yrtyryryf" hidden="1">{#N/A,#N/A,FALSE,"EXPENSE"}</definedName>
    <definedName name="yryrtyrty" localSheetId="2" hidden="1">{#N/A,#N/A,FALSE,"EXPENSE"}</definedName>
    <definedName name="yryrtyrty" localSheetId="1" hidden="1">{#N/A,#N/A,FALSE,"EXPENSE"}</definedName>
    <definedName name="yryrtyrty" hidden="1">{#N/A,#N/A,FALSE,"EXPENSE"}</definedName>
    <definedName name="yt" localSheetId="2" hidden="1">{#N/A,#N/A,FALSE,"Aging Summary";#N/A,#N/A,FALSE,"Ratio Analysis";#N/A,#N/A,FALSE,"Test 120 Day Accts";#N/A,#N/A,FALSE,"Tickmarks"}</definedName>
    <definedName name="yt" localSheetId="1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  <definedName name="ytetetet" localSheetId="2" hidden="1">{#N/A,#N/A,FALSE,"EXPENSE"}</definedName>
    <definedName name="ytetetet" localSheetId="1" hidden="1">{#N/A,#N/A,FALSE,"EXPENSE"}</definedName>
    <definedName name="ytetetet" hidden="1">{#N/A,#N/A,FALSE,"EXPENSE"}</definedName>
    <definedName name="ytrysrtertrtyhfgh" localSheetId="2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yrtyhrbfgbv" localSheetId="2" hidden="1">{#N/A,#N/A,FALSE,"EXPENSE"}</definedName>
    <definedName name="ytyrtyhrbfgbv" localSheetId="1" hidden="1">{#N/A,#N/A,FALSE,"EXPENSE"}</definedName>
    <definedName name="ytyrtyhrbfgbv" hidden="1">{#N/A,#N/A,FALSE,"EXPENSE"}</definedName>
    <definedName name="yyyyy" localSheetId="2" hidden="1">{#N/A,#N/A,FALSE,"EXPENSE"}</definedName>
    <definedName name="yyyyy" localSheetId="1" hidden="1">{#N/A,#N/A,FALSE,"EXPENSE"}</definedName>
    <definedName name="yyyyy" hidden="1">{#N/A,#N/A,FALSE,"EXPENSE"}</definedName>
    <definedName name="yyyyyyy" localSheetId="2" hidden="1">{#N/A,#N/A,FALSE,"EXPENSE"}</definedName>
    <definedName name="yyyyyyy" localSheetId="1" hidden="1">{#N/A,#N/A,FALSE,"EXPENSE"}</definedName>
    <definedName name="yyyyyyy" hidden="1">{#N/A,#N/A,FALSE,"EXPENSE"}</definedName>
    <definedName name="z" localSheetId="2" hidden="1">{"Page 1",#N/A,FALSE,"Sheet1";"Page 2",#N/A,FALSE,"Sheet1"}</definedName>
    <definedName name="z" localSheetId="1" hidden="1">{"Page 1",#N/A,FALSE,"Sheet1";"Page 2",#N/A,FALSE,"Sheet1"}</definedName>
    <definedName name="z" hidden="1">{"Page 1",#N/A,FALSE,"Sheet1";"Page 2",#N/A,FALSE,"Sheet1"}</definedName>
    <definedName name="zbfgbzxcvxzcv" localSheetId="2" hidden="1">{#N/A,#N/A,FALSE,"EXPENSE"}</definedName>
    <definedName name="zbfgbzxcvxzcv" localSheetId="1" hidden="1">{#N/A,#N/A,FALSE,"EXPENSE"}</definedName>
    <definedName name="zbfgbzxcvxzcv" hidden="1">{#N/A,#N/A,FALSE,"EXPENSE"}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8" l="1"/>
  <c r="G30" i="27"/>
  <c r="G32" i="27" s="1"/>
  <c r="I19" i="27"/>
  <c r="I17" i="27"/>
  <c r="I22" i="27" s="1"/>
  <c r="G17" i="27"/>
  <c r="G22" i="27" s="1"/>
  <c r="A16" i="27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J2" i="27"/>
  <c r="K50" i="22"/>
  <c r="J47" i="22"/>
  <c r="K47" i="22" s="1"/>
  <c r="I47" i="22"/>
  <c r="I48" i="22" s="1"/>
  <c r="H47" i="22"/>
  <c r="K46" i="22"/>
  <c r="K48" i="22" s="1"/>
  <c r="J46" i="22"/>
  <c r="J48" i="22" s="1"/>
  <c r="I46" i="22"/>
  <c r="H46" i="22"/>
  <c r="H48" i="22" s="1"/>
  <c r="K37" i="22"/>
  <c r="J29" i="22" s="1"/>
  <c r="I37" i="22"/>
  <c r="I29" i="22" s="1"/>
  <c r="I43" i="22" s="1"/>
  <c r="I55" i="22" s="1"/>
  <c r="G37" i="22"/>
  <c r="H29" i="22" s="1"/>
  <c r="H43" i="22" s="1"/>
  <c r="H55" i="22" s="1"/>
  <c r="K36" i="22"/>
  <c r="I36" i="22"/>
  <c r="G36" i="22"/>
  <c r="K35" i="22"/>
  <c r="I35" i="22"/>
  <c r="I27" i="22" s="1"/>
  <c r="G35" i="22"/>
  <c r="H27" i="22" s="1"/>
  <c r="K34" i="22"/>
  <c r="I34" i="22"/>
  <c r="G34" i="22"/>
  <c r="J28" i="22"/>
  <c r="J42" i="22" s="1"/>
  <c r="I28" i="22"/>
  <c r="I42" i="22" s="1"/>
  <c r="I54" i="22" s="1"/>
  <c r="H28" i="22"/>
  <c r="H42" i="22" s="1"/>
  <c r="J27" i="22"/>
  <c r="J41" i="22" s="1"/>
  <c r="K26" i="22"/>
  <c r="J24" i="22"/>
  <c r="I24" i="22"/>
  <c r="I30" i="22" s="1"/>
  <c r="H24" i="22"/>
  <c r="K23" i="22"/>
  <c r="K22" i="22"/>
  <c r="K21" i="22"/>
  <c r="K24" i="22" s="1"/>
  <c r="K20" i="22"/>
  <c r="I20" i="22"/>
  <c r="K17" i="22"/>
  <c r="J17" i="22"/>
  <c r="I17" i="22"/>
  <c r="H17" i="22"/>
  <c r="B17" i="22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F11" i="22"/>
  <c r="G11" i="22" s="1"/>
  <c r="H11" i="22" s="1"/>
  <c r="I11" i="22" s="1"/>
  <c r="J11" i="22" s="1"/>
  <c r="K11" i="22" s="1"/>
  <c r="M11" i="22" s="1"/>
  <c r="M3" i="22"/>
  <c r="I55" i="20"/>
  <c r="I57" i="20" s="1"/>
  <c r="I50" i="20"/>
  <c r="I52" i="20" s="1"/>
  <c r="I44" i="20"/>
  <c r="I41" i="20"/>
  <c r="I34" i="20"/>
  <c r="I30" i="20"/>
  <c r="L27" i="20"/>
  <c r="I27" i="20"/>
  <c r="L26" i="20"/>
  <c r="I26" i="20"/>
  <c r="I25" i="20"/>
  <c r="L22" i="20"/>
  <c r="I22" i="20"/>
  <c r="L21" i="20"/>
  <c r="I21" i="20"/>
  <c r="I20" i="20"/>
  <c r="B19" i="20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I15" i="20"/>
  <c r="L15" i="20" s="1"/>
  <c r="L3" i="20"/>
  <c r="G49" i="19"/>
  <c r="B48" i="19"/>
  <c r="B49" i="19" s="1"/>
  <c r="J47" i="19"/>
  <c r="I47" i="19"/>
  <c r="G47" i="19"/>
  <c r="B47" i="19"/>
  <c r="I46" i="19"/>
  <c r="J46" i="19" s="1"/>
  <c r="J49" i="19" s="1"/>
  <c r="G46" i="19"/>
  <c r="B46" i="19"/>
  <c r="G31" i="19"/>
  <c r="G30" i="19"/>
  <c r="G29" i="19"/>
  <c r="G28" i="19"/>
  <c r="G27" i="19"/>
  <c r="G26" i="19"/>
  <c r="G25" i="19"/>
  <c r="O24" i="19"/>
  <c r="G24" i="19"/>
  <c r="L24" i="19" s="1"/>
  <c r="Q24" i="19" s="1"/>
  <c r="O23" i="19"/>
  <c r="G23" i="19"/>
  <c r="L23" i="19" s="1"/>
  <c r="Q23" i="19" s="1"/>
  <c r="L22" i="19"/>
  <c r="Q22" i="19" s="1"/>
  <c r="G22" i="19"/>
  <c r="Q3" i="19"/>
  <c r="X279" i="18"/>
  <c r="X278" i="18"/>
  <c r="X277" i="18"/>
  <c r="X267" i="18"/>
  <c r="X266" i="18"/>
  <c r="Z265" i="18"/>
  <c r="X265" i="18"/>
  <c r="G235" i="18"/>
  <c r="H235" i="18" s="1"/>
  <c r="I235" i="18" s="1"/>
  <c r="J235" i="18" s="1"/>
  <c r="K235" i="18" s="1"/>
  <c r="L235" i="18" s="1"/>
  <c r="M235" i="18" s="1"/>
  <c r="X221" i="18"/>
  <c r="X220" i="18"/>
  <c r="X219" i="18"/>
  <c r="X209" i="18"/>
  <c r="Z209" i="18" s="1"/>
  <c r="X208" i="18"/>
  <c r="Z207" i="18"/>
  <c r="X207" i="18"/>
  <c r="H177" i="18"/>
  <c r="I177" i="18" s="1"/>
  <c r="J177" i="18" s="1"/>
  <c r="K177" i="18" s="1"/>
  <c r="L177" i="18" s="1"/>
  <c r="M177" i="18" s="1"/>
  <c r="G177" i="18"/>
  <c r="X163" i="18"/>
  <c r="X162" i="18"/>
  <c r="X161" i="18"/>
  <c r="Z151" i="18"/>
  <c r="X151" i="18"/>
  <c r="X150" i="18"/>
  <c r="Z149" i="18"/>
  <c r="X149" i="18"/>
  <c r="G119" i="18"/>
  <c r="H119" i="18" s="1"/>
  <c r="I119" i="18" s="1"/>
  <c r="J119" i="18" s="1"/>
  <c r="K119" i="18" s="1"/>
  <c r="L119" i="18" s="1"/>
  <c r="M119" i="18" s="1"/>
  <c r="Z98" i="18"/>
  <c r="X98" i="18"/>
  <c r="X97" i="18"/>
  <c r="Z96" i="18"/>
  <c r="X96" i="18"/>
  <c r="G66" i="18"/>
  <c r="H66" i="18" s="1"/>
  <c r="I66" i="18" s="1"/>
  <c r="J66" i="18" s="1"/>
  <c r="K66" i="18" s="1"/>
  <c r="L66" i="18" s="1"/>
  <c r="M66" i="18" s="1"/>
  <c r="M57" i="18"/>
  <c r="M110" i="18" s="1"/>
  <c r="M168" i="18" s="1"/>
  <c r="M226" i="18" s="1"/>
  <c r="Z47" i="18"/>
  <c r="X47" i="18"/>
  <c r="X46" i="18"/>
  <c r="Z45" i="18"/>
  <c r="X45" i="18"/>
  <c r="G14" i="18"/>
  <c r="H14" i="18" s="1"/>
  <c r="I14" i="18" s="1"/>
  <c r="J14" i="18" s="1"/>
  <c r="K14" i="18" s="1"/>
  <c r="L14" i="18" s="1"/>
  <c r="M14" i="18" s="1"/>
  <c r="M5" i="18"/>
  <c r="G42" i="17"/>
  <c r="G43" i="17" s="1"/>
  <c r="I39" i="17"/>
  <c r="H39" i="17"/>
  <c r="I38" i="17"/>
  <c r="H38" i="17"/>
  <c r="G38" i="17"/>
  <c r="I37" i="17"/>
  <c r="H37" i="17"/>
  <c r="G26" i="17"/>
  <c r="G27" i="17" s="1"/>
  <c r="G29" i="17" s="1"/>
  <c r="G31" i="17" s="1"/>
  <c r="G25" i="17"/>
  <c r="G37" i="17" s="1"/>
  <c r="G39" i="17" s="1"/>
  <c r="G22" i="17"/>
  <c r="G28" i="17" s="1"/>
  <c r="G16" i="17"/>
  <c r="G17" i="17" s="1"/>
  <c r="G15" i="17"/>
  <c r="G14" i="17"/>
  <c r="B13" i="17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I9" i="17"/>
  <c r="J9" i="17" s="1"/>
  <c r="H9" i="17"/>
  <c r="G9" i="17"/>
  <c r="J3" i="17"/>
  <c r="N298" i="16"/>
  <c r="O298" i="16" s="1"/>
  <c r="O295" i="16"/>
  <c r="H295" i="16"/>
  <c r="O294" i="16"/>
  <c r="H294" i="16"/>
  <c r="O293" i="16"/>
  <c r="H293" i="16"/>
  <c r="O292" i="16"/>
  <c r="H292" i="16"/>
  <c r="H290" i="16"/>
  <c r="N290" i="16" s="1"/>
  <c r="O290" i="16" s="1"/>
  <c r="H289" i="16"/>
  <c r="N289" i="16" s="1"/>
  <c r="O289" i="16" s="1"/>
  <c r="N287" i="16"/>
  <c r="O287" i="16" s="1"/>
  <c r="N286" i="16"/>
  <c r="O286" i="16" s="1"/>
  <c r="N285" i="16"/>
  <c r="O285" i="16" s="1"/>
  <c r="O284" i="16"/>
  <c r="N284" i="16"/>
  <c r="N283" i="16"/>
  <c r="O283" i="16" s="1"/>
  <c r="T278" i="16"/>
  <c r="R278" i="16"/>
  <c r="U278" i="16" s="1"/>
  <c r="Q278" i="16"/>
  <c r="N278" i="16"/>
  <c r="O278" i="16" s="1"/>
  <c r="T277" i="16"/>
  <c r="R277" i="16"/>
  <c r="U277" i="16" s="1"/>
  <c r="Q277" i="16"/>
  <c r="O277" i="16"/>
  <c r="N277" i="16"/>
  <c r="I274" i="16"/>
  <c r="H274" i="16"/>
  <c r="N274" i="16" s="1"/>
  <c r="O274" i="16" s="1"/>
  <c r="G274" i="16"/>
  <c r="U268" i="16"/>
  <c r="S268" i="16"/>
  <c r="I268" i="16"/>
  <c r="H268" i="16" s="1"/>
  <c r="N268" i="16" s="1"/>
  <c r="O268" i="16" s="1"/>
  <c r="U267" i="16"/>
  <c r="S267" i="16"/>
  <c r="N267" i="16"/>
  <c r="O267" i="16" s="1"/>
  <c r="I267" i="16"/>
  <c r="H267" i="16"/>
  <c r="T264" i="16"/>
  <c r="S264" i="16"/>
  <c r="R264" i="16"/>
  <c r="U264" i="16" s="1"/>
  <c r="Q264" i="16"/>
  <c r="N264" i="16"/>
  <c r="O264" i="16" s="1"/>
  <c r="I264" i="16"/>
  <c r="H264" i="16"/>
  <c r="G264" i="16"/>
  <c r="T263" i="16"/>
  <c r="R263" i="16"/>
  <c r="Q263" i="16"/>
  <c r="N263" i="16"/>
  <c r="O263" i="16" s="1"/>
  <c r="I263" i="16"/>
  <c r="H263" i="16"/>
  <c r="G263" i="16"/>
  <c r="Q258" i="16"/>
  <c r="N258" i="16"/>
  <c r="O258" i="16" s="1"/>
  <c r="I258" i="16"/>
  <c r="T258" i="16" s="1"/>
  <c r="H258" i="16"/>
  <c r="R258" i="16" s="1"/>
  <c r="G258" i="16"/>
  <c r="R255" i="16"/>
  <c r="Q255" i="16"/>
  <c r="N255" i="16"/>
  <c r="O255" i="16" s="1"/>
  <c r="I255" i="16"/>
  <c r="T255" i="16" s="1"/>
  <c r="H255" i="16"/>
  <c r="G255" i="16"/>
  <c r="AC253" i="16"/>
  <c r="U253" i="16"/>
  <c r="T253" i="16"/>
  <c r="S253" i="16"/>
  <c r="R253" i="16"/>
  <c r="Q253" i="16"/>
  <c r="O253" i="16"/>
  <c r="N253" i="16"/>
  <c r="H253" i="16"/>
  <c r="G253" i="16"/>
  <c r="I252" i="16"/>
  <c r="T252" i="16" s="1"/>
  <c r="H252" i="16"/>
  <c r="G252" i="16"/>
  <c r="Q252" i="16" s="1"/>
  <c r="AC251" i="16"/>
  <c r="T251" i="16"/>
  <c r="I251" i="16"/>
  <c r="H251" i="16"/>
  <c r="R251" i="16" s="1"/>
  <c r="U251" i="16" s="1"/>
  <c r="G251" i="16"/>
  <c r="Q251" i="16" s="1"/>
  <c r="R250" i="16"/>
  <c r="Q250" i="16"/>
  <c r="O250" i="16"/>
  <c r="N250" i="16"/>
  <c r="I250" i="16"/>
  <c r="H250" i="16"/>
  <c r="T244" i="16"/>
  <c r="R244" i="16"/>
  <c r="Q244" i="16"/>
  <c r="O244" i="16"/>
  <c r="N244" i="16"/>
  <c r="U243" i="16"/>
  <c r="T243" i="16"/>
  <c r="R243" i="16"/>
  <c r="S243" i="16" s="1"/>
  <c r="Q243" i="16"/>
  <c r="O243" i="16"/>
  <c r="N243" i="16"/>
  <c r="I240" i="16"/>
  <c r="H240" i="16"/>
  <c r="N240" i="16" s="1"/>
  <c r="O240" i="16" s="1"/>
  <c r="G240" i="16"/>
  <c r="T234" i="16"/>
  <c r="R234" i="16"/>
  <c r="S234" i="16" s="1"/>
  <c r="Q234" i="16"/>
  <c r="I234" i="16"/>
  <c r="H234" i="16"/>
  <c r="N234" i="16" s="1"/>
  <c r="O234" i="16" s="1"/>
  <c r="Q233" i="16"/>
  <c r="I233" i="16"/>
  <c r="T233" i="16" s="1"/>
  <c r="H233" i="16"/>
  <c r="T230" i="16"/>
  <c r="I230" i="16"/>
  <c r="H230" i="16"/>
  <c r="R230" i="16" s="1"/>
  <c r="G230" i="16"/>
  <c r="Q230" i="16" s="1"/>
  <c r="R229" i="16"/>
  <c r="Q229" i="16"/>
  <c r="O229" i="16"/>
  <c r="N229" i="16"/>
  <c r="I229" i="16"/>
  <c r="T229" i="16" s="1"/>
  <c r="H229" i="16"/>
  <c r="G229" i="16"/>
  <c r="T224" i="16"/>
  <c r="R224" i="16"/>
  <c r="U224" i="16" s="1"/>
  <c r="I224" i="16"/>
  <c r="H224" i="16"/>
  <c r="N224" i="16" s="1"/>
  <c r="O224" i="16" s="1"/>
  <c r="G224" i="16"/>
  <c r="Q224" i="16" s="1"/>
  <c r="T221" i="16"/>
  <c r="S221" i="16"/>
  <c r="I221" i="16"/>
  <c r="H221" i="16"/>
  <c r="R221" i="16" s="1"/>
  <c r="U221" i="16" s="1"/>
  <c r="G221" i="16"/>
  <c r="Q221" i="16" s="1"/>
  <c r="T219" i="16"/>
  <c r="R219" i="16"/>
  <c r="U219" i="16" s="1"/>
  <c r="Q219" i="16"/>
  <c r="O219" i="16"/>
  <c r="N219" i="16"/>
  <c r="H219" i="16"/>
  <c r="AC219" i="16" s="1"/>
  <c r="AC218" i="16"/>
  <c r="Q218" i="16"/>
  <c r="I218" i="16"/>
  <c r="T218" i="16" s="1"/>
  <c r="H218" i="16"/>
  <c r="R218" i="16" s="1"/>
  <c r="G218" i="16"/>
  <c r="S217" i="16"/>
  <c r="R217" i="16"/>
  <c r="Q217" i="16"/>
  <c r="N217" i="16"/>
  <c r="O217" i="16" s="1"/>
  <c r="I217" i="16"/>
  <c r="T217" i="16" s="1"/>
  <c r="H217" i="16"/>
  <c r="AC217" i="16" s="1"/>
  <c r="G217" i="16"/>
  <c r="I216" i="16"/>
  <c r="H216" i="16"/>
  <c r="AC216" i="16" s="1"/>
  <c r="T210" i="16"/>
  <c r="R210" i="16"/>
  <c r="U210" i="16" s="1"/>
  <c r="Q210" i="16"/>
  <c r="N210" i="16"/>
  <c r="O210" i="16" s="1"/>
  <c r="T209" i="16"/>
  <c r="R209" i="16"/>
  <c r="U209" i="16" s="1"/>
  <c r="Q209" i="16"/>
  <c r="O209" i="16"/>
  <c r="N209" i="16"/>
  <c r="I206" i="16"/>
  <c r="H206" i="16"/>
  <c r="I200" i="16"/>
  <c r="T200" i="16" s="1"/>
  <c r="H200" i="16"/>
  <c r="G200" i="16"/>
  <c r="Q200" i="16" s="1"/>
  <c r="T199" i="16"/>
  <c r="S199" i="16"/>
  <c r="I199" i="16"/>
  <c r="H199" i="16"/>
  <c r="R199" i="16" s="1"/>
  <c r="U199" i="16" s="1"/>
  <c r="G199" i="16"/>
  <c r="Q199" i="16" s="1"/>
  <c r="R194" i="16"/>
  <c r="Q194" i="16"/>
  <c r="N194" i="16"/>
  <c r="O194" i="16" s="1"/>
  <c r="I194" i="16"/>
  <c r="T194" i="16" s="1"/>
  <c r="H194" i="16"/>
  <c r="G194" i="16"/>
  <c r="I191" i="16"/>
  <c r="T191" i="16" s="1"/>
  <c r="H191" i="16"/>
  <c r="N191" i="16" s="1"/>
  <c r="O191" i="16" s="1"/>
  <c r="G191" i="16"/>
  <c r="Q191" i="16" s="1"/>
  <c r="AC189" i="16"/>
  <c r="T189" i="16"/>
  <c r="N189" i="16"/>
  <c r="O189" i="16" s="1"/>
  <c r="H189" i="16"/>
  <c r="R189" i="16" s="1"/>
  <c r="G189" i="16"/>
  <c r="Q189" i="16" s="1"/>
  <c r="R188" i="16"/>
  <c r="Q188" i="16"/>
  <c r="N188" i="16"/>
  <c r="O188" i="16" s="1"/>
  <c r="I188" i="16"/>
  <c r="H188" i="16"/>
  <c r="G188" i="16"/>
  <c r="R187" i="16"/>
  <c r="Q187" i="16"/>
  <c r="N187" i="16"/>
  <c r="O187" i="16" s="1"/>
  <c r="I187" i="16"/>
  <c r="AC187" i="16" s="1"/>
  <c r="H187" i="16"/>
  <c r="G187" i="16"/>
  <c r="AC186" i="16"/>
  <c r="T186" i="16"/>
  <c r="S186" i="16"/>
  <c r="R186" i="16"/>
  <c r="U186" i="16" s="1"/>
  <c r="Q186" i="16"/>
  <c r="N186" i="16"/>
  <c r="O186" i="16" s="1"/>
  <c r="I186" i="16"/>
  <c r="H186" i="16"/>
  <c r="H182" i="16"/>
  <c r="N182" i="16" s="1"/>
  <c r="O182" i="16" s="1"/>
  <c r="N181" i="16"/>
  <c r="O181" i="16" s="1"/>
  <c r="H181" i="16"/>
  <c r="T179" i="16"/>
  <c r="H179" i="16"/>
  <c r="R179" i="16" s="1"/>
  <c r="G179" i="16"/>
  <c r="Q179" i="16" s="1"/>
  <c r="T176" i="16"/>
  <c r="Q176" i="16"/>
  <c r="H176" i="16"/>
  <c r="G176" i="16"/>
  <c r="AC175" i="16"/>
  <c r="T175" i="16"/>
  <c r="T183" i="16" s="1"/>
  <c r="R175" i="16"/>
  <c r="U175" i="16" s="1"/>
  <c r="Q175" i="16"/>
  <c r="H175" i="16"/>
  <c r="G175" i="16"/>
  <c r="N175" i="16" s="1"/>
  <c r="O175" i="16" s="1"/>
  <c r="U168" i="16"/>
  <c r="T168" i="16"/>
  <c r="R168" i="16"/>
  <c r="S168" i="16" s="1"/>
  <c r="Q168" i="16"/>
  <c r="N168" i="16"/>
  <c r="O168" i="16" s="1"/>
  <c r="T167" i="16"/>
  <c r="R167" i="16"/>
  <c r="S167" i="16" s="1"/>
  <c r="Q167" i="16"/>
  <c r="N167" i="16"/>
  <c r="O167" i="16" s="1"/>
  <c r="I164" i="16"/>
  <c r="H164" i="16"/>
  <c r="G164" i="16"/>
  <c r="R163" i="16"/>
  <c r="I163" i="16"/>
  <c r="T163" i="16" s="1"/>
  <c r="H163" i="16"/>
  <c r="G163" i="16"/>
  <c r="Q163" i="16" s="1"/>
  <c r="R162" i="16"/>
  <c r="Q162" i="16"/>
  <c r="N162" i="16"/>
  <c r="O162" i="16" s="1"/>
  <c r="I162" i="16"/>
  <c r="T162" i="16" s="1"/>
  <c r="H162" i="16"/>
  <c r="G162" i="16"/>
  <c r="R161" i="16"/>
  <c r="U161" i="16" s="1"/>
  <c r="Q161" i="16"/>
  <c r="N161" i="16"/>
  <c r="O161" i="16" s="1"/>
  <c r="I161" i="16"/>
  <c r="T161" i="16" s="1"/>
  <c r="H161" i="16"/>
  <c r="G161" i="16"/>
  <c r="I158" i="16"/>
  <c r="G157" i="16"/>
  <c r="G205" i="16" s="1"/>
  <c r="G239" i="16" s="1"/>
  <c r="G273" i="16" s="1"/>
  <c r="G155" i="16"/>
  <c r="H153" i="16"/>
  <c r="N153" i="16" s="1"/>
  <c r="O153" i="16" s="1"/>
  <c r="I150" i="16"/>
  <c r="H150" i="16"/>
  <c r="G150" i="16"/>
  <c r="I149" i="16"/>
  <c r="T149" i="16" s="1"/>
  <c r="H149" i="16"/>
  <c r="G149" i="16"/>
  <c r="Q149" i="16" s="1"/>
  <c r="T148" i="16"/>
  <c r="I148" i="16"/>
  <c r="H148" i="16"/>
  <c r="R148" i="16" s="1"/>
  <c r="G148" i="16"/>
  <c r="Q148" i="16" s="1"/>
  <c r="R146" i="16"/>
  <c r="U146" i="16" s="1"/>
  <c r="I146" i="16"/>
  <c r="T146" i="16" s="1"/>
  <c r="H146" i="16"/>
  <c r="G146" i="16"/>
  <c r="Q146" i="16" s="1"/>
  <c r="T143" i="16"/>
  <c r="R143" i="16"/>
  <c r="U143" i="16" s="1"/>
  <c r="I143" i="16"/>
  <c r="H143" i="16"/>
  <c r="N143" i="16" s="1"/>
  <c r="O143" i="16" s="1"/>
  <c r="G143" i="16"/>
  <c r="Q143" i="16" s="1"/>
  <c r="AC142" i="16"/>
  <c r="U142" i="16"/>
  <c r="T142" i="16"/>
  <c r="R142" i="16"/>
  <c r="I142" i="16"/>
  <c r="H142" i="16"/>
  <c r="N142" i="16" s="1"/>
  <c r="O142" i="16" s="1"/>
  <c r="G142" i="16"/>
  <c r="Q142" i="16" s="1"/>
  <c r="Q141" i="16"/>
  <c r="I141" i="16"/>
  <c r="T141" i="16" s="1"/>
  <c r="H141" i="16"/>
  <c r="G141" i="16"/>
  <c r="T135" i="16"/>
  <c r="R135" i="16"/>
  <c r="U135" i="16" s="1"/>
  <c r="Q135" i="16"/>
  <c r="N135" i="16"/>
  <c r="O135" i="16" s="1"/>
  <c r="T134" i="16"/>
  <c r="R134" i="16"/>
  <c r="U134" i="16" s="1"/>
  <c r="Q134" i="16"/>
  <c r="N134" i="16"/>
  <c r="O134" i="16" s="1"/>
  <c r="I131" i="16"/>
  <c r="H131" i="16"/>
  <c r="G131" i="16"/>
  <c r="T130" i="16"/>
  <c r="U130" i="16" s="1"/>
  <c r="R130" i="16"/>
  <c r="Q130" i="16"/>
  <c r="I130" i="16"/>
  <c r="H130" i="16"/>
  <c r="N130" i="16" s="1"/>
  <c r="O130" i="16" s="1"/>
  <c r="G130" i="16"/>
  <c r="I129" i="16"/>
  <c r="T129" i="16" s="1"/>
  <c r="H129" i="16"/>
  <c r="G129" i="16"/>
  <c r="Q129" i="16" s="1"/>
  <c r="T128" i="16"/>
  <c r="S128" i="16"/>
  <c r="I128" i="16"/>
  <c r="H128" i="16"/>
  <c r="R128" i="16" s="1"/>
  <c r="U128" i="16" s="1"/>
  <c r="G128" i="16"/>
  <c r="Q128" i="16" s="1"/>
  <c r="R125" i="16"/>
  <c r="Q125" i="16"/>
  <c r="N125" i="16"/>
  <c r="O125" i="16" s="1"/>
  <c r="I125" i="16"/>
  <c r="T125" i="16" s="1"/>
  <c r="H125" i="16"/>
  <c r="H158" i="16" s="1"/>
  <c r="N158" i="16" s="1"/>
  <c r="O158" i="16" s="1"/>
  <c r="G123" i="16"/>
  <c r="G122" i="16"/>
  <c r="G121" i="16"/>
  <c r="Q121" i="16" s="1"/>
  <c r="O117" i="16"/>
  <c r="I117" i="16"/>
  <c r="H117" i="16"/>
  <c r="O116" i="16"/>
  <c r="N116" i="16"/>
  <c r="H116" i="16"/>
  <c r="I114" i="16"/>
  <c r="H114" i="16"/>
  <c r="G114" i="16"/>
  <c r="T113" i="16"/>
  <c r="R113" i="16"/>
  <c r="U113" i="16" s="1"/>
  <c r="Q113" i="16"/>
  <c r="I113" i="16"/>
  <c r="H113" i="16"/>
  <c r="N113" i="16" s="1"/>
  <c r="O113" i="16" s="1"/>
  <c r="G113" i="16"/>
  <c r="U112" i="16"/>
  <c r="T112" i="16"/>
  <c r="S112" i="16"/>
  <c r="R112" i="16"/>
  <c r="Q112" i="16"/>
  <c r="I112" i="16"/>
  <c r="H112" i="16"/>
  <c r="N112" i="16" s="1"/>
  <c r="O112" i="16" s="1"/>
  <c r="G112" i="16"/>
  <c r="I110" i="16"/>
  <c r="T110" i="16" s="1"/>
  <c r="H110" i="16"/>
  <c r="G110" i="16"/>
  <c r="Q110" i="16" s="1"/>
  <c r="AC107" i="16"/>
  <c r="Q107" i="16"/>
  <c r="I107" i="16"/>
  <c r="T107" i="16" s="1"/>
  <c r="H107" i="16"/>
  <c r="R107" i="16" s="1"/>
  <c r="G107" i="16"/>
  <c r="R106" i="16"/>
  <c r="Q106" i="16"/>
  <c r="N106" i="16"/>
  <c r="O106" i="16" s="1"/>
  <c r="I106" i="16"/>
  <c r="T106" i="16" s="1"/>
  <c r="H106" i="16"/>
  <c r="AC106" i="16" s="1"/>
  <c r="G106" i="16"/>
  <c r="T105" i="16"/>
  <c r="R105" i="16"/>
  <c r="I105" i="16"/>
  <c r="H105" i="16"/>
  <c r="G105" i="16"/>
  <c r="Q105" i="16" s="1"/>
  <c r="T99" i="16"/>
  <c r="R99" i="16"/>
  <c r="U99" i="16" s="1"/>
  <c r="Q99" i="16"/>
  <c r="N99" i="16"/>
  <c r="O99" i="16" s="1"/>
  <c r="T98" i="16"/>
  <c r="U98" i="16" s="1"/>
  <c r="S98" i="16"/>
  <c r="R98" i="16"/>
  <c r="Q98" i="16"/>
  <c r="N98" i="16"/>
  <c r="O98" i="16" s="1"/>
  <c r="I95" i="16"/>
  <c r="H95" i="16"/>
  <c r="G95" i="16"/>
  <c r="T94" i="16"/>
  <c r="Q94" i="16"/>
  <c r="I94" i="16"/>
  <c r="T93" i="16" s="1"/>
  <c r="H94" i="16"/>
  <c r="N94" i="16" s="1"/>
  <c r="O94" i="16" s="1"/>
  <c r="G94" i="16"/>
  <c r="S93" i="16"/>
  <c r="R93" i="16"/>
  <c r="Q93" i="16"/>
  <c r="N93" i="16"/>
  <c r="O93" i="16" s="1"/>
  <c r="I93" i="16"/>
  <c r="H93" i="16"/>
  <c r="G93" i="16"/>
  <c r="T92" i="16"/>
  <c r="R92" i="16"/>
  <c r="U92" i="16" s="1"/>
  <c r="Q92" i="16"/>
  <c r="N92" i="16"/>
  <c r="O92" i="16" s="1"/>
  <c r="I92" i="16"/>
  <c r="H92" i="16"/>
  <c r="G92" i="16"/>
  <c r="I89" i="16"/>
  <c r="T89" i="16" s="1"/>
  <c r="H89" i="16"/>
  <c r="G89" i="16"/>
  <c r="I88" i="16"/>
  <c r="I123" i="16" s="1"/>
  <c r="H88" i="16"/>
  <c r="Q87" i="16"/>
  <c r="I87" i="16"/>
  <c r="I122" i="16" s="1"/>
  <c r="H87" i="16"/>
  <c r="R87" i="16" s="1"/>
  <c r="R86" i="16"/>
  <c r="Q86" i="16"/>
  <c r="N86" i="16"/>
  <c r="O86" i="16" s="1"/>
  <c r="I86" i="16"/>
  <c r="T86" i="16" s="1"/>
  <c r="H86" i="16"/>
  <c r="R84" i="16"/>
  <c r="Q84" i="16"/>
  <c r="N84" i="16"/>
  <c r="O84" i="16" s="1"/>
  <c r="I84" i="16"/>
  <c r="T84" i="16" s="1"/>
  <c r="H84" i="16"/>
  <c r="G84" i="16"/>
  <c r="R83" i="16"/>
  <c r="Q83" i="16"/>
  <c r="N83" i="16"/>
  <c r="O83" i="16" s="1"/>
  <c r="I83" i="16"/>
  <c r="T83" i="16" s="1"/>
  <c r="H83" i="16"/>
  <c r="G83" i="16"/>
  <c r="T82" i="16"/>
  <c r="R82" i="16"/>
  <c r="U82" i="16" s="1"/>
  <c r="I82" i="16"/>
  <c r="H82" i="16"/>
  <c r="N82" i="16" s="1"/>
  <c r="O82" i="16" s="1"/>
  <c r="G82" i="16"/>
  <c r="Q82" i="16" s="1"/>
  <c r="T80" i="16"/>
  <c r="R80" i="16"/>
  <c r="Q80" i="16"/>
  <c r="I80" i="16"/>
  <c r="H80" i="16"/>
  <c r="N80" i="16" s="1"/>
  <c r="O80" i="16" s="1"/>
  <c r="G80" i="16"/>
  <c r="R77" i="16"/>
  <c r="I77" i="16"/>
  <c r="H77" i="16"/>
  <c r="G77" i="16"/>
  <c r="Q77" i="16" s="1"/>
  <c r="R76" i="16"/>
  <c r="Q76" i="16"/>
  <c r="N76" i="16"/>
  <c r="O76" i="16" s="1"/>
  <c r="I76" i="16"/>
  <c r="AC76" i="16" s="1"/>
  <c r="H76" i="16"/>
  <c r="G76" i="16"/>
  <c r="R75" i="16"/>
  <c r="S75" i="16" s="1"/>
  <c r="Q75" i="16"/>
  <c r="N75" i="16"/>
  <c r="O75" i="16" s="1"/>
  <c r="H75" i="16"/>
  <c r="G75" i="16"/>
  <c r="I73" i="16"/>
  <c r="T73" i="16" s="1"/>
  <c r="H73" i="16"/>
  <c r="G73" i="16"/>
  <c r="Q73" i="16" s="1"/>
  <c r="AC72" i="16"/>
  <c r="U72" i="16"/>
  <c r="T72" i="16"/>
  <c r="I72" i="16"/>
  <c r="H72" i="16"/>
  <c r="R72" i="16" s="1"/>
  <c r="S72" i="16" s="1"/>
  <c r="G72" i="16"/>
  <c r="Q72" i="16" s="1"/>
  <c r="R71" i="16"/>
  <c r="Q71" i="16"/>
  <c r="N71" i="16"/>
  <c r="O71" i="16" s="1"/>
  <c r="I71" i="16"/>
  <c r="T71" i="16" s="1"/>
  <c r="H71" i="16"/>
  <c r="AC71" i="16" s="1"/>
  <c r="G71" i="16"/>
  <c r="Q65" i="16"/>
  <c r="I65" i="16"/>
  <c r="T65" i="16" s="1"/>
  <c r="H65" i="16"/>
  <c r="R65" i="16" s="1"/>
  <c r="R63" i="16"/>
  <c r="U63" i="16" s="1"/>
  <c r="Q63" i="16"/>
  <c r="N63" i="16"/>
  <c r="O63" i="16" s="1"/>
  <c r="I63" i="16"/>
  <c r="T63" i="16" s="1"/>
  <c r="H63" i="16"/>
  <c r="G63" i="16"/>
  <c r="AC60" i="16"/>
  <c r="T60" i="16"/>
  <c r="R60" i="16"/>
  <c r="S60" i="16" s="1"/>
  <c r="Q60" i="16"/>
  <c r="I60" i="16"/>
  <c r="H60" i="16"/>
  <c r="N60" i="16" s="1"/>
  <c r="O60" i="16" s="1"/>
  <c r="G60" i="16"/>
  <c r="I59" i="16"/>
  <c r="T59" i="16" s="1"/>
  <c r="H59" i="16"/>
  <c r="G59" i="16"/>
  <c r="Q59" i="16" s="1"/>
  <c r="Q67" i="16" s="1"/>
  <c r="I54" i="16"/>
  <c r="H54" i="16" s="1"/>
  <c r="N54" i="16" s="1"/>
  <c r="O54" i="16" s="1"/>
  <c r="G54" i="16"/>
  <c r="G101" i="16" s="1"/>
  <c r="T52" i="16"/>
  <c r="R52" i="16"/>
  <c r="U52" i="16" s="1"/>
  <c r="Q52" i="16"/>
  <c r="N52" i="16"/>
  <c r="O52" i="16" s="1"/>
  <c r="T51" i="16"/>
  <c r="R51" i="16"/>
  <c r="U51" i="16" s="1"/>
  <c r="Q51" i="16"/>
  <c r="N51" i="16"/>
  <c r="O51" i="16" s="1"/>
  <c r="Q48" i="16"/>
  <c r="I48" i="16"/>
  <c r="T48" i="16" s="1"/>
  <c r="H48" i="16"/>
  <c r="N48" i="16" s="1"/>
  <c r="O48" i="16" s="1"/>
  <c r="I46" i="16"/>
  <c r="H46" i="16"/>
  <c r="G46" i="16"/>
  <c r="I45" i="16"/>
  <c r="T45" i="16" s="1"/>
  <c r="H45" i="16"/>
  <c r="G45" i="16"/>
  <c r="Q45" i="16" s="1"/>
  <c r="T44" i="16"/>
  <c r="I44" i="16"/>
  <c r="H44" i="16"/>
  <c r="R44" i="16" s="1"/>
  <c r="U44" i="16" s="1"/>
  <c r="G44" i="16"/>
  <c r="Q44" i="16" s="1"/>
  <c r="Q43" i="16"/>
  <c r="N43" i="16"/>
  <c r="O43" i="16" s="1"/>
  <c r="I43" i="16"/>
  <c r="T43" i="16" s="1"/>
  <c r="H43" i="16"/>
  <c r="R43" i="16" s="1"/>
  <c r="G43" i="16"/>
  <c r="R40" i="16"/>
  <c r="I40" i="16"/>
  <c r="T40" i="16" s="1"/>
  <c r="H40" i="16"/>
  <c r="R39" i="16"/>
  <c r="I39" i="16"/>
  <c r="T39" i="16" s="1"/>
  <c r="H39" i="16"/>
  <c r="R38" i="16"/>
  <c r="U38" i="16" s="1"/>
  <c r="H38" i="16"/>
  <c r="N38" i="16" s="1"/>
  <c r="O38" i="16" s="1"/>
  <c r="G38" i="16"/>
  <c r="Q38" i="16" s="1"/>
  <c r="S38" i="16" s="1"/>
  <c r="AC36" i="16"/>
  <c r="T36" i="16"/>
  <c r="R36" i="16"/>
  <c r="U36" i="16" s="1"/>
  <c r="I36" i="16"/>
  <c r="H36" i="16"/>
  <c r="N36" i="16" s="1"/>
  <c r="O36" i="16" s="1"/>
  <c r="G36" i="16"/>
  <c r="G40" i="16" s="1"/>
  <c r="Q35" i="16"/>
  <c r="I35" i="16"/>
  <c r="T35" i="16" s="1"/>
  <c r="H35" i="16"/>
  <c r="G35" i="16"/>
  <c r="G39" i="16" s="1"/>
  <c r="Q39" i="16" s="1"/>
  <c r="S39" i="16" s="1"/>
  <c r="AC34" i="16"/>
  <c r="Q34" i="16"/>
  <c r="I34" i="16"/>
  <c r="I38" i="16" s="1"/>
  <c r="T38" i="16" s="1"/>
  <c r="H34" i="16"/>
  <c r="R34" i="16" s="1"/>
  <c r="G34" i="16"/>
  <c r="R33" i="16"/>
  <c r="Q33" i="16"/>
  <c r="N33" i="16"/>
  <c r="O33" i="16" s="1"/>
  <c r="I33" i="16"/>
  <c r="T33" i="16" s="1"/>
  <c r="H33" i="16"/>
  <c r="AC33" i="16" s="1"/>
  <c r="G33" i="16"/>
  <c r="I27" i="16"/>
  <c r="T25" i="16"/>
  <c r="R25" i="16"/>
  <c r="Q25" i="16"/>
  <c r="P25" i="16"/>
  <c r="I25" i="16"/>
  <c r="H25" i="16"/>
  <c r="N25" i="16" s="1"/>
  <c r="O25" i="16" s="1"/>
  <c r="G25" i="16"/>
  <c r="P24" i="16"/>
  <c r="I24" i="16"/>
  <c r="T24" i="16" s="1"/>
  <c r="H24" i="16"/>
  <c r="N24" i="16" s="1"/>
  <c r="O24" i="16" s="1"/>
  <c r="G24" i="16"/>
  <c r="P23" i="16"/>
  <c r="T23" i="16" s="1"/>
  <c r="I23" i="16"/>
  <c r="H23" i="16"/>
  <c r="N23" i="16" s="1"/>
  <c r="O23" i="16" s="1"/>
  <c r="G23" i="16"/>
  <c r="P22" i="16"/>
  <c r="T22" i="16" s="1"/>
  <c r="N22" i="16"/>
  <c r="O22" i="16" s="1"/>
  <c r="I22" i="16"/>
  <c r="H22" i="16"/>
  <c r="G22" i="16"/>
  <c r="P21" i="16"/>
  <c r="T21" i="16" s="1"/>
  <c r="I21" i="16"/>
  <c r="H21" i="16"/>
  <c r="G21" i="16"/>
  <c r="T20" i="16"/>
  <c r="R20" i="16"/>
  <c r="S20" i="16" s="1"/>
  <c r="Q20" i="16"/>
  <c r="P20" i="16"/>
  <c r="I20" i="16"/>
  <c r="H20" i="16"/>
  <c r="N20" i="16" s="1"/>
  <c r="O20" i="16" s="1"/>
  <c r="G20" i="16"/>
  <c r="P19" i="16"/>
  <c r="R19" i="16" s="1"/>
  <c r="N19" i="16"/>
  <c r="O19" i="16" s="1"/>
  <c r="I19" i="16"/>
  <c r="T19" i="16" s="1"/>
  <c r="H19" i="16"/>
  <c r="G19" i="16"/>
  <c r="P15" i="16"/>
  <c r="H15" i="16"/>
  <c r="G15" i="16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7" i="16" s="1"/>
  <c r="A298" i="16" s="1"/>
  <c r="AC13" i="16"/>
  <c r="T13" i="16"/>
  <c r="P13" i="16"/>
  <c r="R13" i="16" s="1"/>
  <c r="I13" i="16"/>
  <c r="I15" i="16" s="1"/>
  <c r="H13" i="16"/>
  <c r="G13" i="16"/>
  <c r="N13" i="16" s="1"/>
  <c r="O13" i="16" s="1"/>
  <c r="A13" i="16"/>
  <c r="L3" i="16"/>
  <c r="I35" i="27" l="1"/>
  <c r="G35" i="27"/>
  <c r="I30" i="27"/>
  <c r="I32" i="27" s="1"/>
  <c r="I41" i="22"/>
  <c r="I53" i="22" s="1"/>
  <c r="J43" i="22"/>
  <c r="K29" i="22"/>
  <c r="H41" i="22"/>
  <c r="H53" i="22" s="1"/>
  <c r="H30" i="22"/>
  <c r="H54" i="22"/>
  <c r="J53" i="22"/>
  <c r="K41" i="22"/>
  <c r="K53" i="22" s="1"/>
  <c r="K42" i="22"/>
  <c r="K54" i="22" s="1"/>
  <c r="J54" i="22"/>
  <c r="K28" i="22"/>
  <c r="J30" i="22"/>
  <c r="K27" i="22"/>
  <c r="K30" i="22" s="1"/>
  <c r="G33" i="19"/>
  <c r="G52" i="17"/>
  <c r="G50" i="17"/>
  <c r="G51" i="17"/>
  <c r="G53" i="17"/>
  <c r="S65" i="16"/>
  <c r="U65" i="16"/>
  <c r="R89" i="16"/>
  <c r="N89" i="16"/>
  <c r="O89" i="16" s="1"/>
  <c r="U86" i="16"/>
  <c r="S86" i="16"/>
  <c r="Q89" i="16"/>
  <c r="G206" i="16"/>
  <c r="N206" i="16" s="1"/>
  <c r="O206" i="16" s="1"/>
  <c r="U60" i="16"/>
  <c r="S80" i="16"/>
  <c r="U148" i="16"/>
  <c r="S148" i="16"/>
  <c r="U189" i="16"/>
  <c r="S189" i="16"/>
  <c r="U244" i="16"/>
  <c r="S244" i="16"/>
  <c r="R73" i="16"/>
  <c r="N73" i="16"/>
  <c r="O73" i="16" s="1"/>
  <c r="AC73" i="16"/>
  <c r="R24" i="16"/>
  <c r="U107" i="16"/>
  <c r="S107" i="16"/>
  <c r="U188" i="16"/>
  <c r="S44" i="16"/>
  <c r="U19" i="16"/>
  <c r="R22" i="16"/>
  <c r="R35" i="16"/>
  <c r="AC35" i="16"/>
  <c r="N39" i="16"/>
  <c r="O39" i="16" s="1"/>
  <c r="Q102" i="16"/>
  <c r="U234" i="16"/>
  <c r="U33" i="16"/>
  <c r="S25" i="16"/>
  <c r="U71" i="16"/>
  <c r="S71" i="16"/>
  <c r="R102" i="16"/>
  <c r="U80" i="16"/>
  <c r="S142" i="16"/>
  <c r="U20" i="16"/>
  <c r="S179" i="16"/>
  <c r="S163" i="16"/>
  <c r="Q183" i="16"/>
  <c r="Q22" i="16"/>
  <c r="U25" i="16"/>
  <c r="N35" i="16"/>
  <c r="O35" i="16" s="1"/>
  <c r="U39" i="16"/>
  <c r="S52" i="16"/>
  <c r="U84" i="16"/>
  <c r="R94" i="16"/>
  <c r="U125" i="16"/>
  <c r="R200" i="16"/>
  <c r="N200" i="16"/>
  <c r="O200" i="16" s="1"/>
  <c r="S92" i="16"/>
  <c r="R129" i="16"/>
  <c r="N129" i="16"/>
  <c r="O129" i="16" s="1"/>
  <c r="R149" i="16"/>
  <c r="N149" i="16"/>
  <c r="O149" i="16" s="1"/>
  <c r="AC176" i="16"/>
  <c r="N176" i="16"/>
  <c r="O176" i="16" s="1"/>
  <c r="T250" i="16"/>
  <c r="AC250" i="16"/>
  <c r="U87" i="16"/>
  <c r="S87" i="16"/>
  <c r="R45" i="16"/>
  <c r="N45" i="16"/>
  <c r="O45" i="16" s="1"/>
  <c r="U13" i="16"/>
  <c r="N105" i="16"/>
  <c r="O105" i="16" s="1"/>
  <c r="S161" i="16"/>
  <c r="U263" i="16"/>
  <c r="S263" i="16"/>
  <c r="R59" i="16"/>
  <c r="AC59" i="16"/>
  <c r="R110" i="16"/>
  <c r="N110" i="16"/>
  <c r="O110" i="16" s="1"/>
  <c r="N40" i="16"/>
  <c r="O40" i="16" s="1"/>
  <c r="Q40" i="16"/>
  <c r="S40" i="16" s="1"/>
  <c r="G137" i="16"/>
  <c r="G280" i="16" s="1"/>
  <c r="G212" i="16"/>
  <c r="G170" i="16"/>
  <c r="G246" i="16" s="1"/>
  <c r="U167" i="16"/>
  <c r="R176" i="16"/>
  <c r="U229" i="16"/>
  <c r="U230" i="16"/>
  <c r="S230" i="16"/>
  <c r="U250" i="16"/>
  <c r="U40" i="16"/>
  <c r="T77" i="16"/>
  <c r="U77" i="16" s="1"/>
  <c r="AC77" i="16"/>
  <c r="S135" i="16"/>
  <c r="U162" i="16"/>
  <c r="N15" i="16"/>
  <c r="O15" i="16" s="1"/>
  <c r="N21" i="16"/>
  <c r="O21" i="16" s="1"/>
  <c r="S33" i="16"/>
  <c r="S43" i="16"/>
  <c r="U43" i="16"/>
  <c r="T67" i="16"/>
  <c r="N65" i="16"/>
  <c r="O65" i="16" s="1"/>
  <c r="N77" i="16"/>
  <c r="O77" i="16" s="1"/>
  <c r="H122" i="16"/>
  <c r="I156" i="16"/>
  <c r="T122" i="16"/>
  <c r="Q155" i="16"/>
  <c r="G203" i="16"/>
  <c r="U179" i="16"/>
  <c r="S251" i="16"/>
  <c r="T15" i="16"/>
  <c r="T29" i="16" s="1"/>
  <c r="R48" i="16"/>
  <c r="N59" i="16"/>
  <c r="O59" i="16" s="1"/>
  <c r="U217" i="16"/>
  <c r="R233" i="16"/>
  <c r="N233" i="16"/>
  <c r="O233" i="16" s="1"/>
  <c r="U106" i="16"/>
  <c r="U194" i="16"/>
  <c r="U34" i="16"/>
  <c r="S34" i="16"/>
  <c r="U83" i="16"/>
  <c r="S106" i="16"/>
  <c r="Q122" i="16"/>
  <c r="Q138" i="16" s="1"/>
  <c r="G156" i="16"/>
  <c r="R141" i="16"/>
  <c r="AC141" i="16"/>
  <c r="N163" i="16"/>
  <c r="O163" i="16" s="1"/>
  <c r="S83" i="16"/>
  <c r="I157" i="16"/>
  <c r="H123" i="16"/>
  <c r="U93" i="16"/>
  <c r="U218" i="16"/>
  <c r="S218" i="16"/>
  <c r="S258" i="16"/>
  <c r="U258" i="16"/>
  <c r="T188" i="16"/>
  <c r="AC188" i="16"/>
  <c r="U255" i="16"/>
  <c r="N146" i="16"/>
  <c r="O146" i="16" s="1"/>
  <c r="S194" i="16"/>
  <c r="S130" i="16"/>
  <c r="N141" i="16"/>
  <c r="O141" i="16" s="1"/>
  <c r="N252" i="16"/>
  <c r="O252" i="16" s="1"/>
  <c r="Q21" i="16"/>
  <c r="R15" i="16"/>
  <c r="R21" i="16"/>
  <c r="N34" i="16"/>
  <c r="O34" i="16" s="1"/>
  <c r="N87" i="16"/>
  <c r="O87" i="16" s="1"/>
  <c r="S105" i="16"/>
  <c r="N107" i="16"/>
  <c r="O107" i="16" s="1"/>
  <c r="S143" i="16"/>
  <c r="N218" i="16"/>
  <c r="O218" i="16" s="1"/>
  <c r="S224" i="16"/>
  <c r="R252" i="16"/>
  <c r="Q15" i="16"/>
  <c r="S82" i="16"/>
  <c r="S113" i="16"/>
  <c r="S175" i="16"/>
  <c r="N179" i="16"/>
  <c r="O179" i="16" s="1"/>
  <c r="N216" i="16"/>
  <c r="O216" i="16" s="1"/>
  <c r="N72" i="16"/>
  <c r="O72" i="16" s="1"/>
  <c r="I101" i="16"/>
  <c r="U105" i="16"/>
  <c r="N148" i="16"/>
  <c r="O148" i="16" s="1"/>
  <c r="N230" i="16"/>
  <c r="O230" i="16" s="1"/>
  <c r="AC252" i="16"/>
  <c r="Q23" i="16"/>
  <c r="N44" i="16"/>
  <c r="O44" i="16" s="1"/>
  <c r="S51" i="16"/>
  <c r="S63" i="16"/>
  <c r="S76" i="16"/>
  <c r="S84" i="16"/>
  <c r="AC105" i="16"/>
  <c r="I121" i="16"/>
  <c r="N128" i="16"/>
  <c r="O128" i="16" s="1"/>
  <c r="S134" i="16"/>
  <c r="AC143" i="16"/>
  <c r="S162" i="16"/>
  <c r="S187" i="16"/>
  <c r="N199" i="16"/>
  <c r="O199" i="16" s="1"/>
  <c r="S210" i="16"/>
  <c r="N221" i="16"/>
  <c r="O221" i="16" s="1"/>
  <c r="N251" i="16"/>
  <c r="O251" i="16" s="1"/>
  <c r="S255" i="16"/>
  <c r="S278" i="16"/>
  <c r="R23" i="16"/>
  <c r="T76" i="16"/>
  <c r="U76" i="16" s="1"/>
  <c r="T187" i="16"/>
  <c r="R191" i="16"/>
  <c r="AC15" i="16"/>
  <c r="Q13" i="16"/>
  <c r="T34" i="16"/>
  <c r="T55" i="16" s="1"/>
  <c r="T87" i="16"/>
  <c r="Q36" i="16"/>
  <c r="S36" i="16" s="1"/>
  <c r="I75" i="16"/>
  <c r="S125" i="16"/>
  <c r="S219" i="16"/>
  <c r="Q19" i="16"/>
  <c r="S19" i="16" s="1"/>
  <c r="Q24" i="16"/>
  <c r="S77" i="16"/>
  <c r="S99" i="16"/>
  <c r="S188" i="16"/>
  <c r="S209" i="16"/>
  <c r="S229" i="16"/>
  <c r="S250" i="16"/>
  <c r="S277" i="16"/>
  <c r="S146" i="16"/>
  <c r="U163" i="16"/>
  <c r="J55" i="22" l="1"/>
  <c r="K43" i="22"/>
  <c r="K55" i="22" s="1"/>
  <c r="S59" i="16"/>
  <c r="S67" i="16" s="1"/>
  <c r="U59" i="16"/>
  <c r="U67" i="16" s="1"/>
  <c r="R67" i="16"/>
  <c r="S45" i="16"/>
  <c r="U45" i="16"/>
  <c r="U55" i="16" s="1"/>
  <c r="U252" i="16"/>
  <c r="S252" i="16"/>
  <c r="U48" i="16"/>
  <c r="S48" i="16"/>
  <c r="I155" i="16"/>
  <c r="T121" i="16"/>
  <c r="T138" i="16" s="1"/>
  <c r="H121" i="16"/>
  <c r="Q29" i="16"/>
  <c r="Q55" i="16"/>
  <c r="S35" i="16"/>
  <c r="S55" i="16" s="1"/>
  <c r="U35" i="16"/>
  <c r="S191" i="16"/>
  <c r="U191" i="16"/>
  <c r="S233" i="16"/>
  <c r="U233" i="16"/>
  <c r="S13" i="16"/>
  <c r="U22" i="16"/>
  <c r="S22" i="16"/>
  <c r="S110" i="16"/>
  <c r="U110" i="16"/>
  <c r="H157" i="16"/>
  <c r="I205" i="16"/>
  <c r="S23" i="16"/>
  <c r="U23" i="16"/>
  <c r="U187" i="16"/>
  <c r="S149" i="16"/>
  <c r="U149" i="16"/>
  <c r="U15" i="16"/>
  <c r="S15" i="16"/>
  <c r="G237" i="16"/>
  <c r="Q203" i="16"/>
  <c r="Q213" i="16" s="1"/>
  <c r="S183" i="16"/>
  <c r="I204" i="16"/>
  <c r="H156" i="16"/>
  <c r="T156" i="16"/>
  <c r="R29" i="16"/>
  <c r="S141" i="16"/>
  <c r="U141" i="16"/>
  <c r="S89" i="16"/>
  <c r="S102" i="16" s="1"/>
  <c r="U89" i="16"/>
  <c r="S200" i="16"/>
  <c r="U200" i="16"/>
  <c r="S73" i="16"/>
  <c r="U73" i="16"/>
  <c r="N122" i="16"/>
  <c r="O122" i="16" s="1"/>
  <c r="R122" i="16"/>
  <c r="U176" i="16"/>
  <c r="U183" i="16" s="1"/>
  <c r="R183" i="16"/>
  <c r="S176" i="16"/>
  <c r="U94" i="16"/>
  <c r="S94" i="16"/>
  <c r="U21" i="16"/>
  <c r="U29" i="16" s="1"/>
  <c r="S21" i="16"/>
  <c r="S129" i="16"/>
  <c r="U129" i="16"/>
  <c r="I170" i="16"/>
  <c r="I137" i="16"/>
  <c r="H101" i="16"/>
  <c r="N101" i="16" s="1"/>
  <c r="O101" i="16" s="1"/>
  <c r="I212" i="16"/>
  <c r="H212" i="16" s="1"/>
  <c r="S24" i="16"/>
  <c r="U24" i="16"/>
  <c r="G204" i="16"/>
  <c r="G238" i="16" s="1"/>
  <c r="G272" i="16" s="1"/>
  <c r="Q156" i="16"/>
  <c r="Q171" i="16" s="1"/>
  <c r="R55" i="16"/>
  <c r="AC75" i="16"/>
  <c r="T75" i="16"/>
  <c r="N121" i="16" l="1"/>
  <c r="O121" i="16" s="1"/>
  <c r="R121" i="16"/>
  <c r="H205" i="16"/>
  <c r="I239" i="16"/>
  <c r="H170" i="16"/>
  <c r="N170" i="16" s="1"/>
  <c r="O170" i="16" s="1"/>
  <c r="I246" i="16"/>
  <c r="H246" i="16" s="1"/>
  <c r="H155" i="16"/>
  <c r="I203" i="16"/>
  <c r="T155" i="16"/>
  <c r="T171" i="16" s="1"/>
  <c r="H137" i="16"/>
  <c r="N137" i="16" s="1"/>
  <c r="O137" i="16" s="1"/>
  <c r="I280" i="16"/>
  <c r="H280" i="16" s="1"/>
  <c r="R156" i="16"/>
  <c r="N156" i="16"/>
  <c r="O156" i="16" s="1"/>
  <c r="H204" i="16"/>
  <c r="I238" i="16"/>
  <c r="S29" i="16"/>
  <c r="S122" i="16"/>
  <c r="U122" i="16"/>
  <c r="T102" i="16"/>
  <c r="U75" i="16"/>
  <c r="U102" i="16" s="1"/>
  <c r="G271" i="16"/>
  <c r="Q271" i="16" s="1"/>
  <c r="Q281" i="16" s="1"/>
  <c r="Q237" i="16"/>
  <c r="Q247" i="16" s="1"/>
  <c r="I273" i="16" l="1"/>
  <c r="H273" i="16" s="1"/>
  <c r="H239" i="16"/>
  <c r="S156" i="16"/>
  <c r="U156" i="16"/>
  <c r="I272" i="16"/>
  <c r="H272" i="16" s="1"/>
  <c r="H238" i="16"/>
  <c r="I237" i="16"/>
  <c r="H203" i="16"/>
  <c r="T203" i="16"/>
  <c r="T213" i="16" s="1"/>
  <c r="N155" i="16"/>
  <c r="O155" i="16" s="1"/>
  <c r="R155" i="16"/>
  <c r="S121" i="16"/>
  <c r="S138" i="16" s="1"/>
  <c r="U121" i="16"/>
  <c r="U138" i="16" s="1"/>
  <c r="R138" i="16"/>
  <c r="U155" i="16" l="1"/>
  <c r="U171" i="16" s="1"/>
  <c r="S155" i="16"/>
  <c r="S171" i="16" s="1"/>
  <c r="R171" i="16"/>
  <c r="R203" i="16"/>
  <c r="N203" i="16"/>
  <c r="O203" i="16" s="1"/>
  <c r="H237" i="16"/>
  <c r="I271" i="16"/>
  <c r="T237" i="16"/>
  <c r="T247" i="16" s="1"/>
  <c r="H271" i="16" l="1"/>
  <c r="T271" i="16"/>
  <c r="T281" i="16" s="1"/>
  <c r="U203" i="16"/>
  <c r="U213" i="16" s="1"/>
  <c r="S203" i="16"/>
  <c r="S213" i="16" s="1"/>
  <c r="R213" i="16"/>
  <c r="N237" i="16"/>
  <c r="O237" i="16" s="1"/>
  <c r="R237" i="16"/>
  <c r="U237" i="16" l="1"/>
  <c r="U247" i="16" s="1"/>
  <c r="S237" i="16"/>
  <c r="S247" i="16" s="1"/>
  <c r="R247" i="16"/>
  <c r="N271" i="16"/>
  <c r="O271" i="16" s="1"/>
  <c r="R271" i="16"/>
  <c r="U271" i="16" l="1"/>
  <c r="U281" i="16" s="1"/>
  <c r="S271" i="16"/>
  <c r="S281" i="16" s="1"/>
  <c r="R281" i="16"/>
  <c r="G4" i="26" l="1"/>
  <c r="G30" i="25"/>
  <c r="G32" i="25" s="1"/>
  <c r="G35" i="25" s="1"/>
  <c r="G22" i="25"/>
  <c r="I19" i="25"/>
  <c r="I17" i="25"/>
  <c r="I22" i="25" s="1"/>
  <c r="G17" i="25"/>
  <c r="A16" i="25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J2" i="25"/>
  <c r="K50" i="15"/>
  <c r="J47" i="15"/>
  <c r="K47" i="15" s="1"/>
  <c r="I47" i="15"/>
  <c r="H47" i="15"/>
  <c r="H48" i="15" s="1"/>
  <c r="K46" i="15"/>
  <c r="K48" i="15" s="1"/>
  <c r="J46" i="15"/>
  <c r="J48" i="15" s="1"/>
  <c r="I46" i="15"/>
  <c r="I48" i="15" s="1"/>
  <c r="H46" i="15"/>
  <c r="K37" i="15"/>
  <c r="J29" i="15" s="1"/>
  <c r="I37" i="15"/>
  <c r="I29" i="15" s="1"/>
  <c r="I43" i="15" s="1"/>
  <c r="I55" i="15" s="1"/>
  <c r="G37" i="15"/>
  <c r="H29" i="15" s="1"/>
  <c r="K36" i="15"/>
  <c r="J28" i="15" s="1"/>
  <c r="I36" i="15"/>
  <c r="G36" i="15"/>
  <c r="K35" i="15"/>
  <c r="J27" i="15" s="1"/>
  <c r="I35" i="15"/>
  <c r="G35" i="15"/>
  <c r="K34" i="15"/>
  <c r="I34" i="15"/>
  <c r="G34" i="15"/>
  <c r="I28" i="15"/>
  <c r="I42" i="15" s="1"/>
  <c r="I54" i="15" s="1"/>
  <c r="H28" i="15"/>
  <c r="H42" i="15" s="1"/>
  <c r="I27" i="15"/>
  <c r="H27" i="15"/>
  <c r="H41" i="15" s="1"/>
  <c r="H53" i="15" s="1"/>
  <c r="K26" i="15"/>
  <c r="J24" i="15"/>
  <c r="I24" i="15"/>
  <c r="I30" i="15" s="1"/>
  <c r="H24" i="15"/>
  <c r="K23" i="15"/>
  <c r="K22" i="15"/>
  <c r="K21" i="15"/>
  <c r="K20" i="15"/>
  <c r="K24" i="15" s="1"/>
  <c r="I20" i="15"/>
  <c r="I41" i="15" s="1"/>
  <c r="I53" i="15" s="1"/>
  <c r="K17" i="15"/>
  <c r="J17" i="15"/>
  <c r="I17" i="15"/>
  <c r="H17" i="15"/>
  <c r="B17" i="15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G11" i="15"/>
  <c r="H11" i="15" s="1"/>
  <c r="I11" i="15" s="1"/>
  <c r="J11" i="15" s="1"/>
  <c r="K11" i="15" s="1"/>
  <c r="M11" i="15" s="1"/>
  <c r="F11" i="15"/>
  <c r="M3" i="15"/>
  <c r="I55" i="13"/>
  <c r="I57" i="13" s="1"/>
  <c r="I50" i="13"/>
  <c r="I52" i="13" s="1"/>
  <c r="I44" i="13"/>
  <c r="I41" i="13"/>
  <c r="I34" i="13"/>
  <c r="I30" i="13"/>
  <c r="L27" i="13"/>
  <c r="I27" i="13"/>
  <c r="L26" i="13"/>
  <c r="I26" i="13"/>
  <c r="I25" i="13"/>
  <c r="L22" i="13"/>
  <c r="I22" i="13"/>
  <c r="L21" i="13"/>
  <c r="I21" i="13"/>
  <c r="I20" i="13"/>
  <c r="B19" i="13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I15" i="13"/>
  <c r="L15" i="13" s="1"/>
  <c r="L3" i="13"/>
  <c r="Q3" i="5"/>
  <c r="L22" i="5"/>
  <c r="Q22" i="5" s="1"/>
  <c r="L23" i="5"/>
  <c r="O23" i="5"/>
  <c r="Q23" i="5" s="1"/>
  <c r="L24" i="5"/>
  <c r="Q24" i="5" s="1"/>
  <c r="O24" i="5"/>
  <c r="G33" i="5"/>
  <c r="B46" i="5"/>
  <c r="B47" i="5" s="1"/>
  <c r="B48" i="5" s="1"/>
  <c r="B49" i="5" s="1"/>
  <c r="J46" i="5"/>
  <c r="J47" i="5"/>
  <c r="G49" i="5"/>
  <c r="J49" i="5"/>
  <c r="I47" i="12"/>
  <c r="G47" i="12"/>
  <c r="J47" i="12" s="1"/>
  <c r="B47" i="12"/>
  <c r="B48" i="12" s="1"/>
  <c r="B49" i="12" s="1"/>
  <c r="J46" i="12"/>
  <c r="J49" i="12" s="1"/>
  <c r="I46" i="12"/>
  <c r="G46" i="12"/>
  <c r="G49" i="12" s="1"/>
  <c r="B46" i="12"/>
  <c r="G31" i="12"/>
  <c r="G30" i="12"/>
  <c r="G29" i="12"/>
  <c r="G28" i="12"/>
  <c r="G27" i="12"/>
  <c r="G26" i="12"/>
  <c r="G25" i="12"/>
  <c r="O24" i="12"/>
  <c r="G24" i="12"/>
  <c r="L24" i="12" s="1"/>
  <c r="Q24" i="12" s="1"/>
  <c r="O23" i="12"/>
  <c r="L23" i="12"/>
  <c r="Q23" i="12" s="1"/>
  <c r="G23" i="12"/>
  <c r="G22" i="12"/>
  <c r="L22" i="12" s="1"/>
  <c r="Q22" i="12" s="1"/>
  <c r="Q3" i="12"/>
  <c r="X279" i="11"/>
  <c r="X278" i="11"/>
  <c r="X277" i="11"/>
  <c r="X267" i="11"/>
  <c r="X266" i="11"/>
  <c r="Z265" i="11"/>
  <c r="X265" i="11"/>
  <c r="G235" i="11"/>
  <c r="H235" i="11" s="1"/>
  <c r="I235" i="11" s="1"/>
  <c r="J235" i="11" s="1"/>
  <c r="K235" i="11" s="1"/>
  <c r="L235" i="11" s="1"/>
  <c r="M235" i="11" s="1"/>
  <c r="X221" i="11"/>
  <c r="X220" i="11"/>
  <c r="X219" i="11"/>
  <c r="X209" i="11"/>
  <c r="Z209" i="11" s="1"/>
  <c r="X208" i="11"/>
  <c r="Z207" i="11"/>
  <c r="X207" i="11"/>
  <c r="G177" i="11"/>
  <c r="H177" i="11" s="1"/>
  <c r="I177" i="11" s="1"/>
  <c r="J177" i="11" s="1"/>
  <c r="K177" i="11" s="1"/>
  <c r="L177" i="11" s="1"/>
  <c r="M177" i="11" s="1"/>
  <c r="X163" i="11"/>
  <c r="X162" i="11"/>
  <c r="X161" i="11"/>
  <c r="Z151" i="11"/>
  <c r="X151" i="11"/>
  <c r="X150" i="11"/>
  <c r="Z149" i="11"/>
  <c r="X149" i="11"/>
  <c r="G119" i="11"/>
  <c r="H119" i="11" s="1"/>
  <c r="I119" i="11" s="1"/>
  <c r="J119" i="11" s="1"/>
  <c r="K119" i="11" s="1"/>
  <c r="L119" i="11" s="1"/>
  <c r="M119" i="11" s="1"/>
  <c r="M110" i="11"/>
  <c r="M168" i="11" s="1"/>
  <c r="M226" i="11" s="1"/>
  <c r="Z98" i="11"/>
  <c r="X98" i="11"/>
  <c r="X97" i="11"/>
  <c r="Z96" i="11"/>
  <c r="X96" i="11"/>
  <c r="G66" i="11"/>
  <c r="H66" i="11" s="1"/>
  <c r="I66" i="11" s="1"/>
  <c r="J66" i="11" s="1"/>
  <c r="K66" i="11" s="1"/>
  <c r="L66" i="11" s="1"/>
  <c r="M66" i="11" s="1"/>
  <c r="M57" i="11"/>
  <c r="Z47" i="11"/>
  <c r="X47" i="11"/>
  <c r="X46" i="11"/>
  <c r="X45" i="11"/>
  <c r="H14" i="11"/>
  <c r="I14" i="11" s="1"/>
  <c r="J14" i="11" s="1"/>
  <c r="K14" i="11" s="1"/>
  <c r="L14" i="11" s="1"/>
  <c r="M14" i="11" s="1"/>
  <c r="G14" i="11"/>
  <c r="M5" i="11"/>
  <c r="G42" i="10"/>
  <c r="G43" i="10" s="1"/>
  <c r="I38" i="10"/>
  <c r="H38" i="10"/>
  <c r="G38" i="10"/>
  <c r="I37" i="10"/>
  <c r="I39" i="10" s="1"/>
  <c r="H37" i="10"/>
  <c r="H39" i="10" s="1"/>
  <c r="G28" i="10"/>
  <c r="G26" i="10"/>
  <c r="G25" i="10"/>
  <c r="G27" i="10" s="1"/>
  <c r="G29" i="10" s="1"/>
  <c r="G31" i="10" s="1"/>
  <c r="G22" i="10"/>
  <c r="G16" i="10"/>
  <c r="G15" i="10"/>
  <c r="G14" i="10"/>
  <c r="G17" i="10" s="1"/>
  <c r="B13" i="10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I9" i="10"/>
  <c r="J9" i="10" s="1"/>
  <c r="H9" i="10"/>
  <c r="G9" i="10"/>
  <c r="J3" i="10"/>
  <c r="N298" i="9"/>
  <c r="O298" i="9" s="1"/>
  <c r="O295" i="9"/>
  <c r="H295" i="9"/>
  <c r="O294" i="9"/>
  <c r="H294" i="9"/>
  <c r="O293" i="9"/>
  <c r="H293" i="9"/>
  <c r="O292" i="9"/>
  <c r="H292" i="9"/>
  <c r="H290" i="9"/>
  <c r="N290" i="9" s="1"/>
  <c r="O290" i="9" s="1"/>
  <c r="H289" i="9"/>
  <c r="N289" i="9" s="1"/>
  <c r="O289" i="9" s="1"/>
  <c r="N287" i="9"/>
  <c r="O287" i="9" s="1"/>
  <c r="N286" i="9"/>
  <c r="O286" i="9" s="1"/>
  <c r="N285" i="9"/>
  <c r="O285" i="9" s="1"/>
  <c r="N284" i="9"/>
  <c r="O284" i="9" s="1"/>
  <c r="N283" i="9"/>
  <c r="O283" i="9" s="1"/>
  <c r="T278" i="9"/>
  <c r="R278" i="9"/>
  <c r="U278" i="9" s="1"/>
  <c r="Q278" i="9"/>
  <c r="N278" i="9"/>
  <c r="O278" i="9" s="1"/>
  <c r="T277" i="9"/>
  <c r="R277" i="9"/>
  <c r="U277" i="9" s="1"/>
  <c r="Q277" i="9"/>
  <c r="N277" i="9"/>
  <c r="O277" i="9" s="1"/>
  <c r="I274" i="9"/>
  <c r="H274" i="9"/>
  <c r="N274" i="9" s="1"/>
  <c r="O274" i="9" s="1"/>
  <c r="G274" i="9"/>
  <c r="U268" i="9"/>
  <c r="S268" i="9"/>
  <c r="I268" i="9"/>
  <c r="H268" i="9" s="1"/>
  <c r="N268" i="9" s="1"/>
  <c r="O268" i="9" s="1"/>
  <c r="U267" i="9"/>
  <c r="S267" i="9"/>
  <c r="I267" i="9"/>
  <c r="H267" i="9" s="1"/>
  <c r="N267" i="9" s="1"/>
  <c r="O267" i="9" s="1"/>
  <c r="T264" i="9"/>
  <c r="R264" i="9"/>
  <c r="U264" i="9" s="1"/>
  <c r="Q264" i="9"/>
  <c r="N264" i="9"/>
  <c r="O264" i="9" s="1"/>
  <c r="I264" i="9"/>
  <c r="H264" i="9"/>
  <c r="G264" i="9"/>
  <c r="S263" i="9"/>
  <c r="R263" i="9"/>
  <c r="U263" i="9" s="1"/>
  <c r="Q263" i="9"/>
  <c r="I263" i="9"/>
  <c r="T263" i="9" s="1"/>
  <c r="H263" i="9"/>
  <c r="N263" i="9" s="1"/>
  <c r="O263" i="9" s="1"/>
  <c r="G263" i="9"/>
  <c r="I258" i="9"/>
  <c r="T258" i="9" s="1"/>
  <c r="H258" i="9"/>
  <c r="R258" i="9" s="1"/>
  <c r="G258" i="9"/>
  <c r="Q258" i="9" s="1"/>
  <c r="R255" i="9"/>
  <c r="Q255" i="9"/>
  <c r="N255" i="9"/>
  <c r="O255" i="9" s="1"/>
  <c r="I255" i="9"/>
  <c r="T255" i="9" s="1"/>
  <c r="H255" i="9"/>
  <c r="G255" i="9"/>
  <c r="T253" i="9"/>
  <c r="R253" i="9"/>
  <c r="U253" i="9" s="1"/>
  <c r="H253" i="9"/>
  <c r="AC253" i="9" s="1"/>
  <c r="G253" i="9"/>
  <c r="Q253" i="9" s="1"/>
  <c r="AC252" i="9"/>
  <c r="T252" i="9"/>
  <c r="R252" i="9"/>
  <c r="U252" i="9" s="1"/>
  <c r="I252" i="9"/>
  <c r="H252" i="9"/>
  <c r="N252" i="9" s="1"/>
  <c r="O252" i="9" s="1"/>
  <c r="G252" i="9"/>
  <c r="Q252" i="9" s="1"/>
  <c r="AC251" i="9"/>
  <c r="I251" i="9"/>
  <c r="T251" i="9" s="1"/>
  <c r="H251" i="9"/>
  <c r="R251" i="9" s="1"/>
  <c r="G251" i="9"/>
  <c r="Q251" i="9" s="1"/>
  <c r="AC250" i="9"/>
  <c r="Q250" i="9"/>
  <c r="I250" i="9"/>
  <c r="T250" i="9" s="1"/>
  <c r="H250" i="9"/>
  <c r="R250" i="9" s="1"/>
  <c r="T244" i="9"/>
  <c r="R244" i="9"/>
  <c r="U244" i="9" s="1"/>
  <c r="Q244" i="9"/>
  <c r="O244" i="9"/>
  <c r="N244" i="9"/>
  <c r="T243" i="9"/>
  <c r="R243" i="9"/>
  <c r="U243" i="9" s="1"/>
  <c r="Q243" i="9"/>
  <c r="N243" i="9"/>
  <c r="O243" i="9" s="1"/>
  <c r="I240" i="9"/>
  <c r="H240" i="9" s="1"/>
  <c r="N240" i="9" s="1"/>
  <c r="O240" i="9" s="1"/>
  <c r="G240" i="9"/>
  <c r="T234" i="9"/>
  <c r="Q234" i="9"/>
  <c r="I234" i="9"/>
  <c r="H234" i="9"/>
  <c r="R234" i="9" s="1"/>
  <c r="T233" i="9"/>
  <c r="Q233" i="9"/>
  <c r="I233" i="9"/>
  <c r="H233" i="9" s="1"/>
  <c r="I230" i="9"/>
  <c r="T230" i="9" s="1"/>
  <c r="H230" i="9"/>
  <c r="R230" i="9" s="1"/>
  <c r="G230" i="9"/>
  <c r="Q230" i="9" s="1"/>
  <c r="Q229" i="9"/>
  <c r="I229" i="9"/>
  <c r="T229" i="9" s="1"/>
  <c r="H229" i="9"/>
  <c r="N229" i="9" s="1"/>
  <c r="O229" i="9" s="1"/>
  <c r="G229" i="9"/>
  <c r="T224" i="9"/>
  <c r="R224" i="9"/>
  <c r="U224" i="9" s="1"/>
  <c r="Q224" i="9"/>
  <c r="I224" i="9"/>
  <c r="H224" i="9"/>
  <c r="N224" i="9" s="1"/>
  <c r="O224" i="9" s="1"/>
  <c r="G224" i="9"/>
  <c r="I221" i="9"/>
  <c r="T221" i="9" s="1"/>
  <c r="H221" i="9"/>
  <c r="R221" i="9" s="1"/>
  <c r="G221" i="9"/>
  <c r="Q221" i="9" s="1"/>
  <c r="T219" i="9"/>
  <c r="Q219" i="9"/>
  <c r="H219" i="9"/>
  <c r="AC219" i="9" s="1"/>
  <c r="Q218" i="9"/>
  <c r="I218" i="9"/>
  <c r="T218" i="9" s="1"/>
  <c r="H218" i="9"/>
  <c r="AC218" i="9" s="1"/>
  <c r="G218" i="9"/>
  <c r="AC217" i="9"/>
  <c r="T217" i="9"/>
  <c r="R217" i="9"/>
  <c r="U217" i="9" s="1"/>
  <c r="Q217" i="9"/>
  <c r="I217" i="9"/>
  <c r="H217" i="9"/>
  <c r="G217" i="9"/>
  <c r="N217" i="9" s="1"/>
  <c r="O217" i="9" s="1"/>
  <c r="I216" i="9"/>
  <c r="H216" i="9"/>
  <c r="AC216" i="9" s="1"/>
  <c r="T210" i="9"/>
  <c r="R210" i="9"/>
  <c r="U210" i="9" s="1"/>
  <c r="Q210" i="9"/>
  <c r="N210" i="9"/>
  <c r="O210" i="9" s="1"/>
  <c r="T209" i="9"/>
  <c r="S209" i="9"/>
  <c r="R209" i="9"/>
  <c r="U209" i="9" s="1"/>
  <c r="Q209" i="9"/>
  <c r="N209" i="9"/>
  <c r="O209" i="9" s="1"/>
  <c r="I206" i="9"/>
  <c r="H206" i="9"/>
  <c r="T200" i="9"/>
  <c r="I200" i="9"/>
  <c r="H200" i="9"/>
  <c r="R200" i="9" s="1"/>
  <c r="G200" i="9"/>
  <c r="Q200" i="9" s="1"/>
  <c r="I199" i="9"/>
  <c r="T199" i="9" s="1"/>
  <c r="H199" i="9"/>
  <c r="R199" i="9" s="1"/>
  <c r="G199" i="9"/>
  <c r="Q199" i="9" s="1"/>
  <c r="T194" i="9"/>
  <c r="R194" i="9"/>
  <c r="U194" i="9" s="1"/>
  <c r="Q194" i="9"/>
  <c r="I194" i="9"/>
  <c r="H194" i="9"/>
  <c r="N194" i="9" s="1"/>
  <c r="O194" i="9" s="1"/>
  <c r="G194" i="9"/>
  <c r="T191" i="9"/>
  <c r="R191" i="9"/>
  <c r="N191" i="9"/>
  <c r="O191" i="9" s="1"/>
  <c r="I191" i="9"/>
  <c r="H191" i="9"/>
  <c r="G191" i="9"/>
  <c r="Q191" i="9" s="1"/>
  <c r="AC189" i="9"/>
  <c r="T189" i="9"/>
  <c r="H189" i="9"/>
  <c r="R189" i="9" s="1"/>
  <c r="G189" i="9"/>
  <c r="Q189" i="9" s="1"/>
  <c r="AC188" i="9"/>
  <c r="Q188" i="9"/>
  <c r="I188" i="9"/>
  <c r="T188" i="9" s="1"/>
  <c r="H188" i="9"/>
  <c r="N188" i="9" s="1"/>
  <c r="O188" i="9" s="1"/>
  <c r="G188" i="9"/>
  <c r="R187" i="9"/>
  <c r="U187" i="9" s="1"/>
  <c r="Q187" i="9"/>
  <c r="N187" i="9"/>
  <c r="O187" i="9" s="1"/>
  <c r="I187" i="9"/>
  <c r="T187" i="9" s="1"/>
  <c r="H187" i="9"/>
  <c r="AC187" i="9" s="1"/>
  <c r="G187" i="9"/>
  <c r="T186" i="9"/>
  <c r="R186" i="9"/>
  <c r="S186" i="9" s="1"/>
  <c r="Q186" i="9"/>
  <c r="I186" i="9"/>
  <c r="H186" i="9"/>
  <c r="AC186" i="9" s="1"/>
  <c r="N182" i="9"/>
  <c r="O182" i="9" s="1"/>
  <c r="H182" i="9"/>
  <c r="H181" i="9"/>
  <c r="N181" i="9" s="1"/>
  <c r="O181" i="9" s="1"/>
  <c r="T179" i="9"/>
  <c r="H179" i="9"/>
  <c r="R179" i="9" s="1"/>
  <c r="G179" i="9"/>
  <c r="Q179" i="9" s="1"/>
  <c r="AC176" i="9"/>
  <c r="T176" i="9"/>
  <c r="R176" i="9"/>
  <c r="U176" i="9" s="1"/>
  <c r="Q176" i="9"/>
  <c r="H176" i="9"/>
  <c r="N176" i="9" s="1"/>
  <c r="O176" i="9" s="1"/>
  <c r="G176" i="9"/>
  <c r="AC175" i="9"/>
  <c r="T175" i="9"/>
  <c r="T183" i="9" s="1"/>
  <c r="R175" i="9"/>
  <c r="U175" i="9" s="1"/>
  <c r="Q175" i="9"/>
  <c r="H175" i="9"/>
  <c r="G175" i="9"/>
  <c r="N175" i="9" s="1"/>
  <c r="O175" i="9" s="1"/>
  <c r="U168" i="9"/>
  <c r="T168" i="9"/>
  <c r="R168" i="9"/>
  <c r="S168" i="9" s="1"/>
  <c r="Q168" i="9"/>
  <c r="O168" i="9"/>
  <c r="N168" i="9"/>
  <c r="T167" i="9"/>
  <c r="U167" i="9" s="1"/>
  <c r="R167" i="9"/>
  <c r="S167" i="9" s="1"/>
  <c r="Q167" i="9"/>
  <c r="N167" i="9"/>
  <c r="O167" i="9" s="1"/>
  <c r="I164" i="9"/>
  <c r="H164" i="9"/>
  <c r="G164" i="9"/>
  <c r="N163" i="9"/>
  <c r="O163" i="9" s="1"/>
  <c r="I163" i="9"/>
  <c r="T163" i="9" s="1"/>
  <c r="H163" i="9"/>
  <c r="R163" i="9" s="1"/>
  <c r="G163" i="9"/>
  <c r="Q163" i="9" s="1"/>
  <c r="R162" i="9"/>
  <c r="Q162" i="9"/>
  <c r="N162" i="9"/>
  <c r="O162" i="9" s="1"/>
  <c r="I162" i="9"/>
  <c r="T162" i="9" s="1"/>
  <c r="H162" i="9"/>
  <c r="G162" i="9"/>
  <c r="R161" i="9"/>
  <c r="Q161" i="9"/>
  <c r="I161" i="9"/>
  <c r="T161" i="9" s="1"/>
  <c r="H161" i="9"/>
  <c r="N161" i="9" s="1"/>
  <c r="O161" i="9" s="1"/>
  <c r="G161" i="9"/>
  <c r="I158" i="9"/>
  <c r="H153" i="9"/>
  <c r="N153" i="9" s="1"/>
  <c r="O153" i="9" s="1"/>
  <c r="I150" i="9"/>
  <c r="H150" i="9"/>
  <c r="G150" i="9"/>
  <c r="T149" i="9"/>
  <c r="I149" i="9"/>
  <c r="H149" i="9"/>
  <c r="R149" i="9" s="1"/>
  <c r="G149" i="9"/>
  <c r="Q149" i="9" s="1"/>
  <c r="I148" i="9"/>
  <c r="T148" i="9" s="1"/>
  <c r="H148" i="9"/>
  <c r="R148" i="9" s="1"/>
  <c r="G148" i="9"/>
  <c r="Q148" i="9" s="1"/>
  <c r="N146" i="9"/>
  <c r="O146" i="9" s="1"/>
  <c r="I146" i="9"/>
  <c r="T146" i="9" s="1"/>
  <c r="H146" i="9"/>
  <c r="R146" i="9" s="1"/>
  <c r="G146" i="9"/>
  <c r="Q146" i="9" s="1"/>
  <c r="T143" i="9"/>
  <c r="R143" i="9"/>
  <c r="U143" i="9" s="1"/>
  <c r="Q143" i="9"/>
  <c r="I143" i="9"/>
  <c r="AC143" i="9" s="1"/>
  <c r="H143" i="9"/>
  <c r="N143" i="9" s="1"/>
  <c r="O143" i="9" s="1"/>
  <c r="G143" i="9"/>
  <c r="AC142" i="9"/>
  <c r="T142" i="9"/>
  <c r="I142" i="9"/>
  <c r="H142" i="9"/>
  <c r="R142" i="9" s="1"/>
  <c r="G142" i="9"/>
  <c r="Q142" i="9" s="1"/>
  <c r="I141" i="9"/>
  <c r="T141" i="9" s="1"/>
  <c r="H141" i="9"/>
  <c r="R141" i="9" s="1"/>
  <c r="G141" i="9"/>
  <c r="Q141" i="9" s="1"/>
  <c r="T135" i="9"/>
  <c r="R135" i="9"/>
  <c r="S135" i="9" s="1"/>
  <c r="Q135" i="9"/>
  <c r="N135" i="9"/>
  <c r="O135" i="9" s="1"/>
  <c r="T134" i="9"/>
  <c r="R134" i="9"/>
  <c r="U134" i="9" s="1"/>
  <c r="Q134" i="9"/>
  <c r="N134" i="9"/>
  <c r="O134" i="9" s="1"/>
  <c r="I131" i="9"/>
  <c r="H131" i="9"/>
  <c r="G131" i="9"/>
  <c r="T130" i="9"/>
  <c r="I130" i="9"/>
  <c r="H130" i="9"/>
  <c r="R130" i="9" s="1"/>
  <c r="G130" i="9"/>
  <c r="Q130" i="9" s="1"/>
  <c r="T129" i="9"/>
  <c r="I129" i="9"/>
  <c r="H129" i="9"/>
  <c r="R129" i="9" s="1"/>
  <c r="G129" i="9"/>
  <c r="Q129" i="9" s="1"/>
  <c r="I128" i="9"/>
  <c r="T128" i="9" s="1"/>
  <c r="H128" i="9"/>
  <c r="R128" i="9" s="1"/>
  <c r="G128" i="9"/>
  <c r="Q128" i="9" s="1"/>
  <c r="Q125" i="9"/>
  <c r="I125" i="9"/>
  <c r="T125" i="9" s="1"/>
  <c r="G123" i="9"/>
  <c r="G157" i="9" s="1"/>
  <c r="G205" i="9" s="1"/>
  <c r="G239" i="9" s="1"/>
  <c r="G273" i="9" s="1"/>
  <c r="G122" i="9"/>
  <c r="Q122" i="9" s="1"/>
  <c r="G121" i="9"/>
  <c r="G155" i="9" s="1"/>
  <c r="O117" i="9"/>
  <c r="I117" i="9"/>
  <c r="H117" i="9" s="1"/>
  <c r="H116" i="9"/>
  <c r="N116" i="9" s="1"/>
  <c r="O116" i="9" s="1"/>
  <c r="I114" i="9"/>
  <c r="H114" i="9"/>
  <c r="G114" i="9"/>
  <c r="T113" i="9"/>
  <c r="R113" i="9"/>
  <c r="U113" i="9" s="1"/>
  <c r="Q113" i="9"/>
  <c r="S113" i="9" s="1"/>
  <c r="I113" i="9"/>
  <c r="H113" i="9"/>
  <c r="N113" i="9" s="1"/>
  <c r="O113" i="9" s="1"/>
  <c r="G113" i="9"/>
  <c r="T112" i="9"/>
  <c r="R112" i="9"/>
  <c r="U112" i="9" s="1"/>
  <c r="I112" i="9"/>
  <c r="H112" i="9"/>
  <c r="N112" i="9" s="1"/>
  <c r="O112" i="9" s="1"/>
  <c r="G112" i="9"/>
  <c r="Q112" i="9" s="1"/>
  <c r="T110" i="9"/>
  <c r="I110" i="9"/>
  <c r="H110" i="9"/>
  <c r="R110" i="9" s="1"/>
  <c r="G110" i="9"/>
  <c r="Q110" i="9" s="1"/>
  <c r="Q107" i="9"/>
  <c r="I107" i="9"/>
  <c r="T107" i="9" s="1"/>
  <c r="H107" i="9"/>
  <c r="AC107" i="9" s="1"/>
  <c r="G107" i="9"/>
  <c r="R106" i="9"/>
  <c r="Q106" i="9"/>
  <c r="I106" i="9"/>
  <c r="AC106" i="9" s="1"/>
  <c r="H106" i="9"/>
  <c r="G106" i="9"/>
  <c r="N106" i="9" s="1"/>
  <c r="O106" i="9" s="1"/>
  <c r="T105" i="9"/>
  <c r="R105" i="9"/>
  <c r="Q105" i="9"/>
  <c r="I105" i="9"/>
  <c r="AC105" i="9" s="1"/>
  <c r="H105" i="9"/>
  <c r="G105" i="9"/>
  <c r="N105" i="9" s="1"/>
  <c r="O105" i="9" s="1"/>
  <c r="G101" i="9"/>
  <c r="G137" i="9" s="1"/>
  <c r="G280" i="9" s="1"/>
  <c r="T99" i="9"/>
  <c r="S99" i="9"/>
  <c r="R99" i="9"/>
  <c r="U99" i="9" s="1"/>
  <c r="Q99" i="9"/>
  <c r="N99" i="9"/>
  <c r="O99" i="9" s="1"/>
  <c r="U98" i="9"/>
  <c r="T98" i="9"/>
  <c r="S98" i="9"/>
  <c r="R98" i="9"/>
  <c r="Q98" i="9"/>
  <c r="N98" i="9"/>
  <c r="O98" i="9" s="1"/>
  <c r="I95" i="9"/>
  <c r="H95" i="9"/>
  <c r="G95" i="9"/>
  <c r="Q94" i="9"/>
  <c r="N94" i="9"/>
  <c r="O94" i="9" s="1"/>
  <c r="I94" i="9"/>
  <c r="H94" i="9"/>
  <c r="R94" i="9" s="1"/>
  <c r="G94" i="9"/>
  <c r="T93" i="9"/>
  <c r="R93" i="9"/>
  <c r="U93" i="9" s="1"/>
  <c r="Q93" i="9"/>
  <c r="N93" i="9"/>
  <c r="O93" i="9" s="1"/>
  <c r="I93" i="9"/>
  <c r="T94" i="9" s="1"/>
  <c r="H93" i="9"/>
  <c r="G93" i="9"/>
  <c r="T92" i="9"/>
  <c r="R92" i="9"/>
  <c r="S92" i="9" s="1"/>
  <c r="Q92" i="9"/>
  <c r="N92" i="9"/>
  <c r="O92" i="9" s="1"/>
  <c r="I92" i="9"/>
  <c r="H92" i="9"/>
  <c r="G92" i="9"/>
  <c r="T89" i="9"/>
  <c r="I89" i="9"/>
  <c r="H89" i="9"/>
  <c r="R89" i="9" s="1"/>
  <c r="G89" i="9"/>
  <c r="Q89" i="9" s="1"/>
  <c r="I88" i="9"/>
  <c r="H88" i="9" s="1"/>
  <c r="Q87" i="9"/>
  <c r="I87" i="9"/>
  <c r="I122" i="9" s="1"/>
  <c r="H87" i="9"/>
  <c r="R87" i="9" s="1"/>
  <c r="Q86" i="9"/>
  <c r="I86" i="9"/>
  <c r="T86" i="9" s="1"/>
  <c r="R84" i="9"/>
  <c r="Q84" i="9"/>
  <c r="N84" i="9"/>
  <c r="O84" i="9" s="1"/>
  <c r="I84" i="9"/>
  <c r="T84" i="9" s="1"/>
  <c r="H84" i="9"/>
  <c r="G84" i="9"/>
  <c r="R83" i="9"/>
  <c r="Q83" i="9"/>
  <c r="O83" i="9"/>
  <c r="N83" i="9"/>
  <c r="I83" i="9"/>
  <c r="T83" i="9" s="1"/>
  <c r="H83" i="9"/>
  <c r="G83" i="9"/>
  <c r="T82" i="9"/>
  <c r="R82" i="9"/>
  <c r="U82" i="9" s="1"/>
  <c r="Q82" i="9"/>
  <c r="S82" i="9" s="1"/>
  <c r="I82" i="9"/>
  <c r="H82" i="9"/>
  <c r="N82" i="9" s="1"/>
  <c r="O82" i="9" s="1"/>
  <c r="G82" i="9"/>
  <c r="T80" i="9"/>
  <c r="I80" i="9"/>
  <c r="H80" i="9"/>
  <c r="R80" i="9" s="1"/>
  <c r="G80" i="9"/>
  <c r="Q80" i="9" s="1"/>
  <c r="I77" i="9"/>
  <c r="T77" i="9" s="1"/>
  <c r="H77" i="9"/>
  <c r="R77" i="9" s="1"/>
  <c r="G77" i="9"/>
  <c r="Q77" i="9" s="1"/>
  <c r="R76" i="9"/>
  <c r="U76" i="9" s="1"/>
  <c r="Q76" i="9"/>
  <c r="N76" i="9"/>
  <c r="O76" i="9" s="1"/>
  <c r="I76" i="9"/>
  <c r="T76" i="9" s="1"/>
  <c r="H76" i="9"/>
  <c r="AC76" i="9" s="1"/>
  <c r="G76" i="9"/>
  <c r="R75" i="9"/>
  <c r="Q75" i="9"/>
  <c r="N75" i="9"/>
  <c r="O75" i="9" s="1"/>
  <c r="H75" i="9"/>
  <c r="G75" i="9"/>
  <c r="AC73" i="9"/>
  <c r="T73" i="9"/>
  <c r="I73" i="9"/>
  <c r="H73" i="9"/>
  <c r="R73" i="9" s="1"/>
  <c r="G73" i="9"/>
  <c r="Q73" i="9" s="1"/>
  <c r="AC72" i="9"/>
  <c r="I72" i="9"/>
  <c r="T72" i="9" s="1"/>
  <c r="H72" i="9"/>
  <c r="R72" i="9" s="1"/>
  <c r="G72" i="9"/>
  <c r="Q72" i="9" s="1"/>
  <c r="N71" i="9"/>
  <c r="O71" i="9" s="1"/>
  <c r="I71" i="9"/>
  <c r="T71" i="9" s="1"/>
  <c r="H71" i="9"/>
  <c r="AC71" i="9" s="1"/>
  <c r="G71" i="9"/>
  <c r="Q71" i="9" s="1"/>
  <c r="Q65" i="9"/>
  <c r="I65" i="9"/>
  <c r="T65" i="9" s="1"/>
  <c r="R63" i="9"/>
  <c r="Q63" i="9"/>
  <c r="N63" i="9"/>
  <c r="O63" i="9" s="1"/>
  <c r="I63" i="9"/>
  <c r="T63" i="9" s="1"/>
  <c r="H63" i="9"/>
  <c r="G63" i="9"/>
  <c r="AC60" i="9"/>
  <c r="T60" i="9"/>
  <c r="I60" i="9"/>
  <c r="H60" i="9"/>
  <c r="R60" i="9" s="1"/>
  <c r="G60" i="9"/>
  <c r="Q60" i="9" s="1"/>
  <c r="T59" i="9"/>
  <c r="T67" i="9" s="1"/>
  <c r="I59" i="9"/>
  <c r="H59" i="9"/>
  <c r="R59" i="9" s="1"/>
  <c r="G59" i="9"/>
  <c r="Q59" i="9" s="1"/>
  <c r="I54" i="9"/>
  <c r="H54" i="9" s="1"/>
  <c r="N54" i="9" s="1"/>
  <c r="O54" i="9" s="1"/>
  <c r="G54" i="9"/>
  <c r="T52" i="9"/>
  <c r="R52" i="9"/>
  <c r="S52" i="9" s="1"/>
  <c r="Q52" i="9"/>
  <c r="N52" i="9"/>
  <c r="O52" i="9" s="1"/>
  <c r="T51" i="9"/>
  <c r="R51" i="9"/>
  <c r="U51" i="9" s="1"/>
  <c r="Q51" i="9"/>
  <c r="N51" i="9"/>
  <c r="O51" i="9" s="1"/>
  <c r="R48" i="9"/>
  <c r="Q48" i="9"/>
  <c r="N48" i="9"/>
  <c r="O48" i="9" s="1"/>
  <c r="I48" i="9"/>
  <c r="T48" i="9" s="1"/>
  <c r="H48" i="9"/>
  <c r="I46" i="9"/>
  <c r="H46" i="9"/>
  <c r="G46" i="9"/>
  <c r="T45" i="9"/>
  <c r="I45" i="9"/>
  <c r="H45" i="9"/>
  <c r="R45" i="9" s="1"/>
  <c r="G45" i="9"/>
  <c r="Q45" i="9" s="1"/>
  <c r="I44" i="9"/>
  <c r="T44" i="9" s="1"/>
  <c r="H44" i="9"/>
  <c r="R44" i="9" s="1"/>
  <c r="G44" i="9"/>
  <c r="Q44" i="9" s="1"/>
  <c r="I43" i="9"/>
  <c r="T43" i="9" s="1"/>
  <c r="H43" i="9"/>
  <c r="N43" i="9" s="1"/>
  <c r="O43" i="9" s="1"/>
  <c r="G43" i="9"/>
  <c r="Q43" i="9" s="1"/>
  <c r="R40" i="9"/>
  <c r="I40" i="9"/>
  <c r="T40" i="9" s="1"/>
  <c r="H40" i="9"/>
  <c r="R39" i="9"/>
  <c r="H39" i="9"/>
  <c r="R38" i="9"/>
  <c r="U38" i="9" s="1"/>
  <c r="H38" i="9"/>
  <c r="N38" i="9" s="1"/>
  <c r="O38" i="9" s="1"/>
  <c r="AC36" i="9"/>
  <c r="T36" i="9"/>
  <c r="I36" i="9"/>
  <c r="H36" i="9"/>
  <c r="R36" i="9" s="1"/>
  <c r="G36" i="9"/>
  <c r="G40" i="9" s="1"/>
  <c r="I35" i="9"/>
  <c r="T35" i="9" s="1"/>
  <c r="H35" i="9"/>
  <c r="N35" i="9" s="1"/>
  <c r="O35" i="9" s="1"/>
  <c r="G35" i="9"/>
  <c r="Q35" i="9" s="1"/>
  <c r="Q34" i="9"/>
  <c r="I34" i="9"/>
  <c r="I38" i="9" s="1"/>
  <c r="T38" i="9" s="1"/>
  <c r="H34" i="9"/>
  <c r="AC34" i="9" s="1"/>
  <c r="G34" i="9"/>
  <c r="G38" i="9" s="1"/>
  <c r="Q38" i="9" s="1"/>
  <c r="S38" i="9" s="1"/>
  <c r="R33" i="9"/>
  <c r="Q33" i="9"/>
  <c r="O33" i="9"/>
  <c r="N33" i="9"/>
  <c r="I33" i="9"/>
  <c r="AC33" i="9" s="1"/>
  <c r="H33" i="9"/>
  <c r="G33" i="9"/>
  <c r="I27" i="9"/>
  <c r="T25" i="9"/>
  <c r="P25" i="9"/>
  <c r="I25" i="9"/>
  <c r="H25" i="9"/>
  <c r="R25" i="9" s="1"/>
  <c r="G25" i="9"/>
  <c r="Q25" i="9" s="1"/>
  <c r="T24" i="9"/>
  <c r="P24" i="9"/>
  <c r="R24" i="9" s="1"/>
  <c r="I24" i="9"/>
  <c r="H24" i="9"/>
  <c r="N24" i="9" s="1"/>
  <c r="O24" i="9" s="1"/>
  <c r="G24" i="9"/>
  <c r="Q24" i="9" s="1"/>
  <c r="P23" i="9"/>
  <c r="T23" i="9" s="1"/>
  <c r="I23" i="9"/>
  <c r="H23" i="9"/>
  <c r="N23" i="9" s="1"/>
  <c r="O23" i="9" s="1"/>
  <c r="G23" i="9"/>
  <c r="P22" i="9"/>
  <c r="R22" i="9" s="1"/>
  <c r="O22" i="9"/>
  <c r="N22" i="9"/>
  <c r="I22" i="9"/>
  <c r="H22" i="9"/>
  <c r="G22" i="9"/>
  <c r="P21" i="9"/>
  <c r="T21" i="9" s="1"/>
  <c r="I21" i="9"/>
  <c r="H21" i="9"/>
  <c r="N21" i="9" s="1"/>
  <c r="O21" i="9" s="1"/>
  <c r="G21" i="9"/>
  <c r="T20" i="9"/>
  <c r="U20" i="9" s="1"/>
  <c r="R20" i="9"/>
  <c r="P20" i="9"/>
  <c r="I20" i="9"/>
  <c r="H20" i="9"/>
  <c r="N20" i="9" s="1"/>
  <c r="O20" i="9" s="1"/>
  <c r="G20" i="9"/>
  <c r="Q20" i="9" s="1"/>
  <c r="S20" i="9" s="1"/>
  <c r="T19" i="9"/>
  <c r="P19" i="9"/>
  <c r="R19" i="9" s="1"/>
  <c r="I19" i="9"/>
  <c r="H19" i="9"/>
  <c r="N19" i="9" s="1"/>
  <c r="O19" i="9" s="1"/>
  <c r="G19" i="9"/>
  <c r="Q19" i="9" s="1"/>
  <c r="P15" i="9"/>
  <c r="H15" i="9"/>
  <c r="N15" i="9" s="1"/>
  <c r="O15" i="9" s="1"/>
  <c r="G15" i="9"/>
  <c r="AC13" i="9"/>
  <c r="T13" i="9"/>
  <c r="P13" i="9"/>
  <c r="R13" i="9" s="1"/>
  <c r="I13" i="9"/>
  <c r="I15" i="9" s="1"/>
  <c r="AC15" i="9" s="1"/>
  <c r="H13" i="9"/>
  <c r="G13" i="9"/>
  <c r="N13" i="9" s="1"/>
  <c r="O13" i="9" s="1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7" i="9" s="1"/>
  <c r="A298" i="9" s="1"/>
  <c r="L3" i="9"/>
  <c r="I30" i="25" l="1"/>
  <c r="I32" i="25" s="1"/>
  <c r="I35" i="25" s="1"/>
  <c r="J42" i="15"/>
  <c r="K28" i="15"/>
  <c r="H43" i="15"/>
  <c r="H55" i="15" s="1"/>
  <c r="H30" i="15"/>
  <c r="K29" i="15"/>
  <c r="J43" i="15"/>
  <c r="J41" i="15"/>
  <c r="K27" i="15"/>
  <c r="J30" i="15"/>
  <c r="H54" i="15"/>
  <c r="K30" i="15"/>
  <c r="G33" i="12"/>
  <c r="G37" i="10"/>
  <c r="G39" i="10" s="1"/>
  <c r="U80" i="9"/>
  <c r="S80" i="9"/>
  <c r="U179" i="9"/>
  <c r="S179" i="9"/>
  <c r="R183" i="9"/>
  <c r="S110" i="9"/>
  <c r="U110" i="9"/>
  <c r="Q155" i="9"/>
  <c r="G203" i="9"/>
  <c r="U189" i="9"/>
  <c r="S189" i="9"/>
  <c r="U161" i="9"/>
  <c r="U84" i="9"/>
  <c r="U48" i="9"/>
  <c r="U87" i="9"/>
  <c r="S87" i="9"/>
  <c r="U146" i="9"/>
  <c r="S146" i="9"/>
  <c r="H122" i="9"/>
  <c r="I156" i="9"/>
  <c r="T122" i="9"/>
  <c r="U230" i="9"/>
  <c r="S230" i="9"/>
  <c r="U250" i="9"/>
  <c r="S250" i="9"/>
  <c r="U199" i="9"/>
  <c r="S199" i="9"/>
  <c r="U33" i="9"/>
  <c r="U94" i="9"/>
  <c r="S94" i="9"/>
  <c r="R233" i="9"/>
  <c r="N233" i="9"/>
  <c r="O233" i="9" s="1"/>
  <c r="U128" i="9"/>
  <c r="S128" i="9"/>
  <c r="U148" i="9"/>
  <c r="S148" i="9"/>
  <c r="U255" i="9"/>
  <c r="U63" i="9"/>
  <c r="S89" i="9"/>
  <c r="U89" i="9"/>
  <c r="U162" i="9"/>
  <c r="Q183" i="9"/>
  <c r="S191" i="9"/>
  <c r="T15" i="9"/>
  <c r="S19" i="9"/>
  <c r="U19" i="9"/>
  <c r="S141" i="9"/>
  <c r="U141" i="9"/>
  <c r="U183" i="9"/>
  <c r="U234" i="9"/>
  <c r="S234" i="9"/>
  <c r="U251" i="9"/>
  <c r="S251" i="9"/>
  <c r="S258" i="9"/>
  <c r="U258" i="9"/>
  <c r="U60" i="9"/>
  <c r="S60" i="9"/>
  <c r="S73" i="9"/>
  <c r="U73" i="9"/>
  <c r="U40" i="9"/>
  <c r="S44" i="9"/>
  <c r="U44" i="9"/>
  <c r="S129" i="9"/>
  <c r="U129" i="9"/>
  <c r="S149" i="9"/>
  <c r="U149" i="9"/>
  <c r="U163" i="9"/>
  <c r="S163" i="9"/>
  <c r="S13" i="9"/>
  <c r="U13" i="9"/>
  <c r="Q102" i="9"/>
  <c r="U221" i="9"/>
  <c r="S221" i="9"/>
  <c r="U142" i="9"/>
  <c r="S142" i="9"/>
  <c r="T102" i="9"/>
  <c r="Q67" i="9"/>
  <c r="U83" i="9"/>
  <c r="U130" i="9"/>
  <c r="S130" i="9"/>
  <c r="S200" i="9"/>
  <c r="U200" i="9"/>
  <c r="S24" i="9"/>
  <c r="U24" i="9"/>
  <c r="S45" i="9"/>
  <c r="U45" i="9"/>
  <c r="Q40" i="9"/>
  <c r="N40" i="9"/>
  <c r="O40" i="9" s="1"/>
  <c r="U25" i="9"/>
  <c r="S25" i="9"/>
  <c r="U36" i="9"/>
  <c r="S59" i="9"/>
  <c r="U59" i="9"/>
  <c r="U72" i="9"/>
  <c r="S72" i="9"/>
  <c r="U77" i="9"/>
  <c r="S77" i="9"/>
  <c r="R15" i="9"/>
  <c r="R21" i="9"/>
  <c r="N34" i="9"/>
  <c r="O34" i="9" s="1"/>
  <c r="AC59" i="9"/>
  <c r="N87" i="9"/>
  <c r="O87" i="9" s="1"/>
  <c r="S105" i="9"/>
  <c r="N107" i="9"/>
  <c r="O107" i="9" s="1"/>
  <c r="S143" i="9"/>
  <c r="N218" i="9"/>
  <c r="O218" i="9" s="1"/>
  <c r="S224" i="9"/>
  <c r="S252" i="9"/>
  <c r="G170" i="9"/>
  <c r="G246" i="9" s="1"/>
  <c r="S175" i="9"/>
  <c r="S183" i="9" s="1"/>
  <c r="N179" i="9"/>
  <c r="O179" i="9" s="1"/>
  <c r="U191" i="9"/>
  <c r="N216" i="9"/>
  <c r="O216" i="9" s="1"/>
  <c r="AC77" i="9"/>
  <c r="N72" i="9"/>
  <c r="O72" i="9" s="1"/>
  <c r="S93" i="9"/>
  <c r="I101" i="9"/>
  <c r="U105" i="9"/>
  <c r="N148" i="9"/>
  <c r="O148" i="9" s="1"/>
  <c r="N189" i="9"/>
  <c r="O189" i="9" s="1"/>
  <c r="N230" i="9"/>
  <c r="O230" i="9" s="1"/>
  <c r="S264" i="9"/>
  <c r="AC35" i="9"/>
  <c r="R34" i="9"/>
  <c r="S40" i="9"/>
  <c r="N44" i="9"/>
  <c r="O44" i="9" s="1"/>
  <c r="S51" i="9"/>
  <c r="S63" i="9"/>
  <c r="S76" i="9"/>
  <c r="S84" i="9"/>
  <c r="R107" i="9"/>
  <c r="I121" i="9"/>
  <c r="N128" i="9"/>
  <c r="O128" i="9" s="1"/>
  <c r="S134" i="9"/>
  <c r="G156" i="9"/>
  <c r="S162" i="9"/>
  <c r="S187" i="9"/>
  <c r="N199" i="9"/>
  <c r="O199" i="9" s="1"/>
  <c r="G206" i="9"/>
  <c r="N206" i="9" s="1"/>
  <c r="O206" i="9" s="1"/>
  <c r="S210" i="9"/>
  <c r="R218" i="9"/>
  <c r="N221" i="9"/>
  <c r="O221" i="9" s="1"/>
  <c r="N251" i="9"/>
  <c r="O251" i="9" s="1"/>
  <c r="S255" i="9"/>
  <c r="S278" i="9"/>
  <c r="Q15" i="9"/>
  <c r="Q23" i="9"/>
  <c r="N25" i="9"/>
  <c r="O25" i="9" s="1"/>
  <c r="N36" i="9"/>
  <c r="O36" i="9" s="1"/>
  <c r="N142" i="9"/>
  <c r="O142" i="9" s="1"/>
  <c r="N234" i="9"/>
  <c r="O234" i="9" s="1"/>
  <c r="Q21" i="9"/>
  <c r="Q13" i="9"/>
  <c r="T34" i="9"/>
  <c r="G39" i="9"/>
  <c r="N60" i="9"/>
  <c r="O60" i="9" s="1"/>
  <c r="N80" i="9"/>
  <c r="O80" i="9" s="1"/>
  <c r="T87" i="9"/>
  <c r="I123" i="9"/>
  <c r="N130" i="9"/>
  <c r="O130" i="9" s="1"/>
  <c r="S243" i="9"/>
  <c r="AC141" i="9"/>
  <c r="R23" i="9"/>
  <c r="Q36" i="9"/>
  <c r="S36" i="9" s="1"/>
  <c r="I75" i="9"/>
  <c r="T75" i="9" s="1"/>
  <c r="U75" i="9" s="1"/>
  <c r="Q121" i="9"/>
  <c r="Q138" i="9" s="1"/>
  <c r="N253" i="9"/>
  <c r="O253" i="9" s="1"/>
  <c r="I39" i="9"/>
  <c r="T39" i="9" s="1"/>
  <c r="U39" i="9" s="1"/>
  <c r="N186" i="9"/>
  <c r="O186" i="9" s="1"/>
  <c r="H65" i="9"/>
  <c r="H86" i="9"/>
  <c r="H125" i="9"/>
  <c r="G212" i="9"/>
  <c r="S112" i="9"/>
  <c r="N219" i="9"/>
  <c r="O219" i="9" s="1"/>
  <c r="S253" i="9"/>
  <c r="N250" i="9"/>
  <c r="O250" i="9" s="1"/>
  <c r="S33" i="9"/>
  <c r="S83" i="9"/>
  <c r="S106" i="9"/>
  <c r="N141" i="9"/>
  <c r="O141" i="9" s="1"/>
  <c r="S161" i="9"/>
  <c r="S176" i="9"/>
  <c r="S194" i="9"/>
  <c r="S217" i="9"/>
  <c r="N258" i="9"/>
  <c r="O258" i="9" s="1"/>
  <c r="S75" i="9"/>
  <c r="T33" i="9"/>
  <c r="T55" i="9" s="1"/>
  <c r="S48" i="9"/>
  <c r="U52" i="9"/>
  <c r="N59" i="9"/>
  <c r="O59" i="9" s="1"/>
  <c r="R71" i="9"/>
  <c r="U92" i="9"/>
  <c r="T106" i="9"/>
  <c r="U135" i="9"/>
  <c r="N149" i="9"/>
  <c r="O149" i="9" s="1"/>
  <c r="U186" i="9"/>
  <c r="R219" i="9"/>
  <c r="S244" i="9"/>
  <c r="Q22" i="9"/>
  <c r="S22" i="9" s="1"/>
  <c r="N77" i="9"/>
  <c r="O77" i="9" s="1"/>
  <c r="T22" i="9"/>
  <c r="U22" i="9" s="1"/>
  <c r="N45" i="9"/>
  <c r="O45" i="9" s="1"/>
  <c r="N73" i="9"/>
  <c r="O73" i="9" s="1"/>
  <c r="N89" i="9"/>
  <c r="O89" i="9" s="1"/>
  <c r="N110" i="9"/>
  <c r="O110" i="9" s="1"/>
  <c r="N129" i="9"/>
  <c r="O129" i="9" s="1"/>
  <c r="R188" i="9"/>
  <c r="N200" i="9"/>
  <c r="O200" i="9" s="1"/>
  <c r="R229" i="9"/>
  <c r="R35" i="9"/>
  <c r="R43" i="9"/>
  <c r="S277" i="9"/>
  <c r="K41" i="15" l="1"/>
  <c r="K53" i="15" s="1"/>
  <c r="J53" i="15"/>
  <c r="J55" i="15"/>
  <c r="K43" i="15"/>
  <c r="K55" i="15" s="1"/>
  <c r="K42" i="15"/>
  <c r="K54" i="15" s="1"/>
  <c r="J54" i="15"/>
  <c r="G53" i="10"/>
  <c r="G51" i="10"/>
  <c r="G52" i="10"/>
  <c r="G50" i="10"/>
  <c r="AC75" i="9"/>
  <c r="N125" i="9"/>
  <c r="O125" i="9" s="1"/>
  <c r="R125" i="9"/>
  <c r="H158" i="9"/>
  <c r="N158" i="9" s="1"/>
  <c r="O158" i="9" s="1"/>
  <c r="U34" i="9"/>
  <c r="S34" i="9"/>
  <c r="U23" i="9"/>
  <c r="S23" i="9"/>
  <c r="R29" i="9"/>
  <c r="G237" i="9"/>
  <c r="Q203" i="9"/>
  <c r="Q213" i="9" s="1"/>
  <c r="U229" i="9"/>
  <c r="S229" i="9"/>
  <c r="R65" i="9"/>
  <c r="N65" i="9"/>
  <c r="O65" i="9" s="1"/>
  <c r="U106" i="9"/>
  <c r="U218" i="9"/>
  <c r="S218" i="9"/>
  <c r="R86" i="9"/>
  <c r="N86" i="9"/>
  <c r="O86" i="9" s="1"/>
  <c r="N122" i="9"/>
  <c r="O122" i="9" s="1"/>
  <c r="R122" i="9"/>
  <c r="U55" i="9"/>
  <c r="U188" i="9"/>
  <c r="S188" i="9"/>
  <c r="I157" i="9"/>
  <c r="H123" i="9"/>
  <c r="I204" i="9"/>
  <c r="T156" i="9"/>
  <c r="H156" i="9"/>
  <c r="S21" i="9"/>
  <c r="U21" i="9"/>
  <c r="I212" i="9"/>
  <c r="H212" i="9" s="1"/>
  <c r="I170" i="9"/>
  <c r="H101" i="9"/>
  <c r="N101" i="9" s="1"/>
  <c r="O101" i="9" s="1"/>
  <c r="I137" i="9"/>
  <c r="U15" i="9"/>
  <c r="U29" i="9" s="1"/>
  <c r="S15" i="9"/>
  <c r="S29" i="9" s="1"/>
  <c r="Q39" i="9"/>
  <c r="N39" i="9"/>
  <c r="O39" i="9" s="1"/>
  <c r="G204" i="9"/>
  <c r="G238" i="9" s="1"/>
  <c r="G272" i="9" s="1"/>
  <c r="Q156" i="9"/>
  <c r="Q171" i="9" s="1"/>
  <c r="S233" i="9"/>
  <c r="U233" i="9"/>
  <c r="U107" i="9"/>
  <c r="S107" i="9"/>
  <c r="S43" i="9"/>
  <c r="U43" i="9"/>
  <c r="T29" i="9"/>
  <c r="I155" i="9"/>
  <c r="T121" i="9"/>
  <c r="T138" i="9" s="1"/>
  <c r="H121" i="9"/>
  <c r="U219" i="9"/>
  <c r="S219" i="9"/>
  <c r="S35" i="9"/>
  <c r="U35" i="9"/>
  <c r="U71" i="9"/>
  <c r="S71" i="9"/>
  <c r="R102" i="9"/>
  <c r="Q29" i="9"/>
  <c r="R55" i="9"/>
  <c r="S39" i="9" l="1"/>
  <c r="S55" i="9" s="1"/>
  <c r="Q55" i="9"/>
  <c r="H137" i="9"/>
  <c r="N137" i="9" s="1"/>
  <c r="O137" i="9" s="1"/>
  <c r="I280" i="9"/>
  <c r="H280" i="9" s="1"/>
  <c r="G271" i="9"/>
  <c r="Q271" i="9" s="1"/>
  <c r="Q281" i="9" s="1"/>
  <c r="Q237" i="9"/>
  <c r="Q247" i="9" s="1"/>
  <c r="U86" i="9"/>
  <c r="U102" i="9" s="1"/>
  <c r="S86" i="9"/>
  <c r="S102" i="9" s="1"/>
  <c r="R121" i="9"/>
  <c r="N121" i="9"/>
  <c r="O121" i="9" s="1"/>
  <c r="U65" i="9"/>
  <c r="U67" i="9" s="1"/>
  <c r="S65" i="9"/>
  <c r="S67" i="9" s="1"/>
  <c r="R67" i="9"/>
  <c r="U125" i="9"/>
  <c r="S125" i="9"/>
  <c r="H204" i="9"/>
  <c r="I238" i="9"/>
  <c r="S122" i="9"/>
  <c r="U122" i="9"/>
  <c r="H170" i="9"/>
  <c r="N170" i="9" s="1"/>
  <c r="O170" i="9" s="1"/>
  <c r="I246" i="9"/>
  <c r="H246" i="9" s="1"/>
  <c r="H155" i="9"/>
  <c r="I203" i="9"/>
  <c r="T155" i="9"/>
  <c r="T171" i="9" s="1"/>
  <c r="H157" i="9"/>
  <c r="I205" i="9"/>
  <c r="R156" i="9"/>
  <c r="N156" i="9"/>
  <c r="O156" i="9" s="1"/>
  <c r="I237" i="9" l="1"/>
  <c r="T203" i="9"/>
  <c r="T213" i="9" s="1"/>
  <c r="H203" i="9"/>
  <c r="S156" i="9"/>
  <c r="U156" i="9"/>
  <c r="N155" i="9"/>
  <c r="O155" i="9" s="1"/>
  <c r="R155" i="9"/>
  <c r="U121" i="9"/>
  <c r="U138" i="9" s="1"/>
  <c r="S121" i="9"/>
  <c r="S138" i="9" s="1"/>
  <c r="R138" i="9"/>
  <c r="I239" i="9"/>
  <c r="H205" i="9"/>
  <c r="I272" i="9"/>
  <c r="H272" i="9" s="1"/>
  <c r="H238" i="9"/>
  <c r="R203" i="9" l="1"/>
  <c r="N203" i="9"/>
  <c r="O203" i="9" s="1"/>
  <c r="H239" i="9"/>
  <c r="I273" i="9"/>
  <c r="H273" i="9" s="1"/>
  <c r="S155" i="9"/>
  <c r="S171" i="9" s="1"/>
  <c r="U155" i="9"/>
  <c r="U171" i="9" s="1"/>
  <c r="R171" i="9"/>
  <c r="H237" i="9"/>
  <c r="I271" i="9"/>
  <c r="T237" i="9"/>
  <c r="T247" i="9" s="1"/>
  <c r="T271" i="9" l="1"/>
  <c r="T281" i="9" s="1"/>
  <c r="H271" i="9"/>
  <c r="N237" i="9"/>
  <c r="O237" i="9" s="1"/>
  <c r="R237" i="9"/>
  <c r="S203" i="9"/>
  <c r="S213" i="9" s="1"/>
  <c r="U203" i="9"/>
  <c r="U213" i="9" s="1"/>
  <c r="R213" i="9"/>
  <c r="U237" i="9" l="1"/>
  <c r="U247" i="9" s="1"/>
  <c r="S237" i="9"/>
  <c r="S247" i="9" s="1"/>
  <c r="R247" i="9"/>
  <c r="R271" i="9"/>
  <c r="N271" i="9"/>
  <c r="O271" i="9" s="1"/>
  <c r="U271" i="9" l="1"/>
  <c r="U281" i="9" s="1"/>
  <c r="S271" i="9"/>
  <c r="S281" i="9" s="1"/>
  <c r="R281" i="9"/>
  <c r="G4" i="24" l="1"/>
  <c r="G32" i="23"/>
  <c r="G30" i="23"/>
  <c r="I30" i="23" s="1"/>
  <c r="I32" i="23" s="1"/>
  <c r="I19" i="23"/>
  <c r="I22" i="23"/>
  <c r="G22" i="23"/>
  <c r="A16" i="23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J2" i="23"/>
  <c r="K47" i="8"/>
  <c r="J48" i="8"/>
  <c r="I48" i="8"/>
  <c r="H48" i="8"/>
  <c r="K37" i="8"/>
  <c r="J29" i="8" s="1"/>
  <c r="I37" i="8"/>
  <c r="I29" i="8" s="1"/>
  <c r="G37" i="8"/>
  <c r="H29" i="8" s="1"/>
  <c r="H43" i="8" s="1"/>
  <c r="H55" i="8" s="1"/>
  <c r="K36" i="8"/>
  <c r="J28" i="8" s="1"/>
  <c r="I36" i="8"/>
  <c r="G36" i="8"/>
  <c r="H28" i="8" s="1"/>
  <c r="K35" i="8"/>
  <c r="J27" i="8" s="1"/>
  <c r="I35" i="8"/>
  <c r="G35" i="8"/>
  <c r="K34" i="8"/>
  <c r="I34" i="8"/>
  <c r="G34" i="8"/>
  <c r="I28" i="8"/>
  <c r="I42" i="8" s="1"/>
  <c r="I54" i="8" s="1"/>
  <c r="I27" i="8"/>
  <c r="H27" i="8"/>
  <c r="H41" i="8" s="1"/>
  <c r="K26" i="8"/>
  <c r="K24" i="8"/>
  <c r="J24" i="8"/>
  <c r="I24" i="8"/>
  <c r="H24" i="8"/>
  <c r="K23" i="8"/>
  <c r="K22" i="8"/>
  <c r="K21" i="8"/>
  <c r="K20" i="8"/>
  <c r="I41" i="8"/>
  <c r="I53" i="8" s="1"/>
  <c r="B17" i="8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I11" i="8"/>
  <c r="J11" i="8" s="1"/>
  <c r="K11" i="8" s="1"/>
  <c r="M11" i="8" s="1"/>
  <c r="H11" i="8"/>
  <c r="G11" i="8"/>
  <c r="F11" i="8"/>
  <c r="M3" i="8"/>
  <c r="I57" i="6"/>
  <c r="I52" i="6"/>
  <c r="L27" i="6"/>
  <c r="L26" i="6"/>
  <c r="L22" i="6"/>
  <c r="L21" i="6"/>
  <c r="B19" i="6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I15" i="6"/>
  <c r="L15" i="6" s="1"/>
  <c r="L3" i="6"/>
  <c r="X279" i="4"/>
  <c r="X278" i="4"/>
  <c r="X277" i="4"/>
  <c r="X267" i="4"/>
  <c r="X266" i="4"/>
  <c r="X265" i="4"/>
  <c r="G235" i="4"/>
  <c r="H235" i="4" s="1"/>
  <c r="I235" i="4" s="1"/>
  <c r="J235" i="4" s="1"/>
  <c r="K235" i="4" s="1"/>
  <c r="L235" i="4" s="1"/>
  <c r="M235" i="4" s="1"/>
  <c r="X221" i="4"/>
  <c r="X220" i="4"/>
  <c r="X219" i="4"/>
  <c r="X209" i="4"/>
  <c r="Z209" i="4" s="1"/>
  <c r="X208" i="4"/>
  <c r="X207" i="4"/>
  <c r="H177" i="4"/>
  <c r="I177" i="4" s="1"/>
  <c r="J177" i="4" s="1"/>
  <c r="K177" i="4" s="1"/>
  <c r="L177" i="4" s="1"/>
  <c r="M177" i="4" s="1"/>
  <c r="G177" i="4"/>
  <c r="X163" i="4"/>
  <c r="X162" i="4"/>
  <c r="X161" i="4"/>
  <c r="Z151" i="4"/>
  <c r="X151" i="4"/>
  <c r="X150" i="4"/>
  <c r="Z149" i="4"/>
  <c r="X149" i="4"/>
  <c r="G119" i="4"/>
  <c r="H119" i="4" s="1"/>
  <c r="I119" i="4" s="1"/>
  <c r="J119" i="4" s="1"/>
  <c r="K119" i="4" s="1"/>
  <c r="L119" i="4" s="1"/>
  <c r="M119" i="4" s="1"/>
  <c r="X98" i="4"/>
  <c r="Z98" i="4" s="1"/>
  <c r="X97" i="4"/>
  <c r="X96" i="4"/>
  <c r="H66" i="4"/>
  <c r="I66" i="4" s="1"/>
  <c r="J66" i="4" s="1"/>
  <c r="K66" i="4" s="1"/>
  <c r="L66" i="4" s="1"/>
  <c r="M66" i="4" s="1"/>
  <c r="G66" i="4"/>
  <c r="X47" i="4"/>
  <c r="Z47" i="4" s="1"/>
  <c r="X46" i="4"/>
  <c r="X45" i="4"/>
  <c r="H14" i="4"/>
  <c r="I14" i="4" s="1"/>
  <c r="J14" i="4" s="1"/>
  <c r="K14" i="4" s="1"/>
  <c r="L14" i="4" s="1"/>
  <c r="M14" i="4" s="1"/>
  <c r="G14" i="4"/>
  <c r="M5" i="4"/>
  <c r="M57" i="4" s="1"/>
  <c r="M110" i="4" s="1"/>
  <c r="M168" i="4" s="1"/>
  <c r="M226" i="4" s="1"/>
  <c r="G43" i="3"/>
  <c r="H39" i="3"/>
  <c r="I39" i="3"/>
  <c r="G39" i="3"/>
  <c r="G28" i="3"/>
  <c r="G27" i="3"/>
  <c r="G29" i="3" s="1"/>
  <c r="G31" i="3" s="1"/>
  <c r="G22" i="3"/>
  <c r="G17" i="3"/>
  <c r="B13" i="3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G9" i="3"/>
  <c r="H9" i="3" s="1"/>
  <c r="I9" i="3" s="1"/>
  <c r="J9" i="3" s="1"/>
  <c r="J3" i="3"/>
  <c r="N298" i="2"/>
  <c r="O298" i="2" s="1"/>
  <c r="O295" i="2"/>
  <c r="H295" i="2"/>
  <c r="O294" i="2"/>
  <c r="H294" i="2"/>
  <c r="O293" i="2"/>
  <c r="H293" i="2"/>
  <c r="O292" i="2"/>
  <c r="H292" i="2"/>
  <c r="H290" i="2"/>
  <c r="N290" i="2" s="1"/>
  <c r="O290" i="2" s="1"/>
  <c r="H289" i="2"/>
  <c r="N289" i="2" s="1"/>
  <c r="O289" i="2" s="1"/>
  <c r="N287" i="2"/>
  <c r="O287" i="2" s="1"/>
  <c r="O286" i="2"/>
  <c r="N286" i="2"/>
  <c r="O285" i="2"/>
  <c r="N285" i="2"/>
  <c r="N284" i="2"/>
  <c r="O284" i="2" s="1"/>
  <c r="N283" i="2"/>
  <c r="O283" i="2" s="1"/>
  <c r="H280" i="2"/>
  <c r="T278" i="2"/>
  <c r="S278" i="2"/>
  <c r="R278" i="2"/>
  <c r="U278" i="2" s="1"/>
  <c r="Q278" i="2"/>
  <c r="N278" i="2"/>
  <c r="O278" i="2" s="1"/>
  <c r="T277" i="2"/>
  <c r="U277" i="2" s="1"/>
  <c r="R277" i="2"/>
  <c r="S277" i="2" s="1"/>
  <c r="Q277" i="2"/>
  <c r="N277" i="2"/>
  <c r="O277" i="2" s="1"/>
  <c r="H274" i="2"/>
  <c r="N274" i="2" s="1"/>
  <c r="O274" i="2" s="1"/>
  <c r="H273" i="2"/>
  <c r="H272" i="2"/>
  <c r="Q271" i="2"/>
  <c r="T271" i="2"/>
  <c r="U268" i="2"/>
  <c r="S268" i="2"/>
  <c r="H268" i="2"/>
  <c r="N268" i="2" s="1"/>
  <c r="O268" i="2" s="1"/>
  <c r="U267" i="2"/>
  <c r="S267" i="2"/>
  <c r="H267" i="2"/>
  <c r="N267" i="2" s="1"/>
  <c r="O267" i="2" s="1"/>
  <c r="T264" i="2"/>
  <c r="R264" i="2"/>
  <c r="Q264" i="2"/>
  <c r="T263" i="2"/>
  <c r="R263" i="2"/>
  <c r="Q263" i="2"/>
  <c r="T258" i="2"/>
  <c r="R258" i="2"/>
  <c r="U258" i="2" s="1"/>
  <c r="N258" i="2"/>
  <c r="O258" i="2" s="1"/>
  <c r="Q258" i="2"/>
  <c r="T255" i="2"/>
  <c r="R255" i="2"/>
  <c r="U255" i="2" s="1"/>
  <c r="N255" i="2"/>
  <c r="O255" i="2" s="1"/>
  <c r="Q255" i="2"/>
  <c r="S255" i="2" s="1"/>
  <c r="AC253" i="2"/>
  <c r="T253" i="2"/>
  <c r="N253" i="2"/>
  <c r="O253" i="2" s="1"/>
  <c r="R253" i="2"/>
  <c r="Q253" i="2"/>
  <c r="AC252" i="2"/>
  <c r="T252" i="2"/>
  <c r="R252" i="2"/>
  <c r="Q252" i="2"/>
  <c r="R251" i="2"/>
  <c r="U251" i="2" s="1"/>
  <c r="Q251" i="2"/>
  <c r="N251" i="2"/>
  <c r="O251" i="2" s="1"/>
  <c r="T251" i="2"/>
  <c r="AC251" i="2"/>
  <c r="AC250" i="2"/>
  <c r="T250" i="2"/>
  <c r="Q250" i="2"/>
  <c r="N250" i="2"/>
  <c r="O250" i="2" s="1"/>
  <c r="H246" i="2"/>
  <c r="T244" i="2"/>
  <c r="R244" i="2"/>
  <c r="U244" i="2" s="1"/>
  <c r="Q244" i="2"/>
  <c r="S244" i="2" s="1"/>
  <c r="O244" i="2"/>
  <c r="N244" i="2"/>
  <c r="T243" i="2"/>
  <c r="R243" i="2"/>
  <c r="U243" i="2" s="1"/>
  <c r="Q243" i="2"/>
  <c r="N243" i="2"/>
  <c r="O243" i="2" s="1"/>
  <c r="H240" i="2"/>
  <c r="N240" i="2" s="1"/>
  <c r="O240" i="2" s="1"/>
  <c r="H239" i="2"/>
  <c r="H238" i="2"/>
  <c r="T237" i="2"/>
  <c r="Q237" i="2"/>
  <c r="H237" i="2"/>
  <c r="T234" i="2"/>
  <c r="Q234" i="2"/>
  <c r="H234" i="2"/>
  <c r="T233" i="2"/>
  <c r="R233" i="2"/>
  <c r="U233" i="2" s="1"/>
  <c r="Q233" i="2"/>
  <c r="H233" i="2"/>
  <c r="N233" i="2" s="1"/>
  <c r="O233" i="2" s="1"/>
  <c r="T230" i="2"/>
  <c r="R230" i="2"/>
  <c r="Q230" i="2"/>
  <c r="T229" i="2"/>
  <c r="R229" i="2"/>
  <c r="Q229" i="2"/>
  <c r="T224" i="2"/>
  <c r="S224" i="2"/>
  <c r="R224" i="2"/>
  <c r="U224" i="2" s="1"/>
  <c r="Q224" i="2"/>
  <c r="N224" i="2"/>
  <c r="O224" i="2" s="1"/>
  <c r="T221" i="2"/>
  <c r="R221" i="2"/>
  <c r="U221" i="2" s="1"/>
  <c r="N221" i="2"/>
  <c r="O221" i="2" s="1"/>
  <c r="Q221" i="2"/>
  <c r="AC219" i="2"/>
  <c r="T219" i="2"/>
  <c r="Q219" i="2"/>
  <c r="R219" i="2"/>
  <c r="AC218" i="2"/>
  <c r="T218" i="2"/>
  <c r="R218" i="2"/>
  <c r="Q218" i="2"/>
  <c r="T217" i="2"/>
  <c r="T247" i="2" s="1"/>
  <c r="AC217" i="2"/>
  <c r="Q217" i="2"/>
  <c r="AC216" i="2"/>
  <c r="H212" i="2"/>
  <c r="T210" i="2"/>
  <c r="U210" i="2" s="1"/>
  <c r="S210" i="2"/>
  <c r="R210" i="2"/>
  <c r="Q210" i="2"/>
  <c r="N210" i="2"/>
  <c r="O210" i="2" s="1"/>
  <c r="T209" i="2"/>
  <c r="S209" i="2"/>
  <c r="R209" i="2"/>
  <c r="U209" i="2" s="1"/>
  <c r="Q209" i="2"/>
  <c r="N209" i="2"/>
  <c r="O209" i="2" s="1"/>
  <c r="H206" i="2"/>
  <c r="N206" i="2" s="1"/>
  <c r="O206" i="2" s="1"/>
  <c r="H205" i="2"/>
  <c r="H204" i="2"/>
  <c r="T203" i="2"/>
  <c r="Q203" i="2"/>
  <c r="H203" i="2"/>
  <c r="T200" i="2"/>
  <c r="R200" i="2"/>
  <c r="Q200" i="2"/>
  <c r="T199" i="2"/>
  <c r="R199" i="2"/>
  <c r="Q199" i="2"/>
  <c r="T194" i="2"/>
  <c r="R194" i="2"/>
  <c r="U194" i="2" s="1"/>
  <c r="Q194" i="2"/>
  <c r="N194" i="2"/>
  <c r="O194" i="2" s="1"/>
  <c r="T191" i="2"/>
  <c r="R191" i="2"/>
  <c r="Q191" i="2"/>
  <c r="T189" i="2"/>
  <c r="AC189" i="2"/>
  <c r="Q189" i="2"/>
  <c r="R188" i="2"/>
  <c r="U188" i="2" s="1"/>
  <c r="Q188" i="2"/>
  <c r="N188" i="2"/>
  <c r="O188" i="2" s="1"/>
  <c r="T188" i="2"/>
  <c r="AC188" i="2"/>
  <c r="AC187" i="2"/>
  <c r="R187" i="2"/>
  <c r="Q187" i="2"/>
  <c r="S187" i="2" s="1"/>
  <c r="T187" i="2"/>
  <c r="N187" i="2"/>
  <c r="O187" i="2" s="1"/>
  <c r="AC186" i="2"/>
  <c r="T186" i="2"/>
  <c r="R186" i="2"/>
  <c r="U186" i="2" s="1"/>
  <c r="Q186" i="2"/>
  <c r="N186" i="2"/>
  <c r="O186" i="2" s="1"/>
  <c r="T183" i="2"/>
  <c r="H182" i="2"/>
  <c r="N182" i="2" s="1"/>
  <c r="O182" i="2" s="1"/>
  <c r="N181" i="2"/>
  <c r="O181" i="2" s="1"/>
  <c r="H181" i="2"/>
  <c r="T179" i="2"/>
  <c r="Q179" i="2"/>
  <c r="N179" i="2"/>
  <c r="O179" i="2" s="1"/>
  <c r="AC176" i="2"/>
  <c r="T176" i="2"/>
  <c r="R176" i="2"/>
  <c r="U176" i="2" s="1"/>
  <c r="Q176" i="2"/>
  <c r="N176" i="2"/>
  <c r="O176" i="2" s="1"/>
  <c r="T175" i="2"/>
  <c r="R175" i="2"/>
  <c r="N175" i="2"/>
  <c r="O175" i="2" s="1"/>
  <c r="Q175" i="2"/>
  <c r="Q183" i="2" s="1"/>
  <c r="H170" i="2"/>
  <c r="N170" i="2" s="1"/>
  <c r="O170" i="2" s="1"/>
  <c r="U168" i="2"/>
  <c r="T168" i="2"/>
  <c r="R168" i="2"/>
  <c r="S168" i="2" s="1"/>
  <c r="Q168" i="2"/>
  <c r="N168" i="2"/>
  <c r="O168" i="2" s="1"/>
  <c r="T167" i="2"/>
  <c r="U167" i="2" s="1"/>
  <c r="S167" i="2"/>
  <c r="R167" i="2"/>
  <c r="Q167" i="2"/>
  <c r="N167" i="2"/>
  <c r="O167" i="2" s="1"/>
  <c r="Q163" i="2"/>
  <c r="T163" i="2"/>
  <c r="R163" i="2"/>
  <c r="Q162" i="2"/>
  <c r="N162" i="2"/>
  <c r="O162" i="2" s="1"/>
  <c r="T162" i="2"/>
  <c r="R162" i="2"/>
  <c r="T161" i="2"/>
  <c r="S161" i="2"/>
  <c r="R161" i="2"/>
  <c r="U161" i="2" s="1"/>
  <c r="Q161" i="2"/>
  <c r="N161" i="2"/>
  <c r="O161" i="2" s="1"/>
  <c r="H158" i="2"/>
  <c r="N158" i="2" s="1"/>
  <c r="O158" i="2" s="1"/>
  <c r="H157" i="2"/>
  <c r="T156" i="2"/>
  <c r="Q156" i="2"/>
  <c r="H156" i="2"/>
  <c r="Q155" i="2"/>
  <c r="H155" i="2"/>
  <c r="O153" i="2"/>
  <c r="N153" i="2"/>
  <c r="H153" i="2"/>
  <c r="T149" i="2"/>
  <c r="R149" i="2"/>
  <c r="U149" i="2" s="1"/>
  <c r="Q149" i="2"/>
  <c r="N149" i="2"/>
  <c r="O149" i="2" s="1"/>
  <c r="T148" i="2"/>
  <c r="R148" i="2"/>
  <c r="U148" i="2" s="1"/>
  <c r="Q148" i="2"/>
  <c r="O148" i="2"/>
  <c r="N148" i="2"/>
  <c r="T146" i="2"/>
  <c r="R146" i="2"/>
  <c r="Q146" i="2"/>
  <c r="Q143" i="2"/>
  <c r="N143" i="2"/>
  <c r="O143" i="2" s="1"/>
  <c r="AC143" i="2"/>
  <c r="R143" i="2"/>
  <c r="T142" i="2"/>
  <c r="R142" i="2"/>
  <c r="U142" i="2" s="1"/>
  <c r="Q142" i="2"/>
  <c r="S142" i="2" s="1"/>
  <c r="AC142" i="2"/>
  <c r="N142" i="2"/>
  <c r="O142" i="2" s="1"/>
  <c r="R141" i="2"/>
  <c r="T141" i="2"/>
  <c r="N141" i="2"/>
  <c r="O141" i="2" s="1"/>
  <c r="Q141" i="2"/>
  <c r="H137" i="2"/>
  <c r="N137" i="2" s="1"/>
  <c r="O137" i="2" s="1"/>
  <c r="U135" i="2"/>
  <c r="T135" i="2"/>
  <c r="R135" i="2"/>
  <c r="S135" i="2" s="1"/>
  <c r="Q135" i="2"/>
  <c r="N135" i="2"/>
  <c r="O135" i="2" s="1"/>
  <c r="T134" i="2"/>
  <c r="U134" i="2" s="1"/>
  <c r="S134" i="2"/>
  <c r="R134" i="2"/>
  <c r="Q134" i="2"/>
  <c r="N134" i="2"/>
  <c r="O134" i="2" s="1"/>
  <c r="Q130" i="2"/>
  <c r="T130" i="2"/>
  <c r="R130" i="2"/>
  <c r="Q129" i="2"/>
  <c r="N129" i="2"/>
  <c r="O129" i="2" s="1"/>
  <c r="T129" i="2"/>
  <c r="R129" i="2"/>
  <c r="T128" i="2"/>
  <c r="S128" i="2"/>
  <c r="R128" i="2"/>
  <c r="U128" i="2" s="1"/>
  <c r="Q128" i="2"/>
  <c r="N128" i="2"/>
  <c r="O128" i="2" s="1"/>
  <c r="R125" i="2"/>
  <c r="Q125" i="2"/>
  <c r="T125" i="2"/>
  <c r="H125" i="2"/>
  <c r="N125" i="2" s="1"/>
  <c r="O125" i="2" s="1"/>
  <c r="H123" i="2"/>
  <c r="T122" i="2"/>
  <c r="Q122" i="2"/>
  <c r="H122" i="2"/>
  <c r="R122" i="2" s="1"/>
  <c r="Q121" i="2"/>
  <c r="T121" i="2"/>
  <c r="H121" i="2"/>
  <c r="R121" i="2" s="1"/>
  <c r="O117" i="2"/>
  <c r="I117" i="2"/>
  <c r="H117" i="2" s="1"/>
  <c r="H116" i="2"/>
  <c r="N116" i="2" s="1"/>
  <c r="O116" i="2" s="1"/>
  <c r="R114" i="2"/>
  <c r="U114" i="2" s="1"/>
  <c r="Q114" i="2"/>
  <c r="N114" i="2"/>
  <c r="O114" i="2" s="1"/>
  <c r="T114" i="2"/>
  <c r="R113" i="2"/>
  <c r="U113" i="2" s="1"/>
  <c r="Q113" i="2"/>
  <c r="N113" i="2"/>
  <c r="O113" i="2" s="1"/>
  <c r="T113" i="2"/>
  <c r="T112" i="2"/>
  <c r="R112" i="2"/>
  <c r="U112" i="2" s="1"/>
  <c r="Q112" i="2"/>
  <c r="S112" i="2" s="1"/>
  <c r="N112" i="2"/>
  <c r="O112" i="2" s="1"/>
  <c r="R110" i="2"/>
  <c r="S110" i="2" s="1"/>
  <c r="T110" i="2"/>
  <c r="N110" i="2"/>
  <c r="O110" i="2" s="1"/>
  <c r="Q110" i="2"/>
  <c r="AC107" i="2"/>
  <c r="T107" i="2"/>
  <c r="R107" i="2"/>
  <c r="Q107" i="2"/>
  <c r="R106" i="2"/>
  <c r="U106" i="2" s="1"/>
  <c r="Q106" i="2"/>
  <c r="N106" i="2"/>
  <c r="O106" i="2" s="1"/>
  <c r="T106" i="2"/>
  <c r="AC106" i="2"/>
  <c r="AC105" i="2"/>
  <c r="R105" i="2"/>
  <c r="Q105" i="2"/>
  <c r="T105" i="2"/>
  <c r="N105" i="2"/>
  <c r="O105" i="2" s="1"/>
  <c r="N101" i="2"/>
  <c r="O101" i="2" s="1"/>
  <c r="H101" i="2"/>
  <c r="T99" i="2"/>
  <c r="U99" i="2" s="1"/>
  <c r="S99" i="2"/>
  <c r="R99" i="2"/>
  <c r="Q99" i="2"/>
  <c r="N99" i="2"/>
  <c r="O99" i="2" s="1"/>
  <c r="T98" i="2"/>
  <c r="R98" i="2"/>
  <c r="U98" i="2" s="1"/>
  <c r="Q98" i="2"/>
  <c r="O98" i="2"/>
  <c r="N98" i="2"/>
  <c r="T93" i="2"/>
  <c r="N94" i="2"/>
  <c r="O94" i="2" s="1"/>
  <c r="Q94" i="2"/>
  <c r="T94" i="2"/>
  <c r="R93" i="2"/>
  <c r="Q93" i="2"/>
  <c r="Q92" i="2"/>
  <c r="T92" i="2"/>
  <c r="R92" i="2"/>
  <c r="Q89" i="2"/>
  <c r="H89" i="2"/>
  <c r="H88" i="2"/>
  <c r="T87" i="2"/>
  <c r="Q87" i="2"/>
  <c r="H87" i="2"/>
  <c r="R87" i="2" s="1"/>
  <c r="T86" i="2"/>
  <c r="Q86" i="2"/>
  <c r="H86" i="2"/>
  <c r="R86" i="2" s="1"/>
  <c r="T84" i="2"/>
  <c r="R84" i="2"/>
  <c r="Q84" i="2"/>
  <c r="T83" i="2"/>
  <c r="R83" i="2"/>
  <c r="Q83" i="2"/>
  <c r="T82" i="2"/>
  <c r="R82" i="2"/>
  <c r="Q82" i="2"/>
  <c r="T80" i="2"/>
  <c r="R80" i="2"/>
  <c r="S80" i="2" s="1"/>
  <c r="Q80" i="2"/>
  <c r="N80" i="2"/>
  <c r="O80" i="2" s="1"/>
  <c r="T77" i="2"/>
  <c r="I77" i="2"/>
  <c r="R77" i="2"/>
  <c r="Q77" i="2"/>
  <c r="AC76" i="2"/>
  <c r="I76" i="2"/>
  <c r="T76" i="2" s="1"/>
  <c r="R76" i="2"/>
  <c r="Q76" i="2"/>
  <c r="Q75" i="2"/>
  <c r="I75" i="2"/>
  <c r="T75" i="2" s="1"/>
  <c r="AC75" i="2"/>
  <c r="AC73" i="2"/>
  <c r="R73" i="2"/>
  <c r="Q73" i="2"/>
  <c r="S73" i="2" s="1"/>
  <c r="T73" i="2"/>
  <c r="N73" i="2"/>
  <c r="O73" i="2" s="1"/>
  <c r="AC72" i="2"/>
  <c r="T72" i="2"/>
  <c r="R72" i="2"/>
  <c r="S72" i="2" s="1"/>
  <c r="Q72" i="2"/>
  <c r="O72" i="2"/>
  <c r="N72" i="2"/>
  <c r="T71" i="2"/>
  <c r="N71" i="2"/>
  <c r="O71" i="2" s="1"/>
  <c r="Q71" i="2"/>
  <c r="T65" i="2"/>
  <c r="Q65" i="2"/>
  <c r="H65" i="2"/>
  <c r="R65" i="2" s="1"/>
  <c r="T63" i="2"/>
  <c r="R63" i="2"/>
  <c r="Q63" i="2"/>
  <c r="T60" i="2"/>
  <c r="R60" i="2"/>
  <c r="S60" i="2" s="1"/>
  <c r="Q60" i="2"/>
  <c r="N60" i="2"/>
  <c r="O60" i="2" s="1"/>
  <c r="AC60" i="2"/>
  <c r="T59" i="2"/>
  <c r="R59" i="2"/>
  <c r="Q59" i="2"/>
  <c r="Q67" i="2" s="1"/>
  <c r="N59" i="2"/>
  <c r="O59" i="2" s="1"/>
  <c r="H54" i="2"/>
  <c r="N54" i="2" s="1"/>
  <c r="O54" i="2" s="1"/>
  <c r="U52" i="2"/>
  <c r="T52" i="2"/>
  <c r="R52" i="2"/>
  <c r="S52" i="2" s="1"/>
  <c r="Q52" i="2"/>
  <c r="N52" i="2"/>
  <c r="O52" i="2" s="1"/>
  <c r="T51" i="2"/>
  <c r="U51" i="2" s="1"/>
  <c r="S51" i="2"/>
  <c r="R51" i="2"/>
  <c r="Q51" i="2"/>
  <c r="N51" i="2"/>
  <c r="O51" i="2" s="1"/>
  <c r="T48" i="2"/>
  <c r="Q48" i="2"/>
  <c r="H48" i="2"/>
  <c r="R48" i="2" s="1"/>
  <c r="Q45" i="2"/>
  <c r="N45" i="2"/>
  <c r="O45" i="2" s="1"/>
  <c r="T45" i="2"/>
  <c r="R45" i="2"/>
  <c r="T44" i="2"/>
  <c r="R44" i="2"/>
  <c r="S44" i="2" s="1"/>
  <c r="Q44" i="2"/>
  <c r="N44" i="2"/>
  <c r="O44" i="2" s="1"/>
  <c r="Q43" i="2"/>
  <c r="T43" i="2"/>
  <c r="N43" i="2"/>
  <c r="O43" i="2" s="1"/>
  <c r="R40" i="2"/>
  <c r="G40" i="2"/>
  <c r="Q40" i="2" s="1"/>
  <c r="S40" i="2" s="1"/>
  <c r="T39" i="2"/>
  <c r="I39" i="2"/>
  <c r="R39" i="2"/>
  <c r="G39" i="2"/>
  <c r="Q39" i="2" s="1"/>
  <c r="I38" i="2"/>
  <c r="T38" i="2" s="1"/>
  <c r="R38" i="2"/>
  <c r="G38" i="2"/>
  <c r="Q38" i="2" s="1"/>
  <c r="R36" i="2"/>
  <c r="S36" i="2" s="1"/>
  <c r="Q36" i="2"/>
  <c r="N36" i="2"/>
  <c r="O36" i="2" s="1"/>
  <c r="T36" i="2"/>
  <c r="AC36" i="2"/>
  <c r="AC35" i="2"/>
  <c r="Q35" i="2"/>
  <c r="T35" i="2"/>
  <c r="N35" i="2"/>
  <c r="O35" i="2" s="1"/>
  <c r="AC34" i="2"/>
  <c r="T34" i="2"/>
  <c r="R34" i="2"/>
  <c r="U34" i="2" s="1"/>
  <c r="Q34" i="2"/>
  <c r="O34" i="2"/>
  <c r="N34" i="2"/>
  <c r="T33" i="2"/>
  <c r="R33" i="2"/>
  <c r="Q33" i="2"/>
  <c r="R25" i="2"/>
  <c r="N25" i="2"/>
  <c r="O25" i="2" s="1"/>
  <c r="R24" i="2"/>
  <c r="N24" i="2"/>
  <c r="O24" i="2" s="1"/>
  <c r="T23" i="2"/>
  <c r="R23" i="2"/>
  <c r="U23" i="2" s="1"/>
  <c r="Q23" i="2"/>
  <c r="O23" i="2"/>
  <c r="N23" i="2"/>
  <c r="R22" i="2"/>
  <c r="T22" i="2"/>
  <c r="N22" i="2"/>
  <c r="O22" i="2" s="1"/>
  <c r="T21" i="2"/>
  <c r="N21" i="2"/>
  <c r="O21" i="2" s="1"/>
  <c r="Q21" i="2"/>
  <c r="T20" i="2"/>
  <c r="N20" i="2"/>
  <c r="O20" i="2" s="1"/>
  <c r="T19" i="2"/>
  <c r="N19" i="2"/>
  <c r="O19" i="2" s="1"/>
  <c r="R15" i="2"/>
  <c r="Q15" i="2"/>
  <c r="Q13" i="2"/>
  <c r="AC13" i="2"/>
  <c r="N13" i="2"/>
  <c r="O13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7" i="2" s="1"/>
  <c r="A298" i="2" s="1"/>
  <c r="L3" i="2"/>
  <c r="I35" i="23" l="1"/>
  <c r="G35" i="23"/>
  <c r="J42" i="8"/>
  <c r="K28" i="8"/>
  <c r="J41" i="8"/>
  <c r="K27" i="8"/>
  <c r="J30" i="8"/>
  <c r="I30" i="8"/>
  <c r="I43" i="8"/>
  <c r="I55" i="8" s="1"/>
  <c r="J43" i="8"/>
  <c r="K29" i="8"/>
  <c r="H42" i="8"/>
  <c r="H54" i="8" s="1"/>
  <c r="H30" i="8"/>
  <c r="K30" i="8"/>
  <c r="H53" i="8"/>
  <c r="K46" i="8"/>
  <c r="K48" i="8" s="1"/>
  <c r="G53" i="3"/>
  <c r="G52" i="3"/>
  <c r="G51" i="3"/>
  <c r="G50" i="3"/>
  <c r="R67" i="2"/>
  <c r="S76" i="2"/>
  <c r="U76" i="2"/>
  <c r="R203" i="2"/>
  <c r="N203" i="2"/>
  <c r="O203" i="2" s="1"/>
  <c r="U252" i="2"/>
  <c r="S252" i="2"/>
  <c r="S38" i="2"/>
  <c r="U38" i="2"/>
  <c r="S48" i="2"/>
  <c r="U48" i="2"/>
  <c r="Q281" i="2"/>
  <c r="Q247" i="2"/>
  <c r="R237" i="2"/>
  <c r="N237" i="2"/>
  <c r="O237" i="2" s="1"/>
  <c r="T281" i="2"/>
  <c r="S24" i="2"/>
  <c r="U84" i="2"/>
  <c r="S84" i="2"/>
  <c r="S86" i="2"/>
  <c r="U86" i="2"/>
  <c r="T138" i="2"/>
  <c r="U121" i="2"/>
  <c r="S121" i="2"/>
  <c r="S146" i="2"/>
  <c r="U146" i="2"/>
  <c r="U162" i="2"/>
  <c r="S162" i="2"/>
  <c r="T67" i="2"/>
  <c r="Q138" i="2"/>
  <c r="U129" i="2"/>
  <c r="S129" i="2"/>
  <c r="Q213" i="2"/>
  <c r="S191" i="2"/>
  <c r="U191" i="2"/>
  <c r="S230" i="2"/>
  <c r="U230" i="2"/>
  <c r="S263" i="2"/>
  <c r="U263" i="2"/>
  <c r="U93" i="2"/>
  <c r="S93" i="2"/>
  <c r="R138" i="2"/>
  <c r="S25" i="2"/>
  <c r="U122" i="2"/>
  <c r="S122" i="2"/>
  <c r="N155" i="2"/>
  <c r="O155" i="2" s="1"/>
  <c r="R155" i="2"/>
  <c r="S218" i="2"/>
  <c r="U218" i="2"/>
  <c r="N234" i="2"/>
  <c r="O234" i="2" s="1"/>
  <c r="R234" i="2"/>
  <c r="S77" i="2"/>
  <c r="U77" i="2"/>
  <c r="S87" i="2"/>
  <c r="U87" i="2"/>
  <c r="Q171" i="2"/>
  <c r="T213" i="2"/>
  <c r="U229" i="2"/>
  <c r="S229" i="2"/>
  <c r="S22" i="2"/>
  <c r="U22" i="2"/>
  <c r="Q55" i="2"/>
  <c r="R156" i="2"/>
  <c r="N156" i="2"/>
  <c r="O156" i="2" s="1"/>
  <c r="U163" i="2"/>
  <c r="S163" i="2"/>
  <c r="S15" i="2"/>
  <c r="S33" i="2"/>
  <c r="U33" i="2"/>
  <c r="U219" i="2"/>
  <c r="S219" i="2"/>
  <c r="S63" i="2"/>
  <c r="U63" i="2"/>
  <c r="U130" i="2"/>
  <c r="S130" i="2"/>
  <c r="U264" i="2"/>
  <c r="S264" i="2"/>
  <c r="U187" i="2"/>
  <c r="N89" i="2"/>
  <c r="O89" i="2" s="1"/>
  <c r="R89" i="2"/>
  <c r="U107" i="2"/>
  <c r="S107" i="2"/>
  <c r="U199" i="2"/>
  <c r="S199" i="2"/>
  <c r="S253" i="2"/>
  <c r="U253" i="2"/>
  <c r="S39" i="2"/>
  <c r="U39" i="2"/>
  <c r="U92" i="2"/>
  <c r="S92" i="2"/>
  <c r="S65" i="2"/>
  <c r="U65" i="2"/>
  <c r="U73" i="2"/>
  <c r="U45" i="2"/>
  <c r="S45" i="2"/>
  <c r="U82" i="2"/>
  <c r="S82" i="2"/>
  <c r="U125" i="2"/>
  <c r="Q102" i="2"/>
  <c r="U83" i="2"/>
  <c r="S83" i="2"/>
  <c r="S143" i="2"/>
  <c r="S200" i="2"/>
  <c r="U200" i="2"/>
  <c r="S125" i="2"/>
  <c r="S141" i="2"/>
  <c r="S175" i="2"/>
  <c r="S221" i="2"/>
  <c r="I15" i="2"/>
  <c r="Q19" i="2"/>
  <c r="Q24" i="2"/>
  <c r="AC33" i="2"/>
  <c r="R35" i="2"/>
  <c r="R43" i="2"/>
  <c r="R55" i="2" s="1"/>
  <c r="S59" i="2"/>
  <c r="S67" i="2" s="1"/>
  <c r="AC71" i="2"/>
  <c r="N82" i="2"/>
  <c r="O82" i="2" s="1"/>
  <c r="S149" i="2"/>
  <c r="N189" i="2"/>
  <c r="O189" i="2" s="1"/>
  <c r="N217" i="2"/>
  <c r="O217" i="2" s="1"/>
  <c r="R250" i="2"/>
  <c r="S105" i="2"/>
  <c r="N107" i="2"/>
  <c r="O107" i="2" s="1"/>
  <c r="N122" i="2"/>
  <c r="O122" i="2" s="1"/>
  <c r="U141" i="2"/>
  <c r="U175" i="2"/>
  <c r="N199" i="2"/>
  <c r="O199" i="2" s="1"/>
  <c r="N252" i="2"/>
  <c r="O252" i="2" s="1"/>
  <c r="R19" i="2"/>
  <c r="AC77" i="2"/>
  <c r="N38" i="2"/>
  <c r="O38" i="2" s="1"/>
  <c r="U59" i="2"/>
  <c r="N63" i="2"/>
  <c r="O63" i="2" s="1"/>
  <c r="N76" i="2"/>
  <c r="O76" i="2" s="1"/>
  <c r="N84" i="2"/>
  <c r="O84" i="2" s="1"/>
  <c r="T89" i="2"/>
  <c r="T102" i="2" s="1"/>
  <c r="S113" i="2"/>
  <c r="AC141" i="2"/>
  <c r="T155" i="2"/>
  <c r="AC175" i="2"/>
  <c r="R179" i="2"/>
  <c r="N219" i="2"/>
  <c r="O219" i="2" s="1"/>
  <c r="S258" i="2"/>
  <c r="S34" i="2"/>
  <c r="S148" i="2"/>
  <c r="N93" i="2"/>
  <c r="O93" i="2" s="1"/>
  <c r="U110" i="2"/>
  <c r="T24" i="2"/>
  <c r="U24" i="2" s="1"/>
  <c r="I40" i="2"/>
  <c r="T40" i="2" s="1"/>
  <c r="U40" i="2" s="1"/>
  <c r="AC59" i="2"/>
  <c r="N87" i="2"/>
  <c r="O87" i="2" s="1"/>
  <c r="U105" i="2"/>
  <c r="R189" i="2"/>
  <c r="R217" i="2"/>
  <c r="N229" i="2"/>
  <c r="O229" i="2" s="1"/>
  <c r="T143" i="2"/>
  <c r="U143" i="2" s="1"/>
  <c r="R213" i="2"/>
  <c r="N264" i="2"/>
  <c r="O264" i="2" s="1"/>
  <c r="N15" i="2"/>
  <c r="O15" i="2" s="1"/>
  <c r="N40" i="2"/>
  <c r="O40" i="2" s="1"/>
  <c r="R21" i="2"/>
  <c r="S186" i="2"/>
  <c r="N75" i="2"/>
  <c r="O75" i="2" s="1"/>
  <c r="N92" i="2"/>
  <c r="O92" i="2" s="1"/>
  <c r="S98" i="2"/>
  <c r="N130" i="2"/>
  <c r="O130" i="2" s="1"/>
  <c r="N163" i="2"/>
  <c r="O163" i="2" s="1"/>
  <c r="S176" i="2"/>
  <c r="S194" i="2"/>
  <c r="S233" i="2"/>
  <c r="H271" i="2"/>
  <c r="S23" i="2"/>
  <c r="R13" i="2"/>
  <c r="U72" i="2"/>
  <c r="N83" i="2"/>
  <c r="O83" i="2" s="1"/>
  <c r="N121" i="2"/>
  <c r="O121" i="2" s="1"/>
  <c r="N200" i="2"/>
  <c r="O200" i="2" s="1"/>
  <c r="N218" i="2"/>
  <c r="O218" i="2" s="1"/>
  <c r="S188" i="2"/>
  <c r="N191" i="2"/>
  <c r="O191" i="2" s="1"/>
  <c r="N216" i="2"/>
  <c r="O216" i="2" s="1"/>
  <c r="S243" i="2"/>
  <c r="S251" i="2"/>
  <c r="N263" i="2"/>
  <c r="O263" i="2" s="1"/>
  <c r="U44" i="2"/>
  <c r="N48" i="2"/>
  <c r="O48" i="2" s="1"/>
  <c r="U60" i="2"/>
  <c r="N77" i="2"/>
  <c r="O77" i="2" s="1"/>
  <c r="U80" i="2"/>
  <c r="N230" i="2"/>
  <c r="O230" i="2" s="1"/>
  <c r="N33" i="2"/>
  <c r="O33" i="2" s="1"/>
  <c r="N86" i="2"/>
  <c r="O86" i="2" s="1"/>
  <c r="S106" i="2"/>
  <c r="S114" i="2"/>
  <c r="N146" i="2"/>
  <c r="O146" i="2" s="1"/>
  <c r="T25" i="2"/>
  <c r="U25" i="2" s="1"/>
  <c r="U36" i="2"/>
  <c r="R94" i="2"/>
  <c r="Q20" i="2"/>
  <c r="T13" i="2"/>
  <c r="N39" i="2"/>
  <c r="O39" i="2" s="1"/>
  <c r="N65" i="2"/>
  <c r="O65" i="2" s="1"/>
  <c r="R75" i="2"/>
  <c r="Q22" i="2"/>
  <c r="R71" i="2"/>
  <c r="Q25" i="2"/>
  <c r="Q29" i="2" s="1"/>
  <c r="R20" i="2"/>
  <c r="J55" i="8" l="1"/>
  <c r="K43" i="8"/>
  <c r="K55" i="8" s="1"/>
  <c r="K41" i="8"/>
  <c r="K53" i="8" s="1"/>
  <c r="J53" i="8"/>
  <c r="K42" i="8"/>
  <c r="K54" i="8" s="1"/>
  <c r="J54" i="8"/>
  <c r="T171" i="2"/>
  <c r="S71" i="2"/>
  <c r="R102" i="2"/>
  <c r="U71" i="2"/>
  <c r="U234" i="2"/>
  <c r="S234" i="2"/>
  <c r="U75" i="2"/>
  <c r="S75" i="2"/>
  <c r="S237" i="2"/>
  <c r="U237" i="2"/>
  <c r="S138" i="2"/>
  <c r="U20" i="2"/>
  <c r="S20" i="2"/>
  <c r="S213" i="2"/>
  <c r="U21" i="2"/>
  <c r="S21" i="2"/>
  <c r="U179" i="2"/>
  <c r="S179" i="2"/>
  <c r="S183" i="2" s="1"/>
  <c r="R281" i="2"/>
  <c r="U250" i="2"/>
  <c r="S250" i="2"/>
  <c r="U156" i="2"/>
  <c r="S156" i="2"/>
  <c r="U183" i="2"/>
  <c r="U89" i="2"/>
  <c r="S89" i="2"/>
  <c r="U155" i="2"/>
  <c r="U171" i="2" s="1"/>
  <c r="S155" i="2"/>
  <c r="S171" i="2" s="1"/>
  <c r="R247" i="2"/>
  <c r="U217" i="2"/>
  <c r="U247" i="2" s="1"/>
  <c r="S217" i="2"/>
  <c r="S247" i="2" s="1"/>
  <c r="U13" i="2"/>
  <c r="S13" i="2"/>
  <c r="S29" i="2" s="1"/>
  <c r="R29" i="2"/>
  <c r="U67" i="2"/>
  <c r="R271" i="2"/>
  <c r="N271" i="2"/>
  <c r="O271" i="2" s="1"/>
  <c r="R183" i="2"/>
  <c r="S94" i="2"/>
  <c r="U94" i="2"/>
  <c r="R171" i="2"/>
  <c r="S35" i="2"/>
  <c r="S55" i="2" s="1"/>
  <c r="U35" i="2"/>
  <c r="U55" i="2" s="1"/>
  <c r="U203" i="2"/>
  <c r="S203" i="2"/>
  <c r="U138" i="2"/>
  <c r="S43" i="2"/>
  <c r="U43" i="2"/>
  <c r="U189" i="2"/>
  <c r="U213" i="2" s="1"/>
  <c r="S189" i="2"/>
  <c r="U19" i="2"/>
  <c r="S19" i="2"/>
  <c r="T15" i="2"/>
  <c r="U15" i="2" s="1"/>
  <c r="AC15" i="2"/>
  <c r="T55" i="2"/>
  <c r="T29" i="2" l="1"/>
  <c r="S271" i="2"/>
  <c r="S281" i="2" s="1"/>
  <c r="U271" i="2"/>
  <c r="U281" i="2" s="1"/>
  <c r="U29" i="2"/>
  <c r="U102" i="2"/>
  <c r="S10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 McShane</author>
  </authors>
  <commentList>
    <comment ref="D239" authorId="0" shapeId="0" xr:uid="{A3F24EB1-2E67-43D0-B66A-E4D57EE6B9A7}">
      <text>
        <r>
          <rPr>
            <b/>
            <sz val="9"/>
            <color indexed="81"/>
            <rFont val="Tahoma"/>
            <family val="2"/>
          </rPr>
          <t>Navigant:</t>
        </r>
        <r>
          <rPr>
            <sz val="9"/>
            <color indexed="81"/>
            <rFont val="Tahoma"/>
            <family val="2"/>
          </rPr>
          <t xml:space="preserve">
Excluding revenue recovered via the $8 per month service charge</t>
        </r>
      </text>
    </comment>
  </commentList>
</comments>
</file>

<file path=xl/sharedStrings.xml><?xml version="1.0" encoding="utf-8"?>
<sst xmlns="http://schemas.openxmlformats.org/spreadsheetml/2006/main" count="4818" uniqueCount="446">
  <si>
    <t>Schedule E-14</t>
  </si>
  <si>
    <t>PROPOSED TARIFF SHEETS AND SUPPORT FOR CHARGES</t>
  </si>
  <si>
    <t>Page 1 of 1</t>
  </si>
  <si>
    <t>FLORIDA PUBLIC SERVICE COMMISSION</t>
  </si>
  <si>
    <t>EXPLANATION:</t>
  </si>
  <si>
    <t>Provide proposed tariff sheets highlighting changes in legislative format from existing tariff</t>
  </si>
  <si>
    <t>Type of Data Shown:</t>
  </si>
  <si>
    <t>provisions. For each charge, reference by footnote unit costs as shown on Schedules E-6b and E-7, if</t>
  </si>
  <si>
    <t>__X__  Projected Test Year Ended 12/31/25</t>
  </si>
  <si>
    <t>COMPANY: DUKE ENERGY FLORIDA</t>
  </si>
  <si>
    <t>applicable.  Indicate whether unit costs are calculated at the class or system rate of return.  On</t>
  </si>
  <si>
    <t>__X__  Projected Test Year Ended 12/31/26</t>
  </si>
  <si>
    <t>separate attachment explain any differences between unit costs and proposed charges.  Provide the</t>
  </si>
  <si>
    <t>__X__  Projected Test Year Ended 12/31/27</t>
  </si>
  <si>
    <t>DOCKET NO.:</t>
  </si>
  <si>
    <t>20240025-EI</t>
  </si>
  <si>
    <t>derivation (calculation and assumptions) of all charges and credits other than those for which unit</t>
  </si>
  <si>
    <t>costs are calculated in these MFR schedules, including those charges and credits the company</t>
  </si>
  <si>
    <t>Witness:  Chatelain</t>
  </si>
  <si>
    <t>proposes to continue at the present level. Workpapers for street and outdoor lighting rates, T-O-U</t>
  </si>
  <si>
    <t>rates and standard energy charges shall be furnished under separate cover to staff, Commissioners,</t>
  </si>
  <si>
    <t>Commission Clerk and upon request to other parties to this docket.</t>
  </si>
  <si>
    <t>All Tariff Sheets of those Rate Schedules and Standard Contract Forms which are proposed to be changed have been filed under separate cover, see file "MFRs, Schedule E-14: Tariff Sheets."</t>
  </si>
  <si>
    <t>Proposed changes are highlighted in legislative format.</t>
  </si>
  <si>
    <t>Unit Charges / Cost Data are provided in the following attachments:</t>
  </si>
  <si>
    <t>Attachment A - Summary of Unit Charges and Unit Cost Data by Rate Class</t>
  </si>
  <si>
    <t>Attachment B - Development of Residential and General Service Customer Charges</t>
  </si>
  <si>
    <t>Attachment C - Development of Time of Use Billing Determinants</t>
  </si>
  <si>
    <t>Attachment D -  Development of Standby Service Rate Charges</t>
  </si>
  <si>
    <t>Attachment E -  Development of Customer Charge Unit Costs for Non-Residential Classes</t>
  </si>
  <si>
    <t>Attachment F -  Development of Monthly Fixed Charge Rate for Lighting Facilities</t>
  </si>
  <si>
    <t>Attachment G -  Development of Premium Distribution Service Charges</t>
  </si>
  <si>
    <t>Attachment H -  Unitized Cost of Service: Summary of Residential Unit Cost Methodology for Optional</t>
  </si>
  <si>
    <t xml:space="preserve"> Company Offered Load Control Programs</t>
  </si>
  <si>
    <t>Supporting Schedules:</t>
  </si>
  <si>
    <t>Recap Schedules:</t>
  </si>
  <si>
    <t>=</t>
  </si>
  <si>
    <t>DUKE ENERGY FLORIDA</t>
  </si>
  <si>
    <t>MFR Schedule E-14</t>
  </si>
  <si>
    <t>Attachment A</t>
  </si>
  <si>
    <t>Unit Charge / Unit Cost Data</t>
  </si>
  <si>
    <t>Prop vs Pres</t>
  </si>
  <si>
    <t>Prop vs Cost</t>
  </si>
  <si>
    <t>Rate</t>
  </si>
  <si>
    <t>Current</t>
  </si>
  <si>
    <t>Proposed</t>
  </si>
  <si>
    <t>Unit</t>
  </si>
  <si>
    <t>Unit Cost</t>
  </si>
  <si>
    <t>Change</t>
  </si>
  <si>
    <t>@ Present</t>
  </si>
  <si>
    <t>@ Proposed</t>
  </si>
  <si>
    <t>Difference</t>
  </si>
  <si>
    <t>@ Cost</t>
  </si>
  <si>
    <t>Lookups</t>
  </si>
  <si>
    <t>Line</t>
  </si>
  <si>
    <t>Schedule</t>
  </si>
  <si>
    <t>Type of Charge</t>
  </si>
  <si>
    <t>Cost</t>
  </si>
  <si>
    <t>Reference</t>
  </si>
  <si>
    <t>Explanation</t>
  </si>
  <si>
    <t>$</t>
  </si>
  <si>
    <t>%</t>
  </si>
  <si>
    <t>Units</t>
  </si>
  <si>
    <t>Do not delete</t>
  </si>
  <si>
    <t>RS-1</t>
  </si>
  <si>
    <t>Customer Charge - $ per Line of Billing</t>
  </si>
  <si>
    <t>RST-1</t>
  </si>
  <si>
    <t>Standard</t>
  </si>
  <si>
    <t>E-14B</t>
  </si>
  <si>
    <t>Set to meet revenue requirements</t>
  </si>
  <si>
    <t>RSL-1</t>
  </si>
  <si>
    <t>Time of Use</t>
  </si>
  <si>
    <t>RSL-2</t>
  </si>
  <si>
    <t>Single &amp; Three Phase</t>
  </si>
  <si>
    <t>Set to RS-1 Standard</t>
  </si>
  <si>
    <t>Energy Charge</t>
  </si>
  <si>
    <t>Two-Tiered Rate</t>
  </si>
  <si>
    <t>0 - 1,000 kWh (Winter)</t>
  </si>
  <si>
    <t>¢/kWh</t>
  </si>
  <si>
    <t>Set to meet revenue requirements with seasonal differentiation</t>
  </si>
  <si>
    <t>Over 1,000 kWh (Winter)</t>
  </si>
  <si>
    <t>0 - 1,000 kWh (Non-Winter)</t>
  </si>
  <si>
    <t>Over 1,000 kWh (Non-Winter)</t>
  </si>
  <si>
    <t>Time of Use - On Peak</t>
  </si>
  <si>
    <t>E-14C</t>
  </si>
  <si>
    <t>Set to meet revenue requirements with proposed TOU design</t>
  </si>
  <si>
    <t>Time of Use - Off Peak</t>
  </si>
  <si>
    <t>Time of Use - Discount</t>
  </si>
  <si>
    <t>EV Off-Peak Charging Credit</t>
  </si>
  <si>
    <t>EV Off-Pk</t>
  </si>
  <si>
    <t>Set to reasonable credit for 2025/2026/2027 to limit changes from year to year</t>
  </si>
  <si>
    <t>check s/b 0</t>
  </si>
  <si>
    <t>GS-1,</t>
  </si>
  <si>
    <t>Ties to E-6b</t>
  </si>
  <si>
    <t>GST-1</t>
  </si>
  <si>
    <t>Unmetered</t>
  </si>
  <si>
    <t>E-14E</t>
  </si>
  <si>
    <t>Set to unit cost</t>
  </si>
  <si>
    <t>GS-1</t>
  </si>
  <si>
    <t>Secondary</t>
  </si>
  <si>
    <t>Set to meet revenue requirements in alignment with class increase</t>
  </si>
  <si>
    <t>Primary</t>
  </si>
  <si>
    <t>Transmission</t>
  </si>
  <si>
    <t>Set to GS-1 Standard</t>
  </si>
  <si>
    <t>Premium Distribution Charge</t>
  </si>
  <si>
    <t>E-14G</t>
  </si>
  <si>
    <t>Set to reflect COS</t>
  </si>
  <si>
    <t>Meter Voltage Adjustment - % of Demand &amp; Energy Charges</t>
  </si>
  <si>
    <t>No Change</t>
  </si>
  <si>
    <t>Equipment Rental - % of Installed Equipment Cost</t>
  </si>
  <si>
    <t>E-14F 3b</t>
  </si>
  <si>
    <t>Set to COS</t>
  </si>
  <si>
    <t>GS-2</t>
  </si>
  <si>
    <t>E-6b</t>
  </si>
  <si>
    <t>Metered</t>
  </si>
  <si>
    <t>GSD-1</t>
  </si>
  <si>
    <t>GSDT-1</t>
  </si>
  <si>
    <t>Set to GSD-1</t>
  </si>
  <si>
    <t>Demand Charge</t>
  </si>
  <si>
    <t>$/kW</t>
  </si>
  <si>
    <t>Base</t>
  </si>
  <si>
    <t>On Peak</t>
  </si>
  <si>
    <t>Mid Peak</t>
  </si>
  <si>
    <t>Delivery Voltage Credits</t>
  </si>
  <si>
    <t>DVC</t>
  </si>
  <si>
    <t>Transmission &lt; 230 kV</t>
  </si>
  <si>
    <r>
      <t xml:space="preserve">Transmission </t>
    </r>
    <r>
      <rPr>
        <u/>
        <sz val="10"/>
        <rFont val="Calibri"/>
        <family val="2"/>
        <scheme val="minor"/>
      </rPr>
      <t>&gt;</t>
    </r>
    <r>
      <rPr>
        <sz val="10"/>
        <rFont val="Calibri"/>
        <family val="2"/>
        <scheme val="minor"/>
      </rPr>
      <t xml:space="preserve"> 230 kV</t>
    </r>
  </si>
  <si>
    <t>CS-2</t>
  </si>
  <si>
    <t>CS-3</t>
  </si>
  <si>
    <t>CS-1</t>
  </si>
  <si>
    <t>CST-2</t>
  </si>
  <si>
    <t>CST-3</t>
  </si>
  <si>
    <t>CST-1</t>
  </si>
  <si>
    <t>Curtailable Demand Credit</t>
  </si>
  <si>
    <t>CS-2, CST-2 - $ per KW of Curtailable On-Pk Capability</t>
  </si>
  <si>
    <t>Set to ensure cost-effectiveness used in FEECA Docket</t>
  </si>
  <si>
    <t>n/a</t>
  </si>
  <si>
    <t>CS-3, CST-3 - $ per KW of Contract Demand</t>
  </si>
  <si>
    <t>Curtailable Event Incentive</t>
  </si>
  <si>
    <t>IS-2</t>
  </si>
  <si>
    <t>IST-2</t>
  </si>
  <si>
    <t>IS-1</t>
  </si>
  <si>
    <t>Demand Charge - $ per KW</t>
  </si>
  <si>
    <t>IST-1</t>
  </si>
  <si>
    <t>Interruptible Demand Credit</t>
  </si>
  <si>
    <t>IS-2, IST-2 - $ per KW On-Peak Demand</t>
  </si>
  <si>
    <t>LS-1</t>
  </si>
  <si>
    <t>Other Fixture Charge Rate - % of Installed Fixture Cost</t>
  </si>
  <si>
    <t>E-14F 3a</t>
  </si>
  <si>
    <t>Other Pole Charge Rate - % of Installed Pole Cost</t>
  </si>
  <si>
    <t>SS-1</t>
  </si>
  <si>
    <t>E-14D</t>
  </si>
  <si>
    <t>Set to class increase due to no billing determinants</t>
  </si>
  <si>
    <t>Customer Owned</t>
  </si>
  <si>
    <t>Distribution Charge</t>
  </si>
  <si>
    <t>Applicable to Specified SB Capacity</t>
  </si>
  <si>
    <t>Generation and Transmission Capacity Charge</t>
  </si>
  <si>
    <t>Greater of :</t>
  </si>
  <si>
    <t>Monthly Reservation Charge</t>
  </si>
  <si>
    <t>Peak Day Utilized SB Power Charge</t>
  </si>
  <si>
    <t>SS-2</t>
  </si>
  <si>
    <t>Interruptible Capacity Credit</t>
  </si>
  <si>
    <t>Monthly Reservation Credit</t>
  </si>
  <si>
    <t>Daily Demand Credit</t>
  </si>
  <si>
    <t>SS-3</t>
  </si>
  <si>
    <t>Curtailable Capacity Credit</t>
  </si>
  <si>
    <t>SC-1</t>
  </si>
  <si>
    <t>Initial Connection</t>
  </si>
  <si>
    <t>E-7</t>
  </si>
  <si>
    <t>No change proposed</t>
  </si>
  <si>
    <t>Reconnection</t>
  </si>
  <si>
    <t>Transfer of Account - No LSA Contract</t>
  </si>
  <si>
    <t>Transfer of Account - LSA Contract Required</t>
  </si>
  <si>
    <t>Investigation of Unauthorized Use - (RPI)</t>
  </si>
  <si>
    <t>Late Payment Charge</t>
  </si>
  <si>
    <t>Greater of</t>
  </si>
  <si>
    <t>Or</t>
  </si>
  <si>
    <t>Returned Check Charge</t>
  </si>
  <si>
    <t>if check amount $0 &lt;= $50</t>
  </si>
  <si>
    <t>Florida Statute 68.065</t>
  </si>
  <si>
    <t>if check amount $50 &lt;= $300</t>
  </si>
  <si>
    <t>if check amount &lt;= $800</t>
  </si>
  <si>
    <t>if check amount &gt; $800</t>
  </si>
  <si>
    <t>TS-1</t>
  </si>
  <si>
    <t>Temporary Service Extension - Monthly</t>
  </si>
  <si>
    <t>Attachment B</t>
  </si>
  <si>
    <t>Development of All RS Unit Costs and GS and GSD Energy Unit Costs</t>
  </si>
  <si>
    <t>Description</t>
  </si>
  <si>
    <t>RS</t>
  </si>
  <si>
    <t>GS</t>
  </si>
  <si>
    <t>GSD</t>
  </si>
  <si>
    <t>Customer Charge based on Unit Costs:</t>
  </si>
  <si>
    <t xml:space="preserve">Unit Cost </t>
  </si>
  <si>
    <t>Metering</t>
  </si>
  <si>
    <t>Schedule E-6b</t>
  </si>
  <si>
    <t>Billing</t>
  </si>
  <si>
    <t>Secondary Service Tap</t>
  </si>
  <si>
    <t>Subtotal</t>
  </si>
  <si>
    <t>Distribution Primary / Secondary Transformer Costs ($000)</t>
  </si>
  <si>
    <t>Gross Plant FERC 368 - Line Transformers</t>
  </si>
  <si>
    <t>COSS</t>
  </si>
  <si>
    <t>Gross Plant - Total Distribution Secondary Delivery</t>
  </si>
  <si>
    <t>Ratio</t>
  </si>
  <si>
    <t>Line 9 / Line 10</t>
  </si>
  <si>
    <t>Distribution Secondary Cost of Service</t>
  </si>
  <si>
    <t>Distribution Secondary Cost of Service ($000)</t>
  </si>
  <si>
    <t>Schedule E-6</t>
  </si>
  <si>
    <t>Number of Bills</t>
  </si>
  <si>
    <t>Average Unit Cost per Customer</t>
  </si>
  <si>
    <t>Line 14 / Line 15</t>
  </si>
  <si>
    <t xml:space="preserve">Transformer Ratio </t>
  </si>
  <si>
    <t>Line 12</t>
  </si>
  <si>
    <t>Transformer Unit Cost</t>
  </si>
  <si>
    <t>Line 16 x Line 17</t>
  </si>
  <si>
    <t>Total Proposed Customer Charge</t>
  </si>
  <si>
    <t>Line 6 + Line 18</t>
  </si>
  <si>
    <t>Demand and Energy Charge based on Unit Costs:</t>
  </si>
  <si>
    <t>Levelized Energy Rate:</t>
  </si>
  <si>
    <t>Total Demand and Energy Cost of Service ($000)</t>
  </si>
  <si>
    <t>Schedules E-6b; E-13c</t>
  </si>
  <si>
    <t>kWh Sales (000)</t>
  </si>
  <si>
    <t>Energy Rate Levelized (¢/kWh)</t>
  </si>
  <si>
    <t>Line 26 / Line 27</t>
  </si>
  <si>
    <t>Two Tier Energy Rates:</t>
  </si>
  <si>
    <r>
      <t xml:space="preserve">Percentage of Sales </t>
    </r>
    <r>
      <rPr>
        <u/>
        <sz val="10"/>
        <rFont val="Calibri"/>
        <family val="2"/>
      </rPr>
      <t>&lt;</t>
    </r>
    <r>
      <rPr>
        <sz val="10"/>
        <rFont val="Calibri"/>
        <family val="2"/>
        <scheme val="minor"/>
      </rPr>
      <t xml:space="preserve"> 1,000 kWh</t>
    </r>
  </si>
  <si>
    <t>Based on forecasted usage data - E-13c</t>
  </si>
  <si>
    <t>Percentage of Sales  &gt; 1,000 kWh</t>
  </si>
  <si>
    <t>Differential in 2-Tier Rate (¢/kWh)</t>
  </si>
  <si>
    <t>RS Seasonal Analysis</t>
  </si>
  <si>
    <t>Input</t>
  </si>
  <si>
    <r>
      <t xml:space="preserve">Winter seasonal percentage </t>
    </r>
    <r>
      <rPr>
        <u/>
        <sz val="10"/>
        <rFont val="Calibri"/>
        <family val="2"/>
        <scheme val="minor"/>
      </rPr>
      <t>&lt;</t>
    </r>
    <r>
      <rPr>
        <sz val="10"/>
        <rFont val="Calibri"/>
        <family val="2"/>
        <scheme val="minor"/>
      </rPr>
      <t xml:space="preserve"> 1,000 kWh</t>
    </r>
  </si>
  <si>
    <t>Based on 2022 data w/ gradualism impacts</t>
  </si>
  <si>
    <t>Winter seasonal percentage &gt; 1,000 kWh</t>
  </si>
  <si>
    <t>Based on 2022 data w/ gradualism (set at 19%)</t>
  </si>
  <si>
    <r>
      <t xml:space="preserve">Non-winter seasonal percentage </t>
    </r>
    <r>
      <rPr>
        <u/>
        <sz val="10"/>
        <rFont val="Calibri"/>
        <family val="2"/>
        <scheme val="minor"/>
      </rPr>
      <t>&lt;</t>
    </r>
    <r>
      <rPr>
        <sz val="10"/>
        <rFont val="Calibri"/>
        <family val="2"/>
        <scheme val="minor"/>
      </rPr>
      <t xml:space="preserve"> 1,000 kWh</t>
    </r>
  </si>
  <si>
    <t>Non-winter seasonal percentage &gt; 1,000 kWh</t>
  </si>
  <si>
    <r>
      <t xml:space="preserve">Winter Proposed Energy Charge </t>
    </r>
    <r>
      <rPr>
        <u/>
        <sz val="10"/>
        <rFont val="Calibri"/>
        <family val="2"/>
      </rPr>
      <t>&lt;</t>
    </r>
    <r>
      <rPr>
        <sz val="10"/>
        <rFont val="Calibri"/>
        <family val="2"/>
        <scheme val="minor"/>
      </rPr>
      <t xml:space="preserve"> 1,000 kWh (¢/kWh)</t>
    </r>
  </si>
  <si>
    <t>(Line 28 - [1*Line 32]) * (1 + Line 34)</t>
  </si>
  <si>
    <t>Winter Proposed Energy Charge &gt; 1,000 kWh (¢/kWh)</t>
  </si>
  <si>
    <t>(Line 28 + [1*Line 31]) * (1 + Line 35)</t>
  </si>
  <si>
    <r>
      <t xml:space="preserve">Non-Winter Proposed Energy Charge </t>
    </r>
    <r>
      <rPr>
        <u/>
        <sz val="10"/>
        <rFont val="Calibri"/>
        <family val="2"/>
      </rPr>
      <t>&lt;</t>
    </r>
    <r>
      <rPr>
        <sz val="10"/>
        <rFont val="Calibri"/>
        <family val="2"/>
        <scheme val="minor"/>
      </rPr>
      <t xml:space="preserve"> 1,000 kWh (¢/kWh)</t>
    </r>
  </si>
  <si>
    <t>(Line 28 - [1*Line 32]) * (1 + Line 36)</t>
  </si>
  <si>
    <t>Non-Winter Proposed Energy Charge &gt; 1,000 kWh (¢/kWh)</t>
  </si>
  <si>
    <t>(Line 28 + [1*Line 31]) * (1 + Line 37)</t>
  </si>
  <si>
    <t>E-14C Time of Use Billing Determinants:</t>
  </si>
  <si>
    <t xml:space="preserve"> </t>
  </si>
  <si>
    <t>Attachment C</t>
  </si>
  <si>
    <t>Page 1 of 15</t>
  </si>
  <si>
    <t xml:space="preserve">Development of Time of Use Billing Determinants </t>
  </si>
  <si>
    <r>
      <t xml:space="preserve">Rate Schedule </t>
    </r>
    <r>
      <rPr>
        <b/>
        <u/>
        <sz val="12"/>
        <color indexed="8"/>
        <rFont val="Calibri"/>
        <family val="2"/>
        <scheme val="minor"/>
      </rPr>
      <t>RS-1</t>
    </r>
  </si>
  <si>
    <t>Generation</t>
  </si>
  <si>
    <t>Distribution</t>
  </si>
  <si>
    <t xml:space="preserve">Distribution </t>
  </si>
  <si>
    <t xml:space="preserve">Customer </t>
  </si>
  <si>
    <t>Total</t>
  </si>
  <si>
    <t>Capacity</t>
  </si>
  <si>
    <t>Energy</t>
  </si>
  <si>
    <t>Revenue required ($)</t>
  </si>
  <si>
    <t>Allocator</t>
  </si>
  <si>
    <t>net load</t>
  </si>
  <si>
    <t>gross load</t>
  </si>
  <si>
    <t>res load</t>
  </si>
  <si>
    <t>LMP</t>
  </si>
  <si>
    <t>Flat</t>
  </si>
  <si>
    <t>Ratio / Allocation Factor</t>
  </si>
  <si>
    <t>Peak</t>
  </si>
  <si>
    <t>Off-Peak</t>
  </si>
  <si>
    <t>Super Off-Peak</t>
  </si>
  <si>
    <t xml:space="preserve">Residential MWH </t>
  </si>
  <si>
    <t>Intermediate calculation</t>
  </si>
  <si>
    <t>Prices (c/kWh)</t>
  </si>
  <si>
    <t>w/ Gradualism</t>
  </si>
  <si>
    <t>Revenue</t>
  </si>
  <si>
    <t>Calculated</t>
  </si>
  <si>
    <t>Check</t>
  </si>
  <si>
    <t>Page 2 of 15</t>
  </si>
  <si>
    <r>
      <t xml:space="preserve">Rate Schedule </t>
    </r>
    <r>
      <rPr>
        <b/>
        <u/>
        <sz val="12"/>
        <color indexed="8"/>
        <rFont val="Calibri"/>
        <family val="2"/>
        <scheme val="minor"/>
      </rPr>
      <t>GS-1</t>
    </r>
  </si>
  <si>
    <t>Discount</t>
  </si>
  <si>
    <t xml:space="preserve">Class MWH </t>
  </si>
  <si>
    <t>Page 3 of 15</t>
  </si>
  <si>
    <r>
      <t xml:space="preserve">Rate Schedule </t>
    </r>
    <r>
      <rPr>
        <b/>
        <u/>
        <sz val="12"/>
        <color indexed="8"/>
        <rFont val="Calibri"/>
        <family val="2"/>
        <scheme val="minor"/>
      </rPr>
      <t>GSD</t>
    </r>
  </si>
  <si>
    <t>Demand Prices ($/kW)</t>
  </si>
  <si>
    <t>Mid-Peak</t>
  </si>
  <si>
    <t>Page 4 of 15</t>
  </si>
  <si>
    <t>Rate Schedule CS</t>
  </si>
  <si>
    <t>Page 5 of 15</t>
  </si>
  <si>
    <t>Rate Schedule IS</t>
  </si>
  <si>
    <t>Class MWH</t>
  </si>
  <si>
    <t>Page 6 of 15</t>
  </si>
  <si>
    <t>Page 7 of 15</t>
  </si>
  <si>
    <t>Page 8 of 15</t>
  </si>
  <si>
    <t>Page 9 of 15</t>
  </si>
  <si>
    <t>Page 10 of 15</t>
  </si>
  <si>
    <t>Page 11 of 15</t>
  </si>
  <si>
    <t>Page 12 of 15</t>
  </si>
  <si>
    <t>Page 13 of 15</t>
  </si>
  <si>
    <t>Page 14 of 15</t>
  </si>
  <si>
    <t>Page 15 of 15</t>
  </si>
  <si>
    <t>Attachment D</t>
  </si>
  <si>
    <t>Page 1 of 6</t>
  </si>
  <si>
    <t>Development of Standby Service Rate Charges</t>
  </si>
  <si>
    <t>$000's</t>
  </si>
  <si>
    <t>Summary of Retail Cost of Service by Functional Component</t>
  </si>
  <si>
    <t>Production Capacity Allocation Method:  12 CP and 25% AD</t>
  </si>
  <si>
    <t>I.  Development of Retail System Power Supply Unit Cost</t>
  </si>
  <si>
    <t>Total Retail</t>
  </si>
  <si>
    <t>Unit of Measure</t>
  </si>
  <si>
    <t>Unit Cost at</t>
  </si>
  <si>
    <t>Delivery</t>
  </si>
  <si>
    <t>Cost of Svc</t>
  </si>
  <si>
    <t>Retail Units</t>
  </si>
  <si>
    <t>at Source Level</t>
  </si>
  <si>
    <t>Generation Level</t>
  </si>
  <si>
    <t>Level Factor</t>
  </si>
  <si>
    <t>Sec Del Level</t>
  </si>
  <si>
    <t>Production Capacity</t>
  </si>
  <si>
    <t>Avg Monthly CP</t>
  </si>
  <si>
    <t xml:space="preserve"> per KW Month</t>
  </si>
  <si>
    <t>Production Energy</t>
  </si>
  <si>
    <t>MWH</t>
  </si>
  <si>
    <t>per MWH</t>
  </si>
  <si>
    <t>Distribution Primary</t>
  </si>
  <si>
    <t>Distribution Secondary</t>
  </si>
  <si>
    <t>Distribution Services</t>
  </si>
  <si>
    <t>Interruptible Equipment</t>
  </si>
  <si>
    <t>Lighting Fixtures</t>
  </si>
  <si>
    <t>Customer Billing , Info, etc.</t>
  </si>
  <si>
    <t>II.  Development of GSD Rate Class' Distribution Unit Cost</t>
  </si>
  <si>
    <t>Sum Individual</t>
  </si>
  <si>
    <t>GSD Class</t>
  </si>
  <si>
    <t>Annual Max</t>
  </si>
  <si>
    <t>KW Demand</t>
  </si>
  <si>
    <t>a/b*1000/12</t>
  </si>
  <si>
    <t>Page 3 of 6</t>
  </si>
  <si>
    <t>Page 5 of 6</t>
  </si>
  <si>
    <t>Page 2 of 6</t>
  </si>
  <si>
    <t>Development of Demand and Energy Charges Stated at Secondary Delivery and Metering Voltage</t>
  </si>
  <si>
    <t>Amount</t>
  </si>
  <si>
    <t>Customer Charge:</t>
  </si>
  <si>
    <t>SS-1, SS-3</t>
  </si>
  <si>
    <t xml:space="preserve"> / Month</t>
  </si>
  <si>
    <t>Schedule E-14E - CS/IS Customer Unit Cost</t>
  </si>
  <si>
    <t>Schedule E-14E - CS/IS Unit Cost + IS Equipment</t>
  </si>
  <si>
    <t>Base Rate Energy Charge:</t>
  </si>
  <si>
    <t xml:space="preserve"> / MWH</t>
  </si>
  <si>
    <t>Schedule E-14D Page 1</t>
  </si>
  <si>
    <t>Distribution Charge:</t>
  </si>
  <si>
    <t xml:space="preserve"> / KW Month</t>
  </si>
  <si>
    <t>Schedule E-14D Page 1 - Distribution Unit Cost</t>
  </si>
  <si>
    <t>Generation and Transmission Capacity Charge:</t>
  </si>
  <si>
    <t>A. Monthly Reservation Charge</t>
  </si>
  <si>
    <t>Schedule E-14D Page 1 - Sum of Production Capacity</t>
  </si>
  <si>
    <t>plus Transmission times assumed unavailability of 10%</t>
  </si>
  <si>
    <t>B. Peak Day Utilized SB Power Charge of:</t>
  </si>
  <si>
    <t xml:space="preserve"> / KW Day</t>
  </si>
  <si>
    <t>plus Transmission divided by 21 peak days per month</t>
  </si>
  <si>
    <t>Non-Firm Service Credits</t>
  </si>
  <si>
    <t>Curtailable</t>
  </si>
  <si>
    <t>1. Monthly Reservation Credit</t>
  </si>
  <si>
    <t xml:space="preserve">Curtailable capacity credit times assumed unavailablity of 10% </t>
  </si>
  <si>
    <t>2. Daily Demand Credit</t>
  </si>
  <si>
    <t>Curtailable capacity credit divided by 21 peak days per month</t>
  </si>
  <si>
    <t>Interruptible</t>
  </si>
  <si>
    <t xml:space="preserve">Interruptible capacity credit times assumed unavailablity of 10% </t>
  </si>
  <si>
    <t>Interruptible capacity credit divided by 21 peak days per month</t>
  </si>
  <si>
    <t>Page 4 of 6</t>
  </si>
  <si>
    <t>Page 6 of 6</t>
  </si>
  <si>
    <t>Attachment E</t>
  </si>
  <si>
    <t>Page 1 of 3</t>
  </si>
  <si>
    <t>Development of Customer Unit Costs for Non-Residential Classes</t>
  </si>
  <si>
    <t>Factor to</t>
  </si>
  <si>
    <t>Investment</t>
  </si>
  <si>
    <t>CS/IS</t>
  </si>
  <si>
    <t>per Meter</t>
  </si>
  <si>
    <t>Excludes IS Equip</t>
  </si>
  <si>
    <t>Includes IS Equip</t>
  </si>
  <si>
    <t xml:space="preserve">Metering Unit Cost </t>
  </si>
  <si>
    <t>Average Unit Cost</t>
  </si>
  <si>
    <t>Number of Meters</t>
  </si>
  <si>
    <t>Secondary Standard Demand or TOU</t>
  </si>
  <si>
    <t>Schedule E-10 page 11 / E-13c</t>
  </si>
  <si>
    <t>Secondary Network/3ph/TR</t>
  </si>
  <si>
    <t>Schedule E-10 page 11</t>
  </si>
  <si>
    <t>Metering Unit Cost of Service</t>
  </si>
  <si>
    <t>Solve so that Line 15 Equals Line 2</t>
  </si>
  <si>
    <t>Line 11 x Line 20 Relative Relationship</t>
  </si>
  <si>
    <t>Line 11 x Line 21 Relative Relationship</t>
  </si>
  <si>
    <t>Line 11 x Line 22 Relative Relationship</t>
  </si>
  <si>
    <t>Weighted Average</t>
  </si>
  <si>
    <t>Meter Cost by Metering Voltage</t>
  </si>
  <si>
    <t>Full CIAC</t>
  </si>
  <si>
    <t>Summary Metering Weighted Unit Costs</t>
  </si>
  <si>
    <t>(Lines 5:6 x Lines 11:12) / Lines 5:6</t>
  </si>
  <si>
    <t>Line 13</t>
  </si>
  <si>
    <t>Line 14</t>
  </si>
  <si>
    <t>Total Customer Billing and Secondary Services Unit Cost</t>
  </si>
  <si>
    <t>Customer Billing Unit Cost</t>
  </si>
  <si>
    <t>Customer Secondary Services Unit Cost</t>
  </si>
  <si>
    <t>Interruptible Equipment Unit Cost</t>
  </si>
  <si>
    <t>Total Customer Unit Cost</t>
  </si>
  <si>
    <t>Line 26 + Line 33 + Line 35</t>
  </si>
  <si>
    <t>Line 27 + Line 33 + Line 35</t>
  </si>
  <si>
    <t>Line 28 + Line 33 + Line 35</t>
  </si>
  <si>
    <t>Page 2 of 3</t>
  </si>
  <si>
    <t>Page 3 of 3</t>
  </si>
  <si>
    <t>Attachment G</t>
  </si>
  <si>
    <t>Development of Premium Distribution Service Charges</t>
  </si>
  <si>
    <t>Dollars in Thousands</t>
  </si>
  <si>
    <t>General Service Demand Metered Rate Schedules:</t>
  </si>
  <si>
    <t>GSD/SS-1</t>
  </si>
  <si>
    <t>CS/IS/SS-2/SS-3</t>
  </si>
  <si>
    <t>Distribution Primary Unit Cost - $ / KW Month</t>
  </si>
  <si>
    <t>Times:  Expected Capacity Requirement</t>
  </si>
  <si>
    <t>Equals:  Premium Distribution Service Charge - $ per Kw Month</t>
  </si>
  <si>
    <t>(Line 3 x Line 5)</t>
  </si>
  <si>
    <t>General Service Non-Demand Metered Rate Schedules:</t>
  </si>
  <si>
    <t>Customer Max Load Factor per E-17</t>
  </si>
  <si>
    <t>Hours per Month</t>
  </si>
  <si>
    <t>Hours Usage per Month (Line 14 x Line 15)</t>
  </si>
  <si>
    <t>Premium Distribution Service Charge - $ per KWH</t>
  </si>
  <si>
    <t>(Line 8 / Line 16)</t>
  </si>
  <si>
    <t>Attachment H</t>
  </si>
  <si>
    <t>Unitized Cost of Service: Summary of Residential Unit Cost Methodology for Optional Company Offered Load Control Programs</t>
  </si>
  <si>
    <t>Billing Determinant</t>
  </si>
  <si>
    <t>Type of Costs Recovered</t>
  </si>
  <si>
    <t>Per Customer</t>
  </si>
  <si>
    <t>Customer</t>
  </si>
  <si>
    <t>On Peak - ¢/kWh</t>
  </si>
  <si>
    <t>Per On Peak kWh</t>
  </si>
  <si>
    <t>On Peak Energy</t>
  </si>
  <si>
    <t>Off Peak - ¢/kWh</t>
  </si>
  <si>
    <t>Per Off Peak kWh</t>
  </si>
  <si>
    <t>Off Peak Energy</t>
  </si>
  <si>
    <t>Super Off Peak - ¢/kWh</t>
  </si>
  <si>
    <t>Per Super Off Peak kWh</t>
  </si>
  <si>
    <t>Super Off Peak Energy</t>
  </si>
  <si>
    <t>CP Demand Charge - $/kW</t>
  </si>
  <si>
    <t>Per System Peak kW</t>
  </si>
  <si>
    <t>Production &amp; Transmission</t>
  </si>
  <si>
    <t>Class Peak Demand Charge - $/kW</t>
  </si>
  <si>
    <t>Per Class Peak kW, last 12 months</t>
  </si>
  <si>
    <t>Primary Distribution</t>
  </si>
  <si>
    <t>Customer Max Demand Charge - $/kW</t>
  </si>
  <si>
    <t>Per Customer Maximum kW, last 12 months</t>
  </si>
  <si>
    <t>Secondary Distribution</t>
  </si>
  <si>
    <t>Note: This rate design is only applicable for customers who grant the Company the ability to control different customer owned assets outside of, or in addition to, applicable Commission-approved DSM programs.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</si>
</sst>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* #,##0.000_);_(* \(#,##0.000\);_(* &quot;-&quot;??_);_(@_)"/>
    <numFmt numFmtId="167" formatCode="0.0%"/>
    <numFmt numFmtId="168" formatCode="&quot;$&quot;#,##0.000_);\(&quot;$&quot;#,##0.000\)"/>
    <numFmt numFmtId="169" formatCode="0_);\(0\)"/>
    <numFmt numFmtId="170" formatCode="0.0;\-0.0;\-"/>
    <numFmt numFmtId="171" formatCode="_(* #,##0.0_);_(* \(#,##0.0\);_(* &quot;-&quot;??_);_(@_)"/>
    <numFmt numFmtId="172" formatCode="0.000;\-0.000;\-"/>
    <numFmt numFmtId="173" formatCode="_(* #,##0.00000_);_(* \(#,##0.00000\);_(* &quot;-&quot;??_);_(@_)"/>
    <numFmt numFmtId="174" formatCode="0.00000"/>
    <numFmt numFmtId="175" formatCode="0.0000000"/>
    <numFmt numFmtId="176" formatCode="_(&quot;$&quot;* #,##0_);_(&quot;$&quot;* \(#,##0\);_(&quot;$&quot;* &quot;-&quot;??_);_(@_)"/>
    <numFmt numFmtId="177" formatCode="mm/dd/yy"/>
    <numFmt numFmtId="178" formatCode="0.000"/>
    <numFmt numFmtId="179" formatCode="_(&quot;$&quot;* #,##0.00000_);_(&quot;$&quot;* \(#,##0.000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Arial"/>
    </font>
    <font>
      <sz val="8"/>
      <name val="Arial"/>
    </font>
    <font>
      <b/>
      <sz val="9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55759"/>
        <bgColor rgb="FF000000"/>
      </patternFill>
    </fill>
    <fill>
      <patternFill patternType="solid">
        <fgColor rgb="FFEDFFC4"/>
        <bgColor rgb="FF000000"/>
      </patternFill>
    </fill>
    <fill>
      <patternFill patternType="solid">
        <fgColor rgb="FFCCEB8D"/>
        <bgColor indexed="64"/>
      </patternFill>
    </fill>
    <fill>
      <patternFill patternType="solid">
        <fgColor rgb="FFCCEB8D"/>
        <bgColor rgb="FF000000"/>
      </patternFill>
    </fill>
    <fill>
      <patternFill patternType="solid">
        <fgColor rgb="FF555759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95D600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/>
      <right/>
      <top/>
      <bottom style="medium">
        <color indexed="64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5" fillId="2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22" fillId="8" borderId="8" applyNumberFormat="0" applyAlignment="0"/>
    <xf numFmtId="0" fontId="27" fillId="10" borderId="7" applyNumberFormat="0" applyAlignment="0"/>
    <xf numFmtId="0" fontId="4" fillId="0" borderId="0"/>
  </cellStyleXfs>
  <cellXfs count="382">
    <xf numFmtId="0" fontId="0" fillId="0" borderId="0" xfId="0"/>
    <xf numFmtId="0" fontId="3" fillId="0" borderId="0" xfId="3" applyFont="1" applyAlignment="1">
      <alignment horizontal="left" vertical="center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>
      <alignment vertical="center"/>
    </xf>
    <xf numFmtId="164" fontId="3" fillId="0" borderId="0" xfId="4" applyNumberFormat="1" applyFont="1" applyFill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164" fontId="3" fillId="0" borderId="0" xfId="4" applyNumberFormat="1" applyFont="1" applyFill="1" applyAlignment="1" applyProtection="1">
      <alignment horizontal="left" vertical="center"/>
      <protection locked="0"/>
    </xf>
    <xf numFmtId="0" fontId="3" fillId="0" borderId="0" xfId="3" applyFont="1" applyAlignment="1">
      <alignment horizontal="right" vertical="center"/>
    </xf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164" fontId="3" fillId="0" borderId="1" xfId="4" applyNumberFormat="1" applyFont="1" applyFill="1" applyBorder="1" applyAlignment="1">
      <alignment vertical="center"/>
    </xf>
    <xf numFmtId="0" fontId="3" fillId="0" borderId="0" xfId="4" applyNumberFormat="1" applyFont="1" applyFill="1" applyAlignment="1" applyProtection="1">
      <alignment vertical="center"/>
      <protection locked="0"/>
    </xf>
    <xf numFmtId="164" fontId="3" fillId="0" borderId="0" xfId="4" applyNumberFormat="1" applyFont="1" applyFill="1" applyAlignment="1">
      <alignment vertical="center"/>
    </xf>
    <xf numFmtId="0" fontId="3" fillId="0" borderId="0" xfId="4" applyNumberFormat="1" applyFont="1" applyFill="1" applyAlignment="1" applyProtection="1">
      <alignment vertical="center"/>
    </xf>
    <xf numFmtId="0" fontId="3" fillId="0" borderId="0" xfId="3" quotePrefix="1" applyFont="1" applyAlignment="1">
      <alignment vertical="center"/>
    </xf>
    <xf numFmtId="164" fontId="3" fillId="0" borderId="0" xfId="4" applyNumberFormat="1" applyFont="1" applyFill="1" applyBorder="1" applyAlignment="1" applyProtection="1">
      <alignment vertical="center"/>
      <protection locked="0"/>
    </xf>
    <xf numFmtId="0" fontId="3" fillId="0" borderId="0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0" fontId="3" fillId="0" borderId="0" xfId="5" applyFont="1" applyFill="1"/>
    <xf numFmtId="0" fontId="3" fillId="0" borderId="1" xfId="5" applyFont="1" applyFill="1" applyBorder="1"/>
    <xf numFmtId="0" fontId="6" fillId="0" borderId="2" xfId="6" applyFont="1" applyBorder="1"/>
    <xf numFmtId="0" fontId="3" fillId="0" borderId="2" xfId="5" applyFont="1" applyFill="1" applyBorder="1"/>
    <xf numFmtId="43" fontId="6" fillId="0" borderId="2" xfId="7" applyFont="1" applyBorder="1"/>
    <xf numFmtId="164" fontId="6" fillId="0" borderId="2" xfId="7" applyNumberFormat="1" applyFont="1" applyBorder="1"/>
    <xf numFmtId="0" fontId="7" fillId="3" borderId="0" xfId="6" applyFont="1" applyFill="1" applyAlignment="1">
      <alignment horizontal="centerContinuous"/>
    </xf>
    <xf numFmtId="0" fontId="8" fillId="3" borderId="0" xfId="6" applyFont="1" applyFill="1" applyAlignment="1">
      <alignment horizontal="centerContinuous"/>
    </xf>
    <xf numFmtId="164" fontId="8" fillId="3" borderId="0" xfId="4" applyNumberFormat="1" applyFont="1" applyFill="1" applyAlignment="1">
      <alignment horizontal="centerContinuous"/>
    </xf>
    <xf numFmtId="0" fontId="3" fillId="0" borderId="0" xfId="8" applyFont="1"/>
    <xf numFmtId="0" fontId="3" fillId="0" borderId="0" xfId="9" applyFont="1"/>
    <xf numFmtId="0" fontId="3" fillId="0" borderId="0" xfId="9" applyFont="1" applyAlignment="1">
      <alignment horizontal="center"/>
    </xf>
    <xf numFmtId="0" fontId="9" fillId="0" borderId="0" xfId="9" applyFont="1" applyAlignment="1">
      <alignment horizontal="right" vertical="center"/>
    </xf>
    <xf numFmtId="0" fontId="3" fillId="4" borderId="0" xfId="8" applyFont="1" applyFill="1"/>
    <xf numFmtId="10" fontId="3" fillId="0" borderId="0" xfId="10" applyNumberFormat="1" applyFont="1"/>
    <xf numFmtId="0" fontId="9" fillId="0" borderId="0" xfId="9" applyFont="1" applyAlignment="1">
      <alignment horizontal="right"/>
    </xf>
    <xf numFmtId="0" fontId="9" fillId="0" borderId="0" xfId="9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8" applyFont="1" applyAlignment="1">
      <alignment horizontal="center" vertical="center"/>
    </xf>
    <xf numFmtId="0" fontId="3" fillId="0" borderId="0" xfId="6" applyFont="1" applyAlignment="1">
      <alignment horizontal="right"/>
    </xf>
    <xf numFmtId="0" fontId="9" fillId="0" borderId="1" xfId="9" applyFont="1" applyBorder="1" applyAlignment="1">
      <alignment horizontal="centerContinuous"/>
    </xf>
    <xf numFmtId="0" fontId="3" fillId="0" borderId="1" xfId="9" applyFont="1" applyBorder="1" applyAlignment="1">
      <alignment horizontal="centerContinuous"/>
    </xf>
    <xf numFmtId="0" fontId="3" fillId="0" borderId="1" xfId="8" applyFont="1" applyBorder="1" applyAlignment="1">
      <alignment horizontal="centerContinuous"/>
    </xf>
    <xf numFmtId="0" fontId="3" fillId="0" borderId="0" xfId="9" applyFont="1" applyAlignment="1">
      <alignment horizontal="centerContinuous"/>
    </xf>
    <xf numFmtId="0" fontId="3" fillId="0" borderId="0" xfId="8" applyFont="1" applyAlignment="1">
      <alignment horizontal="center"/>
    </xf>
    <xf numFmtId="165" fontId="3" fillId="0" borderId="0" xfId="8" applyNumberFormat="1" applyFont="1" applyAlignment="1">
      <alignment horizontal="center"/>
    </xf>
    <xf numFmtId="0" fontId="3" fillId="4" borderId="0" xfId="8" applyFont="1" applyFill="1" applyAlignment="1">
      <alignment horizontal="center"/>
    </xf>
    <xf numFmtId="0" fontId="3" fillId="0" borderId="1" xfId="8" applyFont="1" applyBorder="1"/>
    <xf numFmtId="0" fontId="3" fillId="0" borderId="1" xfId="8" applyFont="1" applyBorder="1" applyAlignment="1">
      <alignment horizontal="center"/>
    </xf>
    <xf numFmtId="0" fontId="3" fillId="4" borderId="1" xfId="8" applyFont="1" applyFill="1" applyBorder="1" applyAlignment="1">
      <alignment horizontal="center"/>
    </xf>
    <xf numFmtId="0" fontId="9" fillId="0" borderId="0" xfId="8" applyFont="1"/>
    <xf numFmtId="43" fontId="3" fillId="0" borderId="0" xfId="7" applyFont="1"/>
    <xf numFmtId="43" fontId="3" fillId="0" borderId="0" xfId="4" applyFont="1" applyAlignment="1">
      <alignment horizontal="center"/>
    </xf>
    <xf numFmtId="43" fontId="3" fillId="0" borderId="0" xfId="4" applyFont="1"/>
    <xf numFmtId="43" fontId="3" fillId="4" borderId="0" xfId="4" applyFont="1" applyFill="1"/>
    <xf numFmtId="14" fontId="9" fillId="0" borderId="0" xfId="8" applyNumberFormat="1" applyFont="1"/>
    <xf numFmtId="0" fontId="3" fillId="0" borderId="0" xfId="8" applyFont="1" applyAlignment="1">
      <alignment horizontal="left" indent="1"/>
    </xf>
    <xf numFmtId="7" fontId="3" fillId="0" borderId="0" xfId="4" applyNumberFormat="1" applyFont="1"/>
    <xf numFmtId="166" fontId="3" fillId="0" borderId="0" xfId="4" applyNumberFormat="1" applyFont="1"/>
    <xf numFmtId="166" fontId="3" fillId="0" borderId="0" xfId="4" applyNumberFormat="1" applyFont="1" applyFill="1"/>
    <xf numFmtId="43" fontId="3" fillId="0" borderId="0" xfId="7" applyFont="1" applyFill="1"/>
    <xf numFmtId="43" fontId="3" fillId="4" borderId="0" xfId="4" applyFont="1" applyFill="1" applyAlignment="1">
      <alignment horizontal="center"/>
    </xf>
    <xf numFmtId="166" fontId="3" fillId="4" borderId="0" xfId="4" applyNumberFormat="1" applyFont="1" applyFill="1"/>
    <xf numFmtId="166" fontId="3" fillId="0" borderId="0" xfId="4" applyNumberFormat="1" applyFont="1" applyAlignment="1">
      <alignment horizontal="center"/>
    </xf>
    <xf numFmtId="167" fontId="3" fillId="0" borderId="0" xfId="4" applyNumberFormat="1" applyFont="1"/>
    <xf numFmtId="10" fontId="3" fillId="0" borderId="0" xfId="4" applyNumberFormat="1" applyFont="1"/>
    <xf numFmtId="10" fontId="3" fillId="0" borderId="0" xfId="4" applyNumberFormat="1" applyFont="1" applyFill="1"/>
    <xf numFmtId="10" fontId="3" fillId="0" borderId="0" xfId="10" applyNumberFormat="1" applyFont="1" applyFill="1"/>
    <xf numFmtId="43" fontId="3" fillId="0" borderId="0" xfId="4" applyFont="1" applyFill="1"/>
    <xf numFmtId="43" fontId="3" fillId="0" borderId="0" xfId="4" applyFont="1" applyFill="1" applyAlignment="1">
      <alignment horizontal="center"/>
    </xf>
    <xf numFmtId="0" fontId="3" fillId="0" borderId="0" xfId="11" applyFont="1"/>
    <xf numFmtId="0" fontId="11" fillId="0" borderId="0" xfId="11" applyFont="1"/>
    <xf numFmtId="0" fontId="3" fillId="0" borderId="0" xfId="11" applyFont="1" applyAlignment="1">
      <alignment horizontal="left" indent="1"/>
    </xf>
    <xf numFmtId="166" fontId="3" fillId="0" borderId="0" xfId="7" applyNumberFormat="1" applyFont="1"/>
    <xf numFmtId="0" fontId="3" fillId="4" borderId="0" xfId="8" applyFont="1" applyFill="1" applyProtection="1">
      <protection locked="0"/>
    </xf>
    <xf numFmtId="43" fontId="3" fillId="4" borderId="0" xfId="7" applyFont="1" applyFill="1"/>
    <xf numFmtId="0" fontId="3" fillId="0" borderId="0" xfId="8" applyFont="1" applyProtection="1">
      <protection locked="0"/>
    </xf>
    <xf numFmtId="43" fontId="3" fillId="0" borderId="0" xfId="7" applyFont="1" applyAlignment="1">
      <alignment horizontal="right"/>
    </xf>
    <xf numFmtId="167" fontId="3" fillId="0" borderId="0" xfId="12" applyNumberFormat="1" applyFont="1" applyAlignment="1">
      <alignment horizontal="right"/>
    </xf>
    <xf numFmtId="0" fontId="3" fillId="5" borderId="0" xfId="13" applyFont="1" applyFill="1" applyAlignment="1">
      <alignment vertical="center"/>
    </xf>
    <xf numFmtId="0" fontId="3" fillId="0" borderId="0" xfId="13" applyFont="1" applyAlignment="1">
      <alignment vertical="center"/>
    </xf>
    <xf numFmtId="0" fontId="9" fillId="0" borderId="0" xfId="8" applyFont="1" applyAlignment="1">
      <alignment horizontal="right"/>
    </xf>
    <xf numFmtId="0" fontId="12" fillId="5" borderId="0" xfId="13" applyFont="1" applyFill="1" applyAlignment="1">
      <alignment vertical="center"/>
    </xf>
    <xf numFmtId="0" fontId="13" fillId="0" borderId="0" xfId="13" applyFont="1" applyAlignment="1">
      <alignment horizontal="centerContinuous" vertical="center"/>
    </xf>
    <xf numFmtId="0" fontId="12" fillId="0" borderId="0" xfId="13" applyFont="1" applyAlignment="1">
      <alignment horizontal="centerContinuous" vertical="center"/>
    </xf>
    <xf numFmtId="0" fontId="12" fillId="0" borderId="0" xfId="13" applyFont="1" applyAlignment="1">
      <alignment vertical="center"/>
    </xf>
    <xf numFmtId="0" fontId="9" fillId="0" borderId="2" xfId="13" applyFont="1" applyBorder="1" applyAlignment="1">
      <alignment vertical="center"/>
    </xf>
    <xf numFmtId="37" fontId="9" fillId="0" borderId="2" xfId="13" applyNumberFormat="1" applyFont="1" applyBorder="1" applyAlignment="1">
      <alignment horizontal="centerContinuous" vertical="center"/>
    </xf>
    <xf numFmtId="37" fontId="9" fillId="0" borderId="2" xfId="13" applyNumberFormat="1" applyFont="1" applyBorder="1" applyAlignment="1">
      <alignment vertical="center"/>
    </xf>
    <xf numFmtId="37" fontId="9" fillId="0" borderId="2" xfId="13" applyNumberFormat="1" applyFont="1" applyBorder="1" applyAlignment="1">
      <alignment horizontal="center" vertical="center"/>
    </xf>
    <xf numFmtId="0" fontId="3" fillId="0" borderId="1" xfId="13" applyFont="1" applyBorder="1" applyAlignment="1">
      <alignment vertical="center"/>
    </xf>
    <xf numFmtId="0" fontId="9" fillId="0" borderId="1" xfId="13" applyFont="1" applyBorder="1" applyAlignment="1">
      <alignment horizontal="centerContinuous" vertical="center"/>
    </xf>
    <xf numFmtId="0" fontId="3" fillId="0" borderId="1" xfId="13" applyFont="1" applyBorder="1" applyAlignment="1">
      <alignment horizontal="centerContinuous" vertical="center"/>
    </xf>
    <xf numFmtId="0" fontId="9" fillId="0" borderId="1" xfId="13" applyFont="1" applyBorder="1" applyAlignment="1">
      <alignment horizontal="center" vertical="center"/>
    </xf>
    <xf numFmtId="0" fontId="9" fillId="0" borderId="0" xfId="13" applyFont="1" applyAlignment="1">
      <alignment horizontal="centerContinuous" vertical="center"/>
    </xf>
    <xf numFmtId="0" fontId="3" fillId="0" borderId="0" xfId="13" applyFont="1" applyAlignment="1">
      <alignment horizontal="centerContinuous" vertical="center"/>
    </xf>
    <xf numFmtId="0" fontId="3" fillId="0" borderId="0" xfId="13" applyFont="1" applyAlignment="1">
      <alignment horizontal="center" vertical="center"/>
    </xf>
    <xf numFmtId="0" fontId="11" fillId="0" borderId="0" xfId="13" applyFont="1" applyAlignment="1">
      <alignment vertical="center"/>
    </xf>
    <xf numFmtId="0" fontId="10" fillId="0" borderId="0" xfId="13" applyFont="1" applyAlignment="1">
      <alignment vertical="center"/>
    </xf>
    <xf numFmtId="7" fontId="3" fillId="0" borderId="0" xfId="13" applyNumberFormat="1" applyFont="1" applyAlignment="1">
      <alignment vertical="center"/>
    </xf>
    <xf numFmtId="0" fontId="3" fillId="0" borderId="0" xfId="14" applyNumberFormat="1" applyFont="1" applyAlignment="1">
      <alignment vertical="center"/>
    </xf>
    <xf numFmtId="7" fontId="3" fillId="0" borderId="2" xfId="14" applyNumberFormat="1" applyFont="1" applyBorder="1" applyAlignment="1">
      <alignment vertical="center"/>
    </xf>
    <xf numFmtId="44" fontId="3" fillId="0" borderId="0" xfId="13" applyNumberFormat="1" applyFont="1" applyAlignment="1">
      <alignment vertical="center"/>
    </xf>
    <xf numFmtId="0" fontId="3" fillId="0" borderId="0" xfId="13" applyFont="1" applyAlignment="1">
      <alignment horizontal="left" vertical="center"/>
    </xf>
    <xf numFmtId="5" fontId="3" fillId="0" borderId="0" xfId="14" applyNumberFormat="1" applyFont="1" applyFill="1" applyAlignment="1">
      <alignment vertical="center"/>
    </xf>
    <xf numFmtId="10" fontId="3" fillId="0" borderId="2" xfId="10" applyNumberFormat="1" applyFont="1" applyFill="1" applyBorder="1" applyAlignment="1">
      <alignment vertical="center"/>
    </xf>
    <xf numFmtId="164" fontId="8" fillId="0" borderId="0" xfId="4" applyNumberFormat="1" applyFont="1" applyAlignment="1">
      <alignment vertical="center"/>
    </xf>
    <xf numFmtId="5" fontId="3" fillId="0" borderId="0" xfId="14" applyNumberFormat="1" applyFont="1" applyAlignment="1">
      <alignment vertical="center"/>
    </xf>
    <xf numFmtId="10" fontId="3" fillId="0" borderId="0" xfId="13" applyNumberFormat="1" applyFont="1" applyAlignment="1">
      <alignment vertical="center"/>
    </xf>
    <xf numFmtId="0" fontId="3" fillId="0" borderId="0" xfId="8" applyFont="1" applyAlignment="1">
      <alignment vertical="center"/>
    </xf>
    <xf numFmtId="44" fontId="3" fillId="0" borderId="0" xfId="14" applyFont="1" applyAlignment="1">
      <alignment vertical="center"/>
    </xf>
    <xf numFmtId="0" fontId="9" fillId="0" borderId="0" xfId="13" applyFont="1" applyAlignment="1">
      <alignment vertical="center"/>
    </xf>
    <xf numFmtId="7" fontId="9" fillId="0" borderId="3" xfId="14" applyNumberFormat="1" applyFont="1" applyBorder="1" applyAlignment="1">
      <alignment vertical="center"/>
    </xf>
    <xf numFmtId="164" fontId="3" fillId="0" borderId="0" xfId="7" applyNumberFormat="1" applyFont="1" applyFill="1" applyAlignment="1">
      <alignment vertical="center"/>
    </xf>
    <xf numFmtId="166" fontId="9" fillId="0" borderId="3" xfId="7" applyNumberFormat="1" applyFont="1" applyBorder="1" applyAlignment="1">
      <alignment vertical="center"/>
    </xf>
    <xf numFmtId="10" fontId="3" fillId="0" borderId="0" xfId="12" applyNumberFormat="1" applyFont="1" applyFill="1" applyAlignment="1">
      <alignment vertical="center"/>
    </xf>
    <xf numFmtId="166" fontId="3" fillId="0" borderId="0" xfId="7" applyNumberFormat="1" applyFont="1" applyAlignment="1">
      <alignment vertical="center"/>
    </xf>
    <xf numFmtId="0" fontId="3" fillId="0" borderId="4" xfId="13" applyFont="1" applyBorder="1" applyAlignment="1">
      <alignment horizontal="center" vertical="center"/>
    </xf>
    <xf numFmtId="10" fontId="3" fillId="0" borderId="0" xfId="12" applyNumberFormat="1" applyFont="1" applyAlignment="1">
      <alignment vertical="center"/>
    </xf>
    <xf numFmtId="10" fontId="3" fillId="0" borderId="5" xfId="12" applyNumberFormat="1" applyFont="1" applyBorder="1" applyAlignment="1">
      <alignment vertical="center"/>
    </xf>
    <xf numFmtId="10" fontId="3" fillId="0" borderId="5" xfId="13" applyNumberFormat="1" applyFont="1" applyBorder="1" applyAlignment="1">
      <alignment vertical="center"/>
    </xf>
    <xf numFmtId="10" fontId="3" fillId="0" borderId="6" xfId="13" applyNumberFormat="1" applyFont="1" applyBorder="1" applyAlignment="1">
      <alignment vertical="center"/>
    </xf>
    <xf numFmtId="166" fontId="9" fillId="0" borderId="0" xfId="13" applyNumberFormat="1" applyFont="1" applyAlignment="1">
      <alignment vertical="center"/>
    </xf>
    <xf numFmtId="166" fontId="3" fillId="0" borderId="0" xfId="13" applyNumberFormat="1" applyFont="1" applyAlignment="1">
      <alignment vertical="center"/>
    </xf>
    <xf numFmtId="43" fontId="3" fillId="0" borderId="0" xfId="13" applyNumberFormat="1" applyFont="1" applyAlignment="1">
      <alignment vertical="center"/>
    </xf>
    <xf numFmtId="164" fontId="15" fillId="0" borderId="0" xfId="7" applyNumberFormat="1" applyFont="1" applyAlignment="1">
      <alignment horizontal="left"/>
    </xf>
    <xf numFmtId="164" fontId="15" fillId="0" borderId="0" xfId="7" applyNumberFormat="1" applyFont="1"/>
    <xf numFmtId="0" fontId="1" fillId="0" borderId="0" xfId="15"/>
    <xf numFmtId="0" fontId="1" fillId="0" borderId="0" xfId="0" applyFont="1"/>
    <xf numFmtId="0" fontId="15" fillId="5" borderId="0" xfId="3" applyFont="1" applyFill="1"/>
    <xf numFmtId="0" fontId="16" fillId="4" borderId="0" xfId="3" applyFont="1" applyFill="1" applyAlignment="1">
      <alignment horizontal="centerContinuous"/>
    </xf>
    <xf numFmtId="0" fontId="6" fillId="5" borderId="0" xfId="6" applyFont="1" applyFill="1"/>
    <xf numFmtId="22" fontId="6" fillId="0" borderId="0" xfId="6" applyNumberFormat="1" applyFont="1" applyAlignment="1">
      <alignment horizontal="left"/>
    </xf>
    <xf numFmtId="0" fontId="6" fillId="0" borderId="0" xfId="6" applyFont="1"/>
    <xf numFmtId="0" fontId="6" fillId="0" borderId="0" xfId="6" applyFont="1" applyAlignment="1">
      <alignment horizontal="left" indent="1"/>
    </xf>
    <xf numFmtId="0" fontId="17" fillId="0" borderId="0" xfId="6" applyFont="1"/>
    <xf numFmtId="0" fontId="6" fillId="0" borderId="0" xfId="6" applyFont="1" applyAlignment="1">
      <alignment horizontal="left"/>
    </xf>
    <xf numFmtId="0" fontId="6" fillId="0" borderId="0" xfId="6" applyFont="1" applyAlignment="1">
      <alignment horizontal="right"/>
    </xf>
    <xf numFmtId="0" fontId="6" fillId="5" borderId="0" xfId="6" applyFont="1" applyFill="1" applyAlignment="1">
      <alignment horizontal="left"/>
    </xf>
    <xf numFmtId="0" fontId="3" fillId="0" borderId="0" xfId="6" quotePrefix="1" applyFont="1"/>
    <xf numFmtId="0" fontId="13" fillId="0" borderId="0" xfId="13" applyFont="1" applyAlignment="1">
      <alignment horizontal="left" vertical="center"/>
    </xf>
    <xf numFmtId="0" fontId="13" fillId="0" borderId="0" xfId="13" applyFont="1" applyAlignment="1">
      <alignment horizontal="center" vertical="center"/>
    </xf>
    <xf numFmtId="0" fontId="12" fillId="0" borderId="0" xfId="13" applyFont="1" applyAlignment="1">
      <alignment horizontal="center" vertical="center"/>
    </xf>
    <xf numFmtId="0" fontId="15" fillId="5" borderId="0" xfId="3" applyFont="1" applyFill="1" applyAlignment="1">
      <alignment vertical="center"/>
    </xf>
    <xf numFmtId="164" fontId="13" fillId="0" borderId="0" xfId="4" applyNumberFormat="1" applyFont="1" applyAlignment="1">
      <alignment horizontal="left" vertical="center"/>
    </xf>
    <xf numFmtId="0" fontId="9" fillId="0" borderId="0" xfId="13" applyFont="1" applyAlignment="1">
      <alignment horizontal="left"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center" vertical="center"/>
    </xf>
    <xf numFmtId="0" fontId="9" fillId="0" borderId="2" xfId="13" applyFont="1" applyBorder="1" applyAlignment="1">
      <alignment horizontal="center" vertical="center"/>
    </xf>
    <xf numFmtId="0" fontId="3" fillId="0" borderId="0" xfId="13" applyFont="1" applyAlignment="1">
      <alignment horizontal="left"/>
    </xf>
    <xf numFmtId="0" fontId="3" fillId="0" borderId="0" xfId="13" applyFont="1"/>
    <xf numFmtId="0" fontId="9" fillId="0" borderId="0" xfId="8" applyFont="1" applyAlignment="1">
      <alignment horizontal="center"/>
    </xf>
    <xf numFmtId="0" fontId="9" fillId="0" borderId="0" xfId="13" applyFont="1" applyAlignment="1">
      <alignment horizontal="center" vertical="center" wrapText="1"/>
    </xf>
    <xf numFmtId="0" fontId="9" fillId="0" borderId="0" xfId="13" applyFont="1" applyAlignment="1">
      <alignment horizontal="center"/>
    </xf>
    <xf numFmtId="0" fontId="9" fillId="0" borderId="0" xfId="13" applyFont="1" applyAlignment="1">
      <alignment horizontal="center" vertical="center"/>
    </xf>
    <xf numFmtId="0" fontId="9" fillId="0" borderId="1" xfId="13" applyFont="1" applyBorder="1" applyAlignment="1">
      <alignment horizontal="left"/>
    </xf>
    <xf numFmtId="0" fontId="9" fillId="0" borderId="1" xfId="13" applyFont="1" applyBorder="1" applyAlignment="1">
      <alignment horizontal="center"/>
    </xf>
    <xf numFmtId="0" fontId="3" fillId="0" borderId="1" xfId="13" applyFont="1" applyBorder="1"/>
    <xf numFmtId="0" fontId="1" fillId="0" borderId="0" xfId="15" applyAlignment="1">
      <alignment horizontal="left"/>
    </xf>
    <xf numFmtId="0" fontId="20" fillId="6" borderId="7" xfId="0" applyFont="1" applyFill="1" applyBorder="1"/>
    <xf numFmtId="0" fontId="21" fillId="0" borderId="0" xfId="0" applyFont="1"/>
    <xf numFmtId="164" fontId="6" fillId="7" borderId="8" xfId="1" applyNumberFormat="1" applyFont="1" applyFill="1" applyBorder="1" applyAlignment="1">
      <alignment vertical="top"/>
    </xf>
    <xf numFmtId="164" fontId="23" fillId="9" borderId="8" xfId="16" applyNumberFormat="1" applyFont="1" applyFill="1" applyAlignment="1">
      <alignment vertical="top"/>
    </xf>
    <xf numFmtId="0" fontId="24" fillId="0" borderId="0" xfId="0" applyFont="1"/>
    <xf numFmtId="164" fontId="6" fillId="7" borderId="8" xfId="1" applyNumberFormat="1" applyFont="1" applyFill="1" applyBorder="1" applyAlignment="1">
      <alignment horizontal="right" vertical="top"/>
    </xf>
    <xf numFmtId="0" fontId="25" fillId="0" borderId="0" xfId="0" applyFont="1"/>
    <xf numFmtId="170" fontId="6" fillId="7" borderId="8" xfId="2" applyNumberFormat="1" applyFont="1" applyFill="1" applyBorder="1" applyAlignment="1">
      <alignment vertical="top"/>
    </xf>
    <xf numFmtId="164" fontId="24" fillId="0" borderId="0" xfId="0" applyNumberFormat="1" applyFont="1"/>
    <xf numFmtId="171" fontId="6" fillId="7" borderId="8" xfId="1" applyNumberFormat="1" applyFont="1" applyFill="1" applyBorder="1" applyAlignment="1">
      <alignment vertical="top"/>
    </xf>
    <xf numFmtId="0" fontId="26" fillId="0" borderId="0" xfId="0" applyFont="1"/>
    <xf numFmtId="167" fontId="1" fillId="0" borderId="0" xfId="2" applyNumberFormat="1" applyFont="1"/>
    <xf numFmtId="171" fontId="23" fillId="9" borderId="8" xfId="16" applyNumberFormat="1" applyFont="1" applyFill="1" applyAlignment="1">
      <alignment vertical="top"/>
    </xf>
    <xf numFmtId="0" fontId="6" fillId="0" borderId="9" xfId="6" applyFont="1" applyBorder="1" applyAlignment="1">
      <alignment horizontal="left"/>
    </xf>
    <xf numFmtId="0" fontId="6" fillId="0" borderId="9" xfId="6" applyFont="1" applyBorder="1"/>
    <xf numFmtId="0" fontId="9" fillId="0" borderId="1" xfId="8" applyFont="1" applyBorder="1" applyAlignment="1">
      <alignment horizontal="center" vertical="center" wrapText="1"/>
    </xf>
    <xf numFmtId="0" fontId="9" fillId="0" borderId="1" xfId="13" applyFont="1" applyBorder="1" applyAlignment="1">
      <alignment horizontal="center" vertical="center" wrapText="1"/>
    </xf>
    <xf numFmtId="0" fontId="15" fillId="0" borderId="0" xfId="3" applyFont="1"/>
    <xf numFmtId="172" fontId="6" fillId="7" borderId="8" xfId="2" applyNumberFormat="1" applyFont="1" applyFill="1" applyBorder="1" applyAlignment="1">
      <alignment vertical="top"/>
    </xf>
    <xf numFmtId="173" fontId="23" fillId="9" borderId="8" xfId="16" applyNumberFormat="1" applyFont="1" applyFill="1" applyAlignment="1">
      <alignment vertical="top"/>
    </xf>
    <xf numFmtId="164" fontId="22" fillId="11" borderId="8" xfId="1" applyNumberFormat="1" applyFont="1" applyFill="1" applyBorder="1" applyAlignment="1">
      <alignment vertical="top"/>
    </xf>
    <xf numFmtId="164" fontId="28" fillId="8" borderId="8" xfId="16" applyNumberFormat="1" applyFont="1" applyAlignment="1">
      <alignment vertical="top"/>
    </xf>
    <xf numFmtId="43" fontId="23" fillId="9" borderId="8" xfId="16" applyNumberFormat="1" applyFont="1" applyFill="1" applyAlignment="1">
      <alignment vertical="top"/>
    </xf>
    <xf numFmtId="174" fontId="1" fillId="0" borderId="0" xfId="0" applyNumberFormat="1" applyFont="1"/>
    <xf numFmtId="0" fontId="3" fillId="0" borderId="0" xfId="6" applyFont="1"/>
    <xf numFmtId="164" fontId="31" fillId="5" borderId="0" xfId="4" applyNumberFormat="1" applyFont="1" applyFill="1" applyAlignment="1">
      <alignment vertical="center"/>
    </xf>
    <xf numFmtId="0" fontId="32" fillId="3" borderId="0" xfId="6" applyFont="1" applyFill="1" applyAlignment="1">
      <alignment horizontal="centerContinuous"/>
    </xf>
    <xf numFmtId="164" fontId="32" fillId="3" borderId="0" xfId="4" applyNumberFormat="1" applyFont="1" applyFill="1" applyBorder="1" applyAlignment="1">
      <alignment horizontal="centerContinuous"/>
    </xf>
    <xf numFmtId="164" fontId="31" fillId="0" borderId="0" xfId="4" applyNumberFormat="1" applyFont="1" applyAlignment="1">
      <alignment vertical="center"/>
    </xf>
    <xf numFmtId="164" fontId="3" fillId="5" borderId="0" xfId="4" applyNumberFormat="1" applyFont="1" applyFill="1" applyAlignment="1">
      <alignment vertical="center"/>
    </xf>
    <xf numFmtId="164" fontId="3" fillId="0" borderId="0" xfId="4" applyNumberFormat="1" applyFont="1" applyAlignment="1">
      <alignment vertical="center"/>
    </xf>
    <xf numFmtId="164" fontId="12" fillId="5" borderId="0" xfId="4" applyNumberFormat="1" applyFont="1" applyFill="1" applyAlignment="1">
      <alignment vertical="center"/>
    </xf>
    <xf numFmtId="164" fontId="12" fillId="0" borderId="0" xfId="4" applyNumberFormat="1" applyFont="1" applyAlignment="1">
      <alignment horizontal="centerContinuous" vertical="center"/>
    </xf>
    <xf numFmtId="164" fontId="12" fillId="0" borderId="0" xfId="4" applyNumberFormat="1" applyFont="1" applyAlignment="1">
      <alignment vertical="center"/>
    </xf>
    <xf numFmtId="164" fontId="12" fillId="0" borderId="0" xfId="4" applyNumberFormat="1" applyFont="1" applyBorder="1" applyAlignment="1">
      <alignment horizontal="centerContinuous" vertical="center"/>
    </xf>
    <xf numFmtId="164" fontId="3" fillId="0" borderId="1" xfId="4" applyNumberFormat="1" applyFont="1" applyBorder="1" applyAlignment="1">
      <alignment vertical="center"/>
    </xf>
    <xf numFmtId="164" fontId="3" fillId="0" borderId="1" xfId="4" applyNumberFormat="1" applyFont="1" applyBorder="1" applyAlignment="1">
      <alignment horizontal="center" vertical="center"/>
    </xf>
    <xf numFmtId="164" fontId="3" fillId="0" borderId="0" xfId="4" applyNumberFormat="1" applyFont="1" applyBorder="1" applyAlignment="1">
      <alignment vertical="center"/>
    </xf>
    <xf numFmtId="164" fontId="9" fillId="0" borderId="0" xfId="4" applyNumberFormat="1" applyFont="1" applyAlignment="1">
      <alignment vertical="center"/>
    </xf>
    <xf numFmtId="169" fontId="9" fillId="0" borderId="0" xfId="4" applyNumberFormat="1" applyFont="1" applyAlignment="1">
      <alignment horizontal="centerContinuous" vertical="center"/>
    </xf>
    <xf numFmtId="169" fontId="9" fillId="0" borderId="0" xfId="4" applyNumberFormat="1" applyFont="1" applyAlignment="1">
      <alignment horizontal="center" vertical="center"/>
    </xf>
    <xf numFmtId="169" fontId="9" fillId="0" borderId="0" xfId="4" applyNumberFormat="1" applyFont="1" applyAlignment="1">
      <alignment vertical="center"/>
    </xf>
    <xf numFmtId="164" fontId="13" fillId="0" borderId="0" xfId="4" applyNumberFormat="1" applyFont="1" applyBorder="1" applyAlignment="1">
      <alignment vertical="center"/>
    </xf>
    <xf numFmtId="164" fontId="9" fillId="0" borderId="0" xfId="4" applyNumberFormat="1" applyFont="1" applyBorder="1" applyAlignment="1">
      <alignment vertical="center"/>
    </xf>
    <xf numFmtId="164" fontId="9" fillId="0" borderId="0" xfId="4" applyNumberFormat="1" applyFont="1" applyAlignment="1">
      <alignment horizontal="center" vertical="center"/>
    </xf>
    <xf numFmtId="164" fontId="9" fillId="0" borderId="0" xfId="4" applyNumberFormat="1" applyFont="1" applyBorder="1" applyAlignment="1">
      <alignment horizontal="center" vertical="center"/>
    </xf>
    <xf numFmtId="164" fontId="9" fillId="0" borderId="0" xfId="4" applyNumberFormat="1" applyFont="1" applyBorder="1" applyAlignment="1">
      <alignment horizontal="centerContinuous" vertical="center"/>
    </xf>
    <xf numFmtId="164" fontId="9" fillId="0" borderId="0" xfId="4" applyNumberFormat="1" applyFont="1" applyAlignment="1">
      <alignment horizontal="centerContinuous" vertical="center"/>
    </xf>
    <xf numFmtId="164" fontId="9" fillId="0" borderId="1" xfId="4" applyNumberFormat="1" applyFont="1" applyBorder="1" applyAlignment="1">
      <alignment horizontal="center" vertical="center"/>
    </xf>
    <xf numFmtId="164" fontId="9" fillId="0" borderId="1" xfId="4" applyNumberFormat="1" applyFont="1" applyBorder="1" applyAlignment="1">
      <alignment vertical="center"/>
    </xf>
    <xf numFmtId="164" fontId="9" fillId="0" borderId="1" xfId="4" applyNumberFormat="1" applyFont="1" applyBorder="1" applyAlignment="1">
      <alignment horizontal="centerContinuous" vertical="center"/>
    </xf>
    <xf numFmtId="0" fontId="3" fillId="0" borderId="0" xfId="18" applyFont="1" applyAlignment="1">
      <alignment horizontal="center" vertical="center"/>
    </xf>
    <xf numFmtId="7" fontId="3" fillId="0" borderId="0" xfId="14" applyNumberFormat="1" applyFont="1" applyAlignment="1">
      <alignment vertical="center"/>
    </xf>
    <xf numFmtId="0" fontId="3" fillId="0" borderId="0" xfId="4" applyNumberFormat="1" applyFont="1" applyAlignment="1">
      <alignment horizontal="left" vertical="center"/>
    </xf>
    <xf numFmtId="175" fontId="3" fillId="0" borderId="0" xfId="4" applyNumberFormat="1" applyFont="1" applyAlignment="1">
      <alignment vertical="center"/>
    </xf>
    <xf numFmtId="164" fontId="33" fillId="0" borderId="0" xfId="4" applyNumberFormat="1" applyFont="1" applyAlignment="1">
      <alignment vertical="center"/>
    </xf>
    <xf numFmtId="176" fontId="33" fillId="0" borderId="0" xfId="14" applyNumberFormat="1" applyFont="1" applyAlignment="1">
      <alignment vertical="center"/>
    </xf>
    <xf numFmtId="5" fontId="3" fillId="0" borderId="3" xfId="14" applyNumberFormat="1" applyFont="1" applyBorder="1" applyAlignment="1">
      <alignment vertical="center"/>
    </xf>
    <xf numFmtId="164" fontId="3" fillId="0" borderId="2" xfId="4" applyNumberFormat="1" applyFont="1" applyBorder="1" applyAlignment="1">
      <alignment vertical="center"/>
    </xf>
    <xf numFmtId="169" fontId="9" fillId="0" borderId="2" xfId="4" applyNumberFormat="1" applyFont="1" applyBorder="1" applyAlignment="1">
      <alignment horizontal="centerContinuous" vertical="center"/>
    </xf>
    <xf numFmtId="164" fontId="9" fillId="0" borderId="2" xfId="4" applyNumberFormat="1" applyFont="1" applyBorder="1" applyAlignment="1">
      <alignment vertical="center"/>
    </xf>
    <xf numFmtId="169" fontId="9" fillId="0" borderId="2" xfId="4" applyNumberFormat="1" applyFont="1" applyBorder="1" applyAlignment="1">
      <alignment horizontal="center" vertical="center"/>
    </xf>
    <xf numFmtId="169" fontId="9" fillId="0" borderId="2" xfId="4" applyNumberFormat="1" applyFont="1" applyBorder="1" applyAlignment="1">
      <alignment vertical="center"/>
    </xf>
    <xf numFmtId="164" fontId="3" fillId="0" borderId="0" xfId="4" quotePrefix="1" applyNumberFormat="1" applyFont="1" applyBorder="1" applyAlignment="1">
      <alignment horizontal="center" vertical="center"/>
    </xf>
    <xf numFmtId="164" fontId="3" fillId="0" borderId="0" xfId="4" applyNumberFormat="1" applyFont="1" applyAlignment="1">
      <alignment horizontal="center" vertical="center"/>
    </xf>
    <xf numFmtId="164" fontId="3" fillId="0" borderId="0" xfId="4" applyNumberFormat="1" applyFont="1" applyBorder="1" applyAlignment="1">
      <alignment horizontal="center" vertical="center"/>
    </xf>
    <xf numFmtId="164" fontId="3" fillId="0" borderId="1" xfId="4" applyNumberFormat="1" applyFont="1" applyBorder="1" applyAlignment="1">
      <alignment horizontal="centerContinuous" vertical="center"/>
    </xf>
    <xf numFmtId="176" fontId="3" fillId="0" borderId="0" xfId="14" applyNumberFormat="1" applyFont="1" applyAlignment="1">
      <alignment vertical="center"/>
    </xf>
    <xf numFmtId="43" fontId="3" fillId="0" borderId="0" xfId="4" applyFont="1" applyAlignment="1">
      <alignment vertical="center"/>
    </xf>
    <xf numFmtId="176" fontId="3" fillId="0" borderId="3" xfId="14" applyNumberFormat="1" applyFont="1" applyBorder="1" applyAlignment="1">
      <alignment vertical="center"/>
    </xf>
    <xf numFmtId="44" fontId="3" fillId="0" borderId="3" xfId="14" applyFont="1" applyBorder="1" applyAlignment="1">
      <alignment vertical="center"/>
    </xf>
    <xf numFmtId="164" fontId="34" fillId="0" borderId="0" xfId="4" applyNumberFormat="1" applyFont="1" applyFill="1" applyAlignment="1">
      <alignment vertical="center"/>
    </xf>
    <xf numFmtId="0" fontId="31" fillId="5" borderId="0" xfId="18" applyFont="1" applyFill="1" applyAlignment="1">
      <alignment vertical="center"/>
    </xf>
    <xf numFmtId="0" fontId="31" fillId="0" borderId="0" xfId="18" applyFont="1" applyAlignment="1">
      <alignment vertical="center"/>
    </xf>
    <xf numFmtId="0" fontId="3" fillId="5" borderId="0" xfId="18" applyFont="1" applyFill="1" applyAlignment="1">
      <alignment vertical="center"/>
    </xf>
    <xf numFmtId="0" fontId="3" fillId="0" borderId="0" xfId="18" applyFont="1" applyAlignment="1">
      <alignment vertical="center"/>
    </xf>
    <xf numFmtId="0" fontId="12" fillId="5" borderId="0" xfId="18" applyFont="1" applyFill="1" applyAlignment="1">
      <alignment vertical="center"/>
    </xf>
    <xf numFmtId="0" fontId="12" fillId="0" borderId="0" xfId="18" applyFont="1" applyAlignment="1">
      <alignment vertical="center"/>
    </xf>
    <xf numFmtId="0" fontId="9" fillId="0" borderId="2" xfId="18" applyFont="1" applyBorder="1" applyAlignment="1">
      <alignment vertical="center"/>
    </xf>
    <xf numFmtId="169" fontId="9" fillId="0" borderId="2" xfId="18" applyNumberFormat="1" applyFont="1" applyBorder="1" applyAlignment="1">
      <alignment horizontal="centerContinuous" vertical="center"/>
    </xf>
    <xf numFmtId="169" fontId="9" fillId="0" borderId="2" xfId="18" applyNumberFormat="1" applyFont="1" applyBorder="1" applyAlignment="1">
      <alignment vertical="center"/>
    </xf>
    <xf numFmtId="169" fontId="9" fillId="0" borderId="2" xfId="18" applyNumberFormat="1" applyFont="1" applyBorder="1" applyAlignment="1">
      <alignment horizontal="center" vertical="center"/>
    </xf>
    <xf numFmtId="0" fontId="9" fillId="0" borderId="1" xfId="18" applyFont="1" applyBorder="1" applyAlignment="1">
      <alignment horizontal="center" vertical="center"/>
    </xf>
    <xf numFmtId="0" fontId="9" fillId="0" borderId="1" xfId="18" applyFont="1" applyBorder="1" applyAlignment="1">
      <alignment vertical="center"/>
    </xf>
    <xf numFmtId="0" fontId="9" fillId="0" borderId="1" xfId="18" applyFont="1" applyBorder="1" applyAlignment="1">
      <alignment horizontal="centerContinuous" vertical="center"/>
    </xf>
    <xf numFmtId="0" fontId="3" fillId="0" borderId="0" xfId="18" applyFont="1" applyAlignment="1">
      <alignment horizontal="centerContinuous" vertical="center"/>
    </xf>
    <xf numFmtId="0" fontId="11" fillId="0" borderId="0" xfId="18" applyFont="1" applyAlignment="1">
      <alignment vertical="center"/>
    </xf>
    <xf numFmtId="0" fontId="3" fillId="0" borderId="0" xfId="18" quotePrefix="1" applyFont="1" applyAlignment="1">
      <alignment vertical="center"/>
    </xf>
    <xf numFmtId="7" fontId="3" fillId="0" borderId="0" xfId="14" applyNumberFormat="1" applyFont="1" applyFill="1" applyAlignment="1">
      <alignment vertical="center"/>
    </xf>
    <xf numFmtId="7" fontId="3" fillId="0" borderId="0" xfId="18" applyNumberFormat="1" applyFont="1" applyAlignment="1">
      <alignment vertical="center"/>
    </xf>
    <xf numFmtId="168" fontId="3" fillId="0" borderId="0" xfId="18" applyNumberFormat="1" applyFont="1" applyAlignment="1">
      <alignment vertical="center"/>
    </xf>
    <xf numFmtId="168" fontId="33" fillId="0" borderId="0" xfId="18" applyNumberFormat="1" applyFont="1" applyAlignment="1">
      <alignment vertical="center"/>
    </xf>
    <xf numFmtId="168" fontId="3" fillId="0" borderId="0" xfId="14" applyNumberFormat="1" applyFont="1" applyFill="1" applyAlignment="1">
      <alignment vertical="center"/>
    </xf>
    <xf numFmtId="43" fontId="3" fillId="0" borderId="0" xfId="7" applyFont="1" applyFill="1" applyProtection="1">
      <protection locked="0"/>
    </xf>
    <xf numFmtId="165" fontId="3" fillId="0" borderId="0" xfId="18" applyNumberFormat="1" applyFont="1" applyAlignment="1">
      <alignment vertical="center"/>
    </xf>
    <xf numFmtId="1" fontId="3" fillId="0" borderId="0" xfId="6" applyNumberFormat="1" applyFont="1"/>
    <xf numFmtId="177" fontId="3" fillId="0" borderId="0" xfId="18" applyNumberFormat="1" applyFont="1" applyAlignment="1">
      <alignment vertical="center"/>
    </xf>
    <xf numFmtId="166" fontId="3" fillId="0" borderId="0" xfId="7" applyNumberFormat="1" applyFont="1" applyFill="1"/>
    <xf numFmtId="0" fontId="31" fillId="5" borderId="0" xfId="13" applyFont="1" applyFill="1" applyAlignment="1">
      <alignment vertical="center"/>
    </xf>
    <xf numFmtId="164" fontId="32" fillId="3" borderId="0" xfId="4" applyNumberFormat="1" applyFont="1" applyFill="1" applyAlignment="1">
      <alignment horizontal="centerContinuous"/>
    </xf>
    <xf numFmtId="0" fontId="31" fillId="0" borderId="0" xfId="13" applyFont="1" applyAlignment="1">
      <alignment vertical="center"/>
    </xf>
    <xf numFmtId="164" fontId="13" fillId="0" borderId="0" xfId="4" applyNumberFormat="1" applyFont="1" applyAlignment="1">
      <alignment horizontal="centerContinuous" vertical="center"/>
    </xf>
    <xf numFmtId="169" fontId="9" fillId="0" borderId="2" xfId="13" applyNumberFormat="1" applyFont="1" applyBorder="1" applyAlignment="1">
      <alignment horizontal="centerContinuous" vertical="center"/>
    </xf>
    <xf numFmtId="0" fontId="9" fillId="0" borderId="2" xfId="13" applyFont="1" applyBorder="1" applyAlignment="1">
      <alignment horizontal="centerContinuous" vertical="center"/>
    </xf>
    <xf numFmtId="0" fontId="3" fillId="0" borderId="2" xfId="13" applyFont="1" applyBorder="1" applyAlignment="1">
      <alignment vertical="center"/>
    </xf>
    <xf numFmtId="0" fontId="9" fillId="0" borderId="1" xfId="8" applyFont="1" applyBorder="1" applyAlignment="1">
      <alignment horizontal="center"/>
    </xf>
    <xf numFmtId="164" fontId="3" fillId="0" borderId="3" xfId="4" applyNumberFormat="1" applyFont="1" applyBorder="1" applyAlignment="1">
      <alignment vertical="center"/>
    </xf>
    <xf numFmtId="0" fontId="11" fillId="0" borderId="0" xfId="8" applyFont="1" applyAlignment="1">
      <alignment vertical="center"/>
    </xf>
    <xf numFmtId="7" fontId="3" fillId="0" borderId="3" xfId="13" applyNumberFormat="1" applyFont="1" applyBorder="1" applyAlignment="1">
      <alignment vertical="center"/>
    </xf>
    <xf numFmtId="0" fontId="9" fillId="0" borderId="0" xfId="8" applyFont="1" applyAlignment="1">
      <alignment horizontal="center" vertical="center"/>
    </xf>
    <xf numFmtId="5" fontId="3" fillId="0" borderId="0" xfId="4" applyNumberFormat="1" applyFont="1" applyFill="1" applyAlignment="1">
      <alignment vertical="center"/>
    </xf>
    <xf numFmtId="171" fontId="3" fillId="0" borderId="0" xfId="4" applyNumberFormat="1" applyFont="1" applyFill="1" applyAlignment="1">
      <alignment vertical="center"/>
    </xf>
    <xf numFmtId="171" fontId="3" fillId="0" borderId="0" xfId="4" applyNumberFormat="1" applyFont="1" applyAlignment="1">
      <alignment vertical="center"/>
    </xf>
    <xf numFmtId="44" fontId="3" fillId="0" borderId="0" xfId="13" applyNumberFormat="1" applyFont="1" applyAlignment="1">
      <alignment horizontal="right" vertical="center"/>
    </xf>
    <xf numFmtId="7" fontId="3" fillId="0" borderId="2" xfId="13" applyNumberFormat="1" applyFont="1" applyBorder="1" applyAlignment="1">
      <alignment vertical="center"/>
    </xf>
    <xf numFmtId="7" fontId="3" fillId="0" borderId="0" xfId="13" applyNumberFormat="1" applyFont="1" applyAlignment="1">
      <alignment horizontal="right" vertical="center"/>
    </xf>
    <xf numFmtId="0" fontId="3" fillId="0" borderId="0" xfId="13" applyFont="1" applyAlignment="1">
      <alignment horizontal="right" vertical="center"/>
    </xf>
    <xf numFmtId="44" fontId="3" fillId="0" borderId="0" xfId="13" applyNumberFormat="1" applyFont="1" applyAlignment="1">
      <alignment horizontal="center" vertical="center"/>
    </xf>
    <xf numFmtId="44" fontId="8" fillId="0" borderId="0" xfId="13" applyNumberFormat="1" applyFont="1" applyAlignment="1">
      <alignment vertical="center"/>
    </xf>
    <xf numFmtId="0" fontId="35" fillId="0" borderId="0" xfId="13" applyFont="1" applyAlignment="1">
      <alignment vertical="center"/>
    </xf>
    <xf numFmtId="0" fontId="3" fillId="0" borderId="0" xfId="13" quotePrefix="1" applyFont="1" applyAlignment="1">
      <alignment vertical="center"/>
    </xf>
    <xf numFmtId="169" fontId="9" fillId="0" borderId="2" xfId="13" applyNumberFormat="1" applyFont="1" applyBorder="1" applyAlignment="1">
      <alignment horizontal="center" vertical="center"/>
    </xf>
    <xf numFmtId="164" fontId="13" fillId="0" borderId="0" xfId="4" applyNumberFormat="1" applyFont="1" applyAlignment="1">
      <alignment horizontal="center" vertical="center"/>
    </xf>
    <xf numFmtId="0" fontId="34" fillId="3" borderId="0" xfId="6" applyFont="1" applyFill="1" applyAlignment="1">
      <alignment horizontal="centerContinuous"/>
    </xf>
    <xf numFmtId="10" fontId="34" fillId="3" borderId="0" xfId="12" applyNumberFormat="1" applyFont="1" applyFill="1" applyAlignment="1">
      <alignment horizontal="centerContinuous"/>
    </xf>
    <xf numFmtId="0" fontId="3" fillId="5" borderId="0" xfId="8" applyFont="1" applyFill="1"/>
    <xf numFmtId="0" fontId="34" fillId="0" borderId="0" xfId="8" applyFont="1"/>
    <xf numFmtId="10" fontId="34" fillId="0" borderId="0" xfId="12" applyNumberFormat="1" applyFont="1"/>
    <xf numFmtId="0" fontId="34" fillId="0" borderId="0" xfId="0" applyFont="1"/>
    <xf numFmtId="0" fontId="34" fillId="0" borderId="0" xfId="8" applyFont="1" applyAlignment="1">
      <alignment horizontal="centerContinuous"/>
    </xf>
    <xf numFmtId="10" fontId="34" fillId="0" borderId="0" xfId="12" applyNumberFormat="1" applyFont="1" applyAlignment="1">
      <alignment horizontal="centerContinuous"/>
    </xf>
    <xf numFmtId="0" fontId="34" fillId="0" borderId="0" xfId="8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" fillId="12" borderId="0" xfId="8" applyFont="1" applyFill="1"/>
    <xf numFmtId="0" fontId="34" fillId="0" borderId="1" xfId="8" applyFont="1" applyBorder="1" applyAlignment="1">
      <alignment horizontal="center"/>
    </xf>
    <xf numFmtId="10" fontId="34" fillId="0" borderId="1" xfId="12" applyNumberFormat="1" applyFont="1" applyBorder="1" applyAlignment="1">
      <alignment horizontal="center"/>
    </xf>
    <xf numFmtId="0" fontId="3" fillId="12" borderId="0" xfId="8" applyFont="1" applyFill="1" applyAlignment="1">
      <alignment horizontal="left"/>
    </xf>
    <xf numFmtId="43" fontId="34" fillId="0" borderId="0" xfId="8" applyNumberFormat="1" applyFont="1"/>
    <xf numFmtId="164" fontId="34" fillId="0" borderId="0" xfId="7" applyNumberFormat="1" applyFont="1"/>
    <xf numFmtId="164" fontId="34" fillId="0" borderId="0" xfId="7" applyNumberFormat="1" applyFont="1" applyAlignment="1">
      <alignment vertical="center"/>
    </xf>
    <xf numFmtId="164" fontId="34" fillId="0" borderId="0" xfId="8" applyNumberFormat="1" applyFont="1"/>
    <xf numFmtId="14" fontId="36" fillId="12" borderId="0" xfId="8" applyNumberFormat="1" applyFont="1" applyFill="1" applyAlignment="1">
      <alignment horizontal="left"/>
    </xf>
    <xf numFmtId="0" fontId="34" fillId="4" borderId="0" xfId="8" applyFont="1" applyFill="1"/>
    <xf numFmtId="10" fontId="34" fillId="4" borderId="0" xfId="12" applyNumberFormat="1" applyFont="1" applyFill="1"/>
    <xf numFmtId="164" fontId="34" fillId="4" borderId="0" xfId="7" applyNumberFormat="1" applyFont="1" applyFill="1"/>
    <xf numFmtId="164" fontId="34" fillId="4" borderId="3" xfId="7" applyNumberFormat="1" applyFont="1" applyFill="1" applyBorder="1"/>
    <xf numFmtId="0" fontId="34" fillId="12" borderId="0" xfId="8" applyFont="1" applyFill="1" applyAlignment="1">
      <alignment horizontal="right"/>
    </xf>
    <xf numFmtId="164" fontId="34" fillId="12" borderId="0" xfId="7" applyNumberFormat="1" applyFont="1" applyFill="1"/>
    <xf numFmtId="167" fontId="34" fillId="0" borderId="0" xfId="8" applyNumberFormat="1" applyFont="1"/>
    <xf numFmtId="10" fontId="34" fillId="0" borderId="0" xfId="8" applyNumberFormat="1" applyFont="1"/>
    <xf numFmtId="7" fontId="34" fillId="0" borderId="0" xfId="8" applyNumberFormat="1" applyFont="1"/>
    <xf numFmtId="164" fontId="34" fillId="0" borderId="0" xfId="7" applyNumberFormat="1" applyFont="1" applyAlignment="1">
      <alignment horizontal="right" vertical="center"/>
    </xf>
    <xf numFmtId="10" fontId="34" fillId="0" borderId="0" xfId="12" applyNumberFormat="1" applyFont="1" applyFill="1"/>
    <xf numFmtId="164" fontId="34" fillId="0" borderId="0" xfId="7" applyNumberFormat="1" applyFont="1" applyFill="1"/>
    <xf numFmtId="164" fontId="34" fillId="0" borderId="0" xfId="7" applyNumberFormat="1" applyFont="1" applyFill="1" applyAlignment="1">
      <alignment horizontal="right" vertical="center"/>
    </xf>
    <xf numFmtId="164" fontId="34" fillId="0" borderId="0" xfId="7" applyNumberFormat="1" applyFont="1" applyAlignment="1">
      <alignment horizontal="right"/>
    </xf>
    <xf numFmtId="43" fontId="34" fillId="0" borderId="0" xfId="4" applyFont="1" applyAlignment="1">
      <alignment horizontal="right"/>
    </xf>
    <xf numFmtId="168" fontId="34" fillId="0" borderId="0" xfId="8" applyNumberFormat="1" applyFont="1"/>
    <xf numFmtId="0" fontId="27" fillId="10" borderId="7" xfId="17"/>
    <xf numFmtId="0" fontId="37" fillId="0" borderId="0" xfId="0" applyFont="1"/>
    <xf numFmtId="0" fontId="38" fillId="0" borderId="0" xfId="0" applyFont="1"/>
    <xf numFmtId="164" fontId="22" fillId="11" borderId="8" xfId="1" applyNumberFormat="1" applyFont="1" applyFill="1" applyBorder="1" applyAlignment="1">
      <alignment horizontal="right" vertical="top"/>
    </xf>
    <xf numFmtId="0" fontId="39" fillId="0" borderId="0" xfId="0" applyFont="1"/>
    <xf numFmtId="170" fontId="22" fillId="11" borderId="8" xfId="2" applyNumberFormat="1" applyFont="1" applyFill="1" applyBorder="1" applyAlignment="1">
      <alignment vertical="top"/>
    </xf>
    <xf numFmtId="0" fontId="40" fillId="0" borderId="0" xfId="0" applyFont="1"/>
    <xf numFmtId="164" fontId="38" fillId="0" borderId="0" xfId="0" applyNumberFormat="1" applyFont="1"/>
    <xf numFmtId="171" fontId="22" fillId="11" borderId="8" xfId="1" applyNumberFormat="1" applyFont="1" applyFill="1" applyBorder="1" applyAlignment="1">
      <alignment vertical="top"/>
    </xf>
    <xf numFmtId="0" fontId="41" fillId="0" borderId="0" xfId="0" applyFont="1"/>
    <xf numFmtId="173" fontId="28" fillId="8" borderId="8" xfId="16" applyNumberFormat="1" applyFont="1" applyAlignment="1">
      <alignment vertical="top"/>
    </xf>
    <xf numFmtId="166" fontId="1" fillId="0" borderId="0" xfId="1" applyNumberFormat="1" applyFont="1" applyBorder="1" applyAlignment="1"/>
    <xf numFmtId="171" fontId="28" fillId="8" borderId="8" xfId="16" applyNumberFormat="1" applyFont="1" applyAlignment="1">
      <alignment vertical="top"/>
    </xf>
    <xf numFmtId="164" fontId="22" fillId="11" borderId="10" xfId="1" applyNumberFormat="1" applyFont="1" applyFill="1" applyBorder="1" applyAlignment="1">
      <alignment vertical="top"/>
    </xf>
    <xf numFmtId="164" fontId="28" fillId="8" borderId="10" xfId="16" applyNumberFormat="1" applyFont="1" applyBorder="1" applyAlignment="1">
      <alignment vertical="top"/>
    </xf>
    <xf numFmtId="178" fontId="1" fillId="0" borderId="0" xfId="0" applyNumberFormat="1" applyFont="1"/>
    <xf numFmtId="164" fontId="13" fillId="0" borderId="0" xfId="4" applyNumberFormat="1" applyFont="1" applyBorder="1" applyAlignment="1">
      <alignment horizontal="centerContinuous" vertical="center"/>
    </xf>
    <xf numFmtId="164" fontId="13" fillId="0" borderId="0" xfId="4" applyNumberFormat="1" applyFont="1" applyFill="1" applyBorder="1" applyAlignment="1">
      <alignment horizontal="centerContinuous" vertical="center"/>
    </xf>
    <xf numFmtId="164" fontId="12" fillId="0" borderId="0" xfId="4" applyNumberFormat="1" applyFont="1" applyFill="1" applyBorder="1" applyAlignment="1">
      <alignment horizontal="centerContinuous" vertical="center"/>
    </xf>
    <xf numFmtId="0" fontId="3" fillId="0" borderId="1" xfId="13" applyFont="1" applyBorder="1" applyAlignment="1">
      <alignment horizontal="center" vertical="center"/>
    </xf>
    <xf numFmtId="0" fontId="33" fillId="0" borderId="0" xfId="13" applyFont="1" applyAlignment="1">
      <alignment vertical="center"/>
    </xf>
    <xf numFmtId="44" fontId="3" fillId="0" borderId="11" xfId="14" applyFont="1" applyBorder="1" applyAlignment="1">
      <alignment vertical="center"/>
    </xf>
    <xf numFmtId="167" fontId="3" fillId="0" borderId="0" xfId="10" applyNumberFormat="1" applyFont="1" applyAlignment="1">
      <alignment vertical="center"/>
    </xf>
    <xf numFmtId="9" fontId="8" fillId="0" borderId="0" xfId="10" applyFont="1" applyAlignment="1">
      <alignment vertical="center"/>
    </xf>
    <xf numFmtId="9" fontId="3" fillId="0" borderId="0" xfId="10" applyFont="1" applyAlignment="1">
      <alignment vertical="center"/>
    </xf>
    <xf numFmtId="179" fontId="3" fillId="0" borderId="11" xfId="13" applyNumberFormat="1" applyFont="1" applyBorder="1" applyAlignment="1">
      <alignment vertical="center"/>
    </xf>
    <xf numFmtId="179" fontId="3" fillId="0" borderId="0" xfId="13" applyNumberFormat="1" applyFont="1" applyAlignment="1">
      <alignment vertical="center"/>
    </xf>
    <xf numFmtId="0" fontId="31" fillId="5" borderId="0" xfId="13" applyFont="1" applyFill="1"/>
    <xf numFmtId="0" fontId="31" fillId="0" borderId="0" xfId="13" applyFont="1"/>
    <xf numFmtId="0" fontId="3" fillId="5" borderId="0" xfId="13" applyFont="1" applyFill="1"/>
    <xf numFmtId="0" fontId="5" fillId="2" borderId="0" xfId="5"/>
    <xf numFmtId="0" fontId="9" fillId="13" borderId="0" xfId="9" applyFont="1" applyFill="1" applyAlignment="1">
      <alignment horizontal="right" vertical="center"/>
    </xf>
    <xf numFmtId="0" fontId="9" fillId="13" borderId="0" xfId="9" applyFont="1" applyFill="1" applyAlignment="1">
      <alignment horizontal="right"/>
    </xf>
    <xf numFmtId="0" fontId="9" fillId="13" borderId="0" xfId="8" applyFont="1" applyFill="1" applyAlignment="1">
      <alignment horizontal="right"/>
    </xf>
    <xf numFmtId="0" fontId="16" fillId="13" borderId="1" xfId="13" applyFont="1" applyFill="1" applyBorder="1" applyAlignment="1">
      <alignment vertical="center"/>
    </xf>
    <xf numFmtId="0" fontId="12" fillId="13" borderId="0" xfId="13" applyFont="1" applyFill="1" applyAlignment="1">
      <alignment horizontal="centerContinuous" vertical="center"/>
    </xf>
    <xf numFmtId="0" fontId="12" fillId="13" borderId="0" xfId="5" applyFont="1" applyFill="1"/>
    <xf numFmtId="176" fontId="5" fillId="13" borderId="0" xfId="5" applyNumberFormat="1" applyFill="1"/>
    <xf numFmtId="176" fontId="42" fillId="13" borderId="0" xfId="5" applyNumberFormat="1" applyFont="1" applyFill="1"/>
    <xf numFmtId="0" fontId="12" fillId="2" borderId="0" xfId="5" applyFont="1"/>
    <xf numFmtId="0" fontId="12" fillId="5" borderId="0" xfId="13" applyFont="1" applyFill="1"/>
    <xf numFmtId="0" fontId="15" fillId="13" borderId="4" xfId="8" applyFont="1" applyFill="1" applyBorder="1" applyAlignment="1">
      <alignment horizontal="center"/>
    </xf>
    <xf numFmtId="0" fontId="3" fillId="13" borderId="4" xfId="8" applyFont="1" applyFill="1" applyBorder="1"/>
    <xf numFmtId="43" fontId="3" fillId="0" borderId="4" xfId="7" applyFont="1" applyFill="1" applyBorder="1" applyAlignment="1">
      <alignment horizontal="center"/>
    </xf>
    <xf numFmtId="166" fontId="3" fillId="0" borderId="4" xfId="7" applyNumberFormat="1" applyFont="1" applyFill="1" applyBorder="1" applyAlignment="1">
      <alignment horizontal="center"/>
    </xf>
    <xf numFmtId="0" fontId="3" fillId="13" borderId="0" xfId="8" applyFont="1" applyFill="1"/>
    <xf numFmtId="178" fontId="0" fillId="0" borderId="0" xfId="0" applyNumberFormat="1"/>
    <xf numFmtId="166" fontId="3" fillId="13" borderId="4" xfId="7" applyNumberFormat="1" applyFont="1" applyFill="1" applyBorder="1" applyAlignment="1">
      <alignment horizontal="center"/>
    </xf>
    <xf numFmtId="43" fontId="3" fillId="13" borderId="4" xfId="7" applyFont="1" applyFill="1" applyBorder="1" applyAlignment="1">
      <alignment horizontal="center"/>
    </xf>
    <xf numFmtId="0" fontId="43" fillId="10" borderId="7" xfId="17" applyFont="1"/>
    <xf numFmtId="164" fontId="44" fillId="11" borderId="8" xfId="1" applyNumberFormat="1" applyFont="1" applyFill="1" applyBorder="1" applyAlignment="1">
      <alignment vertical="top"/>
    </xf>
    <xf numFmtId="164" fontId="45" fillId="8" borderId="8" xfId="16" applyNumberFormat="1" applyFont="1" applyAlignment="1">
      <alignment vertical="top"/>
    </xf>
    <xf numFmtId="164" fontId="44" fillId="11" borderId="8" xfId="1" applyNumberFormat="1" applyFont="1" applyFill="1" applyBorder="1" applyAlignment="1">
      <alignment horizontal="right" vertical="top"/>
    </xf>
    <xf numFmtId="170" fontId="44" fillId="11" borderId="8" xfId="2" applyNumberFormat="1" applyFont="1" applyFill="1" applyBorder="1" applyAlignment="1">
      <alignment vertical="top"/>
    </xf>
    <xf numFmtId="171" fontId="44" fillId="11" borderId="8" xfId="1" applyNumberFormat="1" applyFont="1" applyFill="1" applyBorder="1" applyAlignment="1">
      <alignment vertical="top"/>
    </xf>
    <xf numFmtId="173" fontId="45" fillId="8" borderId="8" xfId="16" applyNumberFormat="1" applyFont="1" applyAlignment="1">
      <alignment vertical="top"/>
    </xf>
    <xf numFmtId="171" fontId="45" fillId="8" borderId="8" xfId="16" applyNumberFormat="1" applyFont="1" applyAlignment="1">
      <alignment vertical="top"/>
    </xf>
    <xf numFmtId="164" fontId="44" fillId="11" borderId="10" xfId="1" applyNumberFormat="1" applyFont="1" applyFill="1" applyBorder="1" applyAlignment="1">
      <alignment vertical="top"/>
    </xf>
    <xf numFmtId="164" fontId="45" fillId="8" borderId="10" xfId="16" applyNumberFormat="1" applyFont="1" applyBorder="1" applyAlignment="1">
      <alignment vertical="top"/>
    </xf>
    <xf numFmtId="0" fontId="18" fillId="0" borderId="2" xfId="6" quotePrefix="1" applyFont="1" applyBorder="1" applyAlignment="1">
      <alignment horizontal="center" vertical="center"/>
    </xf>
    <xf numFmtId="169" fontId="9" fillId="0" borderId="2" xfId="13" applyNumberFormat="1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6" fillId="4" borderId="0" xfId="3" applyFont="1" applyFill="1" applyAlignment="1">
      <alignment horizontal="center"/>
    </xf>
    <xf numFmtId="0" fontId="7" fillId="3" borderId="0" xfId="6" applyFont="1" applyFill="1" applyAlignment="1">
      <alignment horizontal="center"/>
    </xf>
    <xf numFmtId="0" fontId="16" fillId="13" borderId="1" xfId="13" applyFont="1" applyFill="1" applyBorder="1" applyAlignment="1">
      <alignment horizontal="center" vertical="center"/>
    </xf>
    <xf numFmtId="0" fontId="3" fillId="13" borderId="0" xfId="8" applyFont="1" applyFill="1" applyAlignment="1">
      <alignment wrapText="1"/>
    </xf>
  </cellXfs>
  <cellStyles count="19">
    <cellStyle name="Comma" xfId="1" builtinId="3"/>
    <cellStyle name="Comma 10" xfId="7" xr:uid="{0ED0AC4F-5BF8-4DE4-8C67-CC3B55728127}"/>
    <cellStyle name="Comma 2" xfId="4" xr:uid="{476821A5-DAD5-4D97-8F3E-B9B75F4DDA86}"/>
    <cellStyle name="Currency 2" xfId="14" xr:uid="{113417CA-2E43-4627-9300-7782EFA543E4}"/>
    <cellStyle name="Heading 3 2 2" xfId="17" xr:uid="{AF37D1E1-23E2-4209-87FB-45AAEB825D23}"/>
    <cellStyle name="N_Calc3" xfId="16" xr:uid="{4898155D-6214-47AC-905B-885854843998}"/>
    <cellStyle name="Normal" xfId="0" builtinId="0"/>
    <cellStyle name="Normal 2" xfId="6" xr:uid="{A49AF435-7E81-4FB8-B8C2-0C94EF5DFE91}"/>
    <cellStyle name="Normal 33" xfId="15" xr:uid="{14AFDDF9-B9F4-4AE3-8D76-6E2CA1C3FD3D}"/>
    <cellStyle name="Normal 4" xfId="5" xr:uid="{5581D1CF-D690-4417-8706-4B5FBAED161B}"/>
    <cellStyle name="Normal 8" xfId="8" xr:uid="{A45FC36A-7AA7-40A2-B1AC-5534911AD6B6}"/>
    <cellStyle name="Normal 9 2" xfId="3" xr:uid="{4AF34B03-6DF5-404B-89A5-C5883B63B6EB}"/>
    <cellStyle name="Normal_e17_supplement" xfId="11" xr:uid="{DEB2D2D1-CA49-4860-B8C0-47E8E0ADBB65}"/>
    <cellStyle name="Normal_e17_supplement 2" xfId="18" xr:uid="{E101A1C7-611D-4D9E-A3A6-7CC3FD895B8E}"/>
    <cellStyle name="Normal_e17_supplement_b" xfId="9" xr:uid="{1C50E449-DAE2-4972-A132-914BF18525D2}"/>
    <cellStyle name="Normal_e17_supplement_b 2 2" xfId="13" xr:uid="{1444EFB8-59F3-4BC3-8265-46E091EB396A}"/>
    <cellStyle name="Percent" xfId="2" builtinId="5"/>
    <cellStyle name="Percent 10" xfId="12" xr:uid="{AFB92114-C578-42CE-9674-10516C0290C4}"/>
    <cellStyle name="Percent 2" xfId="10" xr:uid="{4B33EB8E-A56F-408A-BC3C-B5E41BF60F26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02%20Rate%20Cases\2024\DEF%202024%20Settlement\Litigated%20MFR%20Files\Rate%20Design%20E-Schedules%20-%202027%20-%20Litigated%20Case%20-%20Clean.xlsx" TargetMode="External"/><Relationship Id="rId1" Type="http://schemas.openxmlformats.org/officeDocument/2006/relationships/externalLinkPath" Target="file:///A:\02%20Rate%20Cases\2024\DEF%202024%20Settlement\Litigated%20MFR%20Files\Rate%20Design%20E-Schedules%20-%202027%20-%20Litigated%20Case%20-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02%20Rate%20Cases\2024\DEF%202024%20Settlement\Litigated%20MFR%20Files\Rate%20Design%20E-Schedules%20-%202026%20-%20Litigated%20Case%20-%20Clean.xlsx" TargetMode="External"/><Relationship Id="rId1" Type="http://schemas.openxmlformats.org/officeDocument/2006/relationships/externalLinkPath" Target="file:///A:\02%20Rate%20Cases\2024\DEF%202024%20Settlement\Litigated%20MFR%20Files\Rate%20Design%20E-Schedules%20-%202026%20-%20Litigated%20Case%20-%20Cle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-1 (1A) - (2-4)"/>
      <sheetName val="MFR E-5 Yr5"/>
      <sheetName val="MFR E-6b"/>
      <sheetName val="MFR E-8"/>
      <sheetName val="E-8 (clause rev curr not filed)"/>
      <sheetName val="E-8 (clause rev forecast)"/>
      <sheetName val="Exhibit MJC-2 - Old E-8a"/>
      <sheetName val="MFR E-12"/>
      <sheetName val="MFR E-12 (2-4)"/>
      <sheetName val="Unbilled to E-13c"/>
      <sheetName val="MFR E-13a"/>
      <sheetName val="E-13c - prior to updates"/>
      <sheetName val="Exhibit MJC-3 - E-13c cal yr"/>
      <sheetName val="MFR E-13c"/>
      <sheetName val="MFR E-14"/>
      <sheetName val="MFR E-14A"/>
      <sheetName val="MFR E-14B"/>
      <sheetName val="MFR E-14C"/>
      <sheetName val="MFR E-14D1"/>
      <sheetName val="MFR E-14D2"/>
      <sheetName val="MFR E-14D3 (not filed)"/>
      <sheetName val="MFR E-14E"/>
      <sheetName val="MFR E-14G"/>
      <sheetName val="MFR E-14H"/>
      <sheetName val="BA-1 Rates Current"/>
      <sheetName val="BA-1 Rates Forecast"/>
      <sheetName val="TOU Split"/>
      <sheetName val="DVC"/>
      <sheetName val="EV Off-Pk"/>
    </sheetNames>
    <sheetDataSet>
      <sheetData sheetId="0"/>
      <sheetData sheetId="1"/>
      <sheetData sheetId="2">
        <row r="16">
          <cell r="G16">
            <v>1385949.5610230004</v>
          </cell>
          <cell r="H16">
            <v>840897.17715948494</v>
          </cell>
          <cell r="I16">
            <v>74619.524365478312</v>
          </cell>
          <cell r="K16">
            <v>393498.79936565028</v>
          </cell>
        </row>
        <row r="17">
          <cell r="G17">
            <v>261953.83268365994</v>
          </cell>
          <cell r="H17">
            <v>139519.5919316652</v>
          </cell>
          <cell r="I17">
            <v>14403.73132651481</v>
          </cell>
          <cell r="K17">
            <v>86437.522118113411</v>
          </cell>
        </row>
        <row r="18">
          <cell r="G18">
            <v>578393.75767910969</v>
          </cell>
          <cell r="H18">
            <v>365210.45444375562</v>
          </cell>
          <cell r="I18">
            <v>30924.128111129143</v>
          </cell>
          <cell r="K18">
            <v>155335.56137277465</v>
          </cell>
        </row>
        <row r="19">
          <cell r="G19">
            <v>768879.82316604187</v>
          </cell>
          <cell r="H19">
            <v>495700.40202180564</v>
          </cell>
          <cell r="I19">
            <v>44762.599196083152</v>
          </cell>
          <cell r="K19">
            <v>198168.94938214816</v>
          </cell>
        </row>
        <row r="21">
          <cell r="G21">
            <v>304365.07124131388</v>
          </cell>
          <cell r="H21">
            <v>233448.70817797538</v>
          </cell>
          <cell r="I21">
            <v>19381.114286127879</v>
          </cell>
          <cell r="K21">
            <v>43220.33896836191</v>
          </cell>
        </row>
        <row r="23">
          <cell r="G23">
            <v>57215.796205975807</v>
          </cell>
        </row>
        <row r="24">
          <cell r="G24">
            <v>93718.333320046586</v>
          </cell>
        </row>
        <row r="25">
          <cell r="G25">
            <v>516.50798868801519</v>
          </cell>
        </row>
        <row r="26">
          <cell r="G26">
            <v>118477.56806238763</v>
          </cell>
        </row>
        <row r="27">
          <cell r="G27">
            <v>221579.13432769664</v>
          </cell>
        </row>
        <row r="34">
          <cell r="H34">
            <v>22064517.351241626</v>
          </cell>
        </row>
        <row r="38">
          <cell r="H38">
            <v>20982468.502792321</v>
          </cell>
          <cell r="I38">
            <v>2219055.273830398</v>
          </cell>
          <cell r="K38">
            <v>13340883.857992882</v>
          </cell>
        </row>
        <row r="52">
          <cell r="H52">
            <v>2.267207906983379</v>
          </cell>
          <cell r="I52">
            <v>2.2672079069833782</v>
          </cell>
          <cell r="J52">
            <v>2.2672079069833786</v>
          </cell>
          <cell r="K52">
            <v>2.2671683884154166</v>
          </cell>
          <cell r="L52">
            <v>2.2672079069833799</v>
          </cell>
        </row>
        <row r="53">
          <cell r="H53">
            <v>3.4292790783419789</v>
          </cell>
          <cell r="I53">
            <v>4.8036092978037885</v>
          </cell>
          <cell r="K53">
            <v>10.814980993768907</v>
          </cell>
          <cell r="L53">
            <v>106.38563026082241</v>
          </cell>
        </row>
        <row r="54">
          <cell r="L54">
            <v>278.47556492890391</v>
          </cell>
        </row>
        <row r="55">
          <cell r="H55">
            <v>8.7465114183528279</v>
          </cell>
          <cell r="I55">
            <v>8.6913623660726351</v>
          </cell>
          <cell r="J55">
            <v>8.751506363414121</v>
          </cell>
          <cell r="K55">
            <v>9.9507389912390281</v>
          </cell>
          <cell r="L55">
            <v>96.952237697561088</v>
          </cell>
        </row>
        <row r="56">
          <cell r="J56">
            <v>14.851427100679967</v>
          </cell>
        </row>
        <row r="59">
          <cell r="J59">
            <v>6.4843104230639197</v>
          </cell>
          <cell r="T59">
            <v>6.4325670261246319</v>
          </cell>
          <cell r="U59">
            <v>6.4298801429629098</v>
          </cell>
        </row>
        <row r="66">
          <cell r="J66">
            <v>45.618410787400933</v>
          </cell>
          <cell r="T66">
            <v>45.911494994574497</v>
          </cell>
          <cell r="U66">
            <v>50.240736131819823</v>
          </cell>
        </row>
        <row r="71">
          <cell r="K71">
            <v>5.4169860922885649</v>
          </cell>
          <cell r="L71">
            <v>4.2398380302042771</v>
          </cell>
        </row>
        <row r="73">
          <cell r="K73">
            <v>21.477438642218928</v>
          </cell>
          <cell r="T73">
            <v>17.277290854623949</v>
          </cell>
          <cell r="U73">
            <v>15.773866454862395</v>
          </cell>
        </row>
      </sheetData>
      <sheetData sheetId="3"/>
      <sheetData sheetId="4"/>
      <sheetData sheetId="5"/>
      <sheetData sheetId="6">
        <row r="24">
          <cell r="V24">
            <v>1.2534990057540277E-2</v>
          </cell>
        </row>
        <row r="27">
          <cell r="V27">
            <v>5.3074265236138958E-2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7">
          <cell r="F17">
            <v>15.13</v>
          </cell>
          <cell r="J17">
            <v>22062145.335498188</v>
          </cell>
          <cell r="L17">
            <v>15.45</v>
          </cell>
        </row>
        <row r="19">
          <cell r="F19">
            <v>15.13</v>
          </cell>
          <cell r="J19">
            <v>2372.0157434354887</v>
          </cell>
          <cell r="L19">
            <v>15.45</v>
          </cell>
        </row>
        <row r="26">
          <cell r="F26">
            <v>90.85</v>
          </cell>
          <cell r="J26">
            <v>3503376.381384375</v>
          </cell>
          <cell r="L26">
            <v>95.59</v>
          </cell>
        </row>
        <row r="27">
          <cell r="F27">
            <v>105.31</v>
          </cell>
          <cell r="J27">
            <v>917951.42526270542</v>
          </cell>
          <cell r="L27">
            <v>110.19</v>
          </cell>
        </row>
        <row r="28">
          <cell r="J28">
            <v>4421327.8066470809</v>
          </cell>
        </row>
        <row r="31">
          <cell r="F31">
            <v>87.03</v>
          </cell>
          <cell r="J31">
            <v>11936975.693225868</v>
          </cell>
          <cell r="L31">
            <v>91.6</v>
          </cell>
        </row>
        <row r="32">
          <cell r="F32">
            <v>94.03</v>
          </cell>
          <cell r="J32">
            <v>5137589.2414063234</v>
          </cell>
          <cell r="L32">
            <v>98.48</v>
          </cell>
        </row>
        <row r="33">
          <cell r="J33">
            <v>17074564.93463219</v>
          </cell>
        </row>
        <row r="37">
          <cell r="F37">
            <v>125.85</v>
          </cell>
          <cell r="J37">
            <v>345.42013753226672</v>
          </cell>
          <cell r="L37">
            <v>135.88999999999999</v>
          </cell>
        </row>
        <row r="38">
          <cell r="F38">
            <v>89.89</v>
          </cell>
          <cell r="J38">
            <v>2336.0298102093789</v>
          </cell>
          <cell r="L38">
            <v>93.72</v>
          </cell>
        </row>
        <row r="39">
          <cell r="F39">
            <v>54.8</v>
          </cell>
          <cell r="J39">
            <v>758.75172155404562</v>
          </cell>
          <cell r="L39">
            <v>57.08</v>
          </cell>
        </row>
        <row r="72">
          <cell r="F72">
            <v>10.66</v>
          </cell>
          <cell r="L72">
            <v>10.96</v>
          </cell>
        </row>
        <row r="73">
          <cell r="F73">
            <v>16.64</v>
          </cell>
          <cell r="L73">
            <v>16.91</v>
          </cell>
        </row>
        <row r="74">
          <cell r="F74">
            <v>210.34</v>
          </cell>
          <cell r="L74">
            <v>213.78</v>
          </cell>
        </row>
        <row r="75">
          <cell r="F75">
            <v>1037.56</v>
          </cell>
          <cell r="L75">
            <v>1054.52</v>
          </cell>
        </row>
        <row r="77">
          <cell r="J77">
            <v>15751.346842755527</v>
          </cell>
          <cell r="L77">
            <v>16.91</v>
          </cell>
        </row>
        <row r="78">
          <cell r="J78">
            <v>207.63364806912051</v>
          </cell>
          <cell r="L78">
            <v>213.78</v>
          </cell>
        </row>
        <row r="79">
          <cell r="J79">
            <v>23.84309834286551</v>
          </cell>
          <cell r="L79">
            <v>1054.52</v>
          </cell>
        </row>
        <row r="84">
          <cell r="F84">
            <v>76.39</v>
          </cell>
          <cell r="L84">
            <v>77.75</v>
          </cell>
        </row>
        <row r="89">
          <cell r="F89">
            <v>108.35</v>
          </cell>
          <cell r="L89">
            <v>113.85</v>
          </cell>
        </row>
        <row r="90">
          <cell r="F90">
            <v>85.78</v>
          </cell>
          <cell r="L90">
            <v>85.78</v>
          </cell>
        </row>
        <row r="91">
          <cell r="F91">
            <v>50.77</v>
          </cell>
          <cell r="L91">
            <v>51.74</v>
          </cell>
        </row>
        <row r="131">
          <cell r="F131">
            <v>12.67</v>
          </cell>
          <cell r="L131">
            <v>13.34</v>
          </cell>
        </row>
        <row r="132">
          <cell r="F132">
            <v>22.51</v>
          </cell>
          <cell r="L132">
            <v>23.72</v>
          </cell>
        </row>
        <row r="137">
          <cell r="F137">
            <v>38.909999999999997</v>
          </cell>
          <cell r="L137">
            <v>41.07</v>
          </cell>
        </row>
        <row r="165">
          <cell r="F165">
            <v>22.07</v>
          </cell>
          <cell r="L165">
            <v>22.35</v>
          </cell>
        </row>
        <row r="166">
          <cell r="F166">
            <v>279.02999999999997</v>
          </cell>
          <cell r="L166">
            <v>282.52999999999997</v>
          </cell>
        </row>
        <row r="167">
          <cell r="F167">
            <v>1376.31</v>
          </cell>
          <cell r="L167">
            <v>1393.56</v>
          </cell>
        </row>
        <row r="169">
          <cell r="F169">
            <v>22.07</v>
          </cell>
          <cell r="L169">
            <v>22.35</v>
          </cell>
        </row>
        <row r="170">
          <cell r="F170">
            <v>279.02999999999997</v>
          </cell>
          <cell r="L170">
            <v>282.52999999999997</v>
          </cell>
        </row>
        <row r="171">
          <cell r="F171">
            <v>1376.31</v>
          </cell>
          <cell r="L171">
            <v>1393.56</v>
          </cell>
        </row>
        <row r="176">
          <cell r="F176">
            <v>9.68</v>
          </cell>
          <cell r="L176">
            <v>9.82</v>
          </cell>
        </row>
        <row r="182">
          <cell r="F182">
            <v>2.72</v>
          </cell>
          <cell r="L182">
            <v>2.74</v>
          </cell>
        </row>
        <row r="183">
          <cell r="F183">
            <v>4.8600000000000003</v>
          </cell>
          <cell r="L183">
            <v>4.9000000000000004</v>
          </cell>
        </row>
        <row r="184">
          <cell r="F184">
            <v>3.32</v>
          </cell>
          <cell r="L184">
            <v>3.41</v>
          </cell>
        </row>
        <row r="197">
          <cell r="F197">
            <v>2.64</v>
          </cell>
        </row>
        <row r="220">
          <cell r="F220">
            <v>40.799999999999997</v>
          </cell>
          <cell r="L220">
            <v>41.32</v>
          </cell>
        </row>
        <row r="225">
          <cell r="F225">
            <v>49.98</v>
          </cell>
          <cell r="L225">
            <v>52.04</v>
          </cell>
        </row>
        <row r="226">
          <cell r="F226">
            <v>35.700000000000003</v>
          </cell>
        </row>
        <row r="227">
          <cell r="F227">
            <v>24.16</v>
          </cell>
          <cell r="L227">
            <v>24.32</v>
          </cell>
        </row>
        <row r="230">
          <cell r="L230">
            <v>35.89</v>
          </cell>
        </row>
        <row r="269">
          <cell r="F269">
            <v>119.69</v>
          </cell>
          <cell r="L269">
            <v>125.71</v>
          </cell>
        </row>
        <row r="270">
          <cell r="F270">
            <v>332.29</v>
          </cell>
          <cell r="L270">
            <v>349.01</v>
          </cell>
        </row>
        <row r="271">
          <cell r="F271">
            <v>1240.17</v>
          </cell>
          <cell r="L271">
            <v>1302.57</v>
          </cell>
        </row>
        <row r="280">
          <cell r="F280">
            <v>14.53</v>
          </cell>
          <cell r="L280">
            <v>15.37</v>
          </cell>
        </row>
        <row r="286">
          <cell r="F286">
            <v>2.6</v>
          </cell>
          <cell r="L286">
            <v>2.72</v>
          </cell>
        </row>
        <row r="287">
          <cell r="F287">
            <v>5.17</v>
          </cell>
          <cell r="L287">
            <v>5.42</v>
          </cell>
        </row>
        <row r="288">
          <cell r="F288">
            <v>2.33</v>
          </cell>
          <cell r="L288">
            <v>2.5</v>
          </cell>
        </row>
        <row r="320">
          <cell r="F320">
            <v>27.9</v>
          </cell>
          <cell r="L320">
            <v>29.53</v>
          </cell>
        </row>
        <row r="325">
          <cell r="F325">
            <v>31.4</v>
          </cell>
          <cell r="L325">
            <v>34.19</v>
          </cell>
        </row>
        <row r="326">
          <cell r="F326">
            <v>22.43</v>
          </cell>
          <cell r="L326">
            <v>23.58</v>
          </cell>
        </row>
        <row r="327">
          <cell r="F327">
            <v>16.940000000000001</v>
          </cell>
          <cell r="L327">
            <v>17.829999999999998</v>
          </cell>
        </row>
        <row r="368">
          <cell r="F368">
            <v>443.34</v>
          </cell>
          <cell r="L368">
            <v>461.29</v>
          </cell>
        </row>
        <row r="369">
          <cell r="F369">
            <v>657.83</v>
          </cell>
          <cell r="L369">
            <v>684.46</v>
          </cell>
        </row>
        <row r="370">
          <cell r="F370">
            <v>1573.77</v>
          </cell>
          <cell r="L370">
            <v>1637.49</v>
          </cell>
        </row>
        <row r="379">
          <cell r="F379">
            <v>12.71</v>
          </cell>
          <cell r="L379">
            <v>13.42</v>
          </cell>
        </row>
        <row r="385">
          <cell r="F385">
            <v>2.86</v>
          </cell>
          <cell r="L385">
            <v>2.98</v>
          </cell>
        </row>
        <row r="386">
          <cell r="F386">
            <v>5.52</v>
          </cell>
          <cell r="L386">
            <v>5.75</v>
          </cell>
        </row>
        <row r="387">
          <cell r="F387">
            <v>1.96</v>
          </cell>
          <cell r="L387">
            <v>2.09</v>
          </cell>
        </row>
        <row r="420">
          <cell r="F420">
            <v>18.12</v>
          </cell>
          <cell r="L420">
            <v>19.04</v>
          </cell>
        </row>
        <row r="425">
          <cell r="F425">
            <v>29.05</v>
          </cell>
          <cell r="L425">
            <v>31.44</v>
          </cell>
        </row>
        <row r="426">
          <cell r="F426">
            <v>20.75</v>
          </cell>
          <cell r="L426">
            <v>21.69</v>
          </cell>
        </row>
        <row r="427">
          <cell r="F427">
            <v>15.79</v>
          </cell>
          <cell r="L427">
            <v>16.53</v>
          </cell>
        </row>
        <row r="467">
          <cell r="F467">
            <v>2.27</v>
          </cell>
          <cell r="L467">
            <v>2.39</v>
          </cell>
        </row>
        <row r="468">
          <cell r="F468">
            <v>6.59</v>
          </cell>
          <cell r="L468">
            <v>7.13</v>
          </cell>
        </row>
        <row r="473">
          <cell r="F473">
            <v>40.22</v>
          </cell>
          <cell r="L473">
            <v>42.39</v>
          </cell>
        </row>
        <row r="502">
          <cell r="F502">
            <v>440.95</v>
          </cell>
          <cell r="L502">
            <v>445.5</v>
          </cell>
        </row>
        <row r="503">
          <cell r="F503">
            <v>1519.27</v>
          </cell>
          <cell r="L503">
            <v>1534.94</v>
          </cell>
        </row>
        <row r="504">
          <cell r="F504">
            <v>146.87</v>
          </cell>
          <cell r="L504">
            <v>147.72999999999999</v>
          </cell>
        </row>
        <row r="509">
          <cell r="F509">
            <v>3.53</v>
          </cell>
          <cell r="L509">
            <v>3.59</v>
          </cell>
        </row>
        <row r="514">
          <cell r="F514">
            <v>2.0059999999999998</v>
          </cell>
          <cell r="L514">
            <v>2.0270000000000001</v>
          </cell>
        </row>
        <row r="515">
          <cell r="F515">
            <v>0.95499999999999996</v>
          </cell>
          <cell r="L515">
            <v>0.96499999999999997</v>
          </cell>
        </row>
        <row r="523">
          <cell r="F523">
            <v>14.65</v>
          </cell>
          <cell r="L523">
            <v>14.73</v>
          </cell>
        </row>
        <row r="554">
          <cell r="F554">
            <v>684.44</v>
          </cell>
          <cell r="L554">
            <v>711.31</v>
          </cell>
        </row>
        <row r="555">
          <cell r="F555">
            <v>1583.59</v>
          </cell>
          <cell r="L555">
            <v>1645.75</v>
          </cell>
        </row>
        <row r="560">
          <cell r="F560">
            <v>3.57</v>
          </cell>
          <cell r="L560">
            <v>3.75</v>
          </cell>
        </row>
        <row r="566">
          <cell r="F566">
            <v>2.0339999999999998</v>
          </cell>
          <cell r="L566">
            <v>2.1389999999999998</v>
          </cell>
        </row>
        <row r="567">
          <cell r="F567">
            <v>0.96799999999999997</v>
          </cell>
          <cell r="L567">
            <v>1.018</v>
          </cell>
        </row>
        <row r="575">
          <cell r="F575">
            <v>17.190000000000001</v>
          </cell>
          <cell r="L575">
            <v>17.920000000000002</v>
          </cell>
        </row>
        <row r="605">
          <cell r="F605">
            <v>440.95</v>
          </cell>
          <cell r="L605">
            <v>445.5</v>
          </cell>
        </row>
        <row r="606">
          <cell r="F606">
            <v>146.87</v>
          </cell>
          <cell r="L606">
            <v>147.72999999999999</v>
          </cell>
        </row>
        <row r="607">
          <cell r="F607">
            <v>1519.26</v>
          </cell>
          <cell r="L607">
            <v>1534.95</v>
          </cell>
        </row>
        <row r="612">
          <cell r="F612">
            <v>3.57</v>
          </cell>
          <cell r="L612">
            <v>3.75</v>
          </cell>
        </row>
        <row r="617">
          <cell r="F617">
            <v>2.0339999999999998</v>
          </cell>
          <cell r="L617">
            <v>2.1389999999999998</v>
          </cell>
        </row>
        <row r="618">
          <cell r="F618">
            <v>0.96799999999999997</v>
          </cell>
          <cell r="L618">
            <v>1.018</v>
          </cell>
        </row>
        <row r="626">
          <cell r="F626">
            <v>18.309999999999999</v>
          </cell>
          <cell r="L626">
            <v>19.239999999999998</v>
          </cell>
        </row>
      </sheetData>
      <sheetData sheetId="14"/>
      <sheetData sheetId="15">
        <row r="116">
          <cell r="I116">
            <v>5.82</v>
          </cell>
        </row>
        <row r="153">
          <cell r="I153">
            <v>4.62</v>
          </cell>
        </row>
      </sheetData>
      <sheetData sheetId="16">
        <row r="31">
          <cell r="G31">
            <v>14.44</v>
          </cell>
        </row>
        <row r="39">
          <cell r="H39">
            <v>8.2959221185854677</v>
          </cell>
          <cell r="I39">
            <v>6.571237562208573</v>
          </cell>
        </row>
        <row r="50">
          <cell r="G50">
            <v>11.118</v>
          </cell>
        </row>
        <row r="51">
          <cell r="G51">
            <v>12.622</v>
          </cell>
        </row>
        <row r="52">
          <cell r="G52">
            <v>9.1999999999999993</v>
          </cell>
        </row>
        <row r="53">
          <cell r="G53">
            <v>9.8870000000000005</v>
          </cell>
        </row>
      </sheetData>
      <sheetData sheetId="17">
        <row r="45">
          <cell r="AA45">
            <v>15.058397077594424</v>
          </cell>
        </row>
        <row r="46">
          <cell r="AA46">
            <v>10.385101432823742</v>
          </cell>
        </row>
        <row r="47">
          <cell r="AA47">
            <v>6.3253723065941863</v>
          </cell>
        </row>
        <row r="96">
          <cell r="AA96">
            <v>12.169451163312567</v>
          </cell>
        </row>
        <row r="97">
          <cell r="AA97">
            <v>8.3927249402155635</v>
          </cell>
        </row>
        <row r="98">
          <cell r="AA98">
            <v>5.5311591424177262</v>
          </cell>
        </row>
        <row r="149">
          <cell r="AA149">
            <v>5.2078112669656242</v>
          </cell>
        </row>
        <row r="150">
          <cell r="AA150">
            <v>3.5915939772176722</v>
          </cell>
        </row>
        <row r="151">
          <cell r="AA151">
            <v>2.4339561174599682</v>
          </cell>
        </row>
        <row r="161">
          <cell r="M161">
            <v>2.7302629152846203</v>
          </cell>
        </row>
        <row r="162">
          <cell r="M162">
            <v>4.8899999999999997</v>
          </cell>
        </row>
        <row r="163">
          <cell r="M163">
            <v>3.4003274402812118</v>
          </cell>
        </row>
        <row r="207">
          <cell r="AA207">
            <v>3.4021372485975307</v>
          </cell>
        </row>
        <row r="208">
          <cell r="AA208">
            <v>2.3463015507569178</v>
          </cell>
        </row>
        <row r="209">
          <cell r="AA209">
            <v>1.7735795327324362</v>
          </cell>
        </row>
        <row r="219">
          <cell r="M219">
            <v>2.7079527233871463</v>
          </cell>
        </row>
        <row r="220">
          <cell r="M220">
            <v>5.3859281103530332</v>
          </cell>
        </row>
        <row r="221">
          <cell r="M221">
            <v>2.4881189229645742</v>
          </cell>
        </row>
        <row r="265">
          <cell r="AA265">
            <v>3.1474326532023538</v>
          </cell>
        </row>
        <row r="266">
          <cell r="AA266">
            <v>2.1706432091050716</v>
          </cell>
        </row>
        <row r="267">
          <cell r="AA267">
            <v>1.6553535091672924</v>
          </cell>
        </row>
        <row r="277">
          <cell r="M277">
            <v>3</v>
          </cell>
        </row>
        <row r="278">
          <cell r="M278">
            <v>5.78</v>
          </cell>
        </row>
        <row r="279">
          <cell r="M279">
            <v>2.0999369415682279</v>
          </cell>
        </row>
      </sheetData>
      <sheetData sheetId="18">
        <row r="22">
          <cell r="Q22">
            <v>16.28</v>
          </cell>
        </row>
        <row r="23">
          <cell r="Q23">
            <v>6.57</v>
          </cell>
        </row>
        <row r="24">
          <cell r="Q24">
            <v>6.49</v>
          </cell>
        </row>
        <row r="49">
          <cell r="J49">
            <v>6.69</v>
          </cell>
        </row>
      </sheetData>
      <sheetData sheetId="19">
        <row r="20">
          <cell r="I20">
            <v>106.63268826917395</v>
          </cell>
        </row>
        <row r="21">
          <cell r="I21">
            <v>259.80342838025661</v>
          </cell>
        </row>
        <row r="22">
          <cell r="I22">
            <v>455.81536561845974</v>
          </cell>
        </row>
        <row r="25">
          <cell r="I25">
            <v>385.10825319807788</v>
          </cell>
        </row>
        <row r="26">
          <cell r="I26">
            <v>538.27899330916057</v>
          </cell>
        </row>
        <row r="27">
          <cell r="I27">
            <v>734.29093054736359</v>
          </cell>
        </row>
        <row r="30">
          <cell r="I30">
            <v>6.57</v>
          </cell>
        </row>
        <row r="34">
          <cell r="I34">
            <v>6.69</v>
          </cell>
        </row>
        <row r="41">
          <cell r="I41">
            <v>2.2770000000000001</v>
          </cell>
        </row>
        <row r="44">
          <cell r="I44">
            <v>1.0840000000000001</v>
          </cell>
        </row>
        <row r="50">
          <cell r="I50">
            <v>0.58199999999999996</v>
          </cell>
        </row>
        <row r="52">
          <cell r="I52">
            <v>0.27700000000000002</v>
          </cell>
        </row>
        <row r="55">
          <cell r="I55">
            <v>0.46200000000000002</v>
          </cell>
        </row>
        <row r="57">
          <cell r="I57">
            <v>0.22</v>
          </cell>
        </row>
      </sheetData>
      <sheetData sheetId="20">
        <row r="26">
          <cell r="J26">
            <v>120497.35867062696</v>
          </cell>
        </row>
        <row r="28">
          <cell r="J28">
            <v>0</v>
          </cell>
        </row>
        <row r="29">
          <cell r="J29">
            <v>2638756.3502450539</v>
          </cell>
        </row>
        <row r="30">
          <cell r="J30">
            <v>3217777.9947192268</v>
          </cell>
        </row>
      </sheetData>
      <sheetData sheetId="21">
        <row r="48">
          <cell r="I48">
            <v>10.958570273056013</v>
          </cell>
        </row>
        <row r="53">
          <cell r="H53">
            <v>21.776960704636146</v>
          </cell>
          <cell r="I53">
            <v>15.758570273056012</v>
          </cell>
          <cell r="J53">
            <v>106.63268826917395</v>
          </cell>
          <cell r="K53">
            <v>385.10825319807788</v>
          </cell>
        </row>
        <row r="54">
          <cell r="H54">
            <v>171.85798701995466</v>
          </cell>
          <cell r="I54">
            <v>85.345743533490349</v>
          </cell>
          <cell r="J54">
            <v>259.80342838025661</v>
          </cell>
          <cell r="K54">
            <v>538.27899330916057</v>
          </cell>
        </row>
        <row r="55">
          <cell r="H55">
            <v>402.95731021843767</v>
          </cell>
          <cell r="I55">
            <v>473.01740730630627</v>
          </cell>
          <cell r="J55">
            <v>455.81536561845974</v>
          </cell>
          <cell r="K55">
            <v>734.29093054736359</v>
          </cell>
        </row>
      </sheetData>
      <sheetData sheetId="22">
        <row r="22">
          <cell r="G22">
            <v>2.71</v>
          </cell>
          <cell r="I22">
            <v>2.12</v>
          </cell>
        </row>
        <row r="35">
          <cell r="G35">
            <v>1.7579999999999998E-2</v>
          </cell>
          <cell r="I35">
            <v>3.7100000000000002E-3</v>
          </cell>
        </row>
      </sheetData>
      <sheetData sheetId="23"/>
      <sheetData sheetId="24"/>
      <sheetData sheetId="25"/>
      <sheetData sheetId="26"/>
      <sheetData sheetId="27">
        <row r="43">
          <cell r="G43">
            <v>1.3646259403301657</v>
          </cell>
        </row>
        <row r="44">
          <cell r="G44">
            <v>6.6393227970355371</v>
          </cell>
        </row>
        <row r="45">
          <cell r="G45">
            <v>9.2350775574255657</v>
          </cell>
        </row>
      </sheetData>
      <sheetData sheetId="28">
        <row r="22">
          <cell r="B22">
            <v>7.9126874999999997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-1 (1A) - (2-4)"/>
      <sheetName val="MFR E-5 Yr4"/>
      <sheetName val="MFR E-6b"/>
      <sheetName val="MFR E-8"/>
      <sheetName val="E-8 (clause rev curr not filed)"/>
      <sheetName val="E-8 (clause rev forecast)"/>
      <sheetName val="Exhibit MJC-2 - Old E-8a"/>
      <sheetName val="MFR E-12"/>
      <sheetName val="MFR E-12 (2-4)"/>
      <sheetName val="Unbilled to E-13c"/>
      <sheetName val="MFR E-13a"/>
      <sheetName val="E-13c - prior to updates"/>
      <sheetName val="Exhibit MJC-3 - E-13c cal yr"/>
      <sheetName val="MFR E-13c"/>
      <sheetName val="MFR E-14"/>
      <sheetName val="MFR E-14A"/>
      <sheetName val="MFR E-14B"/>
      <sheetName val="MFR E-14C"/>
      <sheetName val="MFR E-14D1"/>
      <sheetName val="MFR E-14D2"/>
      <sheetName val="MFR E-14D3 (not filed)"/>
      <sheetName val="MFR E-14E"/>
      <sheetName val="MFR E-14G"/>
      <sheetName val="MFR E-14H"/>
      <sheetName val="BA-1 Rates Current"/>
      <sheetName val="BA-1 Rates Forecast"/>
      <sheetName val="TOU Split"/>
      <sheetName val="DVC"/>
      <sheetName val="EV Off-Pk"/>
    </sheetNames>
    <sheetDataSet>
      <sheetData sheetId="0" refreshError="1"/>
      <sheetData sheetId="1" refreshError="1"/>
      <sheetData sheetId="2">
        <row r="16">
          <cell r="G16">
            <v>1355014.7942661727</v>
          </cell>
          <cell r="H16">
            <v>813550.88247741037</v>
          </cell>
          <cell r="I16">
            <v>74132.859394302315</v>
          </cell>
          <cell r="K16">
            <v>390704.96577870823</v>
          </cell>
        </row>
        <row r="17">
          <cell r="G17">
            <v>242347.18530529254</v>
          </cell>
          <cell r="H17">
            <v>127465.49407296517</v>
          </cell>
          <cell r="I17">
            <v>13509.173664006479</v>
          </cell>
          <cell r="K17">
            <v>81056.448148258118</v>
          </cell>
        </row>
        <row r="18">
          <cell r="G18">
            <v>558861.98134775215</v>
          </cell>
          <cell r="H18">
            <v>349408.96249666339</v>
          </cell>
          <cell r="I18">
            <v>30379.1409942584</v>
          </cell>
          <cell r="K18">
            <v>152549.42381039669</v>
          </cell>
        </row>
        <row r="19">
          <cell r="G19">
            <v>731012.67359764897</v>
          </cell>
          <cell r="H19">
            <v>466723.59853475261</v>
          </cell>
          <cell r="I19">
            <v>43258.433831214061</v>
          </cell>
          <cell r="K19">
            <v>191733.20901921671</v>
          </cell>
        </row>
        <row r="21">
          <cell r="G21">
            <v>291348.83553655708</v>
          </cell>
          <cell r="H21">
            <v>222194.76362305431</v>
          </cell>
          <cell r="I21">
            <v>18936.65146234024</v>
          </cell>
          <cell r="K21">
            <v>42218.08243363582</v>
          </cell>
        </row>
        <row r="23">
          <cell r="G23">
            <v>53607.006680977727</v>
          </cell>
        </row>
        <row r="24">
          <cell r="G24">
            <v>87236.777528071194</v>
          </cell>
        </row>
        <row r="25">
          <cell r="G25">
            <v>517.36683759691482</v>
          </cell>
        </row>
        <row r="26">
          <cell r="G26">
            <v>113089.39845368821</v>
          </cell>
        </row>
        <row r="27">
          <cell r="G27">
            <v>212992.40864092062</v>
          </cell>
        </row>
        <row r="34">
          <cell r="H34">
            <v>21696377.792271525</v>
          </cell>
        </row>
        <row r="38">
          <cell r="H38">
            <v>21036571.744844668</v>
          </cell>
          <cell r="I38">
            <v>2207981.4668647805</v>
          </cell>
          <cell r="K38">
            <v>13274257.005823161</v>
          </cell>
        </row>
        <row r="52">
          <cell r="H52">
            <v>2.158986448918923</v>
          </cell>
          <cell r="I52">
            <v>2.1589864489189217</v>
          </cell>
          <cell r="J52">
            <v>2.1589864489189226</v>
          </cell>
          <cell r="K52">
            <v>2.1589488167051103</v>
          </cell>
          <cell r="L52">
            <v>2.1589864489189217</v>
          </cell>
        </row>
        <row r="53">
          <cell r="H53">
            <v>3.2432131504564348</v>
          </cell>
          <cell r="I53">
            <v>4.5429749193303888</v>
          </cell>
          <cell r="K53">
            <v>10.228496027374327</v>
          </cell>
          <cell r="L53">
            <v>100.6238917107307</v>
          </cell>
        </row>
        <row r="54">
          <cell r="L54">
            <v>278.93663741499722</v>
          </cell>
        </row>
        <row r="55">
          <cell r="H55">
            <v>8.5472974790457954</v>
          </cell>
          <cell r="I55">
            <v>8.5036943514994103</v>
          </cell>
          <cell r="J55">
            <v>8.561590545883849</v>
          </cell>
          <cell r="K55">
            <v>9.6078715884204122</v>
          </cell>
          <cell r="L55">
            <v>86.361659696408552</v>
          </cell>
        </row>
        <row r="56">
          <cell r="J56">
            <v>14.345334376492779</v>
          </cell>
        </row>
        <row r="59">
          <cell r="J59">
            <v>6.1165345379486746</v>
          </cell>
          <cell r="T59">
            <v>6.0640476006650195</v>
          </cell>
          <cell r="U59">
            <v>6.0653426613017345</v>
          </cell>
        </row>
        <row r="66">
          <cell r="J66">
            <v>45.063504548276377</v>
          </cell>
          <cell r="T66">
            <v>45.491922521004966</v>
          </cell>
          <cell r="U66">
            <v>49.6410965117296</v>
          </cell>
        </row>
        <row r="71">
          <cell r="K71">
            <v>5.27241907699905</v>
          </cell>
          <cell r="L71">
            <v>4.1226770373783541</v>
          </cell>
        </row>
        <row r="73">
          <cell r="K73">
            <v>21.247496521915785</v>
          </cell>
          <cell r="T73">
            <v>17.182267748158161</v>
          </cell>
          <cell r="U73">
            <v>15.599515768948411</v>
          </cell>
        </row>
      </sheetData>
      <sheetData sheetId="3" refreshError="1"/>
      <sheetData sheetId="4" refreshError="1"/>
      <sheetData sheetId="5" refreshError="1"/>
      <sheetData sheetId="6">
        <row r="24">
          <cell r="V24">
            <v>2.7710164870951747E-2</v>
          </cell>
        </row>
        <row r="27">
          <cell r="V27">
            <v>4.0523494039984419E-2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>
        <row r="17">
          <cell r="F17">
            <v>14.86</v>
          </cell>
          <cell r="J17">
            <v>21694045.352867588</v>
          </cell>
          <cell r="L17">
            <v>15.13</v>
          </cell>
        </row>
        <row r="19">
          <cell r="F19">
            <v>14.86</v>
          </cell>
          <cell r="J19">
            <v>2332.4394039326739</v>
          </cell>
          <cell r="L19">
            <v>15.13</v>
          </cell>
        </row>
        <row r="26">
          <cell r="F26">
            <v>88.67</v>
          </cell>
          <cell r="J26">
            <v>3393198.353816377</v>
          </cell>
          <cell r="L26">
            <v>90.85</v>
          </cell>
        </row>
        <row r="27">
          <cell r="F27">
            <v>103.08</v>
          </cell>
          <cell r="J27">
            <v>889668.85931853601</v>
          </cell>
          <cell r="L27">
            <v>105.31</v>
          </cell>
        </row>
        <row r="28">
          <cell r="J28">
            <v>4282867.2131349128</v>
          </cell>
        </row>
        <row r="31">
          <cell r="F31">
            <v>84.48</v>
          </cell>
          <cell r="J31">
            <v>11553136.912141375</v>
          </cell>
          <cell r="L31">
            <v>87.03</v>
          </cell>
        </row>
        <row r="32">
          <cell r="F32">
            <v>91.56</v>
          </cell>
          <cell r="J32">
            <v>4980915.7878168188</v>
          </cell>
          <cell r="L32">
            <v>94.03</v>
          </cell>
        </row>
        <row r="33">
          <cell r="J33">
            <v>16534052.699958194</v>
          </cell>
        </row>
        <row r="37">
          <cell r="F37">
            <v>119.1</v>
          </cell>
          <cell r="J37">
            <v>329.67553653305612</v>
          </cell>
          <cell r="L37">
            <v>125.85</v>
          </cell>
        </row>
        <row r="38">
          <cell r="F38">
            <v>88.22</v>
          </cell>
          <cell r="J38">
            <v>2247.6389455353169</v>
          </cell>
          <cell r="L38">
            <v>89.89</v>
          </cell>
        </row>
        <row r="39">
          <cell r="F39">
            <v>53.52</v>
          </cell>
          <cell r="J39">
            <v>723.39855424550785</v>
          </cell>
          <cell r="L39">
            <v>54.8</v>
          </cell>
        </row>
        <row r="72">
          <cell r="F72">
            <v>10.56</v>
          </cell>
          <cell r="L72">
            <v>10.66</v>
          </cell>
        </row>
        <row r="73">
          <cell r="F73">
            <v>16.16</v>
          </cell>
          <cell r="L73">
            <v>16.64</v>
          </cell>
        </row>
        <row r="74">
          <cell r="F74">
            <v>204.3</v>
          </cell>
          <cell r="L74">
            <v>210.34</v>
          </cell>
        </row>
        <row r="75">
          <cell r="F75">
            <v>1007.76</v>
          </cell>
          <cell r="L75">
            <v>1037.56</v>
          </cell>
        </row>
        <row r="77">
          <cell r="J77">
            <v>15566.867961957443</v>
          </cell>
          <cell r="L77">
            <v>16.64</v>
          </cell>
        </row>
        <row r="78">
          <cell r="J78">
            <v>205.20185456001929</v>
          </cell>
          <cell r="L78">
            <v>210.34</v>
          </cell>
        </row>
        <row r="79">
          <cell r="J79">
            <v>23.563849327466329</v>
          </cell>
          <cell r="L79">
            <v>1037.56</v>
          </cell>
        </row>
        <row r="84">
          <cell r="F84">
            <v>74</v>
          </cell>
          <cell r="L84">
            <v>76.39</v>
          </cell>
        </row>
        <row r="89">
          <cell r="F89">
            <v>99.86</v>
          </cell>
          <cell r="L89">
            <v>108.35</v>
          </cell>
        </row>
        <row r="90">
          <cell r="F90">
            <v>85.78</v>
          </cell>
          <cell r="L90">
            <v>85.78</v>
          </cell>
        </row>
        <row r="91">
          <cell r="F91">
            <v>48.8</v>
          </cell>
          <cell r="L91">
            <v>50.77</v>
          </cell>
        </row>
        <row r="131">
          <cell r="F131">
            <v>12.18</v>
          </cell>
          <cell r="L131">
            <v>12.67</v>
          </cell>
        </row>
        <row r="132">
          <cell r="F132">
            <v>21.57</v>
          </cell>
          <cell r="L132">
            <v>22.51</v>
          </cell>
        </row>
        <row r="137">
          <cell r="F137">
            <v>37.369999999999997</v>
          </cell>
          <cell r="L137">
            <v>38.909999999999997</v>
          </cell>
        </row>
        <row r="165">
          <cell r="F165">
            <v>21.56</v>
          </cell>
          <cell r="L165">
            <v>22.07</v>
          </cell>
        </row>
        <row r="166">
          <cell r="F166">
            <v>272.61</v>
          </cell>
          <cell r="L166">
            <v>279.02999999999997</v>
          </cell>
        </row>
        <row r="167">
          <cell r="F167">
            <v>1344.66</v>
          </cell>
          <cell r="L167">
            <v>1376.31</v>
          </cell>
        </row>
        <row r="169">
          <cell r="F169">
            <v>21.56</v>
          </cell>
          <cell r="L169">
            <v>22.07</v>
          </cell>
        </row>
        <row r="170">
          <cell r="F170">
            <v>272.61</v>
          </cell>
          <cell r="L170">
            <v>279.02999999999997</v>
          </cell>
        </row>
        <row r="171">
          <cell r="F171">
            <v>1344.66</v>
          </cell>
          <cell r="L171">
            <v>1376.31</v>
          </cell>
        </row>
        <row r="176">
          <cell r="F176">
            <v>9.3800000000000008</v>
          </cell>
          <cell r="L176">
            <v>9.68</v>
          </cell>
        </row>
        <row r="182">
          <cell r="F182">
            <v>2.64</v>
          </cell>
          <cell r="L182">
            <v>2.72</v>
          </cell>
        </row>
        <row r="183">
          <cell r="F183">
            <v>4.72</v>
          </cell>
          <cell r="L183">
            <v>4.8600000000000003</v>
          </cell>
        </row>
        <row r="184">
          <cell r="F184">
            <v>3.2</v>
          </cell>
          <cell r="L184">
            <v>3.32</v>
          </cell>
        </row>
        <row r="197">
          <cell r="F197">
            <v>2.5099999999999998</v>
          </cell>
        </row>
        <row r="220">
          <cell r="F220">
            <v>39.74</v>
          </cell>
          <cell r="L220">
            <v>40.799999999999997</v>
          </cell>
        </row>
        <row r="225">
          <cell r="F225">
            <v>47.24</v>
          </cell>
          <cell r="L225">
            <v>49.98</v>
          </cell>
        </row>
        <row r="226">
          <cell r="F226">
            <v>34.99</v>
          </cell>
        </row>
        <row r="227">
          <cell r="F227">
            <v>23.71</v>
          </cell>
          <cell r="L227">
            <v>24.16</v>
          </cell>
        </row>
        <row r="230">
          <cell r="L230">
            <v>35.700000000000003</v>
          </cell>
        </row>
        <row r="269">
          <cell r="F269">
            <v>117.17</v>
          </cell>
          <cell r="L269">
            <v>119.69</v>
          </cell>
        </row>
        <row r="270">
          <cell r="F270">
            <v>325.3</v>
          </cell>
          <cell r="L270">
            <v>332.29</v>
          </cell>
        </row>
        <row r="271">
          <cell r="F271">
            <v>1214.08</v>
          </cell>
          <cell r="L271">
            <v>1240.17</v>
          </cell>
        </row>
        <row r="280">
          <cell r="F280">
            <v>13.88</v>
          </cell>
          <cell r="L280">
            <v>14.53</v>
          </cell>
        </row>
        <row r="286">
          <cell r="F286">
            <v>2.5</v>
          </cell>
          <cell r="L286">
            <v>2.59</v>
          </cell>
        </row>
        <row r="287">
          <cell r="F287">
            <v>4.97</v>
          </cell>
          <cell r="L287">
            <v>5.14</v>
          </cell>
        </row>
        <row r="288">
          <cell r="F288">
            <v>2.21</v>
          </cell>
          <cell r="L288">
            <v>2.3199999999999998</v>
          </cell>
        </row>
        <row r="320">
          <cell r="F320">
            <v>26.68</v>
          </cell>
          <cell r="L320">
            <v>27.9</v>
          </cell>
        </row>
        <row r="325">
          <cell r="F325">
            <v>29.14</v>
          </cell>
          <cell r="L325">
            <v>31.4</v>
          </cell>
        </row>
        <row r="326">
          <cell r="F326">
            <v>21.59</v>
          </cell>
          <cell r="L326">
            <v>22.43</v>
          </cell>
        </row>
        <row r="327">
          <cell r="F327">
            <v>16.37</v>
          </cell>
          <cell r="L327">
            <v>16.940000000000001</v>
          </cell>
        </row>
        <row r="368">
          <cell r="F368">
            <v>426.3</v>
          </cell>
          <cell r="L368">
            <v>443.34</v>
          </cell>
        </row>
        <row r="369">
          <cell r="F369">
            <v>632.54999999999995</v>
          </cell>
          <cell r="L369">
            <v>657.83</v>
          </cell>
        </row>
        <row r="370">
          <cell r="F370">
            <v>1513.3</v>
          </cell>
          <cell r="L370">
            <v>1573.77</v>
          </cell>
        </row>
        <row r="379">
          <cell r="F379">
            <v>12.16</v>
          </cell>
          <cell r="L379">
            <v>12.71</v>
          </cell>
        </row>
        <row r="385">
          <cell r="F385">
            <v>2.75</v>
          </cell>
          <cell r="L385">
            <v>2.86</v>
          </cell>
        </row>
        <row r="386">
          <cell r="F386">
            <v>5.28</v>
          </cell>
          <cell r="L386">
            <v>5.52</v>
          </cell>
        </row>
        <row r="387">
          <cell r="F387">
            <v>1.86</v>
          </cell>
          <cell r="L387">
            <v>1.96</v>
          </cell>
        </row>
        <row r="420">
          <cell r="F420">
            <v>17.45</v>
          </cell>
          <cell r="L420">
            <v>18.12</v>
          </cell>
        </row>
        <row r="425">
          <cell r="F425">
            <v>27.03</v>
          </cell>
          <cell r="L425">
            <v>29.05</v>
          </cell>
        </row>
        <row r="426">
          <cell r="F426">
            <v>20.02</v>
          </cell>
          <cell r="L426">
            <v>20.75</v>
          </cell>
        </row>
        <row r="427">
          <cell r="F427">
            <v>15.5</v>
          </cell>
          <cell r="L427">
            <v>15.79</v>
          </cell>
        </row>
        <row r="467">
          <cell r="F467">
            <v>2.1800000000000002</v>
          </cell>
          <cell r="L467">
            <v>2.27</v>
          </cell>
        </row>
        <row r="468">
          <cell r="F468">
            <v>6.29</v>
          </cell>
          <cell r="L468">
            <v>6.59</v>
          </cell>
        </row>
        <row r="473">
          <cell r="F473">
            <v>38.630000000000003</v>
          </cell>
          <cell r="L473">
            <v>40.22</v>
          </cell>
        </row>
        <row r="502">
          <cell r="F502">
            <v>432.09</v>
          </cell>
          <cell r="L502">
            <v>440.95</v>
          </cell>
        </row>
        <row r="503">
          <cell r="F503">
            <v>1488.73</v>
          </cell>
          <cell r="L503">
            <v>1519.27</v>
          </cell>
        </row>
        <row r="504">
          <cell r="F504">
            <v>145.94</v>
          </cell>
          <cell r="L504">
            <v>146.87</v>
          </cell>
        </row>
        <row r="509">
          <cell r="F509">
            <v>3.43</v>
          </cell>
          <cell r="L509">
            <v>3.53</v>
          </cell>
        </row>
        <row r="514">
          <cell r="F514">
            <v>1.9570000000000001</v>
          </cell>
          <cell r="L514">
            <v>2.0059999999999998</v>
          </cell>
        </row>
        <row r="515">
          <cell r="F515">
            <v>0.93100000000000005</v>
          </cell>
          <cell r="L515">
            <v>0.95499999999999996</v>
          </cell>
        </row>
        <row r="523">
          <cell r="F523">
            <v>14.4</v>
          </cell>
          <cell r="L523">
            <v>14.65</v>
          </cell>
        </row>
        <row r="554">
          <cell r="F554">
            <v>665.44</v>
          </cell>
          <cell r="L554">
            <v>684.44</v>
          </cell>
        </row>
        <row r="555">
          <cell r="F555">
            <v>1539.64</v>
          </cell>
          <cell r="L555">
            <v>1583.59</v>
          </cell>
        </row>
        <row r="560">
          <cell r="F560">
            <v>3.43</v>
          </cell>
          <cell r="L560">
            <v>3.57</v>
          </cell>
        </row>
        <row r="566">
          <cell r="F566">
            <v>1.9570000000000001</v>
          </cell>
          <cell r="L566">
            <v>2.0339999999999998</v>
          </cell>
        </row>
        <row r="567">
          <cell r="F567">
            <v>0.93100000000000005</v>
          </cell>
          <cell r="L567">
            <v>0.96799999999999997</v>
          </cell>
        </row>
        <row r="575">
          <cell r="F575">
            <v>16.559999999999999</v>
          </cell>
          <cell r="L575">
            <v>17.190000000000001</v>
          </cell>
        </row>
        <row r="605">
          <cell r="F605">
            <v>432.09</v>
          </cell>
          <cell r="L605">
            <v>440.95</v>
          </cell>
        </row>
        <row r="606">
          <cell r="F606">
            <v>145.94</v>
          </cell>
          <cell r="L606">
            <v>146.87</v>
          </cell>
        </row>
        <row r="607">
          <cell r="F607">
            <v>1488.73</v>
          </cell>
          <cell r="L607">
            <v>1519.26</v>
          </cell>
        </row>
        <row r="612">
          <cell r="F612">
            <v>3.43</v>
          </cell>
          <cell r="L612">
            <v>3.57</v>
          </cell>
        </row>
        <row r="617">
          <cell r="F617">
            <v>1.9570000000000001</v>
          </cell>
          <cell r="L617">
            <v>2.0339999999999998</v>
          </cell>
        </row>
        <row r="618">
          <cell r="F618">
            <v>0.93100000000000005</v>
          </cell>
          <cell r="L618">
            <v>0.96799999999999997</v>
          </cell>
        </row>
        <row r="626">
          <cell r="F626">
            <v>17.600000000000001</v>
          </cell>
          <cell r="L626">
            <v>18.309999999999999</v>
          </cell>
        </row>
      </sheetData>
      <sheetData sheetId="14" refreshError="1"/>
      <sheetData sheetId="15">
        <row r="116">
          <cell r="I116">
            <v>5.82</v>
          </cell>
        </row>
        <row r="153">
          <cell r="I153">
            <v>4.62</v>
          </cell>
        </row>
      </sheetData>
      <sheetData sheetId="16">
        <row r="31">
          <cell r="G31">
            <v>13.95</v>
          </cell>
        </row>
        <row r="39">
          <cell r="H39">
            <v>8.1620367766047988</v>
          </cell>
          <cell r="I39">
            <v>6.4656133206831274</v>
          </cell>
        </row>
        <row r="50">
          <cell r="G50">
            <v>10.563000000000001</v>
          </cell>
        </row>
        <row r="51">
          <cell r="G51">
            <v>12.051</v>
          </cell>
        </row>
        <row r="52">
          <cell r="G52">
            <v>8.7409999999999997</v>
          </cell>
        </row>
        <row r="53">
          <cell r="G53">
            <v>9.44</v>
          </cell>
        </row>
      </sheetData>
      <sheetData sheetId="17">
        <row r="45">
          <cell r="AA45">
            <v>14.414773507144494</v>
          </cell>
        </row>
        <row r="46">
          <cell r="AA46">
            <v>10.296266790817496</v>
          </cell>
        </row>
        <row r="47">
          <cell r="AA47">
            <v>6.2765100732440313</v>
          </cell>
        </row>
        <row r="96">
          <cell r="AA96">
            <v>11.771546504771667</v>
          </cell>
        </row>
        <row r="97">
          <cell r="AA97">
            <v>8.4082475034083348</v>
          </cell>
        </row>
        <row r="98">
          <cell r="AA98">
            <v>5.5161243247303817</v>
          </cell>
        </row>
        <row r="149">
          <cell r="AA149">
            <v>5.0148050550174013</v>
          </cell>
        </row>
        <row r="150">
          <cell r="AA150">
            <v>3.5820036107267152</v>
          </cell>
        </row>
        <row r="151">
          <cell r="AA151">
            <v>2.4237798276909275</v>
          </cell>
        </row>
        <row r="161">
          <cell r="M161">
            <v>2.71</v>
          </cell>
        </row>
        <row r="162">
          <cell r="M162">
            <v>4.84</v>
          </cell>
        </row>
        <row r="163">
          <cell r="M163">
            <v>3.2985388389175916</v>
          </cell>
        </row>
        <row r="207">
          <cell r="AA207">
            <v>3.1255505334481031</v>
          </cell>
        </row>
        <row r="208">
          <cell r="AA208">
            <v>2.2325360953200741</v>
          </cell>
        </row>
        <row r="209">
          <cell r="AA209">
            <v>1.685730338909607</v>
          </cell>
        </row>
        <row r="219">
          <cell r="M219">
            <v>2.59</v>
          </cell>
        </row>
        <row r="220">
          <cell r="M220">
            <v>5.1379460117312394</v>
          </cell>
        </row>
        <row r="221">
          <cell r="M221">
            <v>2.3190729080187698</v>
          </cell>
        </row>
        <row r="265">
          <cell r="AA265">
            <v>2.9059329225366595</v>
          </cell>
        </row>
        <row r="266">
          <cell r="AA266">
            <v>2.075666373240471</v>
          </cell>
        </row>
        <row r="267">
          <cell r="AA267">
            <v>1.580130455680087</v>
          </cell>
        </row>
        <row r="277">
          <cell r="M277">
            <v>2.8486176726105765</v>
          </cell>
        </row>
        <row r="278">
          <cell r="M278">
            <v>5.49</v>
          </cell>
        </row>
        <row r="279">
          <cell r="M279">
            <v>1.9490541970493416</v>
          </cell>
        </row>
      </sheetData>
      <sheetData sheetId="18">
        <row r="22">
          <cell r="Q22">
            <v>15.85</v>
          </cell>
        </row>
        <row r="23">
          <cell r="Q23">
            <v>6.09</v>
          </cell>
        </row>
        <row r="24">
          <cell r="Q24">
            <v>6.25</v>
          </cell>
        </row>
        <row r="49">
          <cell r="J49">
            <v>6.52</v>
          </cell>
        </row>
      </sheetData>
      <sheetData sheetId="19">
        <row r="20">
          <cell r="I20">
            <v>95.531058081229432</v>
          </cell>
        </row>
        <row r="21">
          <cell r="I21">
            <v>240.37860095595573</v>
          </cell>
        </row>
        <row r="22">
          <cell r="I22">
            <v>425.73937849400534</v>
          </cell>
        </row>
        <row r="25">
          <cell r="I25">
            <v>374.46769549622667</v>
          </cell>
        </row>
        <row r="26">
          <cell r="I26">
            <v>519.31523837095301</v>
          </cell>
        </row>
        <row r="27">
          <cell r="I27">
            <v>704.67601590900256</v>
          </cell>
        </row>
        <row r="30">
          <cell r="I30">
            <v>6.09</v>
          </cell>
        </row>
        <row r="34">
          <cell r="I34">
            <v>6.52</v>
          </cell>
        </row>
        <row r="41">
          <cell r="I41">
            <v>2.21</v>
          </cell>
        </row>
        <row r="44">
          <cell r="I44">
            <v>1.052</v>
          </cell>
        </row>
        <row r="50">
          <cell r="I50">
            <v>0.58199999999999996</v>
          </cell>
        </row>
        <row r="52">
          <cell r="I52">
            <v>0.27700000000000002</v>
          </cell>
        </row>
        <row r="55">
          <cell r="I55">
            <v>0.46200000000000002</v>
          </cell>
        </row>
        <row r="57">
          <cell r="I57">
            <v>0.22</v>
          </cell>
        </row>
      </sheetData>
      <sheetData sheetId="20">
        <row r="26">
          <cell r="J26">
            <v>119980.93998653628</v>
          </cell>
        </row>
        <row r="28">
          <cell r="J28">
            <v>0</v>
          </cell>
        </row>
        <row r="29">
          <cell r="J29">
            <v>2625195.3090171856</v>
          </cell>
        </row>
        <row r="30">
          <cell r="J30">
            <v>3201647.1005660258</v>
          </cell>
        </row>
      </sheetData>
      <sheetData sheetId="21">
        <row r="48">
          <cell r="I48">
            <v>10.662680800418332</v>
          </cell>
        </row>
        <row r="53">
          <cell r="H53">
            <v>20.812713818752229</v>
          </cell>
          <cell r="I53">
            <v>15.202680800418332</v>
          </cell>
          <cell r="J53">
            <v>95.531058081229432</v>
          </cell>
          <cell r="K53">
            <v>374.46769549622667</v>
          </cell>
        </row>
        <row r="54">
          <cell r="H54">
            <v>162.83692074602925</v>
          </cell>
          <cell r="I54">
            <v>81.020548842579146</v>
          </cell>
          <cell r="J54">
            <v>240.37860095595573</v>
          </cell>
          <cell r="K54">
            <v>519.31523837095301</v>
          </cell>
        </row>
        <row r="55">
          <cell r="H55">
            <v>381.53010871595308</v>
          </cell>
          <cell r="I55">
            <v>447.69333082770089</v>
          </cell>
          <cell r="J55">
            <v>425.73937849400534</v>
          </cell>
          <cell r="K55">
            <v>704.67601590900256</v>
          </cell>
        </row>
      </sheetData>
      <sheetData sheetId="22">
        <row r="22">
          <cell r="G22">
            <v>2.64</v>
          </cell>
          <cell r="I22">
            <v>2.06</v>
          </cell>
        </row>
        <row r="35">
          <cell r="G35">
            <v>1.7129999999999999E-2</v>
          </cell>
          <cell r="I35">
            <v>3.62E-3</v>
          </cell>
        </row>
      </sheetData>
      <sheetData sheetId="23"/>
      <sheetData sheetId="24" refreshError="1"/>
      <sheetData sheetId="25" refreshError="1"/>
      <sheetData sheetId="26" refreshError="1"/>
      <sheetData sheetId="27">
        <row r="29">
          <cell r="G29">
            <v>1.3410051135671597</v>
          </cell>
        </row>
        <row r="30">
          <cell r="G30">
            <v>6.4739192393257454</v>
          </cell>
        </row>
        <row r="31">
          <cell r="G31">
            <v>9.0379078734692193</v>
          </cell>
        </row>
      </sheetData>
      <sheetData sheetId="28">
        <row r="22">
          <cell r="B22">
            <v>7.4874374999999986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10A3-F18E-4826-972C-A1812F0C4164}">
  <sheetPr>
    <tabColor rgb="FF92D050"/>
    <pageSetUpPr fitToPage="1"/>
  </sheetPr>
  <dimension ref="A1:N299"/>
  <sheetViews>
    <sheetView tabSelected="1" view="pageBreakPreview" zoomScaleNormal="100" zoomScaleSheetLayoutView="100" workbookViewId="0">
      <selection activeCell="N69" sqref="N69"/>
    </sheetView>
  </sheetViews>
  <sheetFormatPr defaultColWidth="11.44140625" defaultRowHeight="13.8" x14ac:dyDescent="0.3"/>
  <cols>
    <col min="1" max="1" width="13.33203125" style="18" customWidth="1"/>
    <col min="2" max="3" width="11.44140625" style="18"/>
    <col min="4" max="4" width="2" style="18" customWidth="1"/>
    <col min="5" max="5" width="10.33203125" style="18" customWidth="1"/>
    <col min="6" max="12" width="11.44140625" style="18"/>
    <col min="13" max="13" width="4" style="18" customWidth="1"/>
    <col min="14" max="14" width="34.33203125" style="18" customWidth="1"/>
    <col min="15" max="16384" width="11.44140625" style="18"/>
  </cols>
  <sheetData>
    <row r="1" spans="1:14" s="3" customFormat="1" x14ac:dyDescent="0.3">
      <c r="A1" s="1" t="s">
        <v>0</v>
      </c>
      <c r="B1" s="1"/>
      <c r="C1" s="2"/>
      <c r="F1" s="4"/>
      <c r="G1" s="5" t="s">
        <v>1</v>
      </c>
      <c r="H1" s="6"/>
      <c r="I1" s="5"/>
      <c r="J1" s="4"/>
      <c r="K1" s="5"/>
      <c r="L1" s="4"/>
      <c r="N1" s="7" t="s">
        <v>2</v>
      </c>
    </row>
    <row r="2" spans="1:14" s="3" customFormat="1" x14ac:dyDescent="0.3">
      <c r="A2" s="8"/>
      <c r="B2" s="8"/>
      <c r="C2" s="8"/>
      <c r="D2" s="8"/>
      <c r="E2" s="9"/>
      <c r="F2" s="10"/>
      <c r="G2" s="9"/>
      <c r="H2" s="10"/>
      <c r="I2" s="9"/>
      <c r="J2" s="10"/>
      <c r="K2" s="9"/>
      <c r="L2" s="10"/>
      <c r="M2" s="9"/>
      <c r="N2" s="9"/>
    </row>
    <row r="3" spans="1:14" s="3" customFormat="1" x14ac:dyDescent="0.3">
      <c r="A3" s="1" t="s">
        <v>3</v>
      </c>
      <c r="B3" s="1"/>
      <c r="C3" s="1"/>
      <c r="D3" s="1"/>
      <c r="E3" s="7" t="s">
        <v>4</v>
      </c>
      <c r="F3" s="11" t="s">
        <v>5</v>
      </c>
      <c r="H3" s="12"/>
      <c r="I3" s="5"/>
      <c r="J3" s="4"/>
      <c r="K3" s="5"/>
      <c r="L3" s="4"/>
      <c r="N3" s="3" t="s">
        <v>6</v>
      </c>
    </row>
    <row r="4" spans="1:14" s="3" customFormat="1" x14ac:dyDescent="0.3">
      <c r="F4" s="11" t="s">
        <v>7</v>
      </c>
      <c r="H4" s="4"/>
      <c r="I4" s="5"/>
      <c r="J4" s="4"/>
      <c r="K4" s="5"/>
      <c r="L4" s="4"/>
      <c r="N4" s="1" t="s">
        <v>8</v>
      </c>
    </row>
    <row r="5" spans="1:14" s="3" customFormat="1" x14ac:dyDescent="0.3">
      <c r="A5" s="1" t="s">
        <v>9</v>
      </c>
      <c r="B5" s="1"/>
      <c r="C5" s="1"/>
      <c r="D5" s="1"/>
      <c r="F5" s="13" t="s">
        <v>10</v>
      </c>
      <c r="H5" s="4"/>
      <c r="I5" s="5"/>
      <c r="J5" s="4"/>
      <c r="K5" s="5"/>
      <c r="L5" s="4"/>
      <c r="N5" s="1" t="s">
        <v>11</v>
      </c>
    </row>
    <row r="6" spans="1:14" s="3" customFormat="1" x14ac:dyDescent="0.3">
      <c r="F6" s="11" t="s">
        <v>12</v>
      </c>
      <c r="H6" s="4"/>
      <c r="I6" s="5"/>
      <c r="J6" s="4"/>
      <c r="K6" s="5"/>
      <c r="L6" s="4"/>
      <c r="N6" s="1" t="s">
        <v>13</v>
      </c>
    </row>
    <row r="7" spans="1:14" s="3" customFormat="1" x14ac:dyDescent="0.3">
      <c r="A7" s="1" t="s">
        <v>14</v>
      </c>
      <c r="B7" s="14" t="s">
        <v>15</v>
      </c>
      <c r="F7" s="5" t="s">
        <v>16</v>
      </c>
      <c r="H7" s="15"/>
      <c r="I7" s="5"/>
      <c r="J7" s="15"/>
      <c r="K7" s="5"/>
      <c r="L7" s="15"/>
    </row>
    <row r="8" spans="1:14" s="3" customFormat="1" x14ac:dyDescent="0.3">
      <c r="A8" s="1"/>
      <c r="B8" s="1"/>
      <c r="C8" s="1"/>
      <c r="D8" s="1"/>
      <c r="F8" s="16" t="s">
        <v>17</v>
      </c>
      <c r="H8" s="17"/>
      <c r="J8" s="17"/>
      <c r="L8" s="17"/>
      <c r="N8" s="1" t="s">
        <v>18</v>
      </c>
    </row>
    <row r="9" spans="1:14" s="3" customFormat="1" x14ac:dyDescent="0.3">
      <c r="A9" s="1"/>
      <c r="B9" s="1"/>
      <c r="C9" s="1"/>
      <c r="D9" s="1"/>
      <c r="F9" s="18" t="s">
        <v>19</v>
      </c>
      <c r="H9" s="17"/>
      <c r="J9" s="17"/>
      <c r="L9" s="17"/>
    </row>
    <row r="10" spans="1:14" s="3" customFormat="1" x14ac:dyDescent="0.3">
      <c r="A10" s="1"/>
      <c r="B10" s="1"/>
      <c r="C10" s="1"/>
      <c r="D10" s="1"/>
      <c r="F10" s="18" t="s">
        <v>20</v>
      </c>
      <c r="H10" s="17"/>
      <c r="J10" s="17"/>
      <c r="L10" s="17"/>
    </row>
    <row r="11" spans="1:14" x14ac:dyDescent="0.3">
      <c r="F11" s="18" t="s">
        <v>21</v>
      </c>
    </row>
    <row r="12" spans="1:14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6" spans="1:14" x14ac:dyDescent="0.3">
      <c r="B16" s="18" t="s">
        <v>22</v>
      </c>
    </row>
    <row r="17" spans="2:4" x14ac:dyDescent="0.3">
      <c r="B17" s="18" t="s">
        <v>23</v>
      </c>
    </row>
    <row r="19" spans="2:4" x14ac:dyDescent="0.3">
      <c r="B19" s="18" t="s">
        <v>24</v>
      </c>
    </row>
    <row r="21" spans="2:4" x14ac:dyDescent="0.3">
      <c r="D21" s="18" t="s">
        <v>25</v>
      </c>
    </row>
    <row r="23" spans="2:4" x14ac:dyDescent="0.3">
      <c r="D23" s="18" t="s">
        <v>26</v>
      </c>
    </row>
    <row r="25" spans="2:4" x14ac:dyDescent="0.3">
      <c r="D25" s="18" t="s">
        <v>27</v>
      </c>
    </row>
    <row r="27" spans="2:4" x14ac:dyDescent="0.3">
      <c r="D27" s="18" t="s">
        <v>28</v>
      </c>
    </row>
    <row r="29" spans="2:4" x14ac:dyDescent="0.3">
      <c r="D29" s="18" t="s">
        <v>29</v>
      </c>
    </row>
    <row r="31" spans="2:4" x14ac:dyDescent="0.3">
      <c r="D31" s="18" t="s">
        <v>30</v>
      </c>
    </row>
    <row r="33" spans="1:14" x14ac:dyDescent="0.3">
      <c r="D33" s="18" t="s">
        <v>31</v>
      </c>
    </row>
    <row r="35" spans="1:14" x14ac:dyDescent="0.3">
      <c r="D35" s="18" t="s">
        <v>32</v>
      </c>
    </row>
    <row r="36" spans="1:14" x14ac:dyDescent="0.3">
      <c r="F36" s="18" t="s">
        <v>33</v>
      </c>
    </row>
    <row r="40" spans="1:14" x14ac:dyDescent="0.3">
      <c r="A40" s="20" t="s">
        <v>34</v>
      </c>
      <c r="B40" s="21"/>
      <c r="C40" s="20"/>
      <c r="D40" s="20"/>
      <c r="E40" s="20"/>
      <c r="F40" s="22"/>
      <c r="G40" s="20"/>
      <c r="H40" s="23"/>
      <c r="I40" s="20"/>
      <c r="J40" s="20"/>
      <c r="K40" s="20"/>
      <c r="L40" s="22"/>
      <c r="M40" s="20"/>
      <c r="N40" s="23" t="s">
        <v>35</v>
      </c>
    </row>
    <row r="299" spans="9:9" x14ac:dyDescent="0.3">
      <c r="I299" s="18" t="s">
        <v>36</v>
      </c>
    </row>
  </sheetData>
  <pageMargins left="0.5" right="0.5" top="0.75" bottom="0.25" header="0.5" footer="0.25"/>
  <pageSetup scale="76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963A-29E8-4D4F-96BD-74B254636E86}">
  <sheetPr>
    <tabColor theme="7" tint="-0.499984740745262"/>
    <pageSetUpPr fitToPage="1"/>
  </sheetPr>
  <dimension ref="A1:AC281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4.4" x14ac:dyDescent="0.3"/>
  <cols>
    <col min="1" max="1" width="4.6640625" style="156" customWidth="1"/>
    <col min="2" max="2" width="1.33203125" style="125" customWidth="1"/>
    <col min="3" max="3" width="4.6640625" style="125" customWidth="1"/>
    <col min="4" max="4" width="10.44140625" style="125" customWidth="1"/>
    <col min="5" max="5" width="18" style="125" customWidth="1"/>
    <col min="6" max="6" width="3.88671875" style="125" customWidth="1"/>
    <col min="7" max="7" width="10.6640625" style="125" bestFit="1" customWidth="1"/>
    <col min="8" max="8" width="11" style="125" bestFit="1" customWidth="1"/>
    <col min="9" max="11" width="10.6640625" style="125" bestFit="1" customWidth="1"/>
    <col min="12" max="12" width="10.44140625" style="125" bestFit="1" customWidth="1"/>
    <col min="13" max="13" width="35" style="125" bestFit="1" customWidth="1"/>
    <col min="14" max="14" width="10.44140625" style="125" customWidth="1"/>
    <col min="15" max="23" width="0.5546875" style="125" customWidth="1"/>
    <col min="24" max="24" width="8.33203125" style="125" customWidth="1"/>
    <col min="25" max="28" width="8.33203125" style="126" customWidth="1"/>
    <col min="29" max="29" width="1.33203125" style="141" customWidth="1"/>
    <col min="30" max="16384" width="9.109375" style="126"/>
  </cols>
  <sheetData>
    <row r="1" spans="1:29" x14ac:dyDescent="0.3">
      <c r="A1" s="123" t="s">
        <v>244</v>
      </c>
      <c r="B1" s="124"/>
      <c r="C1" s="124"/>
      <c r="AC1" s="127"/>
    </row>
    <row r="2" spans="1:29" x14ac:dyDescent="0.3">
      <c r="A2" s="378">
        <v>2025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9"/>
    </row>
    <row r="3" spans="1:29" x14ac:dyDescent="0.3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132"/>
      <c r="O3" s="131"/>
      <c r="P3" s="133"/>
      <c r="Q3" s="131"/>
      <c r="R3" s="131"/>
      <c r="S3" s="131"/>
      <c r="T3" s="131"/>
      <c r="U3" s="131"/>
      <c r="V3" s="131"/>
      <c r="W3" s="131"/>
      <c r="X3" s="131"/>
      <c r="AC3" s="129"/>
    </row>
    <row r="4" spans="1:29" x14ac:dyDescent="0.3">
      <c r="A4" s="134"/>
      <c r="B4" s="131"/>
      <c r="C4" s="131"/>
      <c r="D4" s="135"/>
      <c r="E4" s="131"/>
      <c r="F4" s="131"/>
      <c r="G4" s="131"/>
      <c r="H4" s="131"/>
      <c r="I4" s="131"/>
      <c r="J4" s="131"/>
      <c r="K4" s="131"/>
      <c r="L4" s="134"/>
      <c r="M4" s="30" t="s">
        <v>37</v>
      </c>
      <c r="N4" s="131"/>
      <c r="O4" s="134"/>
      <c r="P4" s="131"/>
      <c r="Q4" s="131"/>
      <c r="R4" s="131"/>
      <c r="S4" s="131"/>
      <c r="T4" s="131"/>
      <c r="U4" s="131"/>
      <c r="V4" s="131"/>
      <c r="W4" s="131"/>
      <c r="X4" s="131"/>
      <c r="AC4" s="129"/>
    </row>
    <row r="5" spans="1:29" x14ac:dyDescent="0.3">
      <c r="A5" s="134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33" t="str">
        <f>"DOCKET NO.  " &amp; +"20240025-EI"</f>
        <v>DOCKET NO.  20240025-EI</v>
      </c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4" t="s">
        <v>245</v>
      </c>
      <c r="AC5" s="136" t="s">
        <v>245</v>
      </c>
    </row>
    <row r="6" spans="1:29" x14ac:dyDescent="0.3">
      <c r="A6" s="134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3" t="s">
        <v>38</v>
      </c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AC6" s="129"/>
    </row>
    <row r="7" spans="1:29" x14ac:dyDescent="0.3">
      <c r="A7" s="134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30" t="s">
        <v>246</v>
      </c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AC7" s="129"/>
    </row>
    <row r="8" spans="1:29" x14ac:dyDescent="0.3">
      <c r="A8" s="134"/>
      <c r="B8" s="131"/>
      <c r="C8" s="137"/>
      <c r="D8" s="131"/>
      <c r="E8" s="131"/>
      <c r="F8" s="131"/>
      <c r="G8" s="131"/>
      <c r="H8" s="131"/>
      <c r="I8" s="131"/>
      <c r="J8" s="131"/>
      <c r="K8" s="131"/>
      <c r="L8" s="134"/>
      <c r="M8" s="79" t="s">
        <v>293</v>
      </c>
      <c r="N8" s="131"/>
      <c r="O8" s="134"/>
      <c r="P8" s="131"/>
      <c r="Q8" s="131"/>
      <c r="R8" s="131"/>
      <c r="S8" s="131"/>
      <c r="T8" s="131"/>
      <c r="U8" s="131"/>
      <c r="V8" s="131"/>
      <c r="W8" s="131"/>
      <c r="X8" s="131"/>
      <c r="AC8" s="129"/>
    </row>
    <row r="9" spans="1:29" ht="15.6" x14ac:dyDescent="0.3">
      <c r="A9" s="138" t="s">
        <v>248</v>
      </c>
      <c r="B9" s="139"/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37" t="s">
        <v>8</v>
      </c>
      <c r="N9" s="82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9" ht="15.6" x14ac:dyDescent="0.3">
      <c r="A10" s="142"/>
      <c r="B10" s="279"/>
      <c r="C10" s="27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82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9" ht="15.6" x14ac:dyDescent="0.3">
      <c r="A11" s="142"/>
      <c r="B11" s="279"/>
      <c r="C11" s="279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82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9" ht="15.6" x14ac:dyDescent="0.3">
      <c r="A12" s="375" t="s">
        <v>249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82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9" x14ac:dyDescent="0.3">
      <c r="A13" s="143"/>
      <c r="B13" s="109"/>
      <c r="C13" s="109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AC13" s="127"/>
    </row>
    <row r="14" spans="1:29" x14ac:dyDescent="0.3">
      <c r="A14" s="144"/>
      <c r="B14" s="145"/>
      <c r="C14" s="145"/>
      <c r="D14" s="376">
        <v>-1</v>
      </c>
      <c r="E14" s="376"/>
      <c r="F14" s="146"/>
      <c r="G14" s="278">
        <f>+D14-1</f>
        <v>-2</v>
      </c>
      <c r="H14" s="278">
        <f t="shared" ref="H14:M14" si="0">+G14-1</f>
        <v>-3</v>
      </c>
      <c r="I14" s="278">
        <f t="shared" si="0"/>
        <v>-4</v>
      </c>
      <c r="J14" s="278">
        <f t="shared" si="0"/>
        <v>-5</v>
      </c>
      <c r="K14" s="278">
        <f t="shared" si="0"/>
        <v>-6</v>
      </c>
      <c r="L14" s="278">
        <f t="shared" si="0"/>
        <v>-7</v>
      </c>
      <c r="M14" s="278">
        <f t="shared" si="0"/>
        <v>-8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9" x14ac:dyDescent="0.3">
      <c r="A15" s="147"/>
      <c r="B15" s="148"/>
      <c r="C15" s="148"/>
      <c r="D15" s="148"/>
      <c r="E15" s="148"/>
      <c r="F15" s="148"/>
      <c r="G15" s="148"/>
      <c r="H15" s="149"/>
      <c r="I15" s="148"/>
      <c r="J15" s="149"/>
      <c r="K15" s="78"/>
      <c r="L15" s="78"/>
      <c r="M15" s="78"/>
      <c r="N15" s="14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9" ht="27.6" x14ac:dyDescent="0.3">
      <c r="A16" s="147"/>
      <c r="B16" s="148"/>
      <c r="C16" s="148"/>
      <c r="D16" s="148"/>
      <c r="E16" s="148"/>
      <c r="F16" s="148"/>
      <c r="G16" s="149" t="s">
        <v>250</v>
      </c>
      <c r="H16" s="150" t="s">
        <v>102</v>
      </c>
      <c r="I16" s="151" t="s">
        <v>251</v>
      </c>
      <c r="J16" s="149" t="s">
        <v>252</v>
      </c>
      <c r="K16" s="151" t="s">
        <v>250</v>
      </c>
      <c r="L16" s="151" t="s">
        <v>253</v>
      </c>
      <c r="M16" s="152" t="s">
        <v>254</v>
      </c>
      <c r="N16" s="14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x14ac:dyDescent="0.3">
      <c r="A17" s="153" t="s">
        <v>54</v>
      </c>
      <c r="B17" s="154"/>
      <c r="C17" s="154"/>
      <c r="D17" s="155"/>
      <c r="E17" s="155"/>
      <c r="F17" s="155"/>
      <c r="G17" s="172" t="s">
        <v>255</v>
      </c>
      <c r="H17" s="173"/>
      <c r="I17" s="173" t="s">
        <v>101</v>
      </c>
      <c r="J17" s="173" t="s">
        <v>99</v>
      </c>
      <c r="K17" s="173" t="s">
        <v>256</v>
      </c>
      <c r="L17" s="173"/>
      <c r="M17" s="8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x14ac:dyDescent="0.3">
      <c r="A18" s="156">
        <v>1</v>
      </c>
      <c r="D18"/>
      <c r="E18"/>
      <c r="F18"/>
      <c r="G18"/>
      <c r="H18"/>
      <c r="I18"/>
      <c r="J18"/>
      <c r="K18"/>
      <c r="L18"/>
      <c r="M18"/>
    </row>
    <row r="19" spans="1:24" ht="15" thickBot="1" x14ac:dyDescent="0.35">
      <c r="D19" s="316" t="s">
        <v>257</v>
      </c>
      <c r="E19" s="316"/>
      <c r="F19" s="316"/>
      <c r="G19" s="316"/>
      <c r="H19" s="316"/>
      <c r="I19" s="316"/>
      <c r="J19" s="316"/>
      <c r="K19" s="316"/>
      <c r="L19" s="316"/>
      <c r="M19" s="316"/>
      <c r="N19" s="131"/>
    </row>
    <row r="20" spans="1:24" x14ac:dyDescent="0.3">
      <c r="D20"/>
      <c r="E20"/>
      <c r="F20" s="317"/>
      <c r="G20" s="177">
        <v>605607611.79054081</v>
      </c>
      <c r="H20" s="177">
        <v>324992574.67419642</v>
      </c>
      <c r="I20" s="177">
        <v>647674386.48249424</v>
      </c>
      <c r="J20" s="177">
        <v>0</v>
      </c>
      <c r="K20" s="177">
        <v>294780012.18141949</v>
      </c>
      <c r="L20" s="177">
        <v>-31412433.653000951</v>
      </c>
      <c r="M20" s="178">
        <v>1841642151.4756498</v>
      </c>
      <c r="N20" s="131"/>
    </row>
    <row r="21" spans="1:24" x14ac:dyDescent="0.3">
      <c r="A21" s="156">
        <v>2</v>
      </c>
      <c r="D21"/>
      <c r="E21"/>
      <c r="F21" s="317"/>
      <c r="G21" s="318"/>
      <c r="H21" s="318"/>
      <c r="I21" s="318"/>
      <c r="J21" s="318"/>
      <c r="K21" s="318"/>
      <c r="L21" s="318"/>
      <c r="M21" s="317"/>
      <c r="N21" s="131"/>
    </row>
    <row r="22" spans="1:24" ht="15" thickBot="1" x14ac:dyDescent="0.35">
      <c r="D22" s="316" t="s">
        <v>258</v>
      </c>
      <c r="E22" s="316"/>
      <c r="F22" s="316"/>
      <c r="G22" s="316"/>
      <c r="H22" s="316"/>
      <c r="I22" s="316"/>
      <c r="J22" s="316"/>
      <c r="K22" s="316"/>
      <c r="L22" s="316"/>
      <c r="M22" s="316"/>
      <c r="N22" s="131"/>
    </row>
    <row r="23" spans="1:24" x14ac:dyDescent="0.3">
      <c r="D23"/>
      <c r="E23"/>
      <c r="F23" s="317"/>
      <c r="G23" s="319" t="s">
        <v>259</v>
      </c>
      <c r="H23" s="319" t="s">
        <v>260</v>
      </c>
      <c r="I23" s="319" t="s">
        <v>261</v>
      </c>
      <c r="J23" s="319" t="s">
        <v>261</v>
      </c>
      <c r="K23" s="319" t="s">
        <v>262</v>
      </c>
      <c r="L23" s="319" t="s">
        <v>263</v>
      </c>
      <c r="M23"/>
      <c r="N23" s="131"/>
    </row>
    <row r="24" spans="1:24" ht="15.6" x14ac:dyDescent="0.3">
      <c r="A24" s="156">
        <v>3</v>
      </c>
      <c r="D24"/>
      <c r="E24"/>
      <c r="F24" s="317"/>
      <c r="G24" s="318"/>
      <c r="H24" s="318"/>
      <c r="I24" s="318"/>
      <c r="J24" s="318"/>
      <c r="K24" s="318"/>
      <c r="L24" s="318"/>
      <c r="M24" s="317"/>
      <c r="N24" s="82"/>
    </row>
    <row r="25" spans="1:24" ht="16.2" thickBot="1" x14ac:dyDescent="0.35">
      <c r="A25" s="156">
        <v>4</v>
      </c>
      <c r="D25" s="316" t="s">
        <v>264</v>
      </c>
      <c r="E25" s="316"/>
      <c r="F25" s="316"/>
      <c r="G25" s="316"/>
      <c r="H25" s="316"/>
      <c r="I25" s="316"/>
      <c r="J25" s="316"/>
      <c r="K25" s="316"/>
      <c r="L25" s="316"/>
      <c r="M25" s="316"/>
      <c r="N25" s="82"/>
    </row>
    <row r="26" spans="1:24" ht="15.6" x14ac:dyDescent="0.3">
      <c r="A26" s="156">
        <v>5</v>
      </c>
      <c r="D26">
        <v>1</v>
      </c>
      <c r="E26" t="s">
        <v>265</v>
      </c>
      <c r="F26" s="320"/>
      <c r="G26" s="321">
        <v>2.490299254061072</v>
      </c>
      <c r="H26" s="321">
        <v>1.6447207459538091</v>
      </c>
      <c r="I26" s="321">
        <v>1.679985104055159</v>
      </c>
      <c r="J26" s="321">
        <v>1.679985104055159</v>
      </c>
      <c r="K26" s="321">
        <v>1.3622293597931883</v>
      </c>
      <c r="L26" s="321">
        <v>1</v>
      </c>
      <c r="M26" s="317"/>
      <c r="N26" s="82"/>
    </row>
    <row r="27" spans="1:24" ht="15.6" x14ac:dyDescent="0.3">
      <c r="A27" s="156">
        <v>6</v>
      </c>
      <c r="D27">
        <v>2</v>
      </c>
      <c r="E27" t="s">
        <v>266</v>
      </c>
      <c r="F27" s="320"/>
      <c r="G27" s="321">
        <v>0.78203961486374551</v>
      </c>
      <c r="H27" s="321">
        <v>0.96960809507935608</v>
      </c>
      <c r="I27" s="321">
        <v>0.96774178609498318</v>
      </c>
      <c r="J27" s="321">
        <v>0.96774178609498318</v>
      </c>
      <c r="K27" s="321">
        <v>0.99944772468847709</v>
      </c>
      <c r="L27" s="321">
        <v>1</v>
      </c>
      <c r="M27" s="317"/>
      <c r="N27" s="82"/>
    </row>
    <row r="28" spans="1:24" x14ac:dyDescent="0.3">
      <c r="A28" s="156">
        <v>7</v>
      </c>
      <c r="D28">
        <v>3</v>
      </c>
      <c r="E28" t="s">
        <v>267</v>
      </c>
      <c r="F28" s="320"/>
      <c r="G28" s="321">
        <v>0.52989903387328763</v>
      </c>
      <c r="H28" s="321">
        <v>0.55449388383653153</v>
      </c>
      <c r="I28" s="321">
        <v>0.48625107454688149</v>
      </c>
      <c r="J28" s="321">
        <v>0.48625107454688149</v>
      </c>
      <c r="K28" s="321">
        <v>0.79790281105090721</v>
      </c>
      <c r="L28" s="321">
        <v>1</v>
      </c>
      <c r="M28" s="317"/>
      <c r="N28" s="78"/>
    </row>
    <row r="29" spans="1:24" x14ac:dyDescent="0.3">
      <c r="A29" s="156">
        <v>8</v>
      </c>
      <c r="D29">
        <v>4</v>
      </c>
      <c r="E29" t="s">
        <v>136</v>
      </c>
      <c r="F29" s="320"/>
      <c r="G29" s="321">
        <v>0</v>
      </c>
      <c r="H29" s="321">
        <v>0</v>
      </c>
      <c r="I29" s="321">
        <v>0</v>
      </c>
      <c r="J29" s="321">
        <v>0</v>
      </c>
      <c r="K29" s="321">
        <v>0</v>
      </c>
      <c r="L29" s="321">
        <v>0</v>
      </c>
      <c r="M29" s="317"/>
      <c r="N29" s="78"/>
    </row>
    <row r="30" spans="1:24" x14ac:dyDescent="0.3">
      <c r="D30">
        <v>5</v>
      </c>
      <c r="E30" t="s">
        <v>136</v>
      </c>
      <c r="F30" s="320"/>
      <c r="G30" s="321">
        <v>0</v>
      </c>
      <c r="H30" s="321">
        <v>0</v>
      </c>
      <c r="I30" s="321">
        <v>0</v>
      </c>
      <c r="J30" s="321">
        <v>0</v>
      </c>
      <c r="K30" s="321">
        <v>0</v>
      </c>
      <c r="L30" s="321">
        <v>0</v>
      </c>
      <c r="M30" s="317"/>
      <c r="N30" s="148"/>
    </row>
    <row r="31" spans="1:24" x14ac:dyDescent="0.3">
      <c r="D31">
        <v>6</v>
      </c>
      <c r="E31" t="s">
        <v>136</v>
      </c>
      <c r="F31" s="320"/>
      <c r="G31" s="321">
        <v>0</v>
      </c>
      <c r="H31" s="321">
        <v>0</v>
      </c>
      <c r="I31" s="321">
        <v>0</v>
      </c>
      <c r="J31" s="321">
        <v>0</v>
      </c>
      <c r="K31" s="321">
        <v>0</v>
      </c>
      <c r="L31" s="321">
        <v>0</v>
      </c>
      <c r="M31" s="317"/>
    </row>
    <row r="32" spans="1:24" x14ac:dyDescent="0.3">
      <c r="A32" s="156">
        <v>9</v>
      </c>
      <c r="D32"/>
      <c r="E32"/>
      <c r="F32" s="317"/>
      <c r="G32" s="318"/>
      <c r="H32" s="318"/>
      <c r="I32" s="318"/>
      <c r="J32" s="318"/>
      <c r="K32" s="318"/>
      <c r="L32" s="318"/>
      <c r="M32" s="317"/>
    </row>
    <row r="33" spans="1:27" ht="15" thickBot="1" x14ac:dyDescent="0.35">
      <c r="A33" s="156">
        <v>10</v>
      </c>
      <c r="D33" s="316" t="s">
        <v>268</v>
      </c>
      <c r="E33" s="316"/>
      <c r="F33" s="316"/>
      <c r="G33" s="316"/>
      <c r="H33" s="316"/>
      <c r="I33" s="316"/>
      <c r="J33" s="316"/>
      <c r="K33" s="316"/>
      <c r="L33" s="316"/>
      <c r="M33" s="316"/>
    </row>
    <row r="34" spans="1:27" x14ac:dyDescent="0.3">
      <c r="A34" s="156">
        <v>11</v>
      </c>
      <c r="D34">
        <v>1</v>
      </c>
      <c r="E34" t="s">
        <v>265</v>
      </c>
      <c r="F34" s="320"/>
      <c r="G34" s="322"/>
      <c r="H34" s="323"/>
      <c r="I34" s="318"/>
      <c r="J34" s="318"/>
      <c r="K34" s="318"/>
      <c r="L34" s="318"/>
      <c r="M34" s="177">
        <v>3256201758.4854269</v>
      </c>
      <c r="N34" s="131"/>
    </row>
    <row r="35" spans="1:27" x14ac:dyDescent="0.3">
      <c r="A35" s="156">
        <v>12</v>
      </c>
      <c r="D35">
        <v>2</v>
      </c>
      <c r="E35" t="s">
        <v>266</v>
      </c>
      <c r="F35" s="320"/>
      <c r="G35" s="322"/>
      <c r="H35" s="322"/>
      <c r="I35" s="322"/>
      <c r="J35" s="322"/>
      <c r="K35" s="322"/>
      <c r="L35" s="322"/>
      <c r="M35" s="177">
        <v>14213580284.313305</v>
      </c>
      <c r="N35" s="131"/>
    </row>
    <row r="36" spans="1:27" x14ac:dyDescent="0.3">
      <c r="A36" s="156">
        <v>13</v>
      </c>
      <c r="D36">
        <v>3</v>
      </c>
      <c r="E36" t="s">
        <v>267</v>
      </c>
      <c r="F36" s="320"/>
      <c r="G36" s="322"/>
      <c r="H36" s="322"/>
      <c r="I36" s="322"/>
      <c r="J36" s="322"/>
      <c r="K36" s="322"/>
      <c r="L36" s="322"/>
      <c r="M36" s="177">
        <v>3417357957.2012858</v>
      </c>
      <c r="N36" s="131"/>
    </row>
    <row r="37" spans="1:27" x14ac:dyDescent="0.3">
      <c r="A37" s="156">
        <v>14</v>
      </c>
      <c r="D37">
        <v>4</v>
      </c>
      <c r="E37" t="s">
        <v>136</v>
      </c>
      <c r="F37" s="320"/>
      <c r="G37" s="322"/>
      <c r="H37" s="322"/>
      <c r="I37" s="322"/>
      <c r="J37" s="322"/>
      <c r="K37" s="322"/>
      <c r="L37" s="322"/>
      <c r="M37" s="177">
        <v>0</v>
      </c>
      <c r="N37" s="131"/>
    </row>
    <row r="38" spans="1:27" x14ac:dyDescent="0.3">
      <c r="D38">
        <v>5</v>
      </c>
      <c r="E38" t="s">
        <v>136</v>
      </c>
      <c r="F38" s="320"/>
      <c r="G38" s="322"/>
      <c r="H38" s="322"/>
      <c r="I38" s="322"/>
      <c r="J38" s="322"/>
      <c r="K38" s="322"/>
      <c r="L38" s="322"/>
      <c r="M38" s="177">
        <v>0</v>
      </c>
      <c r="N38" s="131"/>
    </row>
    <row r="39" spans="1:27" ht="15.6" x14ac:dyDescent="0.3">
      <c r="D39">
        <v>6</v>
      </c>
      <c r="E39" t="s">
        <v>136</v>
      </c>
      <c r="F39" s="320"/>
      <c r="G39" s="322"/>
      <c r="H39" s="322"/>
      <c r="I39" s="322"/>
      <c r="J39" s="322"/>
      <c r="K39" s="322"/>
      <c r="L39" s="322"/>
      <c r="M39" s="177">
        <v>0</v>
      </c>
      <c r="N39" s="82"/>
    </row>
    <row r="40" spans="1:27" ht="15.6" x14ac:dyDescent="0.3">
      <c r="A40" s="156">
        <v>15</v>
      </c>
      <c r="D40"/>
      <c r="E40"/>
      <c r="F40" s="317"/>
      <c r="G40" s="318"/>
      <c r="H40" s="318"/>
      <c r="I40" s="318"/>
      <c r="J40" s="318"/>
      <c r="K40" s="318"/>
      <c r="L40" s="318"/>
      <c r="M40" s="317"/>
      <c r="N40" s="82"/>
    </row>
    <row r="41" spans="1:27" ht="16.2" thickBot="1" x14ac:dyDescent="0.35">
      <c r="D41" s="316" t="s">
        <v>269</v>
      </c>
      <c r="E41" s="316"/>
      <c r="F41" s="316"/>
      <c r="G41" s="316"/>
      <c r="H41" s="316"/>
      <c r="I41" s="316"/>
      <c r="J41" s="316"/>
      <c r="K41" s="316"/>
      <c r="L41" s="316"/>
      <c r="M41" s="316"/>
      <c r="N41" s="82"/>
    </row>
    <row r="42" spans="1:27" ht="15.6" x14ac:dyDescent="0.3">
      <c r="D42"/>
      <c r="E42"/>
      <c r="F42" s="317"/>
      <c r="G42" s="324">
        <v>2.8789988604800837E-3</v>
      </c>
      <c r="H42" s="324">
        <v>1.5452254412727691E-3</v>
      </c>
      <c r="I42" s="324">
        <v>3.1008284833753908E-3</v>
      </c>
      <c r="J42" s="324">
        <v>0</v>
      </c>
      <c r="K42" s="324">
        <v>1.3795302823544733E-3</v>
      </c>
      <c r="L42" s="324">
        <v>-1.5039126301159912E-4</v>
      </c>
      <c r="M42" s="317"/>
      <c r="N42" s="82"/>
    </row>
    <row r="43" spans="1:27" x14ac:dyDescent="0.3">
      <c r="A43" s="156">
        <v>16</v>
      </c>
      <c r="D43"/>
      <c r="E43"/>
      <c r="F43" s="317"/>
      <c r="G43" s="318"/>
      <c r="H43" s="318"/>
      <c r="I43" s="318"/>
      <c r="J43" s="318"/>
      <c r="K43" s="318"/>
      <c r="L43" s="318"/>
      <c r="M43" s="317"/>
      <c r="N43" s="78"/>
    </row>
    <row r="44" spans="1:27" ht="15" thickBot="1" x14ac:dyDescent="0.35">
      <c r="A44" s="156">
        <v>17</v>
      </c>
      <c r="D44" s="316" t="s">
        <v>270</v>
      </c>
      <c r="E44" s="316"/>
      <c r="F44" s="316"/>
      <c r="G44" s="316"/>
      <c r="H44" s="316"/>
      <c r="I44" s="316"/>
      <c r="J44" s="316"/>
      <c r="K44" s="316"/>
      <c r="L44" s="316"/>
      <c r="M44" s="316"/>
      <c r="N44" s="78"/>
      <c r="Z44" s="126" t="s">
        <v>271</v>
      </c>
    </row>
    <row r="45" spans="1:27" x14ac:dyDescent="0.3">
      <c r="A45" s="156">
        <v>18</v>
      </c>
      <c r="D45">
        <v>1</v>
      </c>
      <c r="E45" t="s">
        <v>265</v>
      </c>
      <c r="F45" s="325"/>
      <c r="G45" s="324">
        <v>7.1695687146962287E-3</v>
      </c>
      <c r="H45" s="324">
        <v>2.5414643404369527E-3</v>
      </c>
      <c r="I45" s="324">
        <v>5.2093456623006065E-3</v>
      </c>
      <c r="J45" s="324">
        <v>0</v>
      </c>
      <c r="K45" s="324">
        <v>1.8792366533470503E-3</v>
      </c>
      <c r="L45" s="324">
        <v>-1.5039126301159912E-4</v>
      </c>
      <c r="M45" s="326">
        <v>1.6649224107769239E-2</v>
      </c>
      <c r="N45" s="148"/>
      <c r="X45" s="168">
        <f>M45/M46</f>
        <v>2.0866480209759763</v>
      </c>
      <c r="Z45" s="168">
        <v>1.35</v>
      </c>
      <c r="AA45" s="327">
        <v>12.51266744291876</v>
      </c>
    </row>
    <row r="46" spans="1:27" x14ac:dyDescent="0.3">
      <c r="A46" s="156">
        <v>19</v>
      </c>
      <c r="D46">
        <v>2</v>
      </c>
      <c r="E46" t="s">
        <v>266</v>
      </c>
      <c r="F46" s="325"/>
      <c r="G46" s="324">
        <v>2.2514911600430071E-3</v>
      </c>
      <c r="H46" s="324">
        <v>1.498263096580647E-3</v>
      </c>
      <c r="I46" s="324">
        <v>3.0008012948758984E-3</v>
      </c>
      <c r="J46" s="324">
        <v>0</v>
      </c>
      <c r="K46" s="324">
        <v>1.3787684018380306E-3</v>
      </c>
      <c r="L46" s="324">
        <v>-1.5039126301159912E-4</v>
      </c>
      <c r="M46" s="326">
        <v>7.978932690325985E-3</v>
      </c>
      <c r="X46" s="168">
        <f>M46/M46</f>
        <v>1</v>
      </c>
      <c r="Z46" s="168">
        <v>1</v>
      </c>
      <c r="AA46" s="327">
        <v>9.2686425503101901</v>
      </c>
    </row>
    <row r="47" spans="1:27" x14ac:dyDescent="0.3">
      <c r="A47" s="156">
        <v>20</v>
      </c>
      <c r="D47">
        <v>3</v>
      </c>
      <c r="E47" t="s">
        <v>267</v>
      </c>
      <c r="F47" s="325"/>
      <c r="G47" s="324">
        <v>1.5255787146906924E-3</v>
      </c>
      <c r="H47" s="324">
        <v>8.5681805633435598E-4</v>
      </c>
      <c r="I47" s="324">
        <v>1.5077811820268607E-3</v>
      </c>
      <c r="J47" s="324">
        <v>0</v>
      </c>
      <c r="K47" s="324">
        <v>1.100731090220486E-3</v>
      </c>
      <c r="L47" s="324">
        <v>-1.5039126301159912E-4</v>
      </c>
      <c r="M47" s="326">
        <v>4.840517780260796E-3</v>
      </c>
      <c r="X47" s="168">
        <f>M47/M46</f>
        <v>0.60666231539083626</v>
      </c>
      <c r="Z47" s="168">
        <f>X47</f>
        <v>0.60666231539083626</v>
      </c>
      <c r="AA47" s="327">
        <v>5.6229361501012063</v>
      </c>
    </row>
    <row r="48" spans="1:27" x14ac:dyDescent="0.3">
      <c r="A48" s="156">
        <v>21</v>
      </c>
      <c r="D48">
        <v>4</v>
      </c>
      <c r="E48" t="s">
        <v>136</v>
      </c>
      <c r="F48" s="325"/>
      <c r="G48" s="324">
        <v>0</v>
      </c>
      <c r="H48" s="324">
        <v>0</v>
      </c>
      <c r="I48" s="324">
        <v>0</v>
      </c>
      <c r="J48" s="324">
        <v>0</v>
      </c>
      <c r="K48" s="324">
        <v>0</v>
      </c>
      <c r="L48" s="324">
        <v>0</v>
      </c>
      <c r="M48" s="328">
        <v>0</v>
      </c>
    </row>
    <row r="49" spans="1:29" x14ac:dyDescent="0.3">
      <c r="D49">
        <v>5</v>
      </c>
      <c r="E49" t="s">
        <v>136</v>
      </c>
      <c r="F49" s="325"/>
      <c r="G49" s="324">
        <v>0</v>
      </c>
      <c r="H49" s="324">
        <v>0</v>
      </c>
      <c r="I49" s="324">
        <v>0</v>
      </c>
      <c r="J49" s="324">
        <v>0</v>
      </c>
      <c r="K49" s="324">
        <v>0</v>
      </c>
      <c r="L49" s="324">
        <v>0</v>
      </c>
      <c r="M49" s="328">
        <v>0</v>
      </c>
      <c r="N49" s="131"/>
    </row>
    <row r="50" spans="1:29" x14ac:dyDescent="0.3">
      <c r="D50">
        <v>6</v>
      </c>
      <c r="E50" t="s">
        <v>136</v>
      </c>
      <c r="F50" s="325"/>
      <c r="G50" s="324">
        <v>0</v>
      </c>
      <c r="H50" s="324">
        <v>0</v>
      </c>
      <c r="I50" s="324">
        <v>0</v>
      </c>
      <c r="J50" s="324">
        <v>0</v>
      </c>
      <c r="K50" s="324">
        <v>0</v>
      </c>
      <c r="L50" s="324">
        <v>0</v>
      </c>
      <c r="M50" s="328">
        <v>0</v>
      </c>
      <c r="N50" s="131"/>
    </row>
    <row r="51" spans="1:29" x14ac:dyDescent="0.3">
      <c r="A51" s="156">
        <v>22</v>
      </c>
      <c r="D51"/>
      <c r="E51"/>
      <c r="F51" s="317"/>
      <c r="G51" s="318"/>
      <c r="H51" s="318"/>
      <c r="I51" s="318"/>
      <c r="J51" s="318"/>
      <c r="K51" s="318"/>
      <c r="L51" s="318"/>
      <c r="M51" s="317"/>
      <c r="N51" s="131"/>
    </row>
    <row r="52" spans="1:29" ht="15" thickBot="1" x14ac:dyDescent="0.35">
      <c r="A52" s="156">
        <v>23</v>
      </c>
      <c r="D52" s="316" t="s">
        <v>272</v>
      </c>
      <c r="E52" s="316"/>
      <c r="F52" s="316"/>
      <c r="G52" s="316"/>
      <c r="H52" s="316"/>
      <c r="I52" s="316"/>
      <c r="J52" s="316"/>
      <c r="K52" s="316"/>
      <c r="L52" s="316"/>
      <c r="M52" s="316"/>
      <c r="N52" s="131"/>
    </row>
    <row r="53" spans="1:29" x14ac:dyDescent="0.3">
      <c r="D53"/>
      <c r="E53" t="s">
        <v>273</v>
      </c>
      <c r="F53" s="317"/>
      <c r="G53" s="329">
        <v>605607611.79054081</v>
      </c>
      <c r="H53" s="329">
        <v>324992574.67419642</v>
      </c>
      <c r="I53" s="329">
        <v>647674386.48249412</v>
      </c>
      <c r="J53" s="329">
        <v>0</v>
      </c>
      <c r="K53" s="329">
        <v>294780012.18141949</v>
      </c>
      <c r="L53" s="329">
        <v>-31412433.653000951</v>
      </c>
      <c r="M53" s="330">
        <v>1841642151.4756503</v>
      </c>
      <c r="N53" s="131"/>
    </row>
    <row r="54" spans="1:29" x14ac:dyDescent="0.3">
      <c r="D54" s="126"/>
      <c r="E54" s="126" t="s">
        <v>274</v>
      </c>
      <c r="F54" s="158"/>
      <c r="G54" s="159" t="b">
        <v>1</v>
      </c>
      <c r="H54" s="159" t="b">
        <v>1</v>
      </c>
      <c r="I54" s="159" t="b">
        <v>1</v>
      </c>
      <c r="J54" s="159" t="b">
        <v>1</v>
      </c>
      <c r="K54" s="159" t="b">
        <v>1</v>
      </c>
      <c r="L54" s="159" t="b">
        <v>1</v>
      </c>
      <c r="M54" s="159" t="b">
        <v>1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</row>
    <row r="55" spans="1:29" ht="15" thickBot="1" x14ac:dyDescent="0.35">
      <c r="A55" s="170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</row>
    <row r="56" spans="1:29" x14ac:dyDescent="0.3">
      <c r="A56" s="134"/>
      <c r="B56" s="131"/>
      <c r="C56" s="131"/>
      <c r="D56" s="135"/>
      <c r="E56" s="131"/>
      <c r="F56" s="131"/>
      <c r="G56" s="131"/>
      <c r="H56" s="131"/>
      <c r="I56" s="131"/>
      <c r="J56" s="131"/>
      <c r="K56" s="131"/>
      <c r="L56" s="134"/>
      <c r="M56" s="30" t="s">
        <v>37</v>
      </c>
      <c r="N56" s="131"/>
      <c r="O56" s="134"/>
      <c r="P56" s="131"/>
      <c r="Q56" s="131"/>
      <c r="R56" s="131"/>
      <c r="S56" s="131"/>
      <c r="T56" s="131"/>
      <c r="U56" s="131"/>
      <c r="V56" s="131"/>
      <c r="W56" s="131"/>
      <c r="X56" s="131"/>
      <c r="AC56" s="129"/>
    </row>
    <row r="57" spans="1:29" x14ac:dyDescent="0.3">
      <c r="A57" s="134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33" t="str">
        <f>M5</f>
        <v>DOCKET NO.  20240025-EI</v>
      </c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4" t="s">
        <v>245</v>
      </c>
      <c r="AC57" s="136" t="s">
        <v>245</v>
      </c>
    </row>
    <row r="58" spans="1:29" x14ac:dyDescent="0.3">
      <c r="A58" s="134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33" t="s">
        <v>38</v>
      </c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AC58" s="129"/>
    </row>
    <row r="59" spans="1:29" x14ac:dyDescent="0.3">
      <c r="A59" s="134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30" t="s">
        <v>246</v>
      </c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AC59" s="129"/>
    </row>
    <row r="60" spans="1:29" x14ac:dyDescent="0.3">
      <c r="A60" s="134"/>
      <c r="B60" s="131"/>
      <c r="C60" s="137"/>
      <c r="D60" s="131"/>
      <c r="E60" s="131"/>
      <c r="F60" s="131"/>
      <c r="G60" s="131"/>
      <c r="H60" s="131"/>
      <c r="I60" s="131"/>
      <c r="J60" s="131"/>
      <c r="K60" s="131"/>
      <c r="L60" s="134"/>
      <c r="M60" s="79" t="s">
        <v>294</v>
      </c>
      <c r="N60" s="131"/>
      <c r="O60" s="134"/>
      <c r="P60" s="131"/>
      <c r="Q60" s="131"/>
      <c r="R60" s="131"/>
      <c r="S60" s="131"/>
      <c r="T60" s="131"/>
      <c r="U60" s="131"/>
      <c r="V60" s="131"/>
      <c r="W60" s="131"/>
      <c r="X60" s="131"/>
      <c r="AC60" s="129"/>
    </row>
    <row r="61" spans="1:29" ht="15.6" x14ac:dyDescent="0.3">
      <c r="A61" s="138" t="s">
        <v>248</v>
      </c>
      <c r="B61" s="139"/>
      <c r="C61" s="139"/>
      <c r="D61" s="140"/>
      <c r="E61" s="140"/>
      <c r="F61" s="140"/>
      <c r="G61" s="140"/>
      <c r="H61" s="140"/>
      <c r="I61" s="140"/>
      <c r="J61" s="140"/>
      <c r="K61" s="140"/>
      <c r="L61" s="140"/>
      <c r="M61" s="37" t="s">
        <v>8</v>
      </c>
      <c r="N61" s="82"/>
      <c r="O61" s="83"/>
      <c r="P61" s="83"/>
      <c r="Q61" s="83"/>
      <c r="R61" s="83"/>
      <c r="S61" s="83"/>
      <c r="T61" s="83"/>
      <c r="U61" s="83"/>
      <c r="V61" s="83"/>
      <c r="W61" s="83"/>
      <c r="X61" s="83"/>
    </row>
    <row r="62" spans="1:29" ht="15.6" x14ac:dyDescent="0.3">
      <c r="A62" s="142"/>
      <c r="B62" s="279"/>
      <c r="C62" s="279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82"/>
      <c r="O62" s="83"/>
      <c r="P62" s="83"/>
      <c r="Q62" s="83"/>
      <c r="R62" s="83"/>
      <c r="S62" s="83"/>
      <c r="T62" s="83"/>
      <c r="U62" s="83"/>
      <c r="V62" s="83"/>
      <c r="W62" s="83"/>
      <c r="X62" s="83"/>
    </row>
    <row r="63" spans="1:29" ht="15.6" x14ac:dyDescent="0.3">
      <c r="A63" s="142"/>
      <c r="B63" s="279"/>
      <c r="C63" s="27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82"/>
      <c r="O63" s="83"/>
      <c r="P63" s="83"/>
      <c r="Q63" s="83"/>
      <c r="R63" s="83"/>
      <c r="S63" s="83"/>
      <c r="T63" s="83"/>
      <c r="U63" s="83"/>
      <c r="V63" s="83"/>
      <c r="W63" s="83"/>
      <c r="X63" s="83"/>
    </row>
    <row r="64" spans="1:29" ht="15.6" x14ac:dyDescent="0.3">
      <c r="A64" s="375" t="s">
        <v>276</v>
      </c>
      <c r="B64" s="375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82"/>
      <c r="O64" s="83"/>
      <c r="P64" s="83"/>
      <c r="Q64" s="83"/>
      <c r="R64" s="83"/>
      <c r="S64" s="83"/>
      <c r="T64" s="83"/>
      <c r="U64" s="83"/>
      <c r="V64" s="83"/>
      <c r="W64" s="83"/>
      <c r="X64" s="83"/>
    </row>
    <row r="65" spans="1:24" x14ac:dyDescent="0.3">
      <c r="A65" s="143"/>
      <c r="B65" s="109"/>
      <c r="C65" s="109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spans="1:24" x14ac:dyDescent="0.3">
      <c r="A66" s="144"/>
      <c r="B66" s="145"/>
      <c r="C66" s="145"/>
      <c r="D66" s="376">
        <v>-1</v>
      </c>
      <c r="E66" s="376"/>
      <c r="F66" s="146"/>
      <c r="G66" s="278">
        <f>+D66-1</f>
        <v>-2</v>
      </c>
      <c r="H66" s="278">
        <f t="shared" ref="H66:M66" si="1">+G66-1</f>
        <v>-3</v>
      </c>
      <c r="I66" s="278">
        <f t="shared" si="1"/>
        <v>-4</v>
      </c>
      <c r="J66" s="278">
        <f t="shared" si="1"/>
        <v>-5</v>
      </c>
      <c r="K66" s="278">
        <f t="shared" si="1"/>
        <v>-6</v>
      </c>
      <c r="L66" s="278">
        <f t="shared" si="1"/>
        <v>-7</v>
      </c>
      <c r="M66" s="278">
        <f t="shared" si="1"/>
        <v>-8</v>
      </c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x14ac:dyDescent="0.3">
      <c r="A67" s="147"/>
      <c r="B67" s="148"/>
      <c r="C67" s="148"/>
      <c r="D67" s="148"/>
      <c r="E67" s="148"/>
      <c r="F67" s="148"/>
      <c r="G67" s="148"/>
      <c r="H67" s="149"/>
      <c r="I67" s="148"/>
      <c r="J67" s="149"/>
      <c r="K67" s="78"/>
      <c r="L67" s="78"/>
      <c r="M67" s="78"/>
      <c r="N67" s="148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spans="1:24" ht="27.6" x14ac:dyDescent="0.3">
      <c r="A68" s="147"/>
      <c r="B68" s="148"/>
      <c r="C68" s="148"/>
      <c r="D68" s="148"/>
      <c r="E68" s="148"/>
      <c r="F68" s="148"/>
      <c r="G68" s="149" t="s">
        <v>250</v>
      </c>
      <c r="H68" s="150" t="s">
        <v>102</v>
      </c>
      <c r="I68" s="151" t="s">
        <v>251</v>
      </c>
      <c r="J68" s="149" t="s">
        <v>252</v>
      </c>
      <c r="K68" s="151" t="s">
        <v>250</v>
      </c>
      <c r="L68" s="151" t="s">
        <v>253</v>
      </c>
      <c r="M68" s="152" t="s">
        <v>254</v>
      </c>
      <c r="N68" s="148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spans="1:24" x14ac:dyDescent="0.3">
      <c r="A69" s="153" t="s">
        <v>54</v>
      </c>
      <c r="B69" s="154"/>
      <c r="C69" s="154"/>
      <c r="D69" s="155"/>
      <c r="E69" s="155"/>
      <c r="F69" s="155"/>
      <c r="G69" s="172" t="s">
        <v>255</v>
      </c>
      <c r="H69" s="173"/>
      <c r="I69" s="173" t="s">
        <v>101</v>
      </c>
      <c r="J69" s="173" t="s">
        <v>99</v>
      </c>
      <c r="K69" s="173" t="s">
        <v>256</v>
      </c>
      <c r="L69" s="173"/>
      <c r="M69" s="88"/>
      <c r="N69" s="151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spans="1:24" ht="15" thickBot="1" x14ac:dyDescent="0.35">
      <c r="D70" s="157" t="s">
        <v>257</v>
      </c>
      <c r="E70" s="157"/>
      <c r="F70" s="157"/>
      <c r="G70" s="157"/>
      <c r="H70" s="157"/>
      <c r="I70" s="157"/>
      <c r="J70" s="157"/>
      <c r="K70" s="157"/>
      <c r="L70" s="157"/>
      <c r="M70" s="157"/>
      <c r="N70" s="151"/>
    </row>
    <row r="71" spans="1:24" x14ac:dyDescent="0.3">
      <c r="A71" s="156">
        <v>1</v>
      </c>
      <c r="D71" s="126"/>
      <c r="E71" s="126"/>
      <c r="F71" s="158"/>
      <c r="G71" s="159">
        <v>3143732.5226685312</v>
      </c>
      <c r="H71" s="159">
        <v>1687049.0177762497</v>
      </c>
      <c r="I71" s="159">
        <v>3491139.4225231907</v>
      </c>
      <c r="J71" s="159">
        <v>0</v>
      </c>
      <c r="K71" s="159">
        <v>1866158.7279685445</v>
      </c>
      <c r="L71" s="159">
        <v>1057299.7664574569</v>
      </c>
      <c r="M71" s="160">
        <v>11245379.457393972</v>
      </c>
      <c r="N71" s="151"/>
      <c r="X71" s="174"/>
    </row>
    <row r="72" spans="1:24" x14ac:dyDescent="0.3">
      <c r="D72" s="126"/>
      <c r="E72" s="126"/>
      <c r="F72" s="158"/>
      <c r="G72" s="161"/>
      <c r="H72" s="161"/>
      <c r="I72" s="161"/>
      <c r="J72" s="161"/>
      <c r="K72" s="161"/>
      <c r="L72" s="161"/>
      <c r="M72" s="158"/>
      <c r="N72" s="151"/>
      <c r="X72" s="174"/>
    </row>
    <row r="73" spans="1:24" ht="15" thickBot="1" x14ac:dyDescent="0.35">
      <c r="D73" s="157" t="s">
        <v>258</v>
      </c>
      <c r="E73" s="157"/>
      <c r="F73" s="157"/>
      <c r="G73" s="157"/>
      <c r="H73" s="157"/>
      <c r="I73" s="157"/>
      <c r="J73" s="157"/>
      <c r="K73" s="157"/>
      <c r="L73" s="157"/>
      <c r="M73" s="157"/>
      <c r="N73" s="151"/>
    </row>
    <row r="74" spans="1:24" x14ac:dyDescent="0.3">
      <c r="A74" s="156">
        <v>2</v>
      </c>
      <c r="D74" s="126"/>
      <c r="E74" s="126"/>
      <c r="F74" s="158"/>
      <c r="G74" s="162" t="s">
        <v>259</v>
      </c>
      <c r="H74" s="162" t="s">
        <v>260</v>
      </c>
      <c r="I74" s="162" t="s">
        <v>261</v>
      </c>
      <c r="J74" s="162" t="s">
        <v>261</v>
      </c>
      <c r="K74" s="162" t="s">
        <v>262</v>
      </c>
      <c r="L74" s="162" t="s">
        <v>263</v>
      </c>
      <c r="M74" s="126"/>
      <c r="N74" s="151"/>
      <c r="X74" s="174"/>
    </row>
    <row r="75" spans="1:24" x14ac:dyDescent="0.3">
      <c r="D75" s="126"/>
      <c r="E75" s="126"/>
      <c r="F75" s="158"/>
      <c r="G75" s="161"/>
      <c r="H75" s="161"/>
      <c r="I75" s="161"/>
      <c r="J75" s="161"/>
      <c r="K75" s="161"/>
      <c r="L75" s="161"/>
      <c r="M75" s="158"/>
      <c r="N75" s="151"/>
      <c r="X75" s="174"/>
    </row>
    <row r="76" spans="1:24" ht="15" thickBot="1" x14ac:dyDescent="0.35">
      <c r="D76" s="157" t="s">
        <v>264</v>
      </c>
      <c r="E76" s="157"/>
      <c r="F76" s="157"/>
      <c r="G76" s="157"/>
      <c r="H76" s="157"/>
      <c r="I76" s="157"/>
      <c r="J76" s="157"/>
      <c r="K76" s="157"/>
      <c r="L76" s="157"/>
      <c r="M76" s="157"/>
      <c r="N76" s="151"/>
    </row>
    <row r="77" spans="1:24" x14ac:dyDescent="0.3">
      <c r="A77" s="156">
        <v>3</v>
      </c>
      <c r="D77" s="126">
        <v>1</v>
      </c>
      <c r="E77" s="126" t="s">
        <v>265</v>
      </c>
      <c r="F77" s="163"/>
      <c r="G77" s="164">
        <v>2.490299254061072</v>
      </c>
      <c r="H77" s="164">
        <v>1.6447207459538091</v>
      </c>
      <c r="I77" s="164">
        <v>0.85753774971865815</v>
      </c>
      <c r="J77" s="164">
        <v>0.85753774971865815</v>
      </c>
      <c r="K77" s="175">
        <v>1.3622293597931883</v>
      </c>
      <c r="L77" s="164">
        <v>1</v>
      </c>
      <c r="M77" s="158"/>
      <c r="N77" s="151"/>
      <c r="X77" s="174"/>
    </row>
    <row r="78" spans="1:24" x14ac:dyDescent="0.3">
      <c r="A78" s="156">
        <v>4</v>
      </c>
      <c r="D78" s="126">
        <v>2</v>
      </c>
      <c r="E78" s="126" t="s">
        <v>266</v>
      </c>
      <c r="F78" s="163"/>
      <c r="G78" s="164">
        <v>0.78203961486374551</v>
      </c>
      <c r="H78" s="164">
        <v>0.96960809507935608</v>
      </c>
      <c r="I78" s="164">
        <v>1.1225175683621031</v>
      </c>
      <c r="J78" s="164">
        <v>1.1225175683621031</v>
      </c>
      <c r="K78" s="175">
        <v>0.99944772468847709</v>
      </c>
      <c r="L78" s="164">
        <v>1</v>
      </c>
      <c r="M78" s="158"/>
      <c r="N78" s="151"/>
      <c r="X78" s="174"/>
    </row>
    <row r="79" spans="1:24" x14ac:dyDescent="0.3">
      <c r="A79" s="156">
        <v>5</v>
      </c>
      <c r="D79" s="126">
        <v>3</v>
      </c>
      <c r="E79" s="126" t="s">
        <v>277</v>
      </c>
      <c r="F79" s="163"/>
      <c r="G79" s="164">
        <v>0.52989903387328763</v>
      </c>
      <c r="H79" s="164">
        <v>0.55449388383653153</v>
      </c>
      <c r="I79" s="164">
        <v>0.59336797534990238</v>
      </c>
      <c r="J79" s="164">
        <v>0.59336797534990238</v>
      </c>
      <c r="K79" s="175">
        <v>0.79790281105090721</v>
      </c>
      <c r="L79" s="164">
        <v>1</v>
      </c>
      <c r="M79" s="158"/>
      <c r="N79" s="151"/>
      <c r="X79" s="174"/>
    </row>
    <row r="80" spans="1:24" x14ac:dyDescent="0.3">
      <c r="A80" s="156">
        <v>6</v>
      </c>
      <c r="D80" s="126">
        <v>4</v>
      </c>
      <c r="E80" s="126" t="s">
        <v>136</v>
      </c>
      <c r="F80" s="163"/>
      <c r="G80" s="164">
        <v>0</v>
      </c>
      <c r="H80" s="164">
        <v>0</v>
      </c>
      <c r="I80" s="164">
        <v>0</v>
      </c>
      <c r="J80" s="164">
        <v>0</v>
      </c>
      <c r="K80" s="164">
        <v>0</v>
      </c>
      <c r="L80" s="164">
        <v>0</v>
      </c>
      <c r="M80" s="158"/>
      <c r="N80" s="151"/>
      <c r="X80" s="174"/>
    </row>
    <row r="81" spans="1:27" x14ac:dyDescent="0.3">
      <c r="A81" s="156">
        <v>7</v>
      </c>
      <c r="D81" s="126">
        <v>5</v>
      </c>
      <c r="E81" s="126" t="s">
        <v>136</v>
      </c>
      <c r="F81" s="163"/>
      <c r="G81" s="164">
        <v>0</v>
      </c>
      <c r="H81" s="164">
        <v>0</v>
      </c>
      <c r="I81" s="164">
        <v>0</v>
      </c>
      <c r="J81" s="164">
        <v>0</v>
      </c>
      <c r="K81" s="164">
        <v>0</v>
      </c>
      <c r="L81" s="164">
        <v>0</v>
      </c>
      <c r="M81" s="158"/>
      <c r="N81" s="151"/>
      <c r="X81" s="174"/>
    </row>
    <row r="82" spans="1:27" x14ac:dyDescent="0.3">
      <c r="A82" s="156">
        <v>8</v>
      </c>
      <c r="D82" s="126">
        <v>6</v>
      </c>
      <c r="E82" s="126" t="s">
        <v>136</v>
      </c>
      <c r="F82" s="163"/>
      <c r="G82" s="164">
        <v>0</v>
      </c>
      <c r="H82" s="164">
        <v>0</v>
      </c>
      <c r="I82" s="164">
        <v>0</v>
      </c>
      <c r="J82" s="164">
        <v>0</v>
      </c>
      <c r="K82" s="164">
        <v>0</v>
      </c>
      <c r="L82" s="164">
        <v>0</v>
      </c>
      <c r="M82" s="158"/>
      <c r="N82" s="151"/>
      <c r="X82" s="174"/>
    </row>
    <row r="83" spans="1:27" x14ac:dyDescent="0.3">
      <c r="D83" s="126"/>
      <c r="E83" s="126"/>
      <c r="F83" s="158"/>
      <c r="G83" s="161"/>
      <c r="H83" s="161"/>
      <c r="I83" s="161"/>
      <c r="J83" s="161"/>
      <c r="K83" s="161"/>
      <c r="L83" s="161"/>
      <c r="M83" s="158"/>
      <c r="N83" s="151"/>
      <c r="X83" s="174"/>
    </row>
    <row r="84" spans="1:27" ht="15" thickBot="1" x14ac:dyDescent="0.35">
      <c r="D84" s="157" t="s">
        <v>287</v>
      </c>
      <c r="E84" s="157"/>
      <c r="F84" s="157"/>
      <c r="G84" s="157"/>
      <c r="H84" s="157"/>
      <c r="I84" s="157"/>
      <c r="J84" s="157"/>
      <c r="K84" s="157"/>
      <c r="L84" s="157"/>
      <c r="M84" s="157"/>
      <c r="N84" s="151"/>
    </row>
    <row r="85" spans="1:27" x14ac:dyDescent="0.3">
      <c r="A85" s="156">
        <v>9</v>
      </c>
      <c r="D85" s="126">
        <v>1</v>
      </c>
      <c r="E85" s="126" t="s">
        <v>265</v>
      </c>
      <c r="F85" s="163"/>
      <c r="G85" s="161"/>
      <c r="H85" s="165"/>
      <c r="I85" s="161"/>
      <c r="J85" s="161"/>
      <c r="K85" s="161"/>
      <c r="L85" s="161"/>
      <c r="M85" s="159">
        <v>17864229.672384597</v>
      </c>
      <c r="N85" s="151"/>
      <c r="X85" s="174"/>
    </row>
    <row r="86" spans="1:27" x14ac:dyDescent="0.3">
      <c r="A86" s="156">
        <v>10</v>
      </c>
      <c r="D86" s="126">
        <v>2</v>
      </c>
      <c r="E86" s="126" t="s">
        <v>266</v>
      </c>
      <c r="F86" s="163"/>
      <c r="G86" s="161"/>
      <c r="H86" s="161"/>
      <c r="I86" s="161"/>
      <c r="J86" s="161"/>
      <c r="K86" s="161"/>
      <c r="L86" s="161"/>
      <c r="M86" s="159">
        <v>97974115.994540796</v>
      </c>
      <c r="N86" s="151"/>
      <c r="X86" s="174"/>
    </row>
    <row r="87" spans="1:27" x14ac:dyDescent="0.3">
      <c r="A87" s="156">
        <v>11</v>
      </c>
      <c r="D87" s="126">
        <v>3</v>
      </c>
      <c r="E87" s="126" t="s">
        <v>277</v>
      </c>
      <c r="F87" s="163"/>
      <c r="G87" s="161"/>
      <c r="H87" s="161"/>
      <c r="I87" s="161"/>
      <c r="J87" s="161"/>
      <c r="K87" s="161"/>
      <c r="L87" s="161"/>
      <c r="M87" s="159">
        <v>23260765.316126615</v>
      </c>
      <c r="N87" s="151"/>
      <c r="X87" s="174"/>
    </row>
    <row r="88" spans="1:27" x14ac:dyDescent="0.3">
      <c r="A88" s="156">
        <v>12</v>
      </c>
      <c r="D88" s="126">
        <v>4</v>
      </c>
      <c r="E88" s="126" t="s">
        <v>136</v>
      </c>
      <c r="F88" s="163"/>
      <c r="G88" s="161"/>
      <c r="H88" s="161"/>
      <c r="I88" s="161"/>
      <c r="J88" s="161"/>
      <c r="K88" s="161"/>
      <c r="L88" s="161"/>
      <c r="M88" s="159">
        <v>0</v>
      </c>
      <c r="N88" s="151"/>
      <c r="X88" s="174"/>
    </row>
    <row r="89" spans="1:27" x14ac:dyDescent="0.3">
      <c r="A89" s="156">
        <v>13</v>
      </c>
      <c r="D89" s="126">
        <v>5</v>
      </c>
      <c r="E89" s="126" t="s">
        <v>136</v>
      </c>
      <c r="F89" s="163"/>
      <c r="G89" s="161"/>
      <c r="H89" s="161"/>
      <c r="I89" s="161"/>
      <c r="J89" s="161"/>
      <c r="K89" s="161"/>
      <c r="L89" s="161"/>
      <c r="M89" s="159">
        <v>0</v>
      </c>
      <c r="N89" s="151"/>
      <c r="X89" s="174"/>
    </row>
    <row r="90" spans="1:27" x14ac:dyDescent="0.3">
      <c r="A90" s="156">
        <v>14</v>
      </c>
      <c r="D90" s="126">
        <v>6</v>
      </c>
      <c r="E90" s="126" t="s">
        <v>136</v>
      </c>
      <c r="F90" s="163"/>
      <c r="G90" s="161"/>
      <c r="H90" s="161"/>
      <c r="I90" s="161"/>
      <c r="J90" s="161"/>
      <c r="K90" s="161"/>
      <c r="L90" s="161"/>
      <c r="M90" s="159">
        <v>0</v>
      </c>
      <c r="N90" s="151"/>
      <c r="X90" s="174"/>
    </row>
    <row r="91" spans="1:27" x14ac:dyDescent="0.3">
      <c r="D91" s="126"/>
      <c r="E91" s="126"/>
      <c r="F91" s="158"/>
      <c r="G91" s="161"/>
      <c r="H91" s="161"/>
      <c r="I91" s="161"/>
      <c r="J91" s="161"/>
      <c r="K91" s="161"/>
      <c r="L91" s="161"/>
      <c r="M91" s="158"/>
      <c r="N91" s="151"/>
      <c r="X91" s="174"/>
    </row>
    <row r="92" spans="1:27" ht="15" thickBot="1" x14ac:dyDescent="0.35">
      <c r="D92" s="157" t="s">
        <v>269</v>
      </c>
      <c r="E92" s="157"/>
      <c r="F92" s="157"/>
      <c r="G92" s="157"/>
      <c r="H92" s="157"/>
      <c r="I92" s="157"/>
      <c r="J92" s="157"/>
      <c r="K92" s="157"/>
      <c r="L92" s="157"/>
      <c r="M92" s="157"/>
      <c r="N92" s="151"/>
    </row>
    <row r="93" spans="1:27" x14ac:dyDescent="0.3">
      <c r="A93" s="156">
        <v>15</v>
      </c>
      <c r="D93" s="126"/>
      <c r="E93" s="126"/>
      <c r="F93" s="158"/>
      <c r="G93" s="166">
        <v>2.3560422291777757E-3</v>
      </c>
      <c r="H93" s="166">
        <v>1.2289457567810724E-3</v>
      </c>
      <c r="I93" s="166">
        <v>2.5098215206771231E-3</v>
      </c>
      <c r="J93" s="166">
        <v>0</v>
      </c>
      <c r="K93" s="166">
        <v>1.3252554931377464E-3</v>
      </c>
      <c r="L93" s="166">
        <v>7.6010533711195268E-4</v>
      </c>
      <c r="M93" s="158"/>
      <c r="N93" s="151"/>
      <c r="X93" s="174"/>
    </row>
    <row r="94" spans="1:27" x14ac:dyDescent="0.3">
      <c r="D94" s="126"/>
      <c r="E94" s="126"/>
      <c r="F94" s="158"/>
      <c r="G94" s="161"/>
      <c r="H94" s="161"/>
      <c r="I94" s="161"/>
      <c r="J94" s="161"/>
      <c r="K94" s="161"/>
      <c r="L94" s="161"/>
      <c r="M94" s="158"/>
      <c r="N94" s="151"/>
      <c r="X94" s="174"/>
    </row>
    <row r="95" spans="1:27" ht="15" thickBot="1" x14ac:dyDescent="0.35">
      <c r="D95" s="157" t="s">
        <v>270</v>
      </c>
      <c r="E95" s="157"/>
      <c r="F95" s="157"/>
      <c r="G95" s="157"/>
      <c r="H95" s="157"/>
      <c r="I95" s="157"/>
      <c r="J95" s="157"/>
      <c r="K95" s="157"/>
      <c r="L95" s="157"/>
      <c r="M95" s="157"/>
      <c r="N95" s="151"/>
      <c r="Z95" s="126" t="s">
        <v>271</v>
      </c>
    </row>
    <row r="96" spans="1:27" x14ac:dyDescent="0.3">
      <c r="A96" s="156">
        <v>16</v>
      </c>
      <c r="D96" s="126">
        <v>1</v>
      </c>
      <c r="E96" s="126" t="s">
        <v>265</v>
      </c>
      <c r="F96" s="167"/>
      <c r="G96" s="166">
        <v>5.8672502058578005E-3</v>
      </c>
      <c r="H96" s="166">
        <v>2.0212725818297339E-3</v>
      </c>
      <c r="I96" s="166">
        <v>2.1522666990369207E-3</v>
      </c>
      <c r="J96" s="166">
        <v>0</v>
      </c>
      <c r="K96" s="166">
        <v>1.8053019419794383E-3</v>
      </c>
      <c r="L96" s="166">
        <v>7.6010533711195268E-4</v>
      </c>
      <c r="M96" s="176">
        <v>1.2606196765815847E-2</v>
      </c>
      <c r="N96" s="151"/>
      <c r="X96" s="168">
        <f>M96/M97</f>
        <v>1.5884700881875498</v>
      </c>
      <c r="Z96" s="168">
        <v>1.35</v>
      </c>
      <c r="AA96">
        <v>11.263540023034791</v>
      </c>
    </row>
    <row r="97" spans="1:29" x14ac:dyDescent="0.3">
      <c r="A97" s="156">
        <v>17</v>
      </c>
      <c r="D97" s="126">
        <v>2</v>
      </c>
      <c r="E97" s="126" t="s">
        <v>266</v>
      </c>
      <c r="F97" s="167"/>
      <c r="G97" s="166">
        <v>1.8425183575089081E-3</v>
      </c>
      <c r="H97" s="166">
        <v>1.1915957541883532E-3</v>
      </c>
      <c r="I97" s="166">
        <v>2.8173187504133604E-3</v>
      </c>
      <c r="J97" s="166">
        <v>0</v>
      </c>
      <c r="K97" s="166">
        <v>1.3245235872474262E-3</v>
      </c>
      <c r="L97" s="166">
        <v>7.6010533711195268E-4</v>
      </c>
      <c r="M97" s="176">
        <v>7.9360617864700014E-3</v>
      </c>
      <c r="X97" s="168">
        <f>M97/M97</f>
        <v>1</v>
      </c>
      <c r="Z97" s="168">
        <v>1</v>
      </c>
      <c r="AA97">
        <v>8.3433629800257698</v>
      </c>
    </row>
    <row r="98" spans="1:29" x14ac:dyDescent="0.3">
      <c r="A98" s="156">
        <v>18</v>
      </c>
      <c r="D98" s="126">
        <v>3</v>
      </c>
      <c r="E98" s="126" t="s">
        <v>277</v>
      </c>
      <c r="F98" s="167"/>
      <c r="G98" s="166">
        <v>1.2484645010059703E-3</v>
      </c>
      <c r="H98" s="166">
        <v>6.8144290570196231E-4</v>
      </c>
      <c r="I98" s="166">
        <v>1.4892477142137977E-3</v>
      </c>
      <c r="J98" s="166">
        <v>0</v>
      </c>
      <c r="K98" s="166">
        <v>1.0574250833352641E-3</v>
      </c>
      <c r="L98" s="166">
        <v>7.6010533711195268E-4</v>
      </c>
      <c r="M98" s="176">
        <v>5.2366855413689467E-3</v>
      </c>
      <c r="X98" s="168">
        <f>M98/M97</f>
        <v>0.65985947214988228</v>
      </c>
      <c r="Z98" s="168">
        <f>X98</f>
        <v>0.65985947214988228</v>
      </c>
      <c r="AA98">
        <v>5.5054470919546734</v>
      </c>
    </row>
    <row r="99" spans="1:29" x14ac:dyDescent="0.3">
      <c r="A99" s="156">
        <v>19</v>
      </c>
      <c r="D99" s="126">
        <v>4</v>
      </c>
      <c r="E99" s="126" t="s">
        <v>136</v>
      </c>
      <c r="F99" s="167"/>
      <c r="G99" s="166">
        <v>0</v>
      </c>
      <c r="H99" s="166">
        <v>0</v>
      </c>
      <c r="I99" s="166">
        <v>0</v>
      </c>
      <c r="J99" s="166">
        <v>0</v>
      </c>
      <c r="K99" s="166">
        <v>0</v>
      </c>
      <c r="L99" s="166">
        <v>0</v>
      </c>
      <c r="M99" s="169">
        <v>0</v>
      </c>
      <c r="X99" s="174"/>
    </row>
    <row r="100" spans="1:29" x14ac:dyDescent="0.3">
      <c r="A100" s="156">
        <v>20</v>
      </c>
      <c r="D100" s="126">
        <v>5</v>
      </c>
      <c r="E100" s="126" t="s">
        <v>136</v>
      </c>
      <c r="F100" s="167"/>
      <c r="G100" s="166">
        <v>0</v>
      </c>
      <c r="H100" s="166">
        <v>0</v>
      </c>
      <c r="I100" s="166">
        <v>0</v>
      </c>
      <c r="J100" s="166">
        <v>0</v>
      </c>
      <c r="K100" s="166">
        <v>0</v>
      </c>
      <c r="L100" s="166">
        <v>0</v>
      </c>
      <c r="M100" s="169">
        <v>0</v>
      </c>
      <c r="X100" s="174"/>
    </row>
    <row r="101" spans="1:29" x14ac:dyDescent="0.3">
      <c r="A101" s="156">
        <v>21</v>
      </c>
      <c r="D101" s="126">
        <v>6</v>
      </c>
      <c r="E101" s="126" t="s">
        <v>136</v>
      </c>
      <c r="F101" s="167"/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9">
        <v>0</v>
      </c>
      <c r="X101" s="174"/>
    </row>
    <row r="102" spans="1:29" x14ac:dyDescent="0.3">
      <c r="D102" s="126"/>
      <c r="E102" s="126"/>
      <c r="F102" s="158"/>
      <c r="G102" s="161"/>
      <c r="H102" s="161"/>
      <c r="I102" s="161"/>
      <c r="J102" s="161"/>
      <c r="K102" s="161"/>
      <c r="L102" s="161"/>
      <c r="M102" s="158"/>
      <c r="X102" s="174"/>
    </row>
    <row r="103" spans="1:29" ht="15" thickBot="1" x14ac:dyDescent="0.35">
      <c r="D103" s="157" t="s">
        <v>272</v>
      </c>
      <c r="E103" s="157"/>
      <c r="F103" s="157"/>
      <c r="G103" s="157"/>
      <c r="H103" s="157"/>
      <c r="I103" s="157"/>
      <c r="J103" s="157"/>
      <c r="K103" s="157"/>
      <c r="L103" s="157"/>
      <c r="M103" s="157"/>
    </row>
    <row r="104" spans="1:29" x14ac:dyDescent="0.3">
      <c r="A104" s="156">
        <v>22</v>
      </c>
      <c r="D104" s="126"/>
      <c r="E104" s="126" t="s">
        <v>273</v>
      </c>
      <c r="F104" s="158"/>
      <c r="G104" s="159">
        <v>3143732.5226685312</v>
      </c>
      <c r="H104" s="159">
        <v>1687049.0177762492</v>
      </c>
      <c r="I104" s="159">
        <v>3491139.4225231907</v>
      </c>
      <c r="J104" s="159">
        <v>0</v>
      </c>
      <c r="K104" s="159">
        <v>1866158.7279685442</v>
      </c>
      <c r="L104" s="159">
        <v>1057299.7664574564</v>
      </c>
      <c r="M104" s="160">
        <v>11245379.457393972</v>
      </c>
    </row>
    <row r="105" spans="1:29" x14ac:dyDescent="0.3">
      <c r="A105" s="156">
        <v>23</v>
      </c>
      <c r="D105" s="126"/>
      <c r="E105" s="126" t="s">
        <v>274</v>
      </c>
      <c r="F105" s="158"/>
      <c r="G105" s="159" t="b">
        <v>1</v>
      </c>
      <c r="H105" s="159" t="b">
        <v>1</v>
      </c>
      <c r="I105" s="159" t="b">
        <v>1</v>
      </c>
      <c r="J105" s="159" t="b">
        <v>1</v>
      </c>
      <c r="K105" s="159" t="b">
        <v>1</v>
      </c>
      <c r="L105" s="159" t="b">
        <v>1</v>
      </c>
      <c r="M105" s="159" t="b">
        <v>1</v>
      </c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</row>
    <row r="107" spans="1:29" ht="15" thickBot="1" x14ac:dyDescent="0.35">
      <c r="A107" s="170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0"/>
    </row>
    <row r="109" spans="1:29" x14ac:dyDescent="0.3">
      <c r="A109" s="134"/>
      <c r="B109" s="131"/>
      <c r="C109" s="131"/>
      <c r="D109" s="135"/>
      <c r="E109" s="131"/>
      <c r="F109" s="131"/>
      <c r="G109" s="131"/>
      <c r="H109" s="131"/>
      <c r="I109" s="131"/>
      <c r="J109" s="131"/>
      <c r="K109" s="131"/>
      <c r="L109" s="134"/>
      <c r="M109" s="30" t="s">
        <v>37</v>
      </c>
      <c r="N109" s="131"/>
      <c r="O109" s="134"/>
      <c r="P109" s="131"/>
      <c r="Q109" s="131"/>
      <c r="R109" s="131"/>
      <c r="S109" s="131"/>
      <c r="T109" s="131"/>
      <c r="U109" s="131"/>
      <c r="V109" s="131"/>
      <c r="W109" s="131"/>
      <c r="X109" s="131"/>
      <c r="AC109" s="129"/>
    </row>
    <row r="110" spans="1:29" x14ac:dyDescent="0.3">
      <c r="A110" s="134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33" t="str">
        <f>M57</f>
        <v>DOCKET NO.  20240025-EI</v>
      </c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4" t="s">
        <v>245</v>
      </c>
      <c r="AC110" s="136" t="s">
        <v>245</v>
      </c>
    </row>
    <row r="111" spans="1:29" x14ac:dyDescent="0.3">
      <c r="A111" s="134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33" t="s">
        <v>38</v>
      </c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AC111" s="129"/>
    </row>
    <row r="112" spans="1:29" x14ac:dyDescent="0.3">
      <c r="A112" s="134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30" t="s">
        <v>246</v>
      </c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AC112" s="129"/>
    </row>
    <row r="113" spans="1:29" x14ac:dyDescent="0.3">
      <c r="A113" s="134"/>
      <c r="B113" s="131"/>
      <c r="C113" s="137"/>
      <c r="D113" s="131"/>
      <c r="E113" s="131"/>
      <c r="F113" s="131"/>
      <c r="G113" s="131"/>
      <c r="H113" s="131"/>
      <c r="I113" s="131"/>
      <c r="J113" s="131"/>
      <c r="K113" s="131"/>
      <c r="L113" s="134"/>
      <c r="M113" s="79" t="s">
        <v>295</v>
      </c>
      <c r="N113" s="131"/>
      <c r="O113" s="134"/>
      <c r="P113" s="131"/>
      <c r="Q113" s="131"/>
      <c r="R113" s="131"/>
      <c r="S113" s="131"/>
      <c r="T113" s="131"/>
      <c r="U113" s="131"/>
      <c r="V113" s="131"/>
      <c r="W113" s="131"/>
      <c r="X113" s="131"/>
      <c r="AC113" s="129"/>
    </row>
    <row r="114" spans="1:29" ht="15.6" x14ac:dyDescent="0.3">
      <c r="A114" s="138" t="s">
        <v>248</v>
      </c>
      <c r="B114" s="139"/>
      <c r="C114" s="139"/>
      <c r="D114" s="140"/>
      <c r="E114" s="140"/>
      <c r="F114" s="140"/>
      <c r="G114" s="140"/>
      <c r="H114" s="140"/>
      <c r="I114" s="140"/>
      <c r="J114" s="140"/>
      <c r="K114" s="140"/>
      <c r="L114" s="140"/>
      <c r="M114" s="37" t="s">
        <v>8</v>
      </c>
      <c r="N114" s="82"/>
      <c r="O114" s="83"/>
      <c r="P114" s="83"/>
      <c r="Q114" s="83"/>
      <c r="R114" s="83"/>
      <c r="S114" s="83"/>
      <c r="T114" s="83"/>
      <c r="U114" s="83"/>
      <c r="V114" s="83"/>
      <c r="W114" s="83"/>
      <c r="X114" s="83"/>
    </row>
    <row r="115" spans="1:29" ht="15.6" x14ac:dyDescent="0.3">
      <c r="A115" s="142"/>
      <c r="B115" s="279"/>
      <c r="C115" s="279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82"/>
      <c r="O115" s="83"/>
      <c r="P115" s="83"/>
      <c r="Q115" s="83"/>
      <c r="R115" s="83"/>
      <c r="S115" s="83"/>
      <c r="T115" s="83"/>
      <c r="U115" s="83"/>
      <c r="V115" s="83"/>
      <c r="W115" s="83"/>
      <c r="X115" s="83"/>
    </row>
    <row r="116" spans="1:29" ht="15.6" x14ac:dyDescent="0.3">
      <c r="A116" s="142"/>
      <c r="B116" s="279"/>
      <c r="C116" s="279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82"/>
      <c r="O116" s="83"/>
      <c r="P116" s="83"/>
      <c r="Q116" s="83"/>
      <c r="R116" s="83"/>
      <c r="S116" s="83"/>
      <c r="T116" s="83"/>
      <c r="U116" s="83"/>
      <c r="V116" s="83"/>
      <c r="W116" s="83"/>
      <c r="X116" s="83"/>
    </row>
    <row r="117" spans="1:29" ht="15.6" x14ac:dyDescent="0.3">
      <c r="A117" s="375" t="s">
        <v>280</v>
      </c>
      <c r="B117" s="375"/>
      <c r="C117" s="375"/>
      <c r="D117" s="375"/>
      <c r="E117" s="375"/>
      <c r="F117" s="375"/>
      <c r="G117" s="375"/>
      <c r="H117" s="375"/>
      <c r="I117" s="375"/>
      <c r="J117" s="375"/>
      <c r="K117" s="375"/>
      <c r="L117" s="375"/>
      <c r="M117" s="375"/>
      <c r="N117" s="82"/>
      <c r="O117" s="83"/>
      <c r="P117" s="83"/>
      <c r="Q117" s="83"/>
      <c r="R117" s="83"/>
      <c r="S117" s="83"/>
      <c r="T117" s="83"/>
      <c r="U117" s="83"/>
      <c r="V117" s="83"/>
      <c r="W117" s="83"/>
      <c r="X117" s="83"/>
    </row>
    <row r="118" spans="1:29" x14ac:dyDescent="0.3">
      <c r="A118" s="143"/>
      <c r="B118" s="109"/>
      <c r="C118" s="109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</row>
    <row r="119" spans="1:29" x14ac:dyDescent="0.3">
      <c r="A119" s="144"/>
      <c r="B119" s="145"/>
      <c r="C119" s="145"/>
      <c r="D119" s="376">
        <v>-1</v>
      </c>
      <c r="E119" s="376"/>
      <c r="F119" s="146"/>
      <c r="G119" s="278">
        <f>+D119-1</f>
        <v>-2</v>
      </c>
      <c r="H119" s="278">
        <f t="shared" ref="H119:M119" si="2">+G119-1</f>
        <v>-3</v>
      </c>
      <c r="I119" s="278">
        <f t="shared" si="2"/>
        <v>-4</v>
      </c>
      <c r="J119" s="278">
        <f t="shared" si="2"/>
        <v>-5</v>
      </c>
      <c r="K119" s="278">
        <f t="shared" si="2"/>
        <v>-6</v>
      </c>
      <c r="L119" s="278">
        <f t="shared" si="2"/>
        <v>-7</v>
      </c>
      <c r="M119" s="278">
        <f t="shared" si="2"/>
        <v>-8</v>
      </c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</row>
    <row r="120" spans="1:29" x14ac:dyDescent="0.3">
      <c r="A120" s="147"/>
      <c r="B120" s="148"/>
      <c r="C120" s="148"/>
      <c r="D120" s="148"/>
      <c r="E120" s="148"/>
      <c r="F120" s="148"/>
      <c r="G120" s="148"/>
      <c r="H120" s="149"/>
      <c r="I120" s="148"/>
      <c r="J120" s="149"/>
      <c r="K120" s="78"/>
      <c r="L120" s="78"/>
      <c r="M120" s="78"/>
      <c r="N120" s="148"/>
      <c r="O120" s="78"/>
      <c r="P120" s="78"/>
      <c r="Q120" s="78"/>
      <c r="R120" s="78"/>
      <c r="S120" s="78"/>
      <c r="T120" s="78"/>
      <c r="U120" s="78"/>
      <c r="V120" s="78"/>
      <c r="W120" s="78"/>
      <c r="X120" s="78"/>
    </row>
    <row r="121" spans="1:29" ht="27.6" x14ac:dyDescent="0.3">
      <c r="A121" s="147"/>
      <c r="B121" s="148"/>
      <c r="C121" s="148"/>
      <c r="D121" s="148"/>
      <c r="E121" s="148"/>
      <c r="F121" s="148"/>
      <c r="G121" s="149" t="s">
        <v>250</v>
      </c>
      <c r="H121" s="150" t="s">
        <v>102</v>
      </c>
      <c r="I121" s="151" t="s">
        <v>251</v>
      </c>
      <c r="J121" s="149" t="s">
        <v>252</v>
      </c>
      <c r="K121" s="151" t="s">
        <v>250</v>
      </c>
      <c r="L121" s="151" t="s">
        <v>253</v>
      </c>
      <c r="M121" s="152" t="s">
        <v>254</v>
      </c>
      <c r="N121" s="148"/>
      <c r="O121" s="78"/>
      <c r="P121" s="78"/>
      <c r="Q121" s="78"/>
      <c r="R121" s="78"/>
      <c r="S121" s="78"/>
      <c r="T121" s="78"/>
      <c r="U121" s="78"/>
      <c r="V121" s="78"/>
      <c r="W121" s="78"/>
      <c r="X121" s="78"/>
    </row>
    <row r="122" spans="1:29" x14ac:dyDescent="0.3">
      <c r="A122" s="153" t="s">
        <v>54</v>
      </c>
      <c r="B122" s="154"/>
      <c r="C122" s="154"/>
      <c r="D122" s="155"/>
      <c r="E122" s="155"/>
      <c r="F122" s="155"/>
      <c r="G122" s="172" t="s">
        <v>255</v>
      </c>
      <c r="H122" s="172" t="s">
        <v>255</v>
      </c>
      <c r="I122" s="173" t="s">
        <v>101</v>
      </c>
      <c r="J122" s="173" t="s">
        <v>99</v>
      </c>
      <c r="K122" s="173" t="s">
        <v>256</v>
      </c>
      <c r="L122" s="173"/>
      <c r="M122" s="88"/>
      <c r="N122" s="131"/>
      <c r="O122" s="78"/>
      <c r="P122" s="78"/>
      <c r="Q122" s="78"/>
      <c r="R122" s="78"/>
      <c r="S122" s="78"/>
      <c r="T122" s="78"/>
      <c r="U122" s="78"/>
      <c r="V122" s="78"/>
      <c r="W122" s="78"/>
      <c r="X122" s="78"/>
    </row>
    <row r="123" spans="1:29" ht="15" thickBot="1" x14ac:dyDescent="0.35">
      <c r="D123" s="157" t="s">
        <v>257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131"/>
    </row>
    <row r="124" spans="1:29" x14ac:dyDescent="0.3">
      <c r="A124" s="156">
        <v>1</v>
      </c>
      <c r="D124" s="126"/>
      <c r="E124" s="126"/>
      <c r="F124" s="158"/>
      <c r="G124" s="159">
        <v>85770800.221818253</v>
      </c>
      <c r="H124" s="159">
        <v>46027943.935455598</v>
      </c>
      <c r="I124" s="159">
        <v>71127647.384847894</v>
      </c>
      <c r="J124" s="159">
        <v>0</v>
      </c>
      <c r="K124" s="159">
        <v>129966582.16066788</v>
      </c>
      <c r="L124" s="159">
        <v>3731914.4772105496</v>
      </c>
      <c r="M124" s="160">
        <v>336624888.18000019</v>
      </c>
      <c r="N124" s="131"/>
      <c r="X124" s="174"/>
    </row>
    <row r="125" spans="1:29" x14ac:dyDescent="0.3">
      <c r="D125" s="126"/>
      <c r="E125" s="126"/>
      <c r="F125" s="158"/>
      <c r="G125" s="161"/>
      <c r="H125" s="161"/>
      <c r="I125" s="161"/>
      <c r="J125" s="161"/>
      <c r="K125" s="161"/>
      <c r="L125" s="161"/>
      <c r="M125" s="158"/>
      <c r="N125" s="131"/>
      <c r="X125" s="174"/>
    </row>
    <row r="126" spans="1:29" ht="16.2" thickBot="1" x14ac:dyDescent="0.35">
      <c r="D126" s="157" t="s">
        <v>258</v>
      </c>
      <c r="E126" s="157"/>
      <c r="F126" s="157"/>
      <c r="G126" s="157"/>
      <c r="H126" s="157"/>
      <c r="I126" s="157"/>
      <c r="J126" s="157"/>
      <c r="K126" s="157"/>
      <c r="L126" s="157"/>
      <c r="M126" s="157"/>
      <c r="N126" s="82"/>
    </row>
    <row r="127" spans="1:29" ht="15.6" x14ac:dyDescent="0.3">
      <c r="A127" s="156">
        <v>2</v>
      </c>
      <c r="D127" s="126"/>
      <c r="E127" s="126"/>
      <c r="F127" s="158"/>
      <c r="G127" s="162" t="s">
        <v>259</v>
      </c>
      <c r="H127" s="162" t="s">
        <v>260</v>
      </c>
      <c r="I127" s="162" t="s">
        <v>261</v>
      </c>
      <c r="J127" s="162" t="s">
        <v>261</v>
      </c>
      <c r="K127" s="162" t="s">
        <v>262</v>
      </c>
      <c r="L127" s="162" t="s">
        <v>263</v>
      </c>
      <c r="M127" s="126"/>
      <c r="N127" s="82"/>
      <c r="X127" s="174"/>
    </row>
    <row r="128" spans="1:29" x14ac:dyDescent="0.3">
      <c r="D128" s="126"/>
      <c r="E128" s="126"/>
      <c r="F128" s="158"/>
      <c r="G128" s="161"/>
      <c r="H128" s="161"/>
      <c r="I128" s="161"/>
      <c r="J128" s="161"/>
      <c r="K128" s="161"/>
      <c r="L128" s="161"/>
      <c r="M128" s="158"/>
      <c r="N128" s="131"/>
      <c r="X128" s="174"/>
    </row>
    <row r="129" spans="1:24" ht="15" thickBot="1" x14ac:dyDescent="0.35">
      <c r="D129" s="157" t="s">
        <v>264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131"/>
    </row>
    <row r="130" spans="1:24" x14ac:dyDescent="0.3">
      <c r="A130" s="156">
        <v>3</v>
      </c>
      <c r="D130" s="126">
        <v>1</v>
      </c>
      <c r="E130" s="126" t="s">
        <v>265</v>
      </c>
      <c r="F130" s="163"/>
      <c r="G130" s="164">
        <v>2.490299254061072</v>
      </c>
      <c r="H130" s="164">
        <v>1.6447207459538091</v>
      </c>
      <c r="I130" s="164">
        <v>0.85753774971865815</v>
      </c>
      <c r="J130" s="164">
        <v>0.85753774971865815</v>
      </c>
      <c r="K130" s="175">
        <v>1.3622293597931883</v>
      </c>
      <c r="L130" s="164">
        <v>1</v>
      </c>
      <c r="M130" s="158"/>
      <c r="N130" s="131"/>
      <c r="X130" s="174"/>
    </row>
    <row r="131" spans="1:24" x14ac:dyDescent="0.3">
      <c r="A131" s="156">
        <v>4</v>
      </c>
      <c r="D131" s="126">
        <v>2</v>
      </c>
      <c r="E131" s="126" t="s">
        <v>266</v>
      </c>
      <c r="F131" s="163"/>
      <c r="G131" s="164">
        <v>0.78203961486374551</v>
      </c>
      <c r="H131" s="164">
        <v>0.96960809507935608</v>
      </c>
      <c r="I131" s="164">
        <v>1.1225175683621031</v>
      </c>
      <c r="J131" s="164">
        <v>1.1225175683621031</v>
      </c>
      <c r="K131" s="175">
        <v>0.99944772468847709</v>
      </c>
      <c r="L131" s="164">
        <v>1</v>
      </c>
      <c r="M131" s="158"/>
      <c r="N131" s="131"/>
      <c r="X131" s="174"/>
    </row>
    <row r="132" spans="1:24" ht="15.6" x14ac:dyDescent="0.3">
      <c r="A132" s="156">
        <v>5</v>
      </c>
      <c r="D132" s="126">
        <v>3</v>
      </c>
      <c r="E132" s="126" t="s">
        <v>277</v>
      </c>
      <c r="F132" s="163"/>
      <c r="G132" s="164">
        <v>0.52989903387328763</v>
      </c>
      <c r="H132" s="164">
        <v>0.55449388383653153</v>
      </c>
      <c r="I132" s="164">
        <v>0.59336797534990238</v>
      </c>
      <c r="J132" s="164">
        <v>0.59336797534990238</v>
      </c>
      <c r="K132" s="175">
        <v>0.79790281105090721</v>
      </c>
      <c r="L132" s="164">
        <v>1</v>
      </c>
      <c r="M132" s="158"/>
      <c r="N132" s="82"/>
      <c r="X132" s="174"/>
    </row>
    <row r="133" spans="1:24" ht="15.6" x14ac:dyDescent="0.3">
      <c r="A133" s="156">
        <v>6</v>
      </c>
      <c r="D133" s="126">
        <v>4</v>
      </c>
      <c r="E133" s="126" t="s">
        <v>136</v>
      </c>
      <c r="F133" s="163"/>
      <c r="G133" s="164">
        <v>0</v>
      </c>
      <c r="H133" s="164">
        <v>0</v>
      </c>
      <c r="I133" s="164">
        <v>0</v>
      </c>
      <c r="J133" s="164">
        <v>0</v>
      </c>
      <c r="K133" s="164">
        <v>0</v>
      </c>
      <c r="L133" s="164">
        <v>0</v>
      </c>
      <c r="M133" s="158"/>
      <c r="N133" s="82"/>
      <c r="X133" s="174"/>
    </row>
    <row r="134" spans="1:24" x14ac:dyDescent="0.3">
      <c r="A134" s="156">
        <v>7</v>
      </c>
      <c r="D134" s="126">
        <v>5</v>
      </c>
      <c r="E134" s="126" t="s">
        <v>136</v>
      </c>
      <c r="F134" s="163"/>
      <c r="G134" s="164">
        <v>0</v>
      </c>
      <c r="H134" s="164">
        <v>0</v>
      </c>
      <c r="I134" s="164">
        <v>0</v>
      </c>
      <c r="J134" s="164">
        <v>0</v>
      </c>
      <c r="K134" s="164">
        <v>0</v>
      </c>
      <c r="L134" s="164">
        <v>0</v>
      </c>
      <c r="M134" s="158"/>
      <c r="N134" s="131"/>
      <c r="X134" s="174"/>
    </row>
    <row r="135" spans="1:24" x14ac:dyDescent="0.3">
      <c r="A135" s="156">
        <v>8</v>
      </c>
      <c r="D135" s="126">
        <v>6</v>
      </c>
      <c r="E135" s="126" t="s">
        <v>136</v>
      </c>
      <c r="F135" s="163"/>
      <c r="G135" s="164">
        <v>0</v>
      </c>
      <c r="H135" s="164">
        <v>0</v>
      </c>
      <c r="I135" s="164">
        <v>0</v>
      </c>
      <c r="J135" s="164">
        <v>0</v>
      </c>
      <c r="K135" s="164">
        <v>0</v>
      </c>
      <c r="L135" s="164">
        <v>0</v>
      </c>
      <c r="M135" s="158"/>
      <c r="N135" s="131"/>
      <c r="X135" s="174"/>
    </row>
    <row r="136" spans="1:24" x14ac:dyDescent="0.3">
      <c r="D136" s="126"/>
      <c r="E136" s="126"/>
      <c r="F136" s="158"/>
      <c r="G136" s="161"/>
      <c r="H136" s="161"/>
      <c r="I136" s="161"/>
      <c r="J136" s="161"/>
      <c r="K136" s="161"/>
      <c r="L136" s="161"/>
      <c r="M136" s="158"/>
      <c r="N136" s="131"/>
      <c r="X136" s="174"/>
    </row>
    <row r="137" spans="1:24" ht="15" thickBot="1" x14ac:dyDescent="0.35">
      <c r="D137" s="157" t="s">
        <v>287</v>
      </c>
      <c r="E137" s="157"/>
      <c r="F137" s="157"/>
      <c r="G137" s="157"/>
      <c r="H137" s="157"/>
      <c r="I137" s="157"/>
      <c r="J137" s="157"/>
      <c r="K137" s="157"/>
      <c r="L137" s="157"/>
      <c r="M137" s="157"/>
      <c r="N137" s="131"/>
    </row>
    <row r="138" spans="1:24" ht="15.6" x14ac:dyDescent="0.3">
      <c r="A138" s="156">
        <v>9</v>
      </c>
      <c r="D138" s="126">
        <v>1</v>
      </c>
      <c r="E138" s="126" t="s">
        <v>265</v>
      </c>
      <c r="F138" s="163"/>
      <c r="G138" s="161"/>
      <c r="H138" s="165"/>
      <c r="I138" s="161"/>
      <c r="J138" s="161"/>
      <c r="K138" s="161"/>
      <c r="L138" s="161"/>
      <c r="M138" s="159">
        <v>1255601.9616838631</v>
      </c>
      <c r="N138" s="82"/>
      <c r="X138" s="174"/>
    </row>
    <row r="139" spans="1:24" ht="15.6" x14ac:dyDescent="0.3">
      <c r="A139" s="156">
        <v>10</v>
      </c>
      <c r="D139" s="126">
        <v>2</v>
      </c>
      <c r="E139" s="126" t="s">
        <v>266</v>
      </c>
      <c r="F139" s="163"/>
      <c r="G139" s="161"/>
      <c r="H139" s="161"/>
      <c r="I139" s="161"/>
      <c r="J139" s="161"/>
      <c r="K139" s="161"/>
      <c r="L139" s="161"/>
      <c r="M139" s="159">
        <v>6886190.7002434414</v>
      </c>
      <c r="N139" s="82"/>
      <c r="X139" s="174"/>
    </row>
    <row r="140" spans="1:24" x14ac:dyDescent="0.3">
      <c r="A140" s="156">
        <v>11</v>
      </c>
      <c r="D140" s="126">
        <v>3</v>
      </c>
      <c r="E140" s="126" t="s">
        <v>277</v>
      </c>
      <c r="F140" s="163"/>
      <c r="G140" s="161"/>
      <c r="H140" s="161"/>
      <c r="I140" s="161"/>
      <c r="J140" s="161"/>
      <c r="K140" s="161"/>
      <c r="L140" s="161"/>
      <c r="M140" s="159">
        <v>1634901.8735660913</v>
      </c>
      <c r="N140" s="131"/>
      <c r="X140" s="174"/>
    </row>
    <row r="141" spans="1:24" x14ac:dyDescent="0.3">
      <c r="A141" s="156">
        <v>12</v>
      </c>
      <c r="D141" s="126">
        <v>4</v>
      </c>
      <c r="E141" s="126" t="s">
        <v>136</v>
      </c>
      <c r="F141" s="163"/>
      <c r="G141" s="161"/>
      <c r="H141" s="161"/>
      <c r="I141" s="161"/>
      <c r="J141" s="161"/>
      <c r="K141" s="161"/>
      <c r="L141" s="161"/>
      <c r="M141" s="159">
        <v>0</v>
      </c>
      <c r="N141" s="131"/>
      <c r="X141" s="174"/>
    </row>
    <row r="142" spans="1:24" x14ac:dyDescent="0.3">
      <c r="A142" s="156">
        <v>13</v>
      </c>
      <c r="D142" s="126">
        <v>5</v>
      </c>
      <c r="E142" s="126" t="s">
        <v>136</v>
      </c>
      <c r="F142" s="163"/>
      <c r="G142" s="161"/>
      <c r="H142" s="161"/>
      <c r="I142" s="161"/>
      <c r="J142" s="161"/>
      <c r="K142" s="161"/>
      <c r="L142" s="161"/>
      <c r="M142" s="159">
        <v>0</v>
      </c>
      <c r="N142" s="131"/>
      <c r="X142" s="174"/>
    </row>
    <row r="143" spans="1:24" x14ac:dyDescent="0.3">
      <c r="A143" s="156">
        <v>14</v>
      </c>
      <c r="D143" s="126">
        <v>6</v>
      </c>
      <c r="E143" s="126" t="s">
        <v>136</v>
      </c>
      <c r="F143" s="163"/>
      <c r="G143" s="161"/>
      <c r="H143" s="161"/>
      <c r="I143" s="161"/>
      <c r="J143" s="161"/>
      <c r="K143" s="161"/>
      <c r="L143" s="161"/>
      <c r="M143" s="159">
        <v>0</v>
      </c>
      <c r="N143" s="131"/>
      <c r="X143" s="174"/>
    </row>
    <row r="144" spans="1:24" ht="15.6" x14ac:dyDescent="0.3">
      <c r="D144" s="126"/>
      <c r="E144" s="126"/>
      <c r="F144" s="158"/>
      <c r="G144" s="161"/>
      <c r="H144" s="161"/>
      <c r="I144" s="161"/>
      <c r="J144" s="161"/>
      <c r="K144" s="161"/>
      <c r="L144" s="161"/>
      <c r="M144" s="158"/>
      <c r="N144" s="82"/>
      <c r="X144" s="174"/>
    </row>
    <row r="145" spans="1:27" ht="16.2" thickBot="1" x14ac:dyDescent="0.35">
      <c r="D145" s="157" t="s">
        <v>269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82"/>
    </row>
    <row r="146" spans="1:27" x14ac:dyDescent="0.3">
      <c r="A146" s="156">
        <v>15</v>
      </c>
      <c r="D146" s="126"/>
      <c r="E146" s="126"/>
      <c r="F146" s="158"/>
      <c r="G146" s="166">
        <v>0.91455378706833623</v>
      </c>
      <c r="H146" s="166">
        <v>0.47704450383175173</v>
      </c>
      <c r="I146" s="166">
        <v>0.72752244765984631</v>
      </c>
      <c r="J146" s="166">
        <v>0</v>
      </c>
      <c r="K146" s="166">
        <v>1.3131521191733881</v>
      </c>
      <c r="L146" s="166">
        <v>3.8171536030528266E-2</v>
      </c>
      <c r="M146" s="158"/>
      <c r="N146" s="131"/>
      <c r="X146" s="174"/>
    </row>
    <row r="147" spans="1:27" x14ac:dyDescent="0.3">
      <c r="D147" s="126"/>
      <c r="E147" s="126"/>
      <c r="F147" s="158"/>
      <c r="G147" s="161"/>
      <c r="H147" s="161"/>
      <c r="I147" s="161"/>
      <c r="J147" s="161"/>
      <c r="K147" s="161"/>
      <c r="L147" s="161"/>
      <c r="M147" s="158"/>
      <c r="N147" s="131"/>
      <c r="X147" s="174"/>
    </row>
    <row r="148" spans="1:27" ht="15" thickBot="1" x14ac:dyDescent="0.35">
      <c r="D148" s="157" t="s">
        <v>270</v>
      </c>
      <c r="E148" s="157"/>
      <c r="F148" s="157"/>
      <c r="G148" s="157"/>
      <c r="H148" s="157"/>
      <c r="I148" s="157"/>
      <c r="J148" s="157"/>
      <c r="K148" s="157"/>
      <c r="L148" s="157"/>
      <c r="M148" s="157"/>
      <c r="N148" s="131"/>
      <c r="Z148" s="126" t="s">
        <v>271</v>
      </c>
    </row>
    <row r="149" spans="1:27" x14ac:dyDescent="0.3">
      <c r="A149" s="156">
        <v>16</v>
      </c>
      <c r="D149" s="126">
        <v>1</v>
      </c>
      <c r="E149" s="126" t="s">
        <v>265</v>
      </c>
      <c r="F149" s="167"/>
      <c r="G149" s="166">
        <v>2.2775126137350061</v>
      </c>
      <c r="H149" s="166">
        <v>0.78460499219532343</v>
      </c>
      <c r="I149" s="166">
        <v>0.6238779626360349</v>
      </c>
      <c r="J149" s="166">
        <v>0</v>
      </c>
      <c r="K149" s="166">
        <v>1.7888143706126329</v>
      </c>
      <c r="L149" s="166">
        <v>3.8171536030528266E-2</v>
      </c>
      <c r="M149" s="176">
        <v>5.5129814752095267</v>
      </c>
      <c r="N149" s="131"/>
      <c r="X149" s="168">
        <f>M149/M150</f>
        <v>1.6481168043149048</v>
      </c>
      <c r="Z149" s="168">
        <f>AA149/AA150</f>
        <v>1.35</v>
      </c>
      <c r="AA149" s="331">
        <v>4.7210847692400355</v>
      </c>
    </row>
    <row r="150" spans="1:27" ht="15.6" x14ac:dyDescent="0.3">
      <c r="A150" s="156">
        <v>17</v>
      </c>
      <c r="D150" s="126">
        <v>2</v>
      </c>
      <c r="E150" s="126" t="s">
        <v>266</v>
      </c>
      <c r="F150" s="167"/>
      <c r="G150" s="166">
        <v>0.71521729141110157</v>
      </c>
      <c r="H150" s="166">
        <v>0.46254621262838136</v>
      </c>
      <c r="I150" s="166">
        <v>0.81665672887597618</v>
      </c>
      <c r="J150" s="166">
        <v>0</v>
      </c>
      <c r="K150" s="166">
        <v>1.3124268976776947</v>
      </c>
      <c r="L150" s="166">
        <v>3.8171536030528266E-2</v>
      </c>
      <c r="M150" s="176">
        <v>3.3450186666236821</v>
      </c>
      <c r="N150" s="82"/>
      <c r="X150" s="168">
        <f>M150/M150</f>
        <v>1</v>
      </c>
      <c r="Z150" s="168">
        <v>1</v>
      </c>
      <c r="AA150" s="331">
        <v>3.4970998290666926</v>
      </c>
    </row>
    <row r="151" spans="1:27" ht="15.6" x14ac:dyDescent="0.3">
      <c r="A151" s="156">
        <v>18</v>
      </c>
      <c r="D151" s="126">
        <v>3</v>
      </c>
      <c r="E151" s="126" t="s">
        <v>277</v>
      </c>
      <c r="F151" s="167"/>
      <c r="G151" s="166">
        <v>0.48462116819266776</v>
      </c>
      <c r="H151" s="166">
        <v>0.26451825969253917</v>
      </c>
      <c r="I151" s="166">
        <v>0.43168852178952832</v>
      </c>
      <c r="J151" s="166">
        <v>0</v>
      </c>
      <c r="K151" s="166">
        <v>1.0477677672259023</v>
      </c>
      <c r="L151" s="166">
        <v>3.8171536030528266E-2</v>
      </c>
      <c r="M151" s="176">
        <v>2.2667672529311655</v>
      </c>
      <c r="N151" s="82"/>
      <c r="X151" s="168">
        <f>M151/M150</f>
        <v>0.67765458995753314</v>
      </c>
      <c r="Z151" s="168">
        <f>AA151/AA150</f>
        <v>0.67765458995753314</v>
      </c>
      <c r="AA151" s="331">
        <v>2.3698257507067488</v>
      </c>
    </row>
    <row r="152" spans="1:27" x14ac:dyDescent="0.3">
      <c r="A152" s="156">
        <v>19</v>
      </c>
      <c r="D152" s="126">
        <v>4</v>
      </c>
      <c r="E152" s="126" t="s">
        <v>136</v>
      </c>
      <c r="F152" s="167"/>
      <c r="G152" s="166">
        <v>0</v>
      </c>
      <c r="H152" s="166">
        <v>0</v>
      </c>
      <c r="I152" s="166">
        <v>0</v>
      </c>
      <c r="J152" s="166">
        <v>0</v>
      </c>
      <c r="K152" s="166">
        <v>0</v>
      </c>
      <c r="L152" s="166">
        <v>0</v>
      </c>
      <c r="M152" s="169">
        <v>0</v>
      </c>
      <c r="N152" s="131"/>
      <c r="X152" s="174"/>
    </row>
    <row r="153" spans="1:27" x14ac:dyDescent="0.3">
      <c r="A153" s="156">
        <v>20</v>
      </c>
      <c r="D153" s="126">
        <v>5</v>
      </c>
      <c r="E153" s="126" t="s">
        <v>136</v>
      </c>
      <c r="F153" s="167"/>
      <c r="G153" s="166">
        <v>0</v>
      </c>
      <c r="H153" s="166">
        <v>0</v>
      </c>
      <c r="I153" s="166">
        <v>0</v>
      </c>
      <c r="J153" s="166">
        <v>0</v>
      </c>
      <c r="K153" s="166">
        <v>0</v>
      </c>
      <c r="L153" s="166">
        <v>0</v>
      </c>
      <c r="M153" s="169">
        <v>0</v>
      </c>
      <c r="N153" s="131"/>
    </row>
    <row r="154" spans="1:27" x14ac:dyDescent="0.3">
      <c r="A154" s="156">
        <v>21</v>
      </c>
      <c r="D154" s="126">
        <v>6</v>
      </c>
      <c r="E154" s="126" t="s">
        <v>136</v>
      </c>
      <c r="F154" s="167"/>
      <c r="G154" s="166">
        <v>0</v>
      </c>
      <c r="H154" s="166">
        <v>0</v>
      </c>
      <c r="I154" s="166">
        <v>0</v>
      </c>
      <c r="J154" s="166">
        <v>0</v>
      </c>
      <c r="K154" s="166">
        <v>0</v>
      </c>
      <c r="L154" s="166">
        <v>0</v>
      </c>
      <c r="M154" s="169">
        <v>0</v>
      </c>
      <c r="N154" s="131"/>
      <c r="X154" s="174"/>
    </row>
    <row r="155" spans="1:27" x14ac:dyDescent="0.3">
      <c r="D155" s="126"/>
      <c r="E155" s="126"/>
      <c r="F155" s="158"/>
      <c r="G155" s="161"/>
      <c r="H155" s="161"/>
      <c r="I155" s="161"/>
      <c r="J155" s="161"/>
      <c r="K155" s="161"/>
      <c r="L155" s="161"/>
      <c r="M155" s="158"/>
      <c r="N155" s="131"/>
      <c r="X155" s="174"/>
    </row>
    <row r="156" spans="1:27" ht="16.2" thickBot="1" x14ac:dyDescent="0.35">
      <c r="D156" s="157" t="s">
        <v>272</v>
      </c>
      <c r="E156" s="157"/>
      <c r="F156" s="157"/>
      <c r="G156" s="157"/>
      <c r="H156" s="157"/>
      <c r="I156" s="157"/>
      <c r="J156" s="157"/>
      <c r="K156" s="157"/>
      <c r="L156" s="157"/>
      <c r="M156" s="157"/>
      <c r="N156" s="82"/>
    </row>
    <row r="157" spans="1:27" ht="15.6" x14ac:dyDescent="0.3">
      <c r="A157" s="156">
        <v>22</v>
      </c>
      <c r="D157" s="126"/>
      <c r="E157" s="126" t="s">
        <v>273</v>
      </c>
      <c r="F157" s="158"/>
      <c r="G157" s="177">
        <v>85770800.221818268</v>
      </c>
      <c r="H157" s="177">
        <v>46027943.935455583</v>
      </c>
      <c r="I157" s="177">
        <v>71127647.384847894</v>
      </c>
      <c r="J157" s="177">
        <v>0</v>
      </c>
      <c r="K157" s="177">
        <v>129966582.16066787</v>
      </c>
      <c r="L157" s="177">
        <v>3731914.4772105492</v>
      </c>
      <c r="M157" s="178">
        <v>336624888.18000019</v>
      </c>
      <c r="N157" s="82"/>
    </row>
    <row r="158" spans="1:27" x14ac:dyDescent="0.3">
      <c r="A158" s="156">
        <v>23</v>
      </c>
      <c r="D158" s="126"/>
      <c r="E158" s="126" t="s">
        <v>274</v>
      </c>
      <c r="F158" s="158"/>
      <c r="G158" s="159" t="b">
        <v>1</v>
      </c>
      <c r="H158" s="159" t="b">
        <v>1</v>
      </c>
      <c r="I158" s="159" t="b">
        <v>1</v>
      </c>
      <c r="J158" s="159" t="b">
        <v>1</v>
      </c>
      <c r="K158" s="159" t="b">
        <v>1</v>
      </c>
      <c r="L158" s="159" t="b">
        <v>1</v>
      </c>
      <c r="M158" s="159" t="b">
        <v>1</v>
      </c>
      <c r="N158" s="131"/>
    </row>
    <row r="160" spans="1:27" ht="15" thickBot="1" x14ac:dyDescent="0.35">
      <c r="D160" s="157" t="s">
        <v>281</v>
      </c>
      <c r="E160" s="157"/>
      <c r="F160" s="157"/>
      <c r="G160" s="157"/>
      <c r="H160" s="157"/>
      <c r="I160" s="157"/>
      <c r="J160" s="157"/>
      <c r="K160" s="157"/>
      <c r="L160" s="157"/>
      <c r="M160" s="157"/>
    </row>
    <row r="161" spans="1:29" x14ac:dyDescent="0.3">
      <c r="A161" s="156">
        <v>24</v>
      </c>
      <c r="D161" s="126">
        <v>1</v>
      </c>
      <c r="E161" s="126" t="s">
        <v>265</v>
      </c>
      <c r="G161" s="166">
        <v>0</v>
      </c>
      <c r="H161" s="166">
        <v>0</v>
      </c>
      <c r="I161" s="166">
        <v>0</v>
      </c>
      <c r="J161" s="166">
        <v>0</v>
      </c>
      <c r="K161" s="166">
        <v>0</v>
      </c>
      <c r="L161" s="166">
        <v>0</v>
      </c>
      <c r="M161" s="179">
        <v>2.5804119992852121</v>
      </c>
      <c r="X161" s="168">
        <f>M161/SUM($M$161:$M$163)</f>
        <v>0.25024248302618818</v>
      </c>
    </row>
    <row r="162" spans="1:29" x14ac:dyDescent="0.3">
      <c r="A162" s="156">
        <v>25</v>
      </c>
      <c r="D162" s="126">
        <v>2</v>
      </c>
      <c r="E162" s="126" t="s">
        <v>282</v>
      </c>
      <c r="G162" s="166">
        <v>0</v>
      </c>
      <c r="H162" s="166">
        <v>0</v>
      </c>
      <c r="I162" s="166">
        <v>0</v>
      </c>
      <c r="J162" s="166">
        <v>0</v>
      </c>
      <c r="K162" s="166">
        <v>0</v>
      </c>
      <c r="L162" s="166">
        <v>0</v>
      </c>
      <c r="M162" s="179">
        <v>4.6107361692654374</v>
      </c>
      <c r="X162" s="168">
        <f>M162/SUM($M$161:$M$163)</f>
        <v>0.44713870029097968</v>
      </c>
    </row>
    <row r="163" spans="1:29" x14ac:dyDescent="0.3">
      <c r="A163" s="156">
        <v>26</v>
      </c>
      <c r="D163" s="126">
        <v>3</v>
      </c>
      <c r="E163" s="126" t="s">
        <v>120</v>
      </c>
      <c r="G163" s="166">
        <v>0</v>
      </c>
      <c r="H163" s="166">
        <v>0</v>
      </c>
      <c r="I163" s="166">
        <v>0</v>
      </c>
      <c r="J163" s="166">
        <v>0</v>
      </c>
      <c r="K163" s="166">
        <v>0</v>
      </c>
      <c r="L163" s="166">
        <v>0</v>
      </c>
      <c r="M163" s="179">
        <v>3.1204982316937451</v>
      </c>
      <c r="X163" s="168">
        <f>M163/SUM($M$161:$M$163)</f>
        <v>0.30261881668283225</v>
      </c>
    </row>
    <row r="165" spans="1:29" ht="15" thickBot="1" x14ac:dyDescent="0.35">
      <c r="A165" s="170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0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</row>
    <row r="167" spans="1:29" x14ac:dyDescent="0.3">
      <c r="A167" s="134"/>
      <c r="B167" s="131"/>
      <c r="C167" s="131"/>
      <c r="D167" s="135"/>
      <c r="E167" s="131"/>
      <c r="F167" s="131"/>
      <c r="G167" s="131"/>
      <c r="H167" s="131"/>
      <c r="I167" s="131"/>
      <c r="J167" s="131"/>
      <c r="K167" s="131"/>
      <c r="L167" s="134"/>
      <c r="M167" s="30" t="s">
        <v>37</v>
      </c>
      <c r="N167" s="131"/>
      <c r="O167" s="134"/>
      <c r="P167" s="131"/>
      <c r="Q167" s="131"/>
      <c r="R167" s="131"/>
      <c r="S167" s="131"/>
      <c r="T167" s="131"/>
      <c r="U167" s="131"/>
      <c r="V167" s="131"/>
      <c r="W167" s="131"/>
      <c r="X167" s="131"/>
      <c r="AC167" s="129"/>
    </row>
    <row r="168" spans="1:29" x14ac:dyDescent="0.3">
      <c r="A168" s="134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33" t="str">
        <f>M110</f>
        <v>DOCKET NO.  20240025-EI</v>
      </c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4" t="s">
        <v>245</v>
      </c>
      <c r="AC168" s="136" t="s">
        <v>245</v>
      </c>
    </row>
    <row r="169" spans="1:29" x14ac:dyDescent="0.3">
      <c r="A169" s="134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33" t="s">
        <v>38</v>
      </c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AC169" s="129"/>
    </row>
    <row r="170" spans="1:29" x14ac:dyDescent="0.3">
      <c r="A170" s="134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30" t="s">
        <v>246</v>
      </c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AC170" s="129"/>
    </row>
    <row r="171" spans="1:29" x14ac:dyDescent="0.3">
      <c r="A171" s="134"/>
      <c r="B171" s="131"/>
      <c r="C171" s="137"/>
      <c r="D171" s="131"/>
      <c r="E171" s="131"/>
      <c r="F171" s="131"/>
      <c r="G171" s="131"/>
      <c r="H171" s="131"/>
      <c r="I171" s="131"/>
      <c r="J171" s="131"/>
      <c r="K171" s="131"/>
      <c r="L171" s="134"/>
      <c r="M171" s="79" t="s">
        <v>296</v>
      </c>
      <c r="N171" s="131"/>
      <c r="O171" s="134"/>
      <c r="P171" s="131"/>
      <c r="Q171" s="131"/>
      <c r="R171" s="131"/>
      <c r="S171" s="131"/>
      <c r="T171" s="131"/>
      <c r="U171" s="131"/>
      <c r="V171" s="131"/>
      <c r="W171" s="131"/>
      <c r="X171" s="131"/>
      <c r="AC171" s="129"/>
    </row>
    <row r="172" spans="1:29" ht="15.6" x14ac:dyDescent="0.3">
      <c r="A172" s="138" t="s">
        <v>248</v>
      </c>
      <c r="B172" s="139"/>
      <c r="C172" s="139"/>
      <c r="D172" s="140"/>
      <c r="E172" s="140"/>
      <c r="F172" s="140"/>
      <c r="G172" s="140"/>
      <c r="H172" s="140"/>
      <c r="I172" s="140"/>
      <c r="J172" s="140"/>
      <c r="K172" s="140"/>
      <c r="L172" s="140"/>
      <c r="M172" s="37" t="s">
        <v>8</v>
      </c>
      <c r="N172" s="82"/>
      <c r="O172" s="83"/>
      <c r="P172" s="83"/>
      <c r="Q172" s="83"/>
      <c r="R172" s="83"/>
      <c r="S172" s="83"/>
      <c r="T172" s="83"/>
      <c r="U172" s="83"/>
      <c r="V172" s="83"/>
      <c r="W172" s="83"/>
      <c r="X172" s="83"/>
    </row>
    <row r="173" spans="1:29" ht="15.6" x14ac:dyDescent="0.3">
      <c r="A173" s="142"/>
      <c r="B173" s="279"/>
      <c r="C173" s="279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82"/>
      <c r="O173" s="83"/>
      <c r="P173" s="83"/>
      <c r="Q173" s="83"/>
      <c r="R173" s="83"/>
      <c r="S173" s="83"/>
      <c r="T173" s="83"/>
      <c r="U173" s="83"/>
      <c r="V173" s="83"/>
      <c r="W173" s="83"/>
      <c r="X173" s="83"/>
    </row>
    <row r="174" spans="1:29" ht="15.6" x14ac:dyDescent="0.3">
      <c r="A174" s="142"/>
      <c r="B174" s="279"/>
      <c r="C174" s="279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82"/>
      <c r="O174" s="83"/>
      <c r="P174" s="83"/>
      <c r="Q174" s="83"/>
      <c r="R174" s="83"/>
      <c r="S174" s="83"/>
      <c r="T174" s="83"/>
      <c r="U174" s="83"/>
      <c r="V174" s="83"/>
      <c r="W174" s="83"/>
      <c r="X174" s="83"/>
    </row>
    <row r="175" spans="1:29" ht="15.6" x14ac:dyDescent="0.3">
      <c r="A175" s="375" t="s">
        <v>284</v>
      </c>
      <c r="B175" s="375"/>
      <c r="C175" s="375"/>
      <c r="D175" s="375"/>
      <c r="E175" s="375"/>
      <c r="F175" s="375"/>
      <c r="G175" s="375"/>
      <c r="H175" s="375"/>
      <c r="I175" s="375"/>
      <c r="J175" s="375"/>
      <c r="K175" s="375"/>
      <c r="L175" s="375"/>
      <c r="M175" s="375"/>
      <c r="N175" s="82"/>
      <c r="O175" s="83"/>
      <c r="P175" s="83"/>
      <c r="Q175" s="83"/>
      <c r="R175" s="83"/>
      <c r="S175" s="83"/>
      <c r="T175" s="83"/>
      <c r="U175" s="83"/>
      <c r="V175" s="83"/>
      <c r="W175" s="83"/>
      <c r="X175" s="83"/>
    </row>
    <row r="176" spans="1:29" x14ac:dyDescent="0.3">
      <c r="A176" s="143"/>
      <c r="B176" s="109"/>
      <c r="C176" s="109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</row>
    <row r="177" spans="1:24" x14ac:dyDescent="0.3">
      <c r="A177" s="144"/>
      <c r="B177" s="145"/>
      <c r="C177" s="145"/>
      <c r="D177" s="278">
        <v>-1</v>
      </c>
      <c r="E177" s="278"/>
      <c r="F177" s="146"/>
      <c r="G177" s="278">
        <f>+D177-1</f>
        <v>-2</v>
      </c>
      <c r="H177" s="278">
        <f t="shared" ref="H177:M177" si="3">+G177-1</f>
        <v>-3</v>
      </c>
      <c r="I177" s="278">
        <f t="shared" si="3"/>
        <v>-4</v>
      </c>
      <c r="J177" s="278">
        <f t="shared" si="3"/>
        <v>-5</v>
      </c>
      <c r="K177" s="278">
        <f t="shared" si="3"/>
        <v>-6</v>
      </c>
      <c r="L177" s="278">
        <f t="shared" si="3"/>
        <v>-7</v>
      </c>
      <c r="M177" s="278">
        <f t="shared" si="3"/>
        <v>-8</v>
      </c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</row>
    <row r="178" spans="1:24" x14ac:dyDescent="0.3">
      <c r="A178" s="147"/>
      <c r="B178" s="148"/>
      <c r="C178" s="148"/>
      <c r="D178" s="148"/>
      <c r="E178" s="148"/>
      <c r="F178" s="148"/>
      <c r="G178" s="148"/>
      <c r="H178" s="149"/>
      <c r="I178" s="148"/>
      <c r="J178" s="149"/>
      <c r="K178" s="78"/>
      <c r="L178" s="78"/>
      <c r="M178" s="78"/>
      <c r="N178" s="148"/>
      <c r="O178" s="78"/>
      <c r="P178" s="78"/>
      <c r="Q178" s="78"/>
      <c r="R178" s="78"/>
      <c r="S178" s="78"/>
      <c r="T178" s="78"/>
      <c r="U178" s="78"/>
      <c r="V178" s="78"/>
      <c r="W178" s="78"/>
      <c r="X178" s="78"/>
    </row>
    <row r="179" spans="1:24" ht="27.6" x14ac:dyDescent="0.3">
      <c r="A179" s="147"/>
      <c r="B179" s="148"/>
      <c r="C179" s="148"/>
      <c r="D179" s="148"/>
      <c r="E179" s="148"/>
      <c r="F179" s="148"/>
      <c r="G179" s="149" t="s">
        <v>250</v>
      </c>
      <c r="H179" s="150" t="s">
        <v>102</v>
      </c>
      <c r="I179" s="151" t="s">
        <v>251</v>
      </c>
      <c r="J179" s="149" t="s">
        <v>252</v>
      </c>
      <c r="K179" s="151" t="s">
        <v>250</v>
      </c>
      <c r="L179" s="151" t="s">
        <v>253</v>
      </c>
      <c r="M179" s="152" t="s">
        <v>254</v>
      </c>
      <c r="N179" s="148"/>
      <c r="O179" s="78"/>
      <c r="P179" s="78"/>
      <c r="Q179" s="78"/>
      <c r="R179" s="78"/>
      <c r="S179" s="78"/>
      <c r="T179" s="78"/>
      <c r="U179" s="78"/>
      <c r="V179" s="78"/>
      <c r="W179" s="78"/>
      <c r="X179" s="78"/>
    </row>
    <row r="180" spans="1:24" x14ac:dyDescent="0.3">
      <c r="A180" s="153" t="s">
        <v>54</v>
      </c>
      <c r="B180" s="154"/>
      <c r="C180" s="154"/>
      <c r="D180" s="155"/>
      <c r="E180" s="155"/>
      <c r="F180" s="155"/>
      <c r="G180" s="172" t="s">
        <v>255</v>
      </c>
      <c r="H180" s="172" t="s">
        <v>255</v>
      </c>
      <c r="I180" s="173" t="s">
        <v>101</v>
      </c>
      <c r="J180" s="173" t="s">
        <v>99</v>
      </c>
      <c r="K180" s="173" t="s">
        <v>256</v>
      </c>
      <c r="L180" s="173"/>
      <c r="M180" s="88"/>
      <c r="N180" s="151"/>
      <c r="O180" s="78"/>
      <c r="P180" s="78"/>
      <c r="Q180" s="78"/>
      <c r="R180" s="78"/>
      <c r="S180" s="78"/>
      <c r="T180" s="78"/>
      <c r="U180" s="78"/>
      <c r="V180" s="78"/>
      <c r="W180" s="78"/>
      <c r="X180" s="78"/>
    </row>
    <row r="181" spans="1:24" ht="15" thickBot="1" x14ac:dyDescent="0.35">
      <c r="D181" s="157" t="s">
        <v>257</v>
      </c>
      <c r="E181" s="157"/>
      <c r="F181" s="157"/>
      <c r="G181" s="157"/>
      <c r="H181" s="157"/>
      <c r="I181" s="157"/>
      <c r="J181" s="157"/>
      <c r="K181" s="157"/>
      <c r="L181" s="157"/>
      <c r="M181" s="157"/>
      <c r="N181" s="78"/>
    </row>
    <row r="182" spans="1:24" x14ac:dyDescent="0.3">
      <c r="A182" s="156">
        <v>1</v>
      </c>
      <c r="D182" s="126"/>
      <c r="E182" s="126"/>
      <c r="F182" s="158"/>
      <c r="G182" s="159">
        <v>216111.87518357346</v>
      </c>
      <c r="H182" s="159">
        <v>115974.02902865014</v>
      </c>
      <c r="I182" s="159">
        <v>222474.55380490958</v>
      </c>
      <c r="J182" s="159">
        <v>0</v>
      </c>
      <c r="K182" s="159">
        <v>778844.61308810429</v>
      </c>
      <c r="L182" s="159">
        <v>-3527.9911052372972</v>
      </c>
      <c r="M182" s="160">
        <v>1329877.0800000003</v>
      </c>
      <c r="N182" s="148"/>
      <c r="X182" s="174"/>
    </row>
    <row r="183" spans="1:24" x14ac:dyDescent="0.3">
      <c r="D183" s="126"/>
      <c r="E183" s="126"/>
      <c r="F183" s="158"/>
      <c r="G183" s="161"/>
      <c r="H183" s="161"/>
      <c r="I183" s="161"/>
      <c r="J183" s="161"/>
      <c r="K183" s="161"/>
      <c r="L183" s="161"/>
      <c r="M183" s="158"/>
      <c r="N183" s="148"/>
      <c r="X183" s="174"/>
    </row>
    <row r="184" spans="1:24" ht="15" thickBot="1" x14ac:dyDescent="0.35">
      <c r="D184" s="157" t="s">
        <v>258</v>
      </c>
      <c r="E184" s="157"/>
      <c r="F184" s="157"/>
      <c r="G184" s="157"/>
      <c r="H184" s="157"/>
      <c r="I184" s="157"/>
      <c r="J184" s="157"/>
      <c r="K184" s="157"/>
      <c r="L184" s="157"/>
      <c r="M184" s="157"/>
      <c r="N184" s="131"/>
    </row>
    <row r="185" spans="1:24" x14ac:dyDescent="0.3">
      <c r="A185" s="156">
        <v>2</v>
      </c>
      <c r="D185" s="126"/>
      <c r="E185" s="126"/>
      <c r="F185" s="158"/>
      <c r="G185" s="162" t="s">
        <v>259</v>
      </c>
      <c r="H185" s="162" t="s">
        <v>260</v>
      </c>
      <c r="I185" s="162" t="s">
        <v>261</v>
      </c>
      <c r="J185" s="162" t="s">
        <v>261</v>
      </c>
      <c r="K185" s="162" t="s">
        <v>262</v>
      </c>
      <c r="L185" s="162" t="s">
        <v>263</v>
      </c>
      <c r="M185" s="126"/>
      <c r="N185" s="131"/>
      <c r="X185" s="174"/>
    </row>
    <row r="186" spans="1:24" x14ac:dyDescent="0.3">
      <c r="D186" s="126"/>
      <c r="E186" s="126"/>
      <c r="F186" s="158"/>
      <c r="G186" s="161"/>
      <c r="H186" s="161"/>
      <c r="I186" s="161"/>
      <c r="J186" s="161"/>
      <c r="K186" s="161"/>
      <c r="L186" s="161"/>
      <c r="M186" s="158"/>
      <c r="N186" s="131"/>
      <c r="X186" s="174"/>
    </row>
    <row r="187" spans="1:24" ht="15" thickBot="1" x14ac:dyDescent="0.35">
      <c r="D187" s="157" t="s">
        <v>264</v>
      </c>
      <c r="E187" s="157"/>
      <c r="F187" s="157"/>
      <c r="G187" s="157"/>
      <c r="H187" s="157"/>
      <c r="I187" s="157"/>
      <c r="J187" s="157"/>
      <c r="K187" s="157"/>
      <c r="L187" s="157"/>
      <c r="M187" s="157"/>
      <c r="N187" s="131"/>
    </row>
    <row r="188" spans="1:24" ht="15.6" x14ac:dyDescent="0.3">
      <c r="A188" s="156">
        <v>3</v>
      </c>
      <c r="D188" s="126">
        <v>1</v>
      </c>
      <c r="E188" s="126" t="s">
        <v>265</v>
      </c>
      <c r="F188" s="163"/>
      <c r="G188" s="164">
        <v>2.490299254061072</v>
      </c>
      <c r="H188" s="164">
        <v>1.6447207459538091</v>
      </c>
      <c r="I188" s="164">
        <v>0.91826446983474097</v>
      </c>
      <c r="J188" s="164">
        <v>0.91826446983474097</v>
      </c>
      <c r="K188" s="175">
        <v>1.3622293597931883</v>
      </c>
      <c r="L188" s="164">
        <v>1</v>
      </c>
      <c r="M188" s="158"/>
      <c r="N188" s="82"/>
      <c r="X188" s="174"/>
    </row>
    <row r="189" spans="1:24" ht="15.6" x14ac:dyDescent="0.3">
      <c r="A189" s="156">
        <v>4</v>
      </c>
      <c r="D189" s="126">
        <v>2</v>
      </c>
      <c r="E189" s="126" t="s">
        <v>266</v>
      </c>
      <c r="F189" s="163"/>
      <c r="G189" s="164">
        <v>0.78203961486374551</v>
      </c>
      <c r="H189" s="164">
        <v>0.96960809507935608</v>
      </c>
      <c r="I189" s="164">
        <v>1.0668147111832031</v>
      </c>
      <c r="J189" s="164">
        <v>1.0668147111832031</v>
      </c>
      <c r="K189" s="175">
        <v>0.99944772468847709</v>
      </c>
      <c r="L189" s="164">
        <v>1</v>
      </c>
      <c r="M189" s="158"/>
      <c r="N189" s="82"/>
      <c r="X189" s="174"/>
    </row>
    <row r="190" spans="1:24" x14ac:dyDescent="0.3">
      <c r="A190" s="156">
        <v>5</v>
      </c>
      <c r="D190" s="126">
        <v>3</v>
      </c>
      <c r="E190" s="126" t="s">
        <v>277</v>
      </c>
      <c r="F190" s="163"/>
      <c r="G190" s="164">
        <v>0.52989903387328763</v>
      </c>
      <c r="H190" s="164">
        <v>0.55449388383653153</v>
      </c>
      <c r="I190" s="164">
        <v>0.83527839063120013</v>
      </c>
      <c r="J190" s="164">
        <v>0.83527839063120013</v>
      </c>
      <c r="K190" s="175">
        <v>0.79790281105090721</v>
      </c>
      <c r="L190" s="164">
        <v>1</v>
      </c>
      <c r="M190" s="158"/>
      <c r="N190" s="131"/>
      <c r="X190" s="174"/>
    </row>
    <row r="191" spans="1:24" x14ac:dyDescent="0.3">
      <c r="A191" s="156">
        <v>6</v>
      </c>
      <c r="D191" s="126">
        <v>4</v>
      </c>
      <c r="E191" s="126" t="s">
        <v>136</v>
      </c>
      <c r="F191" s="163"/>
      <c r="G191" s="164">
        <v>0</v>
      </c>
      <c r="H191" s="164">
        <v>0</v>
      </c>
      <c r="I191" s="164">
        <v>0</v>
      </c>
      <c r="J191" s="164">
        <v>0</v>
      </c>
      <c r="K191" s="164">
        <v>0</v>
      </c>
      <c r="L191" s="164">
        <v>0</v>
      </c>
      <c r="M191" s="158"/>
      <c r="N191" s="131"/>
      <c r="X191" s="174"/>
    </row>
    <row r="192" spans="1:24" x14ac:dyDescent="0.3">
      <c r="A192" s="156">
        <v>7</v>
      </c>
      <c r="D192" s="126">
        <v>5</v>
      </c>
      <c r="E192" s="126" t="s">
        <v>136</v>
      </c>
      <c r="F192" s="163"/>
      <c r="G192" s="164">
        <v>0</v>
      </c>
      <c r="H192" s="164">
        <v>0</v>
      </c>
      <c r="I192" s="164">
        <v>0</v>
      </c>
      <c r="J192" s="164">
        <v>0</v>
      </c>
      <c r="K192" s="164">
        <v>0</v>
      </c>
      <c r="L192" s="164">
        <v>0</v>
      </c>
      <c r="M192" s="158"/>
      <c r="N192" s="131"/>
      <c r="X192" s="174"/>
    </row>
    <row r="193" spans="1:27" x14ac:dyDescent="0.3">
      <c r="A193" s="156">
        <v>8</v>
      </c>
      <c r="D193" s="126">
        <v>6</v>
      </c>
      <c r="E193" s="126" t="s">
        <v>136</v>
      </c>
      <c r="F193" s="163"/>
      <c r="G193" s="164">
        <v>0</v>
      </c>
      <c r="H193" s="164">
        <v>0</v>
      </c>
      <c r="I193" s="164">
        <v>0</v>
      </c>
      <c r="J193" s="164">
        <v>0</v>
      </c>
      <c r="K193" s="164">
        <v>0</v>
      </c>
      <c r="L193" s="164">
        <v>0</v>
      </c>
      <c r="M193" s="158"/>
      <c r="N193" s="131"/>
      <c r="X193" s="174"/>
    </row>
    <row r="194" spans="1:27" ht="15.6" x14ac:dyDescent="0.3">
      <c r="D194" s="126"/>
      <c r="E194" s="126"/>
      <c r="F194" s="158"/>
      <c r="G194" s="161"/>
      <c r="H194" s="161"/>
      <c r="I194" s="161"/>
      <c r="J194" s="161"/>
      <c r="K194" s="161"/>
      <c r="L194" s="161"/>
      <c r="M194" s="158"/>
      <c r="N194" s="82"/>
      <c r="X194" s="174"/>
    </row>
    <row r="195" spans="1:27" ht="16.2" thickBot="1" x14ac:dyDescent="0.35">
      <c r="D195" s="157" t="s">
        <v>287</v>
      </c>
      <c r="E195" s="157"/>
      <c r="F195" s="157"/>
      <c r="G195" s="157"/>
      <c r="H195" s="157"/>
      <c r="I195" s="157"/>
      <c r="J195" s="157"/>
      <c r="K195" s="157"/>
      <c r="L195" s="157"/>
      <c r="M195" s="157"/>
      <c r="N195" s="82"/>
    </row>
    <row r="196" spans="1:27" x14ac:dyDescent="0.3">
      <c r="A196" s="156">
        <v>9</v>
      </c>
      <c r="D196" s="126">
        <v>1</v>
      </c>
      <c r="E196" s="126" t="s">
        <v>265</v>
      </c>
      <c r="F196" s="163"/>
      <c r="G196" s="161"/>
      <c r="H196" s="165"/>
      <c r="I196" s="161"/>
      <c r="J196" s="161"/>
      <c r="K196" s="161"/>
      <c r="L196" s="161"/>
      <c r="M196" s="159">
        <v>8520.7300441709976</v>
      </c>
      <c r="N196" s="131"/>
      <c r="X196" s="174"/>
    </row>
    <row r="197" spans="1:27" x14ac:dyDescent="0.3">
      <c r="A197" s="156">
        <v>10</v>
      </c>
      <c r="D197" s="126">
        <v>2</v>
      </c>
      <c r="E197" s="126" t="s">
        <v>266</v>
      </c>
      <c r="F197" s="163"/>
      <c r="G197" s="161"/>
      <c r="H197" s="161"/>
      <c r="I197" s="161"/>
      <c r="J197" s="161"/>
      <c r="K197" s="161"/>
      <c r="L197" s="161"/>
      <c r="M197" s="159">
        <v>43862.948342508549</v>
      </c>
      <c r="N197" s="131"/>
      <c r="X197" s="174"/>
    </row>
    <row r="198" spans="1:27" x14ac:dyDescent="0.3">
      <c r="A198" s="156">
        <v>11</v>
      </c>
      <c r="D198" s="126">
        <v>3</v>
      </c>
      <c r="E198" s="126" t="s">
        <v>277</v>
      </c>
      <c r="F198" s="163"/>
      <c r="G198" s="161"/>
      <c r="H198" s="161"/>
      <c r="I198" s="161"/>
      <c r="J198" s="161"/>
      <c r="K198" s="161"/>
      <c r="L198" s="161"/>
      <c r="M198" s="159">
        <v>13563.756729637327</v>
      </c>
      <c r="N198" s="131"/>
      <c r="X198" s="174"/>
    </row>
    <row r="199" spans="1:27" x14ac:dyDescent="0.3">
      <c r="A199" s="156">
        <v>12</v>
      </c>
      <c r="D199" s="126">
        <v>4</v>
      </c>
      <c r="E199" s="126" t="s">
        <v>136</v>
      </c>
      <c r="F199" s="163"/>
      <c r="G199" s="161"/>
      <c r="H199" s="161"/>
      <c r="I199" s="161"/>
      <c r="J199" s="161"/>
      <c r="K199" s="161"/>
      <c r="L199" s="161"/>
      <c r="M199" s="159">
        <v>0</v>
      </c>
      <c r="N199" s="131"/>
      <c r="X199" s="174"/>
    </row>
    <row r="200" spans="1:27" ht="15.6" x14ac:dyDescent="0.3">
      <c r="A200" s="156">
        <v>13</v>
      </c>
      <c r="D200" s="126">
        <v>5</v>
      </c>
      <c r="E200" s="126" t="s">
        <v>136</v>
      </c>
      <c r="F200" s="163"/>
      <c r="G200" s="161"/>
      <c r="H200" s="161"/>
      <c r="I200" s="161"/>
      <c r="J200" s="161"/>
      <c r="K200" s="161"/>
      <c r="L200" s="161"/>
      <c r="M200" s="159">
        <v>0</v>
      </c>
      <c r="N200" s="82"/>
      <c r="X200" s="174"/>
    </row>
    <row r="201" spans="1:27" ht="15.6" x14ac:dyDescent="0.3">
      <c r="A201" s="156">
        <v>14</v>
      </c>
      <c r="D201" s="126">
        <v>6</v>
      </c>
      <c r="E201" s="126" t="s">
        <v>136</v>
      </c>
      <c r="F201" s="163"/>
      <c r="G201" s="161"/>
      <c r="H201" s="161"/>
      <c r="I201" s="161"/>
      <c r="J201" s="161"/>
      <c r="K201" s="161"/>
      <c r="L201" s="161"/>
      <c r="M201" s="159">
        <v>0</v>
      </c>
      <c r="N201" s="82"/>
      <c r="X201" s="174"/>
    </row>
    <row r="202" spans="1:27" x14ac:dyDescent="0.3">
      <c r="D202" s="126"/>
      <c r="E202" s="126"/>
      <c r="F202" s="158"/>
      <c r="G202" s="161"/>
      <c r="H202" s="161"/>
      <c r="I202" s="161"/>
      <c r="J202" s="161"/>
      <c r="K202" s="161"/>
      <c r="L202" s="161"/>
      <c r="M202" s="158"/>
      <c r="N202" s="131"/>
      <c r="X202" s="174"/>
    </row>
    <row r="203" spans="1:27" ht="15" thickBot="1" x14ac:dyDescent="0.35">
      <c r="D203" s="157" t="s">
        <v>269</v>
      </c>
      <c r="E203" s="157"/>
      <c r="F203" s="157"/>
      <c r="G203" s="157"/>
      <c r="H203" s="157"/>
      <c r="I203" s="157"/>
      <c r="J203" s="157"/>
      <c r="K203" s="157"/>
      <c r="L203" s="157"/>
      <c r="M203" s="157"/>
      <c r="N203" s="131"/>
    </row>
    <row r="204" spans="1:27" x14ac:dyDescent="0.3">
      <c r="A204" s="156">
        <v>15</v>
      </c>
      <c r="D204" s="126"/>
      <c r="E204" s="126"/>
      <c r="F204" s="158"/>
      <c r="G204" s="166">
        <v>0.34462573102664285</v>
      </c>
      <c r="H204" s="166">
        <v>0.181025251461751</v>
      </c>
      <c r="I204" s="166">
        <v>0.33735133657967425</v>
      </c>
      <c r="J204" s="166">
        <v>0</v>
      </c>
      <c r="K204" s="166">
        <v>1.1752868106426719</v>
      </c>
      <c r="L204" s="166">
        <v>-5.3497017723504953E-3</v>
      </c>
      <c r="M204" s="158"/>
      <c r="N204" s="131"/>
      <c r="X204" s="174"/>
    </row>
    <row r="205" spans="1:27" x14ac:dyDescent="0.3">
      <c r="D205" s="126"/>
      <c r="E205" s="126"/>
      <c r="F205" s="158"/>
      <c r="G205" s="161"/>
      <c r="H205" s="161"/>
      <c r="I205" s="161"/>
      <c r="J205" s="161"/>
      <c r="K205" s="161"/>
      <c r="L205" s="161"/>
      <c r="M205" s="158"/>
      <c r="N205" s="131"/>
      <c r="X205" s="174"/>
    </row>
    <row r="206" spans="1:27" ht="16.2" thickBot="1" x14ac:dyDescent="0.35">
      <c r="D206" s="157" t="s">
        <v>270</v>
      </c>
      <c r="E206" s="157"/>
      <c r="F206" s="157"/>
      <c r="G206" s="157"/>
      <c r="H206" s="157"/>
      <c r="I206" s="157"/>
      <c r="J206" s="157"/>
      <c r="K206" s="157"/>
      <c r="L206" s="157"/>
      <c r="M206" s="157"/>
      <c r="N206" s="82"/>
      <c r="Z206" s="126" t="s">
        <v>271</v>
      </c>
    </row>
    <row r="207" spans="1:27" ht="15.6" x14ac:dyDescent="0.3">
      <c r="A207" s="156">
        <v>16</v>
      </c>
      <c r="D207" s="126">
        <v>1</v>
      </c>
      <c r="E207" s="126" t="s">
        <v>265</v>
      </c>
      <c r="F207" s="167"/>
      <c r="G207" s="166">
        <v>0.85822120090590026</v>
      </c>
      <c r="H207" s="166">
        <v>0.29773598662064699</v>
      </c>
      <c r="I207" s="166">
        <v>0.30977774623237586</v>
      </c>
      <c r="J207" s="166">
        <v>0</v>
      </c>
      <c r="K207" s="166">
        <v>1.6010101996351451</v>
      </c>
      <c r="L207" s="166">
        <v>-5.3497017723504953E-3</v>
      </c>
      <c r="M207" s="176">
        <v>3.061395431621718</v>
      </c>
      <c r="N207" s="82"/>
      <c r="X207" s="168">
        <f>M207/M208</f>
        <v>1.55069083565355</v>
      </c>
      <c r="Z207" s="168">
        <v>1.35</v>
      </c>
      <c r="AA207" s="331">
        <v>2.723809467434199</v>
      </c>
    </row>
    <row r="208" spans="1:27" x14ac:dyDescent="0.3">
      <c r="A208" s="156">
        <v>17</v>
      </c>
      <c r="D208" s="126">
        <v>2</v>
      </c>
      <c r="E208" s="126" t="s">
        <v>266</v>
      </c>
      <c r="F208" s="167"/>
      <c r="G208" s="166">
        <v>0.26951097396421253</v>
      </c>
      <c r="H208" s="166">
        <v>0.17552354923108981</v>
      </c>
      <c r="I208" s="166">
        <v>0.35989136870051275</v>
      </c>
      <c r="J208" s="166">
        <v>0</v>
      </c>
      <c r="K208" s="166">
        <v>1.1746377287531955</v>
      </c>
      <c r="L208" s="166">
        <v>-5.3497017723504953E-3</v>
      </c>
      <c r="M208" s="176">
        <v>1.9742139188766601</v>
      </c>
      <c r="N208" s="131"/>
      <c r="X208" s="168">
        <f>M208/M208</f>
        <v>1</v>
      </c>
      <c r="Z208" s="168">
        <v>1</v>
      </c>
      <c r="AA208" s="331">
        <v>2.017636642543851</v>
      </c>
    </row>
    <row r="209" spans="1:28" x14ac:dyDescent="0.3">
      <c r="A209" s="156">
        <v>18</v>
      </c>
      <c r="D209" s="126">
        <v>3</v>
      </c>
      <c r="E209" s="126" t="s">
        <v>277</v>
      </c>
      <c r="F209" s="167"/>
      <c r="G209" s="166">
        <v>0.18261684191889352</v>
      </c>
      <c r="H209" s="166">
        <v>0.10037739475551107</v>
      </c>
      <c r="I209" s="166">
        <v>0.28178228149555462</v>
      </c>
      <c r="J209" s="166">
        <v>0</v>
      </c>
      <c r="K209" s="166">
        <v>0.93776465000284326</v>
      </c>
      <c r="L209" s="166">
        <v>-5.3497017723504953E-3</v>
      </c>
      <c r="M209" s="176">
        <v>1.497191466400452</v>
      </c>
      <c r="N209" s="131"/>
      <c r="X209" s="168">
        <f>M209/M208</f>
        <v>0.75837347315044923</v>
      </c>
      <c r="Z209" s="168">
        <f>X209</f>
        <v>0.75837347315044923</v>
      </c>
      <c r="AA209" s="331">
        <v>1.5301221081615917</v>
      </c>
      <c r="AB209" s="180"/>
    </row>
    <row r="210" spans="1:28" x14ac:dyDescent="0.3">
      <c r="A210" s="156">
        <v>19</v>
      </c>
      <c r="D210" s="126">
        <v>4</v>
      </c>
      <c r="E210" s="126" t="s">
        <v>136</v>
      </c>
      <c r="F210" s="167"/>
      <c r="G210" s="166">
        <v>0</v>
      </c>
      <c r="H210" s="166">
        <v>0</v>
      </c>
      <c r="I210" s="166">
        <v>0</v>
      </c>
      <c r="J210" s="166">
        <v>0</v>
      </c>
      <c r="K210" s="166">
        <v>0</v>
      </c>
      <c r="L210" s="166">
        <v>0</v>
      </c>
      <c r="M210" s="169">
        <v>0</v>
      </c>
      <c r="N210" s="131"/>
      <c r="X210" s="174"/>
    </row>
    <row r="211" spans="1:28" x14ac:dyDescent="0.3">
      <c r="A211" s="156">
        <v>20</v>
      </c>
      <c r="D211" s="126">
        <v>5</v>
      </c>
      <c r="E211" s="126" t="s">
        <v>136</v>
      </c>
      <c r="F211" s="167"/>
      <c r="G211" s="166">
        <v>0</v>
      </c>
      <c r="H211" s="166">
        <v>0</v>
      </c>
      <c r="I211" s="166">
        <v>0</v>
      </c>
      <c r="J211" s="166">
        <v>0</v>
      </c>
      <c r="K211" s="166">
        <v>0</v>
      </c>
      <c r="L211" s="166">
        <v>0</v>
      </c>
      <c r="M211" s="169">
        <v>0</v>
      </c>
      <c r="N211" s="131"/>
    </row>
    <row r="212" spans="1:28" ht="15.6" x14ac:dyDescent="0.3">
      <c r="A212" s="156">
        <v>21</v>
      </c>
      <c r="D212" s="126">
        <v>6</v>
      </c>
      <c r="E212" s="126" t="s">
        <v>136</v>
      </c>
      <c r="F212" s="167"/>
      <c r="G212" s="166">
        <v>0</v>
      </c>
      <c r="H212" s="166">
        <v>0</v>
      </c>
      <c r="I212" s="166">
        <v>0</v>
      </c>
      <c r="J212" s="166">
        <v>0</v>
      </c>
      <c r="K212" s="166">
        <v>0</v>
      </c>
      <c r="L212" s="166">
        <v>0</v>
      </c>
      <c r="M212" s="169">
        <v>0</v>
      </c>
      <c r="N212" s="82"/>
      <c r="X212" s="174"/>
    </row>
    <row r="213" spans="1:28" ht="15.6" x14ac:dyDescent="0.3">
      <c r="D213" s="126"/>
      <c r="E213" s="126"/>
      <c r="F213" s="158"/>
      <c r="G213" s="161"/>
      <c r="H213" s="161"/>
      <c r="I213" s="161"/>
      <c r="J213" s="161"/>
      <c r="K213" s="161"/>
      <c r="L213" s="161"/>
      <c r="M213" s="158"/>
      <c r="N213" s="82"/>
      <c r="X213" s="174"/>
    </row>
    <row r="214" spans="1:28" ht="15" thickBot="1" x14ac:dyDescent="0.35">
      <c r="D214" s="157" t="s">
        <v>272</v>
      </c>
      <c r="E214" s="157"/>
      <c r="F214" s="157"/>
      <c r="G214" s="157"/>
      <c r="H214" s="157"/>
      <c r="I214" s="157"/>
      <c r="J214" s="157"/>
      <c r="K214" s="157"/>
      <c r="L214" s="157"/>
      <c r="M214" s="157"/>
      <c r="N214" s="131"/>
    </row>
    <row r="215" spans="1:28" x14ac:dyDescent="0.3">
      <c r="A215" s="156">
        <v>22</v>
      </c>
      <c r="D215" s="126"/>
      <c r="E215" s="126" t="s">
        <v>273</v>
      </c>
      <c r="F215" s="158"/>
      <c r="G215" s="159">
        <v>216111.87518357346</v>
      </c>
      <c r="H215" s="159">
        <v>115974.02902865014</v>
      </c>
      <c r="I215" s="159">
        <v>222474.55380490961</v>
      </c>
      <c r="J215" s="159">
        <v>0</v>
      </c>
      <c r="K215" s="159">
        <v>778844.61308810418</v>
      </c>
      <c r="L215" s="159">
        <v>-3527.9911052372972</v>
      </c>
      <c r="M215" s="160">
        <v>1329877.08</v>
      </c>
      <c r="N215" s="131"/>
    </row>
    <row r="216" spans="1:28" x14ac:dyDescent="0.3">
      <c r="A216" s="156">
        <v>23</v>
      </c>
      <c r="D216" s="126"/>
      <c r="E216" s="126" t="s">
        <v>274</v>
      </c>
      <c r="F216" s="158"/>
      <c r="G216" s="159" t="b">
        <v>1</v>
      </c>
      <c r="H216" s="159" t="b">
        <v>1</v>
      </c>
      <c r="I216" s="159" t="b">
        <v>1</v>
      </c>
      <c r="J216" s="159" t="b">
        <v>1</v>
      </c>
      <c r="K216" s="159" t="b">
        <v>1</v>
      </c>
      <c r="L216" s="159" t="b">
        <v>1</v>
      </c>
      <c r="M216" s="159" t="b">
        <v>1</v>
      </c>
      <c r="N216" s="131"/>
    </row>
    <row r="217" spans="1:28" x14ac:dyDescent="0.3">
      <c r="N217" s="131"/>
    </row>
    <row r="218" spans="1:28" ht="15" thickBot="1" x14ac:dyDescent="0.35">
      <c r="D218" s="157" t="s">
        <v>281</v>
      </c>
      <c r="E218" s="157"/>
      <c r="F218" s="157"/>
      <c r="G218" s="157"/>
      <c r="H218" s="157"/>
      <c r="I218" s="157"/>
      <c r="J218" s="157"/>
      <c r="K218" s="157"/>
      <c r="L218" s="157"/>
      <c r="M218" s="157"/>
    </row>
    <row r="219" spans="1:28" x14ac:dyDescent="0.3">
      <c r="A219" s="156">
        <v>24</v>
      </c>
      <c r="D219" s="126">
        <v>1</v>
      </c>
      <c r="E219" s="126" t="s">
        <v>265</v>
      </c>
      <c r="G219" s="166">
        <v>0</v>
      </c>
      <c r="H219" s="166">
        <v>0</v>
      </c>
      <c r="I219" s="166">
        <v>0</v>
      </c>
      <c r="J219" s="166">
        <v>0</v>
      </c>
      <c r="K219" s="166">
        <v>0</v>
      </c>
      <c r="L219" s="166">
        <v>0</v>
      </c>
      <c r="M219" s="179">
        <v>2.5731464365950321</v>
      </c>
      <c r="X219" s="168">
        <f>M219/SUM($M$219:$M$221)</f>
        <v>0.25881168177240682</v>
      </c>
    </row>
    <row r="220" spans="1:28" x14ac:dyDescent="0.3">
      <c r="A220" s="156">
        <v>25</v>
      </c>
      <c r="D220" s="126">
        <v>2</v>
      </c>
      <c r="E220" s="126" t="s">
        <v>282</v>
      </c>
      <c r="G220" s="166">
        <v>0</v>
      </c>
      <c r="H220" s="166">
        <v>0</v>
      </c>
      <c r="I220" s="166">
        <v>0</v>
      </c>
      <c r="J220" s="166">
        <v>0</v>
      </c>
      <c r="K220" s="166">
        <v>0</v>
      </c>
      <c r="L220" s="166">
        <v>0</v>
      </c>
      <c r="M220" s="179">
        <v>5.0962316584703169</v>
      </c>
      <c r="X220" s="168">
        <f>M220/SUM($M$219:$M$221)</f>
        <v>0.51258811681772398</v>
      </c>
    </row>
    <row r="221" spans="1:28" x14ac:dyDescent="0.3">
      <c r="A221" s="156">
        <v>26</v>
      </c>
      <c r="D221" s="126">
        <v>3</v>
      </c>
      <c r="E221" s="126" t="s">
        <v>120</v>
      </c>
      <c r="G221" s="166">
        <v>0</v>
      </c>
      <c r="H221" s="166">
        <v>0</v>
      </c>
      <c r="I221" s="166">
        <v>0</v>
      </c>
      <c r="J221" s="166">
        <v>0</v>
      </c>
      <c r="K221" s="166">
        <v>0</v>
      </c>
      <c r="L221" s="166">
        <v>0</v>
      </c>
      <c r="M221" s="179">
        <v>2.272779148276546</v>
      </c>
      <c r="X221" s="168">
        <f>M221/SUM($M$219:$M$221)</f>
        <v>0.22860020140986906</v>
      </c>
    </row>
    <row r="223" spans="1:28" ht="15" thickBot="1" x14ac:dyDescent="0.35">
      <c r="A223" s="170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0"/>
    </row>
    <row r="225" spans="1:14" x14ac:dyDescent="0.3">
      <c r="A225" s="134"/>
      <c r="B225" s="131"/>
      <c r="C225" s="131"/>
      <c r="D225" s="135"/>
      <c r="E225" s="131"/>
      <c r="F225" s="131"/>
      <c r="G225" s="131"/>
      <c r="H225" s="131"/>
      <c r="I225" s="131"/>
      <c r="J225" s="131"/>
      <c r="K225" s="131"/>
      <c r="L225" s="134"/>
      <c r="M225" s="30" t="s">
        <v>37</v>
      </c>
      <c r="N225" s="131"/>
    </row>
    <row r="226" spans="1:14" x14ac:dyDescent="0.3">
      <c r="A226" s="134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33" t="str">
        <f>M168</f>
        <v>DOCKET NO.  20240025-EI</v>
      </c>
      <c r="N226" s="131"/>
    </row>
    <row r="227" spans="1:14" x14ac:dyDescent="0.3">
      <c r="A227" s="134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33" t="s">
        <v>38</v>
      </c>
      <c r="N227" s="131"/>
    </row>
    <row r="228" spans="1:14" x14ac:dyDescent="0.3">
      <c r="A228" s="134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30" t="s">
        <v>246</v>
      </c>
      <c r="N228" s="131"/>
    </row>
    <row r="229" spans="1:14" x14ac:dyDescent="0.3">
      <c r="A229" s="134"/>
      <c r="B229" s="131"/>
      <c r="C229" s="181"/>
      <c r="D229" s="131"/>
      <c r="E229" s="131"/>
      <c r="F229" s="131"/>
      <c r="G229" s="131"/>
      <c r="H229" s="131"/>
      <c r="I229" s="131"/>
      <c r="J229" s="131"/>
      <c r="K229" s="131"/>
      <c r="L229" s="134"/>
      <c r="M229" s="79" t="s">
        <v>297</v>
      </c>
      <c r="N229" s="131"/>
    </row>
    <row r="230" spans="1:14" ht="15.6" x14ac:dyDescent="0.3">
      <c r="A230" s="138" t="s">
        <v>248</v>
      </c>
      <c r="B230" s="139"/>
      <c r="C230" s="139"/>
      <c r="D230" s="140"/>
      <c r="E230" s="140"/>
      <c r="F230" s="140"/>
      <c r="G230" s="140"/>
      <c r="H230" s="140"/>
      <c r="I230" s="140"/>
      <c r="J230" s="140"/>
      <c r="K230" s="140"/>
      <c r="L230" s="140"/>
      <c r="M230" s="37" t="s">
        <v>8</v>
      </c>
      <c r="N230" s="82"/>
    </row>
    <row r="231" spans="1:14" ht="15.6" x14ac:dyDescent="0.3">
      <c r="A231" s="142"/>
      <c r="B231" s="279"/>
      <c r="C231" s="279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82"/>
    </row>
    <row r="232" spans="1:14" ht="15.6" x14ac:dyDescent="0.3">
      <c r="A232" s="142"/>
      <c r="B232" s="279"/>
      <c r="C232" s="279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82"/>
    </row>
    <row r="233" spans="1:14" ht="15.6" x14ac:dyDescent="0.3">
      <c r="A233" s="375" t="s">
        <v>286</v>
      </c>
      <c r="B233" s="377"/>
      <c r="C233" s="377"/>
      <c r="D233" s="377"/>
      <c r="E233" s="377"/>
      <c r="F233" s="377"/>
      <c r="G233" s="377"/>
      <c r="H233" s="377"/>
      <c r="I233" s="377"/>
      <c r="J233" s="377"/>
      <c r="K233" s="377"/>
      <c r="L233" s="377"/>
      <c r="M233" s="377"/>
      <c r="N233" s="82"/>
    </row>
    <row r="234" spans="1:14" x14ac:dyDescent="0.3">
      <c r="A234" s="143"/>
      <c r="B234" s="109"/>
      <c r="C234" s="109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</row>
    <row r="235" spans="1:14" x14ac:dyDescent="0.3">
      <c r="A235" s="144"/>
      <c r="B235" s="145"/>
      <c r="C235" s="145"/>
      <c r="D235" s="278">
        <v>-1</v>
      </c>
      <c r="E235" s="278"/>
      <c r="F235" s="146"/>
      <c r="G235" s="278">
        <f>+D235-1</f>
        <v>-2</v>
      </c>
      <c r="H235" s="278">
        <f t="shared" ref="H235:M235" si="4">+G235-1</f>
        <v>-3</v>
      </c>
      <c r="I235" s="278">
        <f t="shared" si="4"/>
        <v>-4</v>
      </c>
      <c r="J235" s="278">
        <f t="shared" si="4"/>
        <v>-5</v>
      </c>
      <c r="K235" s="278">
        <f t="shared" si="4"/>
        <v>-6</v>
      </c>
      <c r="L235" s="278">
        <f t="shared" si="4"/>
        <v>-7</v>
      </c>
      <c r="M235" s="278">
        <f t="shared" si="4"/>
        <v>-8</v>
      </c>
      <c r="N235" s="78"/>
    </row>
    <row r="236" spans="1:14" x14ac:dyDescent="0.3">
      <c r="A236" s="147"/>
      <c r="B236" s="148"/>
      <c r="C236" s="148"/>
      <c r="D236" s="148"/>
      <c r="E236" s="148"/>
      <c r="F236" s="148"/>
      <c r="G236" s="148"/>
      <c r="H236" s="149"/>
      <c r="I236" s="148"/>
      <c r="J236" s="149"/>
      <c r="K236" s="78"/>
      <c r="L236" s="78"/>
      <c r="M236" s="78"/>
      <c r="N236" s="148"/>
    </row>
    <row r="237" spans="1:14" ht="27.6" x14ac:dyDescent="0.3">
      <c r="A237" s="147"/>
      <c r="B237" s="148"/>
      <c r="C237" s="148"/>
      <c r="D237" s="148"/>
      <c r="E237" s="148"/>
      <c r="F237" s="148"/>
      <c r="G237" s="149" t="s">
        <v>250</v>
      </c>
      <c r="H237" s="150" t="s">
        <v>102</v>
      </c>
      <c r="I237" s="151" t="s">
        <v>251</v>
      </c>
      <c r="J237" s="149" t="s">
        <v>252</v>
      </c>
      <c r="K237" s="151" t="s">
        <v>250</v>
      </c>
      <c r="L237" s="151" t="s">
        <v>253</v>
      </c>
      <c r="M237" s="152" t="s">
        <v>254</v>
      </c>
      <c r="N237" s="148"/>
    </row>
    <row r="238" spans="1:14" x14ac:dyDescent="0.3">
      <c r="A238" s="153" t="s">
        <v>54</v>
      </c>
      <c r="B238" s="154"/>
      <c r="C238" s="154"/>
      <c r="D238" s="155"/>
      <c r="E238" s="155"/>
      <c r="F238" s="155"/>
      <c r="G238" s="172" t="s">
        <v>255</v>
      </c>
      <c r="H238" s="172" t="s">
        <v>255</v>
      </c>
      <c r="I238" s="173" t="s">
        <v>101</v>
      </c>
      <c r="J238" s="173" t="s">
        <v>99</v>
      </c>
      <c r="K238" s="173" t="s">
        <v>256</v>
      </c>
      <c r="L238" s="173"/>
      <c r="M238" s="88"/>
      <c r="N238" s="151"/>
    </row>
    <row r="239" spans="1:14" ht="15" thickBot="1" x14ac:dyDescent="0.35">
      <c r="D239" s="157" t="s">
        <v>257</v>
      </c>
      <c r="E239" s="157"/>
      <c r="F239" s="157"/>
      <c r="G239" s="157"/>
      <c r="H239" s="157"/>
      <c r="I239" s="157"/>
      <c r="J239" s="157"/>
      <c r="K239" s="157"/>
      <c r="L239" s="157"/>
      <c r="M239" s="157"/>
      <c r="N239" s="78"/>
    </row>
    <row r="240" spans="1:14" x14ac:dyDescent="0.3">
      <c r="A240" s="156">
        <v>1</v>
      </c>
      <c r="D240" s="126"/>
      <c r="E240" s="126"/>
      <c r="F240" s="158"/>
      <c r="G240" s="159">
        <v>6319301.2327245995</v>
      </c>
      <c r="H240" s="159">
        <v>3391182.5714447945</v>
      </c>
      <c r="I240" s="159">
        <v>2823514.1961375531</v>
      </c>
      <c r="J240" s="159">
        <v>0</v>
      </c>
      <c r="K240" s="159">
        <v>33448018.577949204</v>
      </c>
      <c r="L240" s="159">
        <v>1636576.5217438769</v>
      </c>
      <c r="M240" s="160">
        <v>47618593.100000031</v>
      </c>
      <c r="N240" s="148"/>
    </row>
    <row r="241" spans="1:14" x14ac:dyDescent="0.3">
      <c r="D241" s="126"/>
      <c r="E241" s="126"/>
      <c r="F241" s="158"/>
      <c r="G241" s="161"/>
      <c r="H241" s="161"/>
      <c r="I241" s="161"/>
      <c r="J241" s="161"/>
      <c r="K241" s="161"/>
      <c r="L241" s="161"/>
      <c r="M241" s="158"/>
      <c r="N241" s="148"/>
    </row>
    <row r="242" spans="1:14" ht="15" thickBot="1" x14ac:dyDescent="0.35">
      <c r="D242" s="157" t="s">
        <v>258</v>
      </c>
      <c r="E242" s="157"/>
      <c r="F242" s="157"/>
      <c r="G242" s="157"/>
      <c r="H242" s="157"/>
      <c r="I242" s="157"/>
      <c r="J242" s="157"/>
      <c r="K242" s="157"/>
      <c r="L242" s="157"/>
      <c r="M242" s="157"/>
      <c r="N242" s="131"/>
    </row>
    <row r="243" spans="1:14" x14ac:dyDescent="0.3">
      <c r="A243" s="156">
        <v>2</v>
      </c>
      <c r="D243" s="126"/>
      <c r="E243" s="126"/>
      <c r="F243" s="158"/>
      <c r="G243" s="162" t="s">
        <v>259</v>
      </c>
      <c r="H243" s="162" t="s">
        <v>260</v>
      </c>
      <c r="I243" s="162" t="s">
        <v>261</v>
      </c>
      <c r="J243" s="162" t="s">
        <v>261</v>
      </c>
      <c r="K243" s="162" t="s">
        <v>262</v>
      </c>
      <c r="L243" s="162" t="s">
        <v>263</v>
      </c>
      <c r="M243" s="126"/>
      <c r="N243" s="131"/>
    </row>
    <row r="244" spans="1:14" x14ac:dyDescent="0.3">
      <c r="D244" s="126"/>
      <c r="E244" s="126"/>
      <c r="F244" s="158"/>
      <c r="G244" s="161"/>
      <c r="H244" s="161"/>
      <c r="I244" s="161"/>
      <c r="J244" s="161"/>
      <c r="K244" s="161"/>
      <c r="L244" s="161"/>
      <c r="M244" s="158"/>
      <c r="N244" s="131"/>
    </row>
    <row r="245" spans="1:14" ht="15" thickBot="1" x14ac:dyDescent="0.35">
      <c r="D245" s="157" t="s">
        <v>264</v>
      </c>
      <c r="E245" s="157"/>
      <c r="F245" s="157"/>
      <c r="G245" s="157"/>
      <c r="H245" s="157"/>
      <c r="I245" s="157"/>
      <c r="J245" s="157"/>
      <c r="K245" s="157"/>
      <c r="L245" s="157"/>
      <c r="M245" s="157"/>
      <c r="N245" s="131"/>
    </row>
    <row r="246" spans="1:14" ht="15.6" x14ac:dyDescent="0.3">
      <c r="A246" s="156">
        <v>3</v>
      </c>
      <c r="D246" s="126">
        <v>1</v>
      </c>
      <c r="E246" s="126" t="s">
        <v>265</v>
      </c>
      <c r="F246" s="163"/>
      <c r="G246" s="164">
        <v>2.490299254061072</v>
      </c>
      <c r="H246" s="164">
        <v>1.6447207459538091</v>
      </c>
      <c r="I246" s="164">
        <v>0.91826446983474097</v>
      </c>
      <c r="J246" s="164">
        <v>0.91826446983474097</v>
      </c>
      <c r="K246" s="175">
        <v>1.3622293597931883</v>
      </c>
      <c r="L246" s="164">
        <v>1</v>
      </c>
      <c r="M246" s="158"/>
      <c r="N246" s="82"/>
    </row>
    <row r="247" spans="1:14" ht="15.6" x14ac:dyDescent="0.3">
      <c r="A247" s="156">
        <v>4</v>
      </c>
      <c r="D247" s="126">
        <v>2</v>
      </c>
      <c r="E247" s="126" t="s">
        <v>266</v>
      </c>
      <c r="F247" s="163"/>
      <c r="G247" s="164">
        <v>0.78203961486374551</v>
      </c>
      <c r="H247" s="164">
        <v>0.96960809507935608</v>
      </c>
      <c r="I247" s="164">
        <v>1.0668147111832031</v>
      </c>
      <c r="J247" s="164">
        <v>1.0668147111832031</v>
      </c>
      <c r="K247" s="175">
        <v>0.99944772468847709</v>
      </c>
      <c r="L247" s="164">
        <v>1</v>
      </c>
      <c r="M247" s="158"/>
      <c r="N247" s="82"/>
    </row>
    <row r="248" spans="1:14" x14ac:dyDescent="0.3">
      <c r="A248" s="156">
        <v>5</v>
      </c>
      <c r="D248" s="126">
        <v>3</v>
      </c>
      <c r="E248" s="126" t="s">
        <v>277</v>
      </c>
      <c r="F248" s="163"/>
      <c r="G248" s="164">
        <v>0.52989903387328763</v>
      </c>
      <c r="H248" s="164">
        <v>0.55449388383653153</v>
      </c>
      <c r="I248" s="164">
        <v>0.83527839063120013</v>
      </c>
      <c r="J248" s="164">
        <v>0.83527839063120013</v>
      </c>
      <c r="K248" s="175">
        <v>0.79790281105090721</v>
      </c>
      <c r="L248" s="164">
        <v>1</v>
      </c>
      <c r="M248" s="158"/>
      <c r="N248" s="131"/>
    </row>
    <row r="249" spans="1:14" x14ac:dyDescent="0.3">
      <c r="A249" s="156">
        <v>6</v>
      </c>
      <c r="D249" s="126">
        <v>4</v>
      </c>
      <c r="E249" s="126" t="s">
        <v>136</v>
      </c>
      <c r="F249" s="163"/>
      <c r="G249" s="164">
        <v>0</v>
      </c>
      <c r="H249" s="164">
        <v>0</v>
      </c>
      <c r="I249" s="164">
        <v>0</v>
      </c>
      <c r="J249" s="164">
        <v>0</v>
      </c>
      <c r="K249" s="164">
        <v>0</v>
      </c>
      <c r="L249" s="164">
        <v>0</v>
      </c>
      <c r="M249" s="158"/>
      <c r="N249" s="131"/>
    </row>
    <row r="250" spans="1:14" x14ac:dyDescent="0.3">
      <c r="A250" s="156">
        <v>7</v>
      </c>
      <c r="D250" s="126">
        <v>5</v>
      </c>
      <c r="E250" s="126" t="s">
        <v>136</v>
      </c>
      <c r="F250" s="163"/>
      <c r="G250" s="164">
        <v>0</v>
      </c>
      <c r="H250" s="164">
        <v>0</v>
      </c>
      <c r="I250" s="164">
        <v>0</v>
      </c>
      <c r="J250" s="164">
        <v>0</v>
      </c>
      <c r="K250" s="164">
        <v>0</v>
      </c>
      <c r="L250" s="164">
        <v>0</v>
      </c>
      <c r="M250" s="158"/>
      <c r="N250" s="131"/>
    </row>
    <row r="251" spans="1:14" x14ac:dyDescent="0.3">
      <c r="A251" s="156">
        <v>8</v>
      </c>
      <c r="D251" s="126">
        <v>6</v>
      </c>
      <c r="E251" s="126" t="s">
        <v>136</v>
      </c>
      <c r="F251" s="163"/>
      <c r="G251" s="164">
        <v>0</v>
      </c>
      <c r="H251" s="164">
        <v>0</v>
      </c>
      <c r="I251" s="164">
        <v>0</v>
      </c>
      <c r="J251" s="164">
        <v>0</v>
      </c>
      <c r="K251" s="164">
        <v>0</v>
      </c>
      <c r="L251" s="164">
        <v>0</v>
      </c>
      <c r="M251" s="158"/>
      <c r="N251" s="131"/>
    </row>
    <row r="252" spans="1:14" ht="15.6" x14ac:dyDescent="0.3">
      <c r="D252" s="126"/>
      <c r="E252" s="126"/>
      <c r="F252" s="158"/>
      <c r="G252" s="161"/>
      <c r="H252" s="161"/>
      <c r="I252" s="161"/>
      <c r="J252" s="161"/>
      <c r="K252" s="161"/>
      <c r="L252" s="161"/>
      <c r="M252" s="158"/>
      <c r="N252" s="82"/>
    </row>
    <row r="253" spans="1:14" ht="16.2" thickBot="1" x14ac:dyDescent="0.35">
      <c r="D253" s="157" t="s">
        <v>287</v>
      </c>
      <c r="E253" s="157"/>
      <c r="F253" s="157"/>
      <c r="G253" s="157"/>
      <c r="H253" s="157"/>
      <c r="I253" s="157"/>
      <c r="J253" s="157"/>
      <c r="K253" s="157"/>
      <c r="L253" s="157"/>
      <c r="M253" s="157"/>
      <c r="N253" s="82"/>
    </row>
    <row r="254" spans="1:14" x14ac:dyDescent="0.3">
      <c r="A254" s="156">
        <v>9</v>
      </c>
      <c r="D254" s="126">
        <v>1</v>
      </c>
      <c r="E254" s="126" t="s">
        <v>265</v>
      </c>
      <c r="F254" s="163"/>
      <c r="G254" s="161"/>
      <c r="H254" s="165"/>
      <c r="I254" s="161"/>
      <c r="J254" s="161"/>
      <c r="K254" s="161"/>
      <c r="L254" s="161"/>
      <c r="M254" s="159">
        <v>307107.86477037013</v>
      </c>
      <c r="N254" s="131"/>
    </row>
    <row r="255" spans="1:14" x14ac:dyDescent="0.3">
      <c r="A255" s="156">
        <v>10</v>
      </c>
      <c r="D255" s="126">
        <v>2</v>
      </c>
      <c r="E255" s="126" t="s">
        <v>266</v>
      </c>
      <c r="F255" s="163"/>
      <c r="G255" s="161"/>
      <c r="H255" s="161"/>
      <c r="I255" s="161"/>
      <c r="J255" s="161"/>
      <c r="K255" s="161"/>
      <c r="L255" s="161"/>
      <c r="M255" s="159">
        <v>1580927.4954340414</v>
      </c>
      <c r="N255" s="131"/>
    </row>
    <row r="256" spans="1:14" x14ac:dyDescent="0.3">
      <c r="A256" s="156">
        <v>11</v>
      </c>
      <c r="D256" s="126">
        <v>3</v>
      </c>
      <c r="E256" s="126" t="s">
        <v>277</v>
      </c>
      <c r="F256" s="163"/>
      <c r="G256" s="161"/>
      <c r="H256" s="161"/>
      <c r="I256" s="161"/>
      <c r="J256" s="161"/>
      <c r="K256" s="161"/>
      <c r="L256" s="161"/>
      <c r="M256" s="159">
        <v>488870.82983614609</v>
      </c>
      <c r="N256" s="131"/>
    </row>
    <row r="257" spans="1:27" x14ac:dyDescent="0.3">
      <c r="A257" s="156">
        <v>12</v>
      </c>
      <c r="D257" s="126">
        <v>4</v>
      </c>
      <c r="E257" s="126" t="s">
        <v>136</v>
      </c>
      <c r="F257" s="163"/>
      <c r="G257" s="161"/>
      <c r="H257" s="161"/>
      <c r="I257" s="161"/>
      <c r="J257" s="161"/>
      <c r="K257" s="161"/>
      <c r="L257" s="161"/>
      <c r="M257" s="159">
        <v>0</v>
      </c>
      <c r="N257" s="131"/>
    </row>
    <row r="258" spans="1:27" ht="15.6" x14ac:dyDescent="0.3">
      <c r="A258" s="156">
        <v>13</v>
      </c>
      <c r="D258" s="126">
        <v>5</v>
      </c>
      <c r="E258" s="126" t="s">
        <v>136</v>
      </c>
      <c r="F258" s="163"/>
      <c r="G258" s="161"/>
      <c r="H258" s="161"/>
      <c r="I258" s="161"/>
      <c r="J258" s="161"/>
      <c r="K258" s="161"/>
      <c r="L258" s="161"/>
      <c r="M258" s="159">
        <v>0</v>
      </c>
      <c r="N258" s="82"/>
    </row>
    <row r="259" spans="1:27" ht="15.6" x14ac:dyDescent="0.3">
      <c r="A259" s="156">
        <v>14</v>
      </c>
      <c r="D259" s="126">
        <v>6</v>
      </c>
      <c r="E259" s="126" t="s">
        <v>136</v>
      </c>
      <c r="F259" s="163"/>
      <c r="G259" s="161"/>
      <c r="H259" s="161"/>
      <c r="I259" s="161"/>
      <c r="J259" s="161"/>
      <c r="K259" s="161"/>
      <c r="L259" s="161"/>
      <c r="M259" s="159">
        <v>0</v>
      </c>
      <c r="N259" s="82"/>
    </row>
    <row r="260" spans="1:27" x14ac:dyDescent="0.3">
      <c r="D260" s="126"/>
      <c r="E260" s="126"/>
      <c r="F260" s="158"/>
      <c r="G260" s="161"/>
      <c r="H260" s="161"/>
      <c r="I260" s="161"/>
      <c r="J260" s="161"/>
      <c r="K260" s="161"/>
      <c r="L260" s="161"/>
      <c r="M260" s="158"/>
      <c r="N260" s="131"/>
    </row>
    <row r="261" spans="1:27" ht="15" thickBot="1" x14ac:dyDescent="0.35">
      <c r="D261" s="157" t="s">
        <v>269</v>
      </c>
      <c r="E261" s="157"/>
      <c r="F261" s="157"/>
      <c r="G261" s="157"/>
      <c r="H261" s="157"/>
      <c r="I261" s="157"/>
      <c r="J261" s="157"/>
      <c r="K261" s="157"/>
      <c r="L261" s="157"/>
      <c r="M261" s="157"/>
      <c r="N261" s="131"/>
    </row>
    <row r="262" spans="1:27" x14ac:dyDescent="0.3">
      <c r="A262" s="156">
        <v>15</v>
      </c>
      <c r="D262" s="126"/>
      <c r="E262" s="126"/>
      <c r="F262" s="158"/>
      <c r="G262" s="166">
        <v>0.27959151950051014</v>
      </c>
      <c r="H262" s="166">
        <v>0.14686403413168247</v>
      </c>
      <c r="I262" s="166">
        <v>0.11878946707986653</v>
      </c>
      <c r="J262" s="166">
        <v>0</v>
      </c>
      <c r="K262" s="166">
        <v>1.4003909818313951</v>
      </c>
      <c r="L262" s="166">
        <v>6.8853223093165147E-2</v>
      </c>
      <c r="M262" s="158"/>
      <c r="N262" s="131"/>
    </row>
    <row r="263" spans="1:27" x14ac:dyDescent="0.3">
      <c r="D263" s="126"/>
      <c r="E263" s="126"/>
      <c r="F263" s="158"/>
      <c r="G263" s="161"/>
      <c r="H263" s="161"/>
      <c r="I263" s="161"/>
      <c r="J263" s="161"/>
      <c r="K263" s="161"/>
      <c r="L263" s="161"/>
      <c r="M263" s="158"/>
      <c r="N263" s="131"/>
    </row>
    <row r="264" spans="1:27" ht="16.2" thickBot="1" x14ac:dyDescent="0.35">
      <c r="D264" s="157" t="s">
        <v>270</v>
      </c>
      <c r="E264" s="157"/>
      <c r="F264" s="157"/>
      <c r="G264" s="157"/>
      <c r="H264" s="157"/>
      <c r="I264" s="157"/>
      <c r="J264" s="157"/>
      <c r="K264" s="157"/>
      <c r="L264" s="157"/>
      <c r="M264" s="157"/>
      <c r="N264" s="82"/>
      <c r="Z264" s="126" t="s">
        <v>271</v>
      </c>
    </row>
    <row r="265" spans="1:27" ht="15.6" x14ac:dyDescent="0.3">
      <c r="A265" s="156">
        <v>16</v>
      </c>
      <c r="D265" s="126">
        <v>1</v>
      </c>
      <c r="E265" s="126" t="s">
        <v>265</v>
      </c>
      <c r="F265" s="167"/>
      <c r="G265" s="166">
        <v>0.69626655245392211</v>
      </c>
      <c r="H265" s="166">
        <v>0.24155032377084648</v>
      </c>
      <c r="I265" s="166">
        <v>0.10908014701004505</v>
      </c>
      <c r="J265" s="166">
        <v>0</v>
      </c>
      <c r="K265" s="166">
        <v>1.9076537106403357</v>
      </c>
      <c r="L265" s="166">
        <v>6.8853223093165147E-2</v>
      </c>
      <c r="M265" s="176">
        <v>3.0234039569683144</v>
      </c>
      <c r="N265" s="82"/>
      <c r="X265" s="168">
        <f>M265/M266</f>
        <v>1.5455105193895151</v>
      </c>
      <c r="Z265" s="168">
        <v>1.35</v>
      </c>
      <c r="AA265" s="331">
        <v>2.7123478949715061</v>
      </c>
    </row>
    <row r="266" spans="1:27" x14ac:dyDescent="0.3">
      <c r="A266" s="156">
        <v>17</v>
      </c>
      <c r="D266" s="126">
        <v>2</v>
      </c>
      <c r="E266" s="126" t="s">
        <v>266</v>
      </c>
      <c r="F266" s="167"/>
      <c r="G266" s="166">
        <v>0.21865164422934835</v>
      </c>
      <c r="H266" s="166">
        <v>0.14240055637009016</v>
      </c>
      <c r="I266" s="166">
        <v>0.12672635101441443</v>
      </c>
      <c r="J266" s="166">
        <v>0</v>
      </c>
      <c r="K266" s="166">
        <v>1.3996175804656503</v>
      </c>
      <c r="L266" s="166">
        <v>6.8853223093165147E-2</v>
      </c>
      <c r="M266" s="176">
        <v>1.9562493551726683</v>
      </c>
      <c r="N266" s="131"/>
      <c r="X266" s="168">
        <f>M266/M266</f>
        <v>1</v>
      </c>
      <c r="Z266" s="168">
        <v>1</v>
      </c>
      <c r="AA266" s="331">
        <v>2.009146588867782</v>
      </c>
    </row>
    <row r="267" spans="1:27" x14ac:dyDescent="0.3">
      <c r="A267" s="156">
        <v>18</v>
      </c>
      <c r="D267" s="126">
        <v>3</v>
      </c>
      <c r="E267" s="126" t="s">
        <v>277</v>
      </c>
      <c r="F267" s="167"/>
      <c r="G267" s="166">
        <v>0.14815527606248477</v>
      </c>
      <c r="H267" s="166">
        <v>8.1435208681577539E-2</v>
      </c>
      <c r="I267" s="166">
        <v>9.9222274886408834E-2</v>
      </c>
      <c r="J267" s="166">
        <v>0</v>
      </c>
      <c r="K267" s="166">
        <v>1.1173759009736102</v>
      </c>
      <c r="L267" s="166">
        <v>6.8853223093165147E-2</v>
      </c>
      <c r="M267" s="176">
        <v>1.5150418836972463</v>
      </c>
      <c r="N267" s="131"/>
      <c r="X267" s="168">
        <f>M267/M266</f>
        <v>0.77446256004696357</v>
      </c>
      <c r="Z267" s="168">
        <v>0.78977426681713392</v>
      </c>
      <c r="AA267" s="331">
        <v>1.5560088107241667</v>
      </c>
    </row>
    <row r="268" spans="1:27" x14ac:dyDescent="0.3">
      <c r="A268" s="156">
        <v>19</v>
      </c>
      <c r="D268" s="126">
        <v>4</v>
      </c>
      <c r="E268" s="126" t="s">
        <v>136</v>
      </c>
      <c r="F268" s="167"/>
      <c r="G268" s="166">
        <v>0</v>
      </c>
      <c r="H268" s="166">
        <v>0</v>
      </c>
      <c r="I268" s="166">
        <v>0</v>
      </c>
      <c r="J268" s="166">
        <v>0</v>
      </c>
      <c r="K268" s="166">
        <v>0</v>
      </c>
      <c r="L268" s="166">
        <v>0</v>
      </c>
      <c r="M268" s="169">
        <v>0</v>
      </c>
      <c r="N268" s="131"/>
      <c r="X268" s="174"/>
    </row>
    <row r="269" spans="1:27" x14ac:dyDescent="0.3">
      <c r="A269" s="156">
        <v>20</v>
      </c>
      <c r="D269" s="126">
        <v>5</v>
      </c>
      <c r="E269" s="126" t="s">
        <v>136</v>
      </c>
      <c r="F269" s="167"/>
      <c r="G269" s="166">
        <v>0</v>
      </c>
      <c r="H269" s="166">
        <v>0</v>
      </c>
      <c r="I269" s="166">
        <v>0</v>
      </c>
      <c r="J269" s="166">
        <v>0</v>
      </c>
      <c r="K269" s="166">
        <v>0</v>
      </c>
      <c r="L269" s="166">
        <v>0</v>
      </c>
      <c r="M269" s="169">
        <v>0</v>
      </c>
      <c r="N269" s="131"/>
    </row>
    <row r="270" spans="1:27" ht="15.6" x14ac:dyDescent="0.3">
      <c r="A270" s="156">
        <v>21</v>
      </c>
      <c r="D270" s="126">
        <v>6</v>
      </c>
      <c r="E270" s="126" t="s">
        <v>136</v>
      </c>
      <c r="F270" s="167"/>
      <c r="G270" s="166">
        <v>0</v>
      </c>
      <c r="H270" s="166">
        <v>0</v>
      </c>
      <c r="I270" s="166">
        <v>0</v>
      </c>
      <c r="J270" s="166">
        <v>0</v>
      </c>
      <c r="K270" s="166">
        <v>0</v>
      </c>
      <c r="L270" s="166">
        <v>0</v>
      </c>
      <c r="M270" s="169">
        <v>0</v>
      </c>
      <c r="N270" s="82"/>
      <c r="X270" s="174"/>
    </row>
    <row r="271" spans="1:27" ht="15.6" x14ac:dyDescent="0.3">
      <c r="D271" s="126"/>
      <c r="E271" s="126"/>
      <c r="F271" s="158"/>
      <c r="G271" s="161"/>
      <c r="H271" s="161"/>
      <c r="I271" s="161"/>
      <c r="J271" s="161"/>
      <c r="K271" s="161"/>
      <c r="L271" s="161"/>
      <c r="M271" s="158"/>
      <c r="N271" s="82"/>
      <c r="X271" s="174"/>
    </row>
    <row r="272" spans="1:27" ht="15" thickBot="1" x14ac:dyDescent="0.35">
      <c r="D272" s="157" t="s">
        <v>272</v>
      </c>
      <c r="E272" s="157"/>
      <c r="F272" s="157"/>
      <c r="G272" s="157"/>
      <c r="H272" s="157"/>
      <c r="I272" s="157"/>
      <c r="J272" s="157"/>
      <c r="K272" s="157"/>
      <c r="L272" s="157"/>
      <c r="M272" s="157"/>
      <c r="N272" s="131"/>
    </row>
    <row r="273" spans="1:24" x14ac:dyDescent="0.3">
      <c r="A273" s="156">
        <v>22</v>
      </c>
      <c r="D273" s="126"/>
      <c r="E273" s="126" t="s">
        <v>273</v>
      </c>
      <c r="F273" s="158"/>
      <c r="G273" s="159">
        <v>6319301.2327245995</v>
      </c>
      <c r="H273" s="159">
        <v>3391182.5714447941</v>
      </c>
      <c r="I273" s="159">
        <v>2823514.1961375521</v>
      </c>
      <c r="J273" s="159">
        <v>0</v>
      </c>
      <c r="K273" s="159">
        <v>33448018.577949204</v>
      </c>
      <c r="L273" s="159">
        <v>1636576.5217438771</v>
      </c>
      <c r="M273" s="160">
        <v>47618593.100000024</v>
      </c>
      <c r="N273" s="131"/>
    </row>
    <row r="274" spans="1:24" x14ac:dyDescent="0.3">
      <c r="A274" s="156">
        <v>23</v>
      </c>
      <c r="D274" s="126"/>
      <c r="E274" s="126" t="s">
        <v>274</v>
      </c>
      <c r="F274" s="158"/>
      <c r="G274" s="159" t="b">
        <v>1</v>
      </c>
      <c r="H274" s="159" t="b">
        <v>1</v>
      </c>
      <c r="I274" s="159" t="b">
        <v>1</v>
      </c>
      <c r="J274" s="159" t="b">
        <v>1</v>
      </c>
      <c r="K274" s="159" t="b">
        <v>1</v>
      </c>
      <c r="L274" s="159" t="b">
        <v>1</v>
      </c>
      <c r="M274" s="159" t="b">
        <v>1</v>
      </c>
      <c r="N274" s="131"/>
    </row>
    <row r="275" spans="1:24" x14ac:dyDescent="0.3">
      <c r="N275" s="131"/>
    </row>
    <row r="276" spans="1:24" ht="15" thickBot="1" x14ac:dyDescent="0.35">
      <c r="D276" s="157" t="s">
        <v>281</v>
      </c>
      <c r="E276" s="157"/>
      <c r="F276" s="157"/>
      <c r="G276" s="157"/>
      <c r="H276" s="157"/>
      <c r="I276" s="157"/>
      <c r="J276" s="157"/>
      <c r="K276" s="157"/>
      <c r="L276" s="157"/>
      <c r="M276" s="157"/>
    </row>
    <row r="277" spans="1:24" x14ac:dyDescent="0.3">
      <c r="A277" s="156">
        <v>24</v>
      </c>
      <c r="D277" s="126">
        <v>1</v>
      </c>
      <c r="E277" s="126" t="s">
        <v>265</v>
      </c>
      <c r="G277" s="166">
        <v>0</v>
      </c>
      <c r="H277" s="166">
        <v>0</v>
      </c>
      <c r="I277" s="166">
        <v>0</v>
      </c>
      <c r="J277" s="166">
        <v>0</v>
      </c>
      <c r="K277" s="166">
        <v>0</v>
      </c>
      <c r="L277" s="166">
        <v>0</v>
      </c>
      <c r="M277" s="179">
        <v>2.8392500973754085</v>
      </c>
      <c r="X277" s="168">
        <f>M277/SUM($M$277:$M$279)</f>
        <v>0.27815866797257588</v>
      </c>
    </row>
    <row r="278" spans="1:24" x14ac:dyDescent="0.3">
      <c r="A278" s="156">
        <v>25</v>
      </c>
      <c r="D278" s="126">
        <v>2</v>
      </c>
      <c r="E278" s="126" t="s">
        <v>282</v>
      </c>
      <c r="G278" s="166">
        <v>0</v>
      </c>
      <c r="H278" s="166">
        <v>0</v>
      </c>
      <c r="I278" s="166">
        <v>0</v>
      </c>
      <c r="J278" s="166">
        <v>0</v>
      </c>
      <c r="K278" s="166">
        <v>0</v>
      </c>
      <c r="L278" s="166">
        <v>0</v>
      </c>
      <c r="M278" s="179">
        <v>5.4485609263014005</v>
      </c>
      <c r="X278" s="168">
        <f>M278/SUM($M$277:$M$279)</f>
        <v>0.53379040156709101</v>
      </c>
    </row>
    <row r="279" spans="1:24" x14ac:dyDescent="0.3">
      <c r="A279" s="156">
        <v>26</v>
      </c>
      <c r="D279" s="126">
        <v>3</v>
      </c>
      <c r="E279" s="126" t="s">
        <v>120</v>
      </c>
      <c r="G279" s="166">
        <v>0</v>
      </c>
      <c r="H279" s="166">
        <v>0</v>
      </c>
      <c r="I279" s="166">
        <v>0</v>
      </c>
      <c r="J279" s="166">
        <v>0</v>
      </c>
      <c r="K279" s="166">
        <v>0</v>
      </c>
      <c r="L279" s="166">
        <v>0</v>
      </c>
      <c r="M279" s="179">
        <v>1.919493023577741</v>
      </c>
      <c r="X279" s="168">
        <f>M279/SUM($M$277:$M$279)</f>
        <v>0.18805093046033297</v>
      </c>
    </row>
    <row r="281" spans="1:24" ht="15" thickBot="1" x14ac:dyDescent="0.35">
      <c r="A281" s="170"/>
      <c r="B281" s="171"/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1"/>
      <c r="N281" s="170"/>
    </row>
  </sheetData>
  <mergeCells count="9">
    <mergeCell ref="A117:M117"/>
    <mergeCell ref="D119:E119"/>
    <mergeCell ref="A175:M175"/>
    <mergeCell ref="A233:M233"/>
    <mergeCell ref="A2:M2"/>
    <mergeCell ref="A12:M12"/>
    <mergeCell ref="D14:E14"/>
    <mergeCell ref="A64:M64"/>
    <mergeCell ref="D66:E66"/>
  </mergeCells>
  <conditionalFormatting sqref="G105:M105">
    <cfRule type="cellIs" dxfId="4" priority="5" operator="equal">
      <formula>FALSE</formula>
    </cfRule>
  </conditionalFormatting>
  <conditionalFormatting sqref="G158:M158">
    <cfRule type="cellIs" dxfId="3" priority="4" operator="equal">
      <formula>FALSE</formula>
    </cfRule>
  </conditionalFormatting>
  <conditionalFormatting sqref="G216:M216">
    <cfRule type="cellIs" dxfId="2" priority="3" operator="equal">
      <formula>FALSE</formula>
    </cfRule>
  </conditionalFormatting>
  <conditionalFormatting sqref="G274:M274">
    <cfRule type="cellIs" dxfId="1" priority="2" operator="equal">
      <formula>FALSE</formula>
    </cfRule>
  </conditionalFormatting>
  <conditionalFormatting sqref="G54:M54">
    <cfRule type="cellIs" dxfId="0" priority="1" operator="equal">
      <formula>FALSE</formula>
    </cfRule>
  </conditionalFormatting>
  <pageMargins left="0.5" right="0.5" top="0.75" bottom="0.25" header="0.5" footer="0.25"/>
  <pageSetup scale="13" orientation="landscape" r:id="rId1"/>
  <headerFooter>
    <oddHeader xml:space="preserve">&amp;RDEF’s Response to OPC POD 1 (1-26)
Q7
Page &amp;P of &amp;N
</oddHeader>
    <oddFooter>&amp;R20240025-OPCPOD1-00004294</oddFooter>
  </headerFooter>
  <rowBreaks count="4" manualBreakCount="4">
    <brk id="55" max="16383" man="1"/>
    <brk id="108" max="16383" man="1"/>
    <brk id="166" max="16383" man="1"/>
    <brk id="224" max="16383" man="1"/>
  </rowBreaks>
  <colBreaks count="1" manualBreakCount="1">
    <brk id="14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A5DF-34E6-4E4D-8723-1180982E36D2}">
  <sheetPr>
    <tabColor theme="1" tint="4.9989318521683403E-2"/>
    <pageSetUpPr fitToPage="1"/>
  </sheetPr>
  <dimension ref="A1:AA53"/>
  <sheetViews>
    <sheetView tabSelected="1" view="pageBreakPreview" topLeftCell="A19" zoomScaleNormal="100" zoomScaleSheetLayoutView="100" workbookViewId="0">
      <selection activeCell="N69" sqref="N69"/>
    </sheetView>
  </sheetViews>
  <sheetFormatPr defaultColWidth="11.44140625" defaultRowHeight="13.8" x14ac:dyDescent="0.3"/>
  <cols>
    <col min="1" max="1" width="0.88671875" style="187" customWidth="1"/>
    <col min="2" max="2" width="5.6640625" style="187" customWidth="1"/>
    <col min="3" max="3" width="2.6640625" style="187" customWidth="1"/>
    <col min="4" max="4" width="5.6640625" style="187" customWidth="1"/>
    <col min="5" max="5" width="28" style="187" customWidth="1"/>
    <col min="6" max="6" width="2.6640625" style="187" customWidth="1"/>
    <col min="7" max="7" width="13.33203125" style="187" customWidth="1"/>
    <col min="8" max="8" width="2.6640625" style="187" customWidth="1"/>
    <col min="9" max="9" width="13" style="187" customWidth="1"/>
    <col min="10" max="10" width="15.44140625" style="187" bestFit="1" customWidth="1"/>
    <col min="11" max="11" width="2.6640625" style="187" customWidth="1"/>
    <col min="12" max="12" width="12.5546875" style="187" customWidth="1"/>
    <col min="13" max="13" width="13.5546875" style="187" bestFit="1" customWidth="1"/>
    <col min="14" max="14" width="2.6640625" style="187" customWidth="1"/>
    <col min="15" max="15" width="10.6640625" style="187" customWidth="1"/>
    <col min="16" max="16" width="2.6640625" style="187" customWidth="1"/>
    <col min="17" max="17" width="12.44140625" style="187" customWidth="1"/>
    <col min="18" max="27" width="0.88671875" style="187" customWidth="1"/>
    <col min="28" max="16384" width="11.44140625" style="187"/>
  </cols>
  <sheetData>
    <row r="1" spans="1:27" s="185" customFormat="1" ht="18" x14ac:dyDescent="0.35">
      <c r="A1" s="182"/>
      <c r="B1" s="24">
        <v>2027</v>
      </c>
      <c r="C1" s="183"/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2"/>
    </row>
    <row r="2" spans="1:27" x14ac:dyDescent="0.3">
      <c r="A2" s="186"/>
      <c r="Q2" s="30" t="s">
        <v>37</v>
      </c>
      <c r="AA2" s="186"/>
    </row>
    <row r="3" spans="1:27" x14ac:dyDescent="0.3">
      <c r="A3" s="186"/>
      <c r="Q3" s="33" t="str">
        <f>"DOCKET NO.  " &amp; +"20240025-EI"</f>
        <v>DOCKET NO.  20240025-EI</v>
      </c>
      <c r="AA3" s="186"/>
    </row>
    <row r="4" spans="1:27" x14ac:dyDescent="0.3">
      <c r="A4" s="186"/>
      <c r="Q4" s="33" t="s">
        <v>38</v>
      </c>
      <c r="AA4" s="186"/>
    </row>
    <row r="5" spans="1:27" x14ac:dyDescent="0.3">
      <c r="A5" s="186"/>
      <c r="Q5" s="30" t="s">
        <v>298</v>
      </c>
      <c r="AA5" s="186"/>
    </row>
    <row r="6" spans="1:27" x14ac:dyDescent="0.3">
      <c r="A6" s="186"/>
      <c r="B6" s="78"/>
      <c r="Q6" s="79" t="s">
        <v>299</v>
      </c>
      <c r="AA6" s="186"/>
    </row>
    <row r="7" spans="1:27" x14ac:dyDescent="0.3">
      <c r="A7" s="186"/>
      <c r="Q7" s="37" t="s">
        <v>13</v>
      </c>
      <c r="AA7" s="186"/>
    </row>
    <row r="8" spans="1:27" s="190" customFormat="1" ht="15.6" x14ac:dyDescent="0.3">
      <c r="A8" s="188"/>
      <c r="B8" s="25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AA8" s="188"/>
    </row>
    <row r="9" spans="1:27" s="190" customFormat="1" ht="15.6" x14ac:dyDescent="0.3">
      <c r="A9" s="188"/>
      <c r="B9" s="258" t="s">
        <v>300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AA9" s="188"/>
    </row>
    <row r="10" spans="1:27" s="190" customFormat="1" ht="15.6" x14ac:dyDescent="0.3">
      <c r="A10" s="188"/>
      <c r="B10" s="258" t="s">
        <v>301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AA10" s="188"/>
    </row>
    <row r="11" spans="1:27" s="190" customFormat="1" ht="15.6" x14ac:dyDescent="0.3">
      <c r="A11" s="188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AA11" s="188"/>
    </row>
    <row r="12" spans="1:27" s="190" customFormat="1" ht="15.6" x14ac:dyDescent="0.3">
      <c r="A12" s="188"/>
      <c r="B12" s="332" t="s">
        <v>302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AA12" s="188"/>
    </row>
    <row r="13" spans="1:27" s="190" customFormat="1" ht="15.6" x14ac:dyDescent="0.3">
      <c r="A13" s="188"/>
      <c r="B13" s="333" t="s">
        <v>303</v>
      </c>
      <c r="C13" s="191"/>
      <c r="D13" s="191"/>
      <c r="E13" s="191"/>
      <c r="F13" s="191"/>
      <c r="G13" s="334"/>
      <c r="H13" s="334"/>
      <c r="I13" s="334"/>
      <c r="J13" s="334"/>
      <c r="K13" s="334"/>
      <c r="L13" s="334"/>
      <c r="M13" s="191"/>
      <c r="N13" s="191"/>
      <c r="O13" s="191"/>
      <c r="P13" s="191"/>
      <c r="Q13" s="191"/>
      <c r="R13" s="191"/>
      <c r="AA13" s="188"/>
    </row>
    <row r="14" spans="1:27" x14ac:dyDescent="0.3">
      <c r="A14" s="186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3"/>
      <c r="P14" s="192"/>
      <c r="Q14" s="192"/>
      <c r="R14" s="194"/>
      <c r="AA14" s="186"/>
    </row>
    <row r="15" spans="1:27" x14ac:dyDescent="0.3">
      <c r="A15" s="186"/>
      <c r="B15" s="195"/>
      <c r="C15" s="195"/>
      <c r="D15" s="196">
        <v>-1</v>
      </c>
      <c r="E15" s="196"/>
      <c r="F15" s="195"/>
      <c r="G15" s="197">
        <v>-2</v>
      </c>
      <c r="H15" s="198"/>
      <c r="I15" s="197">
        <v>-3</v>
      </c>
      <c r="J15" s="197">
        <v>-4</v>
      </c>
      <c r="K15" s="197"/>
      <c r="L15" s="196">
        <v>-5</v>
      </c>
      <c r="M15" s="196"/>
      <c r="N15" s="197"/>
      <c r="O15" s="197">
        <v>-6</v>
      </c>
      <c r="P15" s="197"/>
      <c r="Q15" s="197">
        <v>-7</v>
      </c>
      <c r="AA15" s="186"/>
    </row>
    <row r="16" spans="1:27" ht="15.6" x14ac:dyDescent="0.3">
      <c r="A16" s="186"/>
      <c r="B16" s="199" t="s">
        <v>304</v>
      </c>
      <c r="C16" s="200"/>
      <c r="D16" s="200"/>
      <c r="E16" s="200"/>
      <c r="F16" s="200"/>
      <c r="G16" s="200"/>
      <c r="H16" s="200"/>
      <c r="I16" s="200"/>
      <c r="J16" s="195"/>
      <c r="K16" s="195"/>
      <c r="L16" s="195"/>
      <c r="M16" s="195"/>
      <c r="N16" s="195"/>
      <c r="O16" s="195"/>
      <c r="P16" s="195"/>
      <c r="Q16" s="195"/>
      <c r="AA16" s="186"/>
    </row>
    <row r="17" spans="1:27" x14ac:dyDescent="0.3">
      <c r="A17" s="186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201"/>
      <c r="P17" s="195"/>
      <c r="Q17" s="195"/>
      <c r="AA17" s="186"/>
    </row>
    <row r="18" spans="1:27" x14ac:dyDescent="0.3">
      <c r="A18" s="186"/>
      <c r="B18" s="195"/>
      <c r="C18" s="195"/>
      <c r="D18" s="195"/>
      <c r="E18" s="195"/>
      <c r="F18" s="195"/>
      <c r="G18" s="201"/>
      <c r="H18" s="195"/>
      <c r="I18" s="201"/>
      <c r="J18" s="201"/>
      <c r="K18" s="195"/>
      <c r="L18" s="201"/>
      <c r="M18" s="195"/>
      <c r="N18" s="195"/>
      <c r="O18" s="201" t="s">
        <v>99</v>
      </c>
      <c r="P18" s="195"/>
      <c r="Q18" s="201"/>
      <c r="AA18" s="186"/>
    </row>
    <row r="19" spans="1:27" x14ac:dyDescent="0.3">
      <c r="A19" s="186"/>
      <c r="B19" s="195"/>
      <c r="C19" s="195"/>
      <c r="D19" s="195"/>
      <c r="E19" s="195"/>
      <c r="F19" s="195"/>
      <c r="G19" s="201" t="s">
        <v>305</v>
      </c>
      <c r="H19" s="195"/>
      <c r="I19" s="201"/>
      <c r="J19" s="202" t="s">
        <v>306</v>
      </c>
      <c r="K19" s="195"/>
      <c r="L19" s="203" t="s">
        <v>307</v>
      </c>
      <c r="M19" s="204"/>
      <c r="N19" s="195"/>
      <c r="O19" s="201" t="s">
        <v>308</v>
      </c>
      <c r="P19" s="195"/>
      <c r="Q19" s="202" t="s">
        <v>307</v>
      </c>
      <c r="AA19" s="186"/>
    </row>
    <row r="20" spans="1:27" x14ac:dyDescent="0.3">
      <c r="A20" s="186"/>
      <c r="B20" s="205" t="s">
        <v>54</v>
      </c>
      <c r="C20" s="206"/>
      <c r="D20" s="207" t="s">
        <v>187</v>
      </c>
      <c r="E20" s="207"/>
      <c r="F20" s="206"/>
      <c r="G20" s="205" t="s">
        <v>309</v>
      </c>
      <c r="H20" s="206"/>
      <c r="I20" s="205" t="s">
        <v>310</v>
      </c>
      <c r="J20" s="205" t="s">
        <v>311</v>
      </c>
      <c r="K20" s="206"/>
      <c r="L20" s="207" t="s">
        <v>312</v>
      </c>
      <c r="M20" s="207"/>
      <c r="N20" s="206"/>
      <c r="O20" s="205" t="s">
        <v>313</v>
      </c>
      <c r="P20" s="206"/>
      <c r="Q20" s="205" t="s">
        <v>314</v>
      </c>
      <c r="AA20" s="186"/>
    </row>
    <row r="21" spans="1:27" ht="10.5" customHeight="1" x14ac:dyDescent="0.3">
      <c r="A21" s="186"/>
      <c r="AA21" s="186"/>
    </row>
    <row r="22" spans="1:27" x14ac:dyDescent="0.3">
      <c r="A22" s="186"/>
      <c r="B22" s="208">
        <v>1</v>
      </c>
      <c r="D22" s="187" t="s">
        <v>315</v>
      </c>
      <c r="G22" s="105">
        <f>'[1]MFR E-6b'!G16</f>
        <v>1385949.5610230004</v>
      </c>
      <c r="I22" s="12">
        <v>7413523.3978823507</v>
      </c>
      <c r="J22" s="187" t="s">
        <v>316</v>
      </c>
      <c r="L22" s="209">
        <f>(+G22*1000)/(I22*12)</f>
        <v>15.579069566962952</v>
      </c>
      <c r="M22" s="210" t="s">
        <v>317</v>
      </c>
      <c r="O22" s="211">
        <v>0.95711887244465388</v>
      </c>
      <c r="Q22" s="209">
        <f>ROUND(+L22/O22,2)</f>
        <v>16.28</v>
      </c>
      <c r="AA22" s="186"/>
    </row>
    <row r="23" spans="1:27" x14ac:dyDescent="0.3">
      <c r="A23" s="186"/>
      <c r="B23" s="208">
        <v>2</v>
      </c>
      <c r="D23" s="187" t="s">
        <v>318</v>
      </c>
      <c r="G23" s="187">
        <f>'[1]MFR E-6b'!G17</f>
        <v>261953.83268365994</v>
      </c>
      <c r="I23" s="12">
        <v>41638452</v>
      </c>
      <c r="J23" s="187" t="s">
        <v>319</v>
      </c>
      <c r="L23" s="209">
        <f>(+G23*1000)/I23</f>
        <v>6.2911520506012071</v>
      </c>
      <c r="M23" s="187" t="s">
        <v>320</v>
      </c>
      <c r="O23" s="211">
        <f>+O22</f>
        <v>0.95711887244465388</v>
      </c>
      <c r="Q23" s="209">
        <f>ROUND(+L23/O23,2)</f>
        <v>6.57</v>
      </c>
      <c r="AA23" s="186"/>
    </row>
    <row r="24" spans="1:27" x14ac:dyDescent="0.3">
      <c r="A24" s="186"/>
      <c r="B24" s="208">
        <v>3</v>
      </c>
      <c r="D24" s="187" t="s">
        <v>102</v>
      </c>
      <c r="G24" s="187">
        <f>'[1]MFR E-6b'!G18</f>
        <v>578393.75767910969</v>
      </c>
      <c r="I24" s="12">
        <v>7755422.6922734389</v>
      </c>
      <c r="J24" s="187" t="s">
        <v>316</v>
      </c>
      <c r="L24" s="209">
        <f>(+G24*1000)/(I24*12)</f>
        <v>6.2149391102321969</v>
      </c>
      <c r="M24" s="210" t="s">
        <v>317</v>
      </c>
      <c r="O24" s="211">
        <f>+O22</f>
        <v>0.95711887244465388</v>
      </c>
      <c r="Q24" s="209">
        <f>ROUND(+L24/O24,2)</f>
        <v>6.49</v>
      </c>
      <c r="AA24" s="186"/>
    </row>
    <row r="25" spans="1:27" x14ac:dyDescent="0.3">
      <c r="A25" s="186"/>
      <c r="B25" s="208">
        <v>4</v>
      </c>
      <c r="D25" s="187" t="s">
        <v>321</v>
      </c>
      <c r="G25" s="187">
        <f>'[1]MFR E-6b'!G19</f>
        <v>768879.82316604187</v>
      </c>
      <c r="I25" s="212"/>
      <c r="AA25" s="186"/>
    </row>
    <row r="26" spans="1:27" x14ac:dyDescent="0.3">
      <c r="A26" s="186"/>
      <c r="B26" s="208">
        <v>5</v>
      </c>
      <c r="D26" s="187" t="s">
        <v>322</v>
      </c>
      <c r="G26" s="187">
        <f>'[1]MFR E-6b'!G21</f>
        <v>304365.07124131388</v>
      </c>
      <c r="I26" s="212"/>
      <c r="AA26" s="186"/>
    </row>
    <row r="27" spans="1:27" x14ac:dyDescent="0.3">
      <c r="A27" s="186"/>
      <c r="B27" s="208">
        <v>6</v>
      </c>
      <c r="D27" s="187" t="s">
        <v>323</v>
      </c>
      <c r="G27" s="187">
        <f>'[1]MFR E-6b'!G23</f>
        <v>57215.796205975807</v>
      </c>
      <c r="I27" s="212"/>
      <c r="AA27" s="186"/>
    </row>
    <row r="28" spans="1:27" x14ac:dyDescent="0.3">
      <c r="A28" s="186"/>
      <c r="B28" s="208">
        <v>7</v>
      </c>
      <c r="D28" s="187" t="s">
        <v>193</v>
      </c>
      <c r="G28" s="187">
        <f>'[1]MFR E-6b'!G24</f>
        <v>93718.333320046586</v>
      </c>
      <c r="I28" s="212"/>
      <c r="AA28" s="186"/>
    </row>
    <row r="29" spans="1:27" x14ac:dyDescent="0.3">
      <c r="A29" s="186"/>
      <c r="B29" s="208">
        <v>8</v>
      </c>
      <c r="D29" s="187" t="s">
        <v>324</v>
      </c>
      <c r="G29" s="187">
        <f>'[1]MFR E-6b'!G25</f>
        <v>516.50798868801519</v>
      </c>
      <c r="I29" s="212"/>
      <c r="AA29" s="186"/>
    </row>
    <row r="30" spans="1:27" x14ac:dyDescent="0.3">
      <c r="A30" s="186"/>
      <c r="B30" s="208">
        <v>9</v>
      </c>
      <c r="D30" s="187" t="s">
        <v>325</v>
      </c>
      <c r="G30" s="187">
        <f>'[1]MFR E-6b'!G26</f>
        <v>118477.56806238763</v>
      </c>
      <c r="I30" s="212"/>
      <c r="AA30" s="186"/>
    </row>
    <row r="31" spans="1:27" x14ac:dyDescent="0.3">
      <c r="A31" s="186"/>
      <c r="B31" s="208">
        <v>10</v>
      </c>
      <c r="D31" s="187" t="s">
        <v>326</v>
      </c>
      <c r="G31" s="187">
        <f>'[1]MFR E-6b'!G27</f>
        <v>221579.13432769664</v>
      </c>
      <c r="I31" s="212"/>
      <c r="AA31" s="186"/>
    </row>
    <row r="32" spans="1:27" x14ac:dyDescent="0.3">
      <c r="A32" s="186"/>
      <c r="B32" s="208">
        <v>11</v>
      </c>
      <c r="G32" s="213"/>
      <c r="I32" s="212"/>
      <c r="AA32" s="186"/>
    </row>
    <row r="33" spans="1:27" ht="14.4" thickBot="1" x14ac:dyDescent="0.35">
      <c r="A33" s="186"/>
      <c r="B33" s="208">
        <v>12</v>
      </c>
      <c r="E33" s="187" t="s">
        <v>254</v>
      </c>
      <c r="G33" s="214">
        <f>SUM(G22:G32)</f>
        <v>3791049.3856979203</v>
      </c>
      <c r="AA33" s="186"/>
    </row>
    <row r="34" spans="1:27" ht="14.4" thickTop="1" x14ac:dyDescent="0.3">
      <c r="A34" s="186"/>
      <c r="AA34" s="186"/>
    </row>
    <row r="35" spans="1:27" x14ac:dyDescent="0.3">
      <c r="A35" s="186"/>
      <c r="AA35" s="186"/>
    </row>
    <row r="36" spans="1:27" x14ac:dyDescent="0.3">
      <c r="A36" s="186"/>
      <c r="AA36" s="186"/>
    </row>
    <row r="37" spans="1:27" x14ac:dyDescent="0.3">
      <c r="A37" s="186"/>
      <c r="AA37" s="186"/>
    </row>
    <row r="38" spans="1:27" x14ac:dyDescent="0.3">
      <c r="A38" s="186"/>
      <c r="B38" s="215"/>
      <c r="C38" s="215"/>
      <c r="D38" s="216">
        <v>-1</v>
      </c>
      <c r="E38" s="216"/>
      <c r="F38" s="217"/>
      <c r="G38" s="218">
        <v>-2</v>
      </c>
      <c r="H38" s="219"/>
      <c r="I38" s="218">
        <v>-3</v>
      </c>
      <c r="J38" s="218">
        <v>-4</v>
      </c>
      <c r="K38" s="215"/>
      <c r="L38" s="215"/>
      <c r="M38" s="215"/>
      <c r="N38" s="215"/>
      <c r="O38" s="215"/>
      <c r="P38" s="215"/>
      <c r="Q38" s="215"/>
      <c r="AA38" s="186"/>
    </row>
    <row r="39" spans="1:27" ht="15.6" x14ac:dyDescent="0.3">
      <c r="A39" s="186"/>
      <c r="B39" s="199" t="s">
        <v>327</v>
      </c>
      <c r="C39" s="194"/>
      <c r="D39" s="194"/>
      <c r="E39" s="194"/>
      <c r="F39" s="194"/>
      <c r="G39" s="194"/>
      <c r="H39" s="194"/>
      <c r="I39" s="194"/>
      <c r="J39" s="194"/>
      <c r="K39" s="194"/>
      <c r="N39" s="194"/>
      <c r="O39" s="194"/>
      <c r="P39" s="194"/>
      <c r="Q39" s="194"/>
      <c r="AA39" s="186"/>
    </row>
    <row r="40" spans="1:27" x14ac:dyDescent="0.3">
      <c r="A40" s="186"/>
      <c r="B40" s="200"/>
      <c r="C40" s="194"/>
      <c r="D40" s="194"/>
      <c r="E40" s="194"/>
      <c r="F40" s="194"/>
      <c r="G40" s="194"/>
      <c r="H40" s="194"/>
      <c r="I40" s="194"/>
      <c r="AA40" s="186"/>
    </row>
    <row r="41" spans="1:27" x14ac:dyDescent="0.3">
      <c r="A41" s="186"/>
      <c r="B41" s="200"/>
      <c r="C41" s="194"/>
      <c r="D41" s="194"/>
      <c r="E41" s="194"/>
      <c r="F41" s="194"/>
      <c r="G41" s="220"/>
      <c r="H41" s="194"/>
      <c r="I41" s="220"/>
      <c r="J41" s="220"/>
      <c r="AA41" s="186"/>
    </row>
    <row r="42" spans="1:27" x14ac:dyDescent="0.3">
      <c r="A42" s="186"/>
      <c r="G42" s="221" t="s">
        <v>301</v>
      </c>
      <c r="I42" s="221" t="s">
        <v>328</v>
      </c>
      <c r="AA42" s="186"/>
    </row>
    <row r="43" spans="1:27" x14ac:dyDescent="0.3">
      <c r="A43" s="186"/>
      <c r="B43" s="194"/>
      <c r="C43" s="194"/>
      <c r="D43" s="194"/>
      <c r="E43" s="194"/>
      <c r="F43" s="194"/>
      <c r="G43" s="222" t="s">
        <v>329</v>
      </c>
      <c r="H43" s="194"/>
      <c r="I43" s="222" t="s">
        <v>330</v>
      </c>
      <c r="J43" s="222" t="s">
        <v>47</v>
      </c>
      <c r="K43" s="194"/>
      <c r="AA43" s="186"/>
    </row>
    <row r="44" spans="1:27" x14ac:dyDescent="0.3">
      <c r="A44" s="186"/>
      <c r="B44" s="193" t="s">
        <v>54</v>
      </c>
      <c r="C44" s="192"/>
      <c r="D44" s="223" t="s">
        <v>187</v>
      </c>
      <c r="E44" s="223"/>
      <c r="F44" s="192"/>
      <c r="G44" s="193" t="s">
        <v>309</v>
      </c>
      <c r="H44" s="192"/>
      <c r="I44" s="193" t="s">
        <v>331</v>
      </c>
      <c r="J44" s="193" t="s">
        <v>332</v>
      </c>
      <c r="K44" s="192"/>
      <c r="L44" s="192"/>
      <c r="M44" s="192"/>
      <c r="N44" s="192"/>
      <c r="O44" s="192"/>
      <c r="P44" s="192"/>
      <c r="Q44" s="192"/>
      <c r="AA44" s="186"/>
    </row>
    <row r="45" spans="1:27" x14ac:dyDescent="0.3">
      <c r="A45" s="186"/>
      <c r="G45" s="194"/>
      <c r="I45" s="222"/>
      <c r="J45" s="221"/>
      <c r="AA45" s="186"/>
    </row>
    <row r="46" spans="1:27" x14ac:dyDescent="0.3">
      <c r="A46" s="186"/>
      <c r="B46" s="208">
        <f>+B33+1</f>
        <v>13</v>
      </c>
      <c r="D46" s="187" t="s">
        <v>321</v>
      </c>
      <c r="G46" s="224">
        <f>'[1]MFR E-6b'!K19</f>
        <v>198168.94938214816</v>
      </c>
      <c r="I46" s="12">
        <f>'[1]MFR E-14D3 (not filed)'!J30-'[1]MFR E-14D3 (not filed)'!J26</f>
        <v>3097280.6360486001</v>
      </c>
      <c r="J46" s="225">
        <f>ROUND(+G46/I46*1000/12,2)</f>
        <v>5.33</v>
      </c>
      <c r="K46" s="210" t="s">
        <v>317</v>
      </c>
      <c r="AA46" s="186"/>
    </row>
    <row r="47" spans="1:27" x14ac:dyDescent="0.3">
      <c r="A47" s="186"/>
      <c r="B47" s="208">
        <f>+B46+1</f>
        <v>14</v>
      </c>
      <c r="D47" s="187" t="s">
        <v>322</v>
      </c>
      <c r="G47" s="224">
        <f>'[1]MFR E-6b'!K21</f>
        <v>43220.33896836191</v>
      </c>
      <c r="I47" s="12">
        <f>'[1]MFR E-14D3 (not filed)'!J29+'[1]MFR E-14D3 (not filed)'!J28</f>
        <v>2638756.3502450539</v>
      </c>
      <c r="J47" s="225">
        <f>ROUND(+G47/I47*1000/12,2)</f>
        <v>1.36</v>
      </c>
      <c r="K47" s="210" t="s">
        <v>317</v>
      </c>
      <c r="AA47" s="186"/>
    </row>
    <row r="48" spans="1:27" x14ac:dyDescent="0.3">
      <c r="A48" s="186"/>
      <c r="B48" s="208">
        <f>+B47+1</f>
        <v>15</v>
      </c>
      <c r="AA48" s="186"/>
    </row>
    <row r="49" spans="1:27" ht="14.4" thickBot="1" x14ac:dyDescent="0.35">
      <c r="A49" s="186"/>
      <c r="B49" s="208">
        <f>+B48+1</f>
        <v>16</v>
      </c>
      <c r="E49" s="187" t="s">
        <v>254</v>
      </c>
      <c r="G49" s="226">
        <f>SUM(G46:G47)</f>
        <v>241389.28835051006</v>
      </c>
      <c r="J49" s="227">
        <f>SUM(J46:J47)</f>
        <v>6.69</v>
      </c>
      <c r="AA49" s="186"/>
    </row>
    <row r="50" spans="1:27" ht="14.4" thickTop="1" x14ac:dyDescent="0.3"/>
    <row r="53" spans="1:27" x14ac:dyDescent="0.3">
      <c r="I53" s="228"/>
    </row>
  </sheetData>
  <pageMargins left="0.5" right="0.5" top="0.75" bottom="0.25" header="0.5" footer="0.25"/>
  <pageSetup scale="79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876F-0493-4CDA-B3AA-52B6118329F2}">
  <sheetPr>
    <tabColor theme="1" tint="4.9989318521683403E-2"/>
    <pageSetUpPr fitToPage="1"/>
  </sheetPr>
  <dimension ref="A1:AA53"/>
  <sheetViews>
    <sheetView tabSelected="1" view="pageBreakPreview" topLeftCell="A19" zoomScaleNormal="100" zoomScaleSheetLayoutView="100" workbookViewId="0">
      <selection activeCell="N69" sqref="N69"/>
    </sheetView>
  </sheetViews>
  <sheetFormatPr defaultColWidth="11.44140625" defaultRowHeight="13.8" x14ac:dyDescent="0.3"/>
  <cols>
    <col min="1" max="1" width="0.88671875" style="187" customWidth="1"/>
    <col min="2" max="2" width="5.6640625" style="187" customWidth="1"/>
    <col min="3" max="3" width="2.6640625" style="187" customWidth="1"/>
    <col min="4" max="4" width="5.6640625" style="187" customWidth="1"/>
    <col min="5" max="5" width="28" style="187" customWidth="1"/>
    <col min="6" max="6" width="2.6640625" style="187" customWidth="1"/>
    <col min="7" max="7" width="13.33203125" style="187" customWidth="1"/>
    <col min="8" max="8" width="2.6640625" style="187" customWidth="1"/>
    <col min="9" max="9" width="13" style="187" customWidth="1"/>
    <col min="10" max="10" width="15.44140625" style="187" bestFit="1" customWidth="1"/>
    <col min="11" max="11" width="2.6640625" style="187" customWidth="1"/>
    <col min="12" max="12" width="12.5546875" style="187" customWidth="1"/>
    <col min="13" max="13" width="13.5546875" style="187" bestFit="1" customWidth="1"/>
    <col min="14" max="14" width="2.6640625" style="187" customWidth="1"/>
    <col min="15" max="15" width="10.6640625" style="187" customWidth="1"/>
    <col min="16" max="16" width="2.6640625" style="187" customWidth="1"/>
    <col min="17" max="17" width="12.44140625" style="187" customWidth="1"/>
    <col min="18" max="27" width="0.88671875" style="187" customWidth="1"/>
    <col min="28" max="16384" width="11.44140625" style="187"/>
  </cols>
  <sheetData>
    <row r="1" spans="1:27" s="185" customFormat="1" ht="18" x14ac:dyDescent="0.35">
      <c r="A1" s="182"/>
      <c r="B1" s="24">
        <v>2026</v>
      </c>
      <c r="C1" s="183"/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2"/>
    </row>
    <row r="2" spans="1:27" x14ac:dyDescent="0.3">
      <c r="A2" s="186"/>
      <c r="Q2" s="30" t="s">
        <v>37</v>
      </c>
      <c r="AA2" s="186"/>
    </row>
    <row r="3" spans="1:27" x14ac:dyDescent="0.3">
      <c r="A3" s="186"/>
      <c r="Q3" s="33" t="str">
        <f>"DOCKET NO.  " &amp; +"20240025-EI"</f>
        <v>DOCKET NO.  20240025-EI</v>
      </c>
      <c r="AA3" s="186"/>
    </row>
    <row r="4" spans="1:27" x14ac:dyDescent="0.3">
      <c r="A4" s="186"/>
      <c r="Q4" s="33" t="s">
        <v>38</v>
      </c>
      <c r="AA4" s="186"/>
    </row>
    <row r="5" spans="1:27" x14ac:dyDescent="0.3">
      <c r="A5" s="186"/>
      <c r="Q5" s="30" t="s">
        <v>298</v>
      </c>
      <c r="AA5" s="186"/>
    </row>
    <row r="6" spans="1:27" x14ac:dyDescent="0.3">
      <c r="A6" s="186"/>
      <c r="B6" s="78"/>
      <c r="Q6" s="79" t="s">
        <v>333</v>
      </c>
      <c r="AA6" s="186"/>
    </row>
    <row r="7" spans="1:27" x14ac:dyDescent="0.3">
      <c r="A7" s="186"/>
      <c r="Q7" s="37" t="s">
        <v>11</v>
      </c>
      <c r="AA7" s="186"/>
    </row>
    <row r="8" spans="1:27" s="190" customFormat="1" ht="15.6" x14ac:dyDescent="0.3">
      <c r="A8" s="188"/>
      <c r="B8" s="25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AA8" s="188"/>
    </row>
    <row r="9" spans="1:27" s="190" customFormat="1" ht="15.6" x14ac:dyDescent="0.3">
      <c r="A9" s="188"/>
      <c r="B9" s="258" t="s">
        <v>300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AA9" s="188"/>
    </row>
    <row r="10" spans="1:27" s="190" customFormat="1" ht="15.6" x14ac:dyDescent="0.3">
      <c r="A10" s="188"/>
      <c r="B10" s="258" t="s">
        <v>301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AA10" s="188"/>
    </row>
    <row r="11" spans="1:27" s="190" customFormat="1" ht="15.6" x14ac:dyDescent="0.3">
      <c r="A11" s="188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AA11" s="188"/>
    </row>
    <row r="12" spans="1:27" s="190" customFormat="1" ht="15.6" x14ac:dyDescent="0.3">
      <c r="A12" s="188"/>
      <c r="B12" s="332" t="s">
        <v>302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AA12" s="188"/>
    </row>
    <row r="13" spans="1:27" s="190" customFormat="1" ht="15.6" x14ac:dyDescent="0.3">
      <c r="A13" s="188"/>
      <c r="B13" s="333" t="s">
        <v>303</v>
      </c>
      <c r="C13" s="191"/>
      <c r="D13" s="191"/>
      <c r="E13" s="191"/>
      <c r="F13" s="191"/>
      <c r="G13" s="334"/>
      <c r="H13" s="334"/>
      <c r="I13" s="334"/>
      <c r="J13" s="334"/>
      <c r="K13" s="334"/>
      <c r="L13" s="334"/>
      <c r="M13" s="191"/>
      <c r="N13" s="191"/>
      <c r="O13" s="191"/>
      <c r="P13" s="191"/>
      <c r="Q13" s="191"/>
      <c r="R13" s="191"/>
      <c r="AA13" s="188"/>
    </row>
    <row r="14" spans="1:27" x14ac:dyDescent="0.3">
      <c r="A14" s="186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3"/>
      <c r="P14" s="192"/>
      <c r="Q14" s="192"/>
      <c r="R14" s="194"/>
      <c r="AA14" s="186"/>
    </row>
    <row r="15" spans="1:27" x14ac:dyDescent="0.3">
      <c r="A15" s="186"/>
      <c r="B15" s="195"/>
      <c r="C15" s="195"/>
      <c r="D15" s="196">
        <v>-1</v>
      </c>
      <c r="E15" s="196"/>
      <c r="F15" s="195"/>
      <c r="G15" s="197">
        <v>-2</v>
      </c>
      <c r="H15" s="198"/>
      <c r="I15" s="197">
        <v>-3</v>
      </c>
      <c r="J15" s="197">
        <v>-4</v>
      </c>
      <c r="K15" s="197"/>
      <c r="L15" s="196">
        <v>-5</v>
      </c>
      <c r="M15" s="196"/>
      <c r="N15" s="197"/>
      <c r="O15" s="197">
        <v>-6</v>
      </c>
      <c r="P15" s="197"/>
      <c r="Q15" s="197">
        <v>-7</v>
      </c>
      <c r="AA15" s="186"/>
    </row>
    <row r="16" spans="1:27" ht="15.6" x14ac:dyDescent="0.3">
      <c r="A16" s="186"/>
      <c r="B16" s="199" t="s">
        <v>304</v>
      </c>
      <c r="C16" s="200"/>
      <c r="D16" s="200"/>
      <c r="E16" s="200"/>
      <c r="F16" s="200"/>
      <c r="G16" s="200"/>
      <c r="H16" s="200"/>
      <c r="I16" s="200"/>
      <c r="J16" s="195"/>
      <c r="K16" s="195"/>
      <c r="L16" s="195"/>
      <c r="M16" s="195"/>
      <c r="N16" s="195"/>
      <c r="O16" s="195"/>
      <c r="P16" s="195"/>
      <c r="Q16" s="195"/>
      <c r="AA16" s="186"/>
    </row>
    <row r="17" spans="1:27" x14ac:dyDescent="0.3">
      <c r="A17" s="186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201"/>
      <c r="P17" s="195"/>
      <c r="Q17" s="195"/>
      <c r="AA17" s="186"/>
    </row>
    <row r="18" spans="1:27" x14ac:dyDescent="0.3">
      <c r="A18" s="186"/>
      <c r="B18" s="195"/>
      <c r="C18" s="195"/>
      <c r="D18" s="195"/>
      <c r="E18" s="195"/>
      <c r="F18" s="195"/>
      <c r="G18" s="201"/>
      <c r="H18" s="195"/>
      <c r="I18" s="201"/>
      <c r="J18" s="201"/>
      <c r="K18" s="195"/>
      <c r="L18" s="201"/>
      <c r="M18" s="195"/>
      <c r="N18" s="195"/>
      <c r="O18" s="201" t="s">
        <v>99</v>
      </c>
      <c r="P18" s="195"/>
      <c r="Q18" s="201"/>
      <c r="AA18" s="186"/>
    </row>
    <row r="19" spans="1:27" x14ac:dyDescent="0.3">
      <c r="A19" s="186"/>
      <c r="B19" s="195"/>
      <c r="C19" s="195"/>
      <c r="D19" s="195"/>
      <c r="E19" s="195"/>
      <c r="F19" s="195"/>
      <c r="G19" s="201" t="s">
        <v>305</v>
      </c>
      <c r="H19" s="195"/>
      <c r="I19" s="201"/>
      <c r="J19" s="202" t="s">
        <v>306</v>
      </c>
      <c r="K19" s="195"/>
      <c r="L19" s="203" t="s">
        <v>307</v>
      </c>
      <c r="M19" s="204"/>
      <c r="N19" s="195"/>
      <c r="O19" s="201" t="s">
        <v>308</v>
      </c>
      <c r="P19" s="195"/>
      <c r="Q19" s="202" t="s">
        <v>307</v>
      </c>
      <c r="AA19" s="186"/>
    </row>
    <row r="20" spans="1:27" x14ac:dyDescent="0.3">
      <c r="A20" s="186"/>
      <c r="B20" s="205" t="s">
        <v>54</v>
      </c>
      <c r="C20" s="206"/>
      <c r="D20" s="207" t="s">
        <v>187</v>
      </c>
      <c r="E20" s="207"/>
      <c r="F20" s="206"/>
      <c r="G20" s="205" t="s">
        <v>309</v>
      </c>
      <c r="H20" s="206"/>
      <c r="I20" s="205" t="s">
        <v>310</v>
      </c>
      <c r="J20" s="205" t="s">
        <v>311</v>
      </c>
      <c r="K20" s="206"/>
      <c r="L20" s="207" t="s">
        <v>312</v>
      </c>
      <c r="M20" s="207"/>
      <c r="N20" s="206"/>
      <c r="O20" s="205" t="s">
        <v>313</v>
      </c>
      <c r="P20" s="206"/>
      <c r="Q20" s="205" t="s">
        <v>314</v>
      </c>
      <c r="AA20" s="186"/>
    </row>
    <row r="21" spans="1:27" ht="10.5" customHeight="1" x14ac:dyDescent="0.3">
      <c r="A21" s="186"/>
      <c r="AA21" s="186"/>
    </row>
    <row r="22" spans="1:27" x14ac:dyDescent="0.3">
      <c r="A22" s="186"/>
      <c r="B22" s="208">
        <v>1</v>
      </c>
      <c r="D22" s="187" t="s">
        <v>315</v>
      </c>
      <c r="G22" s="105">
        <f>'[2]MFR E-6b'!G16</f>
        <v>1355014.7942661727</v>
      </c>
      <c r="I22" s="12">
        <v>7440926.9483663188</v>
      </c>
      <c r="J22" s="187" t="s">
        <v>316</v>
      </c>
      <c r="L22" s="209">
        <f>(+G22*1000)/(I22*12)</f>
        <v>15.175246351124649</v>
      </c>
      <c r="M22" s="210" t="s">
        <v>317</v>
      </c>
      <c r="O22" s="211">
        <v>0.95714117229709639</v>
      </c>
      <c r="Q22" s="209">
        <f>ROUND(+L22/O22,2)</f>
        <v>15.85</v>
      </c>
      <c r="AA22" s="186"/>
    </row>
    <row r="23" spans="1:27" x14ac:dyDescent="0.3">
      <c r="A23" s="186"/>
      <c r="B23" s="208">
        <v>2</v>
      </c>
      <c r="D23" s="187" t="s">
        <v>318</v>
      </c>
      <c r="G23" s="187">
        <f>'[2]MFR E-6b'!G17</f>
        <v>242347.18530529254</v>
      </c>
      <c r="I23" s="12">
        <v>41605713</v>
      </c>
      <c r="J23" s="187" t="s">
        <v>319</v>
      </c>
      <c r="L23" s="209">
        <f>(+G23*1000)/I23</f>
        <v>5.8248535556954053</v>
      </c>
      <c r="M23" s="187" t="s">
        <v>320</v>
      </c>
      <c r="O23" s="211">
        <f>+O22</f>
        <v>0.95714117229709639</v>
      </c>
      <c r="Q23" s="209">
        <f>ROUND(+L23/O23,2)</f>
        <v>6.09</v>
      </c>
      <c r="AA23" s="186"/>
    </row>
    <row r="24" spans="1:27" x14ac:dyDescent="0.3">
      <c r="A24" s="186"/>
      <c r="B24" s="208">
        <v>3</v>
      </c>
      <c r="D24" s="187" t="s">
        <v>102</v>
      </c>
      <c r="G24" s="187">
        <f>'[2]MFR E-6b'!G18</f>
        <v>558861.98134775215</v>
      </c>
      <c r="I24" s="12">
        <v>7781495.6881516948</v>
      </c>
      <c r="J24" s="187" t="s">
        <v>316</v>
      </c>
      <c r="L24" s="209">
        <f>(+G24*1000)/(I24*12)</f>
        <v>5.9849460367742422</v>
      </c>
      <c r="M24" s="210" t="s">
        <v>317</v>
      </c>
      <c r="O24" s="211">
        <f>+O22</f>
        <v>0.95714117229709639</v>
      </c>
      <c r="Q24" s="209">
        <f>ROUND(+L24/O24,2)</f>
        <v>6.25</v>
      </c>
      <c r="AA24" s="186"/>
    </row>
    <row r="25" spans="1:27" x14ac:dyDescent="0.3">
      <c r="A25" s="186"/>
      <c r="B25" s="208">
        <v>4</v>
      </c>
      <c r="D25" s="187" t="s">
        <v>321</v>
      </c>
      <c r="G25" s="187">
        <f>'[2]MFR E-6b'!G19</f>
        <v>731012.67359764897</v>
      </c>
      <c r="I25" s="212"/>
      <c r="AA25" s="186"/>
    </row>
    <row r="26" spans="1:27" x14ac:dyDescent="0.3">
      <c r="A26" s="186"/>
      <c r="B26" s="208">
        <v>5</v>
      </c>
      <c r="D26" s="187" t="s">
        <v>322</v>
      </c>
      <c r="G26" s="187">
        <f>'[2]MFR E-6b'!G21</f>
        <v>291348.83553655708</v>
      </c>
      <c r="I26" s="212"/>
      <c r="AA26" s="186"/>
    </row>
    <row r="27" spans="1:27" x14ac:dyDescent="0.3">
      <c r="A27" s="186"/>
      <c r="B27" s="208">
        <v>6</v>
      </c>
      <c r="D27" s="187" t="s">
        <v>323</v>
      </c>
      <c r="G27" s="187">
        <f>'[2]MFR E-6b'!G23</f>
        <v>53607.006680977727</v>
      </c>
      <c r="I27" s="212"/>
      <c r="AA27" s="186"/>
    </row>
    <row r="28" spans="1:27" x14ac:dyDescent="0.3">
      <c r="A28" s="186"/>
      <c r="B28" s="208">
        <v>7</v>
      </c>
      <c r="D28" s="187" t="s">
        <v>193</v>
      </c>
      <c r="G28" s="187">
        <f>'[2]MFR E-6b'!G24</f>
        <v>87236.777528071194</v>
      </c>
      <c r="I28" s="212"/>
      <c r="AA28" s="186"/>
    </row>
    <row r="29" spans="1:27" x14ac:dyDescent="0.3">
      <c r="A29" s="186"/>
      <c r="B29" s="208">
        <v>8</v>
      </c>
      <c r="D29" s="187" t="s">
        <v>324</v>
      </c>
      <c r="G29" s="187">
        <f>'[2]MFR E-6b'!G25</f>
        <v>517.36683759691482</v>
      </c>
      <c r="I29" s="212"/>
      <c r="AA29" s="186"/>
    </row>
    <row r="30" spans="1:27" x14ac:dyDescent="0.3">
      <c r="A30" s="186"/>
      <c r="B30" s="208">
        <v>9</v>
      </c>
      <c r="D30" s="187" t="s">
        <v>325</v>
      </c>
      <c r="G30" s="187">
        <f>'[2]MFR E-6b'!G26</f>
        <v>113089.39845368821</v>
      </c>
      <c r="I30" s="212"/>
      <c r="AA30" s="186"/>
    </row>
    <row r="31" spans="1:27" x14ac:dyDescent="0.3">
      <c r="A31" s="186"/>
      <c r="B31" s="208">
        <v>10</v>
      </c>
      <c r="D31" s="187" t="s">
        <v>326</v>
      </c>
      <c r="G31" s="187">
        <f>'[2]MFR E-6b'!G27</f>
        <v>212992.40864092062</v>
      </c>
      <c r="I31" s="212"/>
      <c r="AA31" s="186"/>
    </row>
    <row r="32" spans="1:27" x14ac:dyDescent="0.3">
      <c r="A32" s="186"/>
      <c r="B32" s="208">
        <v>11</v>
      </c>
      <c r="G32" s="213"/>
      <c r="I32" s="212"/>
      <c r="AA32" s="186"/>
    </row>
    <row r="33" spans="1:27" ht="14.4" thickBot="1" x14ac:dyDescent="0.35">
      <c r="A33" s="186"/>
      <c r="B33" s="208">
        <v>12</v>
      </c>
      <c r="E33" s="187" t="s">
        <v>254</v>
      </c>
      <c r="G33" s="214">
        <f>SUM(G22:G32)</f>
        <v>3646028.4281946779</v>
      </c>
      <c r="AA33" s="186"/>
    </row>
    <row r="34" spans="1:27" ht="14.4" thickTop="1" x14ac:dyDescent="0.3">
      <c r="A34" s="186"/>
      <c r="AA34" s="186"/>
    </row>
    <row r="35" spans="1:27" x14ac:dyDescent="0.3">
      <c r="A35" s="186"/>
      <c r="AA35" s="186"/>
    </row>
    <row r="36" spans="1:27" x14ac:dyDescent="0.3">
      <c r="A36" s="186"/>
      <c r="AA36" s="186"/>
    </row>
    <row r="37" spans="1:27" x14ac:dyDescent="0.3">
      <c r="A37" s="186"/>
      <c r="AA37" s="186"/>
    </row>
    <row r="38" spans="1:27" x14ac:dyDescent="0.3">
      <c r="A38" s="186"/>
      <c r="B38" s="215"/>
      <c r="C38" s="215"/>
      <c r="D38" s="216">
        <v>-1</v>
      </c>
      <c r="E38" s="216"/>
      <c r="F38" s="217"/>
      <c r="G38" s="218">
        <v>-2</v>
      </c>
      <c r="H38" s="219"/>
      <c r="I38" s="218">
        <v>-3</v>
      </c>
      <c r="J38" s="218">
        <v>-4</v>
      </c>
      <c r="K38" s="215"/>
      <c r="L38" s="215"/>
      <c r="M38" s="215"/>
      <c r="N38" s="215"/>
      <c r="O38" s="215"/>
      <c r="P38" s="215"/>
      <c r="Q38" s="215"/>
      <c r="AA38" s="186"/>
    </row>
    <row r="39" spans="1:27" ht="15.6" x14ac:dyDescent="0.3">
      <c r="A39" s="186"/>
      <c r="B39" s="199" t="s">
        <v>327</v>
      </c>
      <c r="C39" s="194"/>
      <c r="D39" s="194"/>
      <c r="E39" s="194"/>
      <c r="F39" s="194"/>
      <c r="G39" s="194"/>
      <c r="H39" s="194"/>
      <c r="I39" s="194"/>
      <c r="J39" s="194"/>
      <c r="K39" s="194"/>
      <c r="N39" s="194"/>
      <c r="O39" s="194"/>
      <c r="P39" s="194"/>
      <c r="Q39" s="194"/>
      <c r="AA39" s="186"/>
    </row>
    <row r="40" spans="1:27" x14ac:dyDescent="0.3">
      <c r="A40" s="186"/>
      <c r="B40" s="200"/>
      <c r="C40" s="194"/>
      <c r="D40" s="194"/>
      <c r="E40" s="194"/>
      <c r="F40" s="194"/>
      <c r="G40" s="194"/>
      <c r="H40" s="194"/>
      <c r="I40" s="194"/>
      <c r="AA40" s="186"/>
    </row>
    <row r="41" spans="1:27" x14ac:dyDescent="0.3">
      <c r="A41" s="186"/>
      <c r="B41" s="200"/>
      <c r="C41" s="194"/>
      <c r="D41" s="194"/>
      <c r="E41" s="194"/>
      <c r="F41" s="194"/>
      <c r="G41" s="220"/>
      <c r="H41" s="194"/>
      <c r="I41" s="220"/>
      <c r="J41" s="220"/>
      <c r="AA41" s="186"/>
    </row>
    <row r="42" spans="1:27" x14ac:dyDescent="0.3">
      <c r="A42" s="186"/>
      <c r="G42" s="221" t="s">
        <v>301</v>
      </c>
      <c r="I42" s="221" t="s">
        <v>328</v>
      </c>
      <c r="AA42" s="186"/>
    </row>
    <row r="43" spans="1:27" x14ac:dyDescent="0.3">
      <c r="A43" s="186"/>
      <c r="B43" s="194"/>
      <c r="C43" s="194"/>
      <c r="D43" s="194"/>
      <c r="E43" s="194"/>
      <c r="F43" s="194"/>
      <c r="G43" s="222" t="s">
        <v>329</v>
      </c>
      <c r="H43" s="194"/>
      <c r="I43" s="222" t="s">
        <v>330</v>
      </c>
      <c r="J43" s="222" t="s">
        <v>47</v>
      </c>
      <c r="K43" s="194"/>
      <c r="AA43" s="186"/>
    </row>
    <row r="44" spans="1:27" x14ac:dyDescent="0.3">
      <c r="A44" s="186"/>
      <c r="B44" s="193" t="s">
        <v>54</v>
      </c>
      <c r="C44" s="192"/>
      <c r="D44" s="223" t="s">
        <v>187</v>
      </c>
      <c r="E44" s="223"/>
      <c r="F44" s="192"/>
      <c r="G44" s="193" t="s">
        <v>309</v>
      </c>
      <c r="H44" s="192"/>
      <c r="I44" s="193" t="s">
        <v>331</v>
      </c>
      <c r="J44" s="193" t="s">
        <v>332</v>
      </c>
      <c r="K44" s="192"/>
      <c r="L44" s="192"/>
      <c r="M44" s="192"/>
      <c r="N44" s="192"/>
      <c r="O44" s="192"/>
      <c r="P44" s="192"/>
      <c r="Q44" s="192"/>
      <c r="AA44" s="186"/>
    </row>
    <row r="45" spans="1:27" x14ac:dyDescent="0.3">
      <c r="A45" s="186"/>
      <c r="G45" s="194"/>
      <c r="I45" s="222"/>
      <c r="J45" s="221"/>
      <c r="AA45" s="186"/>
    </row>
    <row r="46" spans="1:27" x14ac:dyDescent="0.3">
      <c r="A46" s="186"/>
      <c r="B46" s="208">
        <f>+B33+1</f>
        <v>13</v>
      </c>
      <c r="D46" s="187" t="s">
        <v>321</v>
      </c>
      <c r="G46" s="224">
        <f>'[2]MFR E-6b'!K19</f>
        <v>191733.20901921671</v>
      </c>
      <c r="I46" s="12">
        <f>'[2]MFR E-14D3 (not filed)'!J30-'[2]MFR E-14D3 (not filed)'!J26</f>
        <v>3081666.1605794895</v>
      </c>
      <c r="J46" s="225">
        <f>ROUND(+G46/I46*1000/12,2)</f>
        <v>5.18</v>
      </c>
      <c r="K46" s="210" t="s">
        <v>317</v>
      </c>
      <c r="AA46" s="186"/>
    </row>
    <row r="47" spans="1:27" x14ac:dyDescent="0.3">
      <c r="A47" s="186"/>
      <c r="B47" s="208">
        <f>+B46+1</f>
        <v>14</v>
      </c>
      <c r="D47" s="187" t="s">
        <v>322</v>
      </c>
      <c r="G47" s="224">
        <f>'[2]MFR E-6b'!K21</f>
        <v>42218.08243363582</v>
      </c>
      <c r="I47" s="12">
        <f>'[2]MFR E-14D3 (not filed)'!J29+'[2]MFR E-14D3 (not filed)'!J28</f>
        <v>2625195.3090171856</v>
      </c>
      <c r="J47" s="225">
        <f>ROUND(+G47/I47*1000/12,2)</f>
        <v>1.34</v>
      </c>
      <c r="K47" s="210" t="s">
        <v>317</v>
      </c>
      <c r="AA47" s="186"/>
    </row>
    <row r="48" spans="1:27" x14ac:dyDescent="0.3">
      <c r="A48" s="186"/>
      <c r="B48" s="208">
        <f>+B47+1</f>
        <v>15</v>
      </c>
      <c r="AA48" s="186"/>
    </row>
    <row r="49" spans="1:27" ht="14.4" thickBot="1" x14ac:dyDescent="0.35">
      <c r="A49" s="186"/>
      <c r="B49" s="208">
        <f>+B48+1</f>
        <v>16</v>
      </c>
      <c r="E49" s="187" t="s">
        <v>254</v>
      </c>
      <c r="G49" s="226">
        <f>SUM(G46:G47)</f>
        <v>233951.29145285254</v>
      </c>
      <c r="J49" s="227">
        <f>SUM(J46:J47)</f>
        <v>6.52</v>
      </c>
      <c r="AA49" s="186"/>
    </row>
    <row r="50" spans="1:27" ht="14.4" thickTop="1" x14ac:dyDescent="0.3"/>
    <row r="53" spans="1:27" x14ac:dyDescent="0.3">
      <c r="I53" s="228"/>
    </row>
  </sheetData>
  <pageMargins left="0.5" right="0.5" top="0.75" bottom="0.25" header="0.5" footer="0.25"/>
  <pageSetup scale="79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778B-9FF7-448D-89E9-0C5E232CB5C9}">
  <sheetPr>
    <tabColor theme="1" tint="4.9989318521683403E-2"/>
    <pageSetUpPr fitToPage="1"/>
  </sheetPr>
  <dimension ref="A1:AA53"/>
  <sheetViews>
    <sheetView tabSelected="1" view="pageBreakPreview" topLeftCell="A16" zoomScaleNormal="100" zoomScaleSheetLayoutView="100" workbookViewId="0">
      <selection activeCell="N69" sqref="N69"/>
    </sheetView>
  </sheetViews>
  <sheetFormatPr defaultColWidth="11.44140625" defaultRowHeight="13.8" x14ac:dyDescent="0.3"/>
  <cols>
    <col min="1" max="1" width="0.88671875" style="187" customWidth="1"/>
    <col min="2" max="2" width="5.6640625" style="187" customWidth="1"/>
    <col min="3" max="3" width="2.6640625" style="187" customWidth="1"/>
    <col min="4" max="4" width="5.6640625" style="187" customWidth="1"/>
    <col min="5" max="5" width="28" style="187" customWidth="1"/>
    <col min="6" max="6" width="2.6640625" style="187" customWidth="1"/>
    <col min="7" max="7" width="13.33203125" style="187" customWidth="1"/>
    <col min="8" max="8" width="2.6640625" style="187" customWidth="1"/>
    <col min="9" max="9" width="13" style="187" customWidth="1"/>
    <col min="10" max="10" width="15.44140625" style="187" bestFit="1" customWidth="1"/>
    <col min="11" max="11" width="2.6640625" style="187" customWidth="1"/>
    <col min="12" max="12" width="12.5546875" style="187" customWidth="1"/>
    <col min="13" max="13" width="13.5546875" style="187" bestFit="1" customWidth="1"/>
    <col min="14" max="14" width="2.6640625" style="187" customWidth="1"/>
    <col min="15" max="15" width="10.6640625" style="187" customWidth="1"/>
    <col min="16" max="16" width="2.6640625" style="187" customWidth="1"/>
    <col min="17" max="17" width="12.44140625" style="187" customWidth="1"/>
    <col min="18" max="27" width="0.88671875" style="187" customWidth="1"/>
    <col min="28" max="16384" width="11.44140625" style="187"/>
  </cols>
  <sheetData>
    <row r="1" spans="1:27" s="185" customFormat="1" ht="18" x14ac:dyDescent="0.35">
      <c r="A1" s="182"/>
      <c r="B1" s="24">
        <v>2025</v>
      </c>
      <c r="C1" s="183"/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2"/>
    </row>
    <row r="2" spans="1:27" x14ac:dyDescent="0.3">
      <c r="A2" s="186"/>
      <c r="Q2" s="30" t="s">
        <v>37</v>
      </c>
      <c r="AA2" s="186"/>
    </row>
    <row r="3" spans="1:27" x14ac:dyDescent="0.3">
      <c r="A3" s="186"/>
      <c r="Q3" s="33" t="str">
        <f>"DOCKET NO.  " &amp; +"20240025-EI"</f>
        <v>DOCKET NO.  20240025-EI</v>
      </c>
      <c r="AA3" s="186"/>
    </row>
    <row r="4" spans="1:27" x14ac:dyDescent="0.3">
      <c r="A4" s="186"/>
      <c r="Q4" s="33" t="s">
        <v>38</v>
      </c>
      <c r="AA4" s="186"/>
    </row>
    <row r="5" spans="1:27" x14ac:dyDescent="0.3">
      <c r="A5" s="186"/>
      <c r="Q5" s="30" t="s">
        <v>298</v>
      </c>
      <c r="AA5" s="186"/>
    </row>
    <row r="6" spans="1:27" x14ac:dyDescent="0.3">
      <c r="A6" s="186"/>
      <c r="B6" s="78"/>
      <c r="Q6" s="79" t="s">
        <v>334</v>
      </c>
      <c r="AA6" s="186"/>
    </row>
    <row r="7" spans="1:27" x14ac:dyDescent="0.3">
      <c r="A7" s="186"/>
      <c r="Q7" s="37" t="s">
        <v>8</v>
      </c>
      <c r="AA7" s="186"/>
    </row>
    <row r="8" spans="1:27" s="190" customFormat="1" ht="15.6" x14ac:dyDescent="0.3">
      <c r="A8" s="188"/>
      <c r="B8" s="25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AA8" s="188"/>
    </row>
    <row r="9" spans="1:27" s="190" customFormat="1" ht="15.6" x14ac:dyDescent="0.3">
      <c r="A9" s="188"/>
      <c r="B9" s="258" t="s">
        <v>300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AA9" s="188"/>
    </row>
    <row r="10" spans="1:27" s="190" customFormat="1" ht="15.6" x14ac:dyDescent="0.3">
      <c r="A10" s="188"/>
      <c r="B10" s="258" t="s">
        <v>301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AA10" s="188"/>
    </row>
    <row r="11" spans="1:27" s="190" customFormat="1" ht="15.6" x14ac:dyDescent="0.3">
      <c r="A11" s="188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AA11" s="188"/>
    </row>
    <row r="12" spans="1:27" s="190" customFormat="1" ht="15.6" x14ac:dyDescent="0.3">
      <c r="A12" s="188"/>
      <c r="B12" s="332" t="s">
        <v>302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AA12" s="188"/>
    </row>
    <row r="13" spans="1:27" s="190" customFormat="1" ht="15.6" x14ac:dyDescent="0.3">
      <c r="A13" s="188"/>
      <c r="B13" s="333" t="s">
        <v>303</v>
      </c>
      <c r="C13" s="191"/>
      <c r="D13" s="191"/>
      <c r="E13" s="191"/>
      <c r="F13" s="191"/>
      <c r="G13" s="334"/>
      <c r="H13" s="334"/>
      <c r="I13" s="334"/>
      <c r="J13" s="334"/>
      <c r="K13" s="334"/>
      <c r="L13" s="334"/>
      <c r="M13" s="191"/>
      <c r="N13" s="191"/>
      <c r="O13" s="191"/>
      <c r="P13" s="191"/>
      <c r="Q13" s="191"/>
      <c r="R13" s="191"/>
      <c r="AA13" s="188"/>
    </row>
    <row r="14" spans="1:27" x14ac:dyDescent="0.3">
      <c r="A14" s="186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3"/>
      <c r="P14" s="192"/>
      <c r="Q14" s="192"/>
      <c r="R14" s="194"/>
      <c r="AA14" s="186"/>
    </row>
    <row r="15" spans="1:27" ht="15.75" customHeight="1" x14ac:dyDescent="0.3">
      <c r="A15" s="186"/>
      <c r="B15" s="195"/>
      <c r="C15" s="195"/>
      <c r="D15" s="196">
        <v>-1</v>
      </c>
      <c r="E15" s="196"/>
      <c r="F15" s="195"/>
      <c r="G15" s="197">
        <v>-2</v>
      </c>
      <c r="H15" s="198"/>
      <c r="I15" s="197">
        <v>-3</v>
      </c>
      <c r="J15" s="197">
        <v>-4</v>
      </c>
      <c r="K15" s="197"/>
      <c r="L15" s="196">
        <v>-5</v>
      </c>
      <c r="M15" s="196"/>
      <c r="N15" s="197"/>
      <c r="O15" s="197">
        <v>-6</v>
      </c>
      <c r="P15" s="197"/>
      <c r="Q15" s="197">
        <v>-7</v>
      </c>
      <c r="AA15" s="186"/>
    </row>
    <row r="16" spans="1:27" ht="15.6" x14ac:dyDescent="0.3">
      <c r="A16" s="186"/>
      <c r="B16" s="199" t="s">
        <v>304</v>
      </c>
      <c r="C16" s="200"/>
      <c r="D16" s="200"/>
      <c r="E16" s="200"/>
      <c r="F16" s="200"/>
      <c r="G16" s="200"/>
      <c r="H16" s="200"/>
      <c r="I16" s="200"/>
      <c r="J16" s="195"/>
      <c r="K16" s="195"/>
      <c r="L16" s="195"/>
      <c r="M16" s="195"/>
      <c r="N16" s="195"/>
      <c r="O16" s="195"/>
      <c r="P16" s="195"/>
      <c r="Q16" s="195"/>
      <c r="AA16" s="186"/>
    </row>
    <row r="17" spans="1:27" x14ac:dyDescent="0.3">
      <c r="A17" s="186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201"/>
      <c r="P17" s="195"/>
      <c r="Q17" s="195"/>
      <c r="AA17" s="186"/>
    </row>
    <row r="18" spans="1:27" x14ac:dyDescent="0.3">
      <c r="A18" s="186"/>
      <c r="B18" s="195"/>
      <c r="C18" s="195"/>
      <c r="D18" s="195"/>
      <c r="E18" s="195"/>
      <c r="F18" s="195"/>
      <c r="G18" s="201"/>
      <c r="H18" s="195"/>
      <c r="I18" s="201"/>
      <c r="J18" s="201"/>
      <c r="K18" s="195"/>
      <c r="L18" s="201"/>
      <c r="M18" s="195"/>
      <c r="N18" s="195"/>
      <c r="O18" s="201" t="s">
        <v>99</v>
      </c>
      <c r="P18" s="195"/>
      <c r="Q18" s="201"/>
      <c r="AA18" s="186"/>
    </row>
    <row r="19" spans="1:27" x14ac:dyDescent="0.3">
      <c r="A19" s="186"/>
      <c r="B19" s="195"/>
      <c r="C19" s="195"/>
      <c r="D19" s="195"/>
      <c r="E19" s="195"/>
      <c r="F19" s="195"/>
      <c r="G19" s="201" t="s">
        <v>305</v>
      </c>
      <c r="H19" s="195"/>
      <c r="I19" s="201"/>
      <c r="J19" s="202" t="s">
        <v>306</v>
      </c>
      <c r="K19" s="195"/>
      <c r="L19" s="203" t="s">
        <v>307</v>
      </c>
      <c r="M19" s="204"/>
      <c r="N19" s="195"/>
      <c r="O19" s="201" t="s">
        <v>308</v>
      </c>
      <c r="P19" s="195"/>
      <c r="Q19" s="202" t="s">
        <v>307</v>
      </c>
      <c r="AA19" s="186"/>
    </row>
    <row r="20" spans="1:27" x14ac:dyDescent="0.3">
      <c r="A20" s="186"/>
      <c r="B20" s="205" t="s">
        <v>54</v>
      </c>
      <c r="C20" s="206"/>
      <c r="D20" s="207" t="s">
        <v>187</v>
      </c>
      <c r="E20" s="207"/>
      <c r="F20" s="206"/>
      <c r="G20" s="205" t="s">
        <v>309</v>
      </c>
      <c r="H20" s="206"/>
      <c r="I20" s="205" t="s">
        <v>310</v>
      </c>
      <c r="J20" s="205" t="s">
        <v>311</v>
      </c>
      <c r="K20" s="206"/>
      <c r="L20" s="207" t="s">
        <v>312</v>
      </c>
      <c r="M20" s="207"/>
      <c r="N20" s="206"/>
      <c r="O20" s="205" t="s">
        <v>313</v>
      </c>
      <c r="P20" s="206"/>
      <c r="Q20" s="205" t="s">
        <v>314</v>
      </c>
      <c r="AA20" s="186"/>
    </row>
    <row r="21" spans="1:27" ht="10.5" customHeight="1" x14ac:dyDescent="0.3">
      <c r="A21" s="186"/>
      <c r="AA21" s="186"/>
    </row>
    <row r="22" spans="1:27" x14ac:dyDescent="0.3">
      <c r="A22" s="186"/>
      <c r="B22" s="208">
        <v>1</v>
      </c>
      <c r="D22" s="187" t="s">
        <v>315</v>
      </c>
      <c r="G22" s="105">
        <v>1314085.7610477151</v>
      </c>
      <c r="I22" s="12">
        <v>7460366.9613657659</v>
      </c>
      <c r="J22" s="187" t="s">
        <v>316</v>
      </c>
      <c r="L22" s="209">
        <f>(+G22*1000)/(I22*12)</f>
        <v>14.67852014801278</v>
      </c>
      <c r="M22" s="210" t="s">
        <v>317</v>
      </c>
      <c r="O22" s="211">
        <v>0.95717169068677121</v>
      </c>
      <c r="Q22" s="209">
        <f>ROUND(+L22/O22,2)</f>
        <v>15.34</v>
      </c>
      <c r="AA22" s="186"/>
    </row>
    <row r="23" spans="1:27" x14ac:dyDescent="0.3">
      <c r="A23" s="186"/>
      <c r="B23" s="208">
        <v>2</v>
      </c>
      <c r="D23" s="187" t="s">
        <v>318</v>
      </c>
      <c r="G23" s="187">
        <v>241156.25628059593</v>
      </c>
      <c r="I23" s="12">
        <v>41472191</v>
      </c>
      <c r="J23" s="187" t="s">
        <v>319</v>
      </c>
      <c r="L23" s="209">
        <f>(+G23*1000)/I23</f>
        <v>5.8148906644598526</v>
      </c>
      <c r="M23" s="187" t="s">
        <v>320</v>
      </c>
      <c r="O23" s="211">
        <f>+O22</f>
        <v>0.95717169068677121</v>
      </c>
      <c r="Q23" s="209">
        <f>ROUND(+L23/O23,2)</f>
        <v>6.08</v>
      </c>
      <c r="AA23" s="186"/>
    </row>
    <row r="24" spans="1:27" x14ac:dyDescent="0.3">
      <c r="A24" s="186"/>
      <c r="B24" s="208">
        <v>3</v>
      </c>
      <c r="D24" s="187" t="s">
        <v>102</v>
      </c>
      <c r="G24" s="187">
        <v>528892.10762398876</v>
      </c>
      <c r="I24" s="12">
        <v>7800329.6642627604</v>
      </c>
      <c r="J24" s="187" t="s">
        <v>316</v>
      </c>
      <c r="L24" s="209">
        <f>(+G24*1000)/(I24*12)</f>
        <v>5.6503178966814476</v>
      </c>
      <c r="M24" s="210" t="s">
        <v>317</v>
      </c>
      <c r="O24" s="211">
        <f>+O22</f>
        <v>0.95717169068677121</v>
      </c>
      <c r="Q24" s="209">
        <f>ROUND(+L24/O24,2)</f>
        <v>5.9</v>
      </c>
      <c r="AA24" s="186"/>
    </row>
    <row r="25" spans="1:27" x14ac:dyDescent="0.3">
      <c r="A25" s="186"/>
      <c r="B25" s="208">
        <v>4</v>
      </c>
      <c r="D25" s="187" t="s">
        <v>321</v>
      </c>
      <c r="G25" s="187">
        <v>695683.65720545908</v>
      </c>
      <c r="I25" s="212"/>
      <c r="AA25" s="186"/>
    </row>
    <row r="26" spans="1:27" x14ac:dyDescent="0.3">
      <c r="A26" s="186"/>
      <c r="B26" s="208">
        <v>5</v>
      </c>
      <c r="D26" s="187" t="s">
        <v>322</v>
      </c>
      <c r="G26" s="187">
        <v>281802.24331436871</v>
      </c>
      <c r="I26" s="212"/>
      <c r="AA26" s="186"/>
    </row>
    <row r="27" spans="1:27" x14ac:dyDescent="0.3">
      <c r="A27" s="186"/>
      <c r="B27" s="208">
        <v>6</v>
      </c>
      <c r="D27" s="187" t="s">
        <v>323</v>
      </c>
      <c r="G27" s="187">
        <v>51302.436108047827</v>
      </c>
      <c r="I27" s="212"/>
      <c r="AA27" s="186"/>
    </row>
    <row r="28" spans="1:27" x14ac:dyDescent="0.3">
      <c r="A28" s="186"/>
      <c r="B28" s="208">
        <v>7</v>
      </c>
      <c r="D28" s="187" t="s">
        <v>193</v>
      </c>
      <c r="G28" s="187">
        <v>81063.752399304052</v>
      </c>
      <c r="I28" s="212"/>
      <c r="AA28" s="186"/>
    </row>
    <row r="29" spans="1:27" x14ac:dyDescent="0.3">
      <c r="A29" s="186"/>
      <c r="B29" s="208">
        <v>8</v>
      </c>
      <c r="D29" s="187" t="s">
        <v>324</v>
      </c>
      <c r="G29" s="187">
        <v>571.60999915484899</v>
      </c>
      <c r="I29" s="212"/>
      <c r="AA29" s="186"/>
    </row>
    <row r="30" spans="1:27" x14ac:dyDescent="0.3">
      <c r="A30" s="186"/>
      <c r="B30" s="208">
        <v>9</v>
      </c>
      <c r="D30" s="187" t="s">
        <v>325</v>
      </c>
      <c r="G30" s="187">
        <v>108687.19345942776</v>
      </c>
      <c r="I30" s="212"/>
      <c r="AA30" s="186"/>
    </row>
    <row r="31" spans="1:27" x14ac:dyDescent="0.3">
      <c r="A31" s="186"/>
      <c r="B31" s="208">
        <v>10</v>
      </c>
      <c r="D31" s="187" t="s">
        <v>326</v>
      </c>
      <c r="G31" s="187">
        <v>208205.28411885333</v>
      </c>
      <c r="I31" s="212"/>
      <c r="AA31" s="186"/>
    </row>
    <row r="32" spans="1:27" x14ac:dyDescent="0.3">
      <c r="A32" s="186"/>
      <c r="B32" s="208">
        <v>11</v>
      </c>
      <c r="G32" s="213"/>
      <c r="I32" s="212"/>
      <c r="AA32" s="186"/>
    </row>
    <row r="33" spans="1:27" ht="14.4" thickBot="1" x14ac:dyDescent="0.35">
      <c r="A33" s="186"/>
      <c r="B33" s="208">
        <v>12</v>
      </c>
      <c r="E33" s="187" t="s">
        <v>254</v>
      </c>
      <c r="G33" s="214">
        <f>SUM(G22:G32)</f>
        <v>3511450.301556915</v>
      </c>
      <c r="AA33" s="186"/>
    </row>
    <row r="34" spans="1:27" ht="14.4" thickTop="1" x14ac:dyDescent="0.3">
      <c r="A34" s="186"/>
      <c r="AA34" s="186"/>
    </row>
    <row r="35" spans="1:27" x14ac:dyDescent="0.3">
      <c r="A35" s="186"/>
      <c r="AA35" s="186"/>
    </row>
    <row r="36" spans="1:27" x14ac:dyDescent="0.3">
      <c r="A36" s="186"/>
      <c r="AA36" s="186"/>
    </row>
    <row r="37" spans="1:27" x14ac:dyDescent="0.3">
      <c r="A37" s="186"/>
      <c r="AA37" s="186"/>
    </row>
    <row r="38" spans="1:27" x14ac:dyDescent="0.3">
      <c r="A38" s="186"/>
      <c r="B38" s="215"/>
      <c r="C38" s="215"/>
      <c r="D38" s="216">
        <v>-1</v>
      </c>
      <c r="E38" s="216"/>
      <c r="F38" s="217"/>
      <c r="G38" s="218">
        <v>-2</v>
      </c>
      <c r="H38" s="219"/>
      <c r="I38" s="218">
        <v>-3</v>
      </c>
      <c r="J38" s="218">
        <v>-4</v>
      </c>
      <c r="K38" s="215"/>
      <c r="L38" s="215"/>
      <c r="M38" s="215"/>
      <c r="N38" s="215"/>
      <c r="O38" s="215"/>
      <c r="P38" s="215"/>
      <c r="Q38" s="215"/>
      <c r="AA38" s="186"/>
    </row>
    <row r="39" spans="1:27" ht="15.6" x14ac:dyDescent="0.3">
      <c r="A39" s="186"/>
      <c r="B39" s="199" t="s">
        <v>327</v>
      </c>
      <c r="C39" s="194"/>
      <c r="D39" s="194"/>
      <c r="E39" s="194"/>
      <c r="F39" s="194"/>
      <c r="G39" s="194"/>
      <c r="H39" s="194"/>
      <c r="I39" s="194"/>
      <c r="J39" s="194"/>
      <c r="K39" s="194"/>
      <c r="N39" s="194"/>
      <c r="O39" s="194"/>
      <c r="P39" s="194"/>
      <c r="Q39" s="194"/>
      <c r="AA39" s="186"/>
    </row>
    <row r="40" spans="1:27" x14ac:dyDescent="0.3">
      <c r="A40" s="186"/>
      <c r="B40" s="200"/>
      <c r="C40" s="194"/>
      <c r="D40" s="194"/>
      <c r="E40" s="194"/>
      <c r="F40" s="194"/>
      <c r="G40" s="194"/>
      <c r="H40" s="194"/>
      <c r="I40" s="194"/>
      <c r="AA40" s="186"/>
    </row>
    <row r="41" spans="1:27" x14ac:dyDescent="0.3">
      <c r="A41" s="186"/>
      <c r="B41" s="200"/>
      <c r="C41" s="194"/>
      <c r="D41" s="194"/>
      <c r="E41" s="194"/>
      <c r="F41" s="194"/>
      <c r="G41" s="220"/>
      <c r="H41" s="194"/>
      <c r="I41" s="220"/>
      <c r="J41" s="220"/>
      <c r="AA41" s="186"/>
    </row>
    <row r="42" spans="1:27" x14ac:dyDescent="0.3">
      <c r="A42" s="186"/>
      <c r="G42" s="221" t="s">
        <v>301</v>
      </c>
      <c r="I42" s="221" t="s">
        <v>328</v>
      </c>
      <c r="AA42" s="186"/>
    </row>
    <row r="43" spans="1:27" x14ac:dyDescent="0.3">
      <c r="A43" s="186"/>
      <c r="B43" s="194"/>
      <c r="C43" s="194"/>
      <c r="D43" s="194"/>
      <c r="E43" s="194"/>
      <c r="F43" s="194"/>
      <c r="G43" s="222" t="s">
        <v>329</v>
      </c>
      <c r="H43" s="194"/>
      <c r="I43" s="222" t="s">
        <v>330</v>
      </c>
      <c r="J43" s="222" t="s">
        <v>47</v>
      </c>
      <c r="K43" s="194"/>
      <c r="AA43" s="186"/>
    </row>
    <row r="44" spans="1:27" x14ac:dyDescent="0.3">
      <c r="A44" s="186"/>
      <c r="B44" s="193" t="s">
        <v>54</v>
      </c>
      <c r="C44" s="192"/>
      <c r="D44" s="223" t="s">
        <v>187</v>
      </c>
      <c r="E44" s="223"/>
      <c r="F44" s="192"/>
      <c r="G44" s="193" t="s">
        <v>309</v>
      </c>
      <c r="H44" s="192"/>
      <c r="I44" s="193" t="s">
        <v>331</v>
      </c>
      <c r="J44" s="193" t="s">
        <v>332</v>
      </c>
      <c r="K44" s="192"/>
      <c r="L44" s="192"/>
      <c r="M44" s="192"/>
      <c r="N44" s="192"/>
      <c r="O44" s="192"/>
      <c r="P44" s="192"/>
      <c r="Q44" s="192"/>
      <c r="AA44" s="186"/>
    </row>
    <row r="45" spans="1:27" x14ac:dyDescent="0.3">
      <c r="A45" s="186"/>
      <c r="G45" s="194"/>
      <c r="I45" s="222"/>
      <c r="J45" s="221"/>
      <c r="AA45" s="186"/>
    </row>
    <row r="46" spans="1:27" x14ac:dyDescent="0.3">
      <c r="A46" s="186"/>
      <c r="B46" s="208">
        <f>+B33+1</f>
        <v>13</v>
      </c>
      <c r="D46" s="187" t="s">
        <v>321</v>
      </c>
      <c r="G46" s="224">
        <v>181396.15533921833</v>
      </c>
      <c r="I46" s="12">
        <v>3066483.6967810709</v>
      </c>
      <c r="J46" s="225">
        <f>ROUND(+G46/I46*1000/12,2)</f>
        <v>4.93</v>
      </c>
      <c r="K46" s="210" t="s">
        <v>317</v>
      </c>
      <c r="AA46" s="186"/>
    </row>
    <row r="47" spans="1:27" x14ac:dyDescent="0.3">
      <c r="A47" s="186"/>
      <c r="B47" s="208">
        <f>+B46+1</f>
        <v>14</v>
      </c>
      <c r="D47" s="187" t="s">
        <v>322</v>
      </c>
      <c r="G47" s="224">
        <v>40627.84417787398</v>
      </c>
      <c r="I47" s="12">
        <v>2612693.6852616011</v>
      </c>
      <c r="J47" s="225">
        <f>ROUND(+G47/I47*1000/12,2)</f>
        <v>1.3</v>
      </c>
      <c r="K47" s="210" t="s">
        <v>317</v>
      </c>
      <c r="AA47" s="186"/>
    </row>
    <row r="48" spans="1:27" x14ac:dyDescent="0.3">
      <c r="A48" s="186"/>
      <c r="B48" s="208">
        <f>+B47+1</f>
        <v>15</v>
      </c>
      <c r="AA48" s="186"/>
    </row>
    <row r="49" spans="1:27" ht="14.4" thickBot="1" x14ac:dyDescent="0.35">
      <c r="A49" s="186"/>
      <c r="B49" s="208">
        <f>+B48+1</f>
        <v>16</v>
      </c>
      <c r="E49" s="187" t="s">
        <v>254</v>
      </c>
      <c r="G49" s="226">
        <f>SUM(G46:G47)</f>
        <v>222023.99951709231</v>
      </c>
      <c r="J49" s="227">
        <f>SUM(J46:J47)</f>
        <v>6.2299999999999995</v>
      </c>
      <c r="AA49" s="186"/>
    </row>
    <row r="50" spans="1:27" ht="14.4" thickTop="1" x14ac:dyDescent="0.3"/>
    <row r="53" spans="1:27" x14ac:dyDescent="0.3">
      <c r="I53" s="228"/>
    </row>
  </sheetData>
  <pageMargins left="0.5" right="0.5" top="0.75" bottom="0.25" header="0.5" footer="0.25"/>
  <pageSetup scale="79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181E-8928-4D4B-BFD8-78540D171B90}">
  <sheetPr>
    <tabColor theme="7" tint="0.39997558519241921"/>
    <pageSetUpPr fitToPage="1"/>
  </sheetPr>
  <dimension ref="A1:AA64"/>
  <sheetViews>
    <sheetView tabSelected="1" view="pageBreakPreview" topLeftCell="A19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1.33203125" style="232" customWidth="1"/>
    <col min="2" max="2" width="4.6640625" style="232" customWidth="1"/>
    <col min="3" max="3" width="2.6640625" style="232" customWidth="1"/>
    <col min="4" max="4" width="4" style="232" customWidth="1"/>
    <col min="5" max="5" width="3.6640625" style="232" customWidth="1"/>
    <col min="6" max="6" width="37" style="232" customWidth="1"/>
    <col min="7" max="7" width="2.6640625" style="232" customWidth="1"/>
    <col min="8" max="8" width="5.6640625" style="232" customWidth="1"/>
    <col min="9" max="9" width="12.33203125" style="232" customWidth="1"/>
    <col min="10" max="10" width="11.5546875" style="232" bestFit="1" customWidth="1"/>
    <col min="11" max="11" width="4.6640625" style="232" customWidth="1"/>
    <col min="12" max="12" width="64.33203125" style="232" bestFit="1" customWidth="1"/>
    <col min="13" max="13" width="1.6640625" style="232" customWidth="1"/>
    <col min="14" max="15" width="0.88671875" style="232" customWidth="1"/>
    <col min="16" max="16" width="8.33203125" style="232" customWidth="1"/>
    <col min="17" max="17" width="10.5546875" style="232" customWidth="1"/>
    <col min="18" max="18" width="4.109375" style="232" bestFit="1" customWidth="1"/>
    <col min="19" max="26" width="0.88671875" style="232" customWidth="1"/>
    <col min="27" max="27" width="1.33203125" style="232" customWidth="1"/>
    <col min="28" max="16384" width="9.109375" style="232"/>
  </cols>
  <sheetData>
    <row r="1" spans="1:27" s="230" customFormat="1" ht="18" x14ac:dyDescent="0.35">
      <c r="A1" s="229"/>
      <c r="B1" s="24">
        <v>2027</v>
      </c>
      <c r="C1" s="183"/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229"/>
    </row>
    <row r="2" spans="1:27" x14ac:dyDescent="0.3">
      <c r="A2" s="231"/>
      <c r="L2" s="30" t="s">
        <v>37</v>
      </c>
      <c r="AA2" s="231"/>
    </row>
    <row r="3" spans="1:27" x14ac:dyDescent="0.3">
      <c r="A3" s="231"/>
      <c r="L3" s="33" t="str">
        <f>"DOCKET NO.  " &amp; +"20240025-EI"</f>
        <v>DOCKET NO.  20240025-EI</v>
      </c>
      <c r="AA3" s="231"/>
    </row>
    <row r="4" spans="1:27" x14ac:dyDescent="0.3">
      <c r="A4" s="231"/>
      <c r="L4" s="33" t="s">
        <v>38</v>
      </c>
      <c r="AA4" s="231"/>
    </row>
    <row r="5" spans="1:27" x14ac:dyDescent="0.3">
      <c r="A5" s="231"/>
      <c r="L5" s="30" t="s">
        <v>298</v>
      </c>
      <c r="AA5" s="231"/>
    </row>
    <row r="6" spans="1:27" x14ac:dyDescent="0.3">
      <c r="A6" s="231"/>
      <c r="L6" s="79" t="s">
        <v>335</v>
      </c>
      <c r="AA6" s="231"/>
    </row>
    <row r="7" spans="1:27" x14ac:dyDescent="0.3">
      <c r="A7" s="231"/>
      <c r="B7" s="78"/>
      <c r="L7" s="37" t="s">
        <v>13</v>
      </c>
      <c r="AA7" s="231"/>
    </row>
    <row r="8" spans="1:27" x14ac:dyDescent="0.3">
      <c r="A8" s="231"/>
      <c r="B8" s="78"/>
      <c r="L8" s="37"/>
      <c r="AA8" s="231"/>
    </row>
    <row r="9" spans="1:27" s="234" customFormat="1" ht="15.6" x14ac:dyDescent="0.3">
      <c r="A9" s="233"/>
      <c r="B9" s="258" t="s">
        <v>300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AA9" s="233"/>
    </row>
    <row r="10" spans="1:27" s="234" customFormat="1" ht="15.6" x14ac:dyDescent="0.3">
      <c r="A10" s="233"/>
      <c r="B10" s="258" t="s">
        <v>301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AA10" s="233"/>
    </row>
    <row r="11" spans="1:27" s="234" customFormat="1" ht="15.6" x14ac:dyDescent="0.3">
      <c r="A11" s="233"/>
      <c r="AA11" s="233"/>
    </row>
    <row r="12" spans="1:27" s="234" customFormat="1" ht="15.6" x14ac:dyDescent="0.3">
      <c r="A12" s="233"/>
      <c r="B12" s="332" t="s">
        <v>336</v>
      </c>
      <c r="C12" s="191"/>
      <c r="D12" s="191"/>
      <c r="E12" s="191"/>
      <c r="F12" s="334"/>
      <c r="G12" s="334"/>
      <c r="H12" s="334"/>
      <c r="I12" s="334"/>
      <c r="J12" s="334"/>
      <c r="K12" s="334"/>
      <c r="L12" s="334"/>
      <c r="M12" s="191"/>
      <c r="AA12" s="233"/>
    </row>
    <row r="13" spans="1:27" s="234" customFormat="1" ht="15.6" x14ac:dyDescent="0.3">
      <c r="A13" s="233"/>
      <c r="B13" s="333" t="s">
        <v>303</v>
      </c>
      <c r="C13" s="191"/>
      <c r="D13" s="191"/>
      <c r="E13" s="191"/>
      <c r="F13" s="334"/>
      <c r="G13" s="334"/>
      <c r="H13" s="334"/>
      <c r="I13" s="334"/>
      <c r="J13" s="334"/>
      <c r="K13" s="334"/>
      <c r="L13" s="334"/>
      <c r="M13" s="191"/>
      <c r="AA13" s="233"/>
    </row>
    <row r="14" spans="1:27" x14ac:dyDescent="0.3">
      <c r="A14" s="231"/>
      <c r="AA14" s="231"/>
    </row>
    <row r="15" spans="1:27" ht="15.75" customHeight="1" x14ac:dyDescent="0.3">
      <c r="A15" s="231"/>
      <c r="B15" s="235"/>
      <c r="C15" s="235"/>
      <c r="D15" s="236">
        <v>-1</v>
      </c>
      <c r="E15" s="236"/>
      <c r="F15" s="236"/>
      <c r="G15" s="237"/>
      <c r="H15" s="237"/>
      <c r="I15" s="237">
        <f>+D15-1</f>
        <v>-2</v>
      </c>
      <c r="J15" s="237"/>
      <c r="K15" s="237"/>
      <c r="L15" s="238">
        <f>+I15-1</f>
        <v>-3</v>
      </c>
      <c r="AA15" s="231"/>
    </row>
    <row r="16" spans="1:27" ht="15.75" customHeight="1" x14ac:dyDescent="0.3">
      <c r="A16" s="231"/>
      <c r="B16" s="239" t="s">
        <v>54</v>
      </c>
      <c r="C16" s="240"/>
      <c r="D16" s="240"/>
      <c r="E16" s="241" t="s">
        <v>187</v>
      </c>
      <c r="F16" s="241"/>
      <c r="G16" s="240"/>
      <c r="H16" s="240"/>
      <c r="I16" s="241" t="s">
        <v>337</v>
      </c>
      <c r="J16" s="241"/>
      <c r="K16" s="240"/>
      <c r="L16" s="239" t="s">
        <v>58</v>
      </c>
      <c r="AA16" s="231"/>
    </row>
    <row r="17" spans="1:27" x14ac:dyDescent="0.3">
      <c r="A17" s="231"/>
      <c r="B17" s="208"/>
      <c r="I17" s="242"/>
      <c r="J17" s="242"/>
      <c r="L17" s="208"/>
      <c r="AA17" s="231"/>
    </row>
    <row r="18" spans="1:27" x14ac:dyDescent="0.3">
      <c r="A18" s="231"/>
      <c r="B18" s="208">
        <v>1</v>
      </c>
      <c r="D18" s="243" t="s">
        <v>338</v>
      </c>
      <c r="I18" s="242"/>
      <c r="J18" s="242"/>
      <c r="L18" s="208"/>
      <c r="AA18" s="231"/>
    </row>
    <row r="19" spans="1:27" x14ac:dyDescent="0.3">
      <c r="A19" s="231"/>
      <c r="B19" s="208">
        <f>+B18+1</f>
        <v>2</v>
      </c>
      <c r="E19" s="232" t="s">
        <v>339</v>
      </c>
      <c r="J19" s="244"/>
      <c r="AA19" s="231"/>
    </row>
    <row r="20" spans="1:27" x14ac:dyDescent="0.3">
      <c r="A20" s="231"/>
      <c r="B20" s="208">
        <f t="shared" ref="B20:B57" si="0">+B19+1</f>
        <v>3</v>
      </c>
      <c r="F20" s="232" t="s">
        <v>99</v>
      </c>
      <c r="I20" s="245">
        <f>'[1]MFR E-14E'!J53</f>
        <v>106.63268826917395</v>
      </c>
      <c r="J20" s="244" t="s">
        <v>340</v>
      </c>
      <c r="L20" s="232" t="s">
        <v>341</v>
      </c>
      <c r="AA20" s="231"/>
    </row>
    <row r="21" spans="1:27" x14ac:dyDescent="0.3">
      <c r="A21" s="231"/>
      <c r="B21" s="208">
        <f t="shared" si="0"/>
        <v>4</v>
      </c>
      <c r="F21" s="232" t="s">
        <v>101</v>
      </c>
      <c r="I21" s="245">
        <f>'[1]MFR E-14E'!J54</f>
        <v>259.80342838025661</v>
      </c>
      <c r="J21" s="244" t="s">
        <v>340</v>
      </c>
      <c r="L21" s="232" t="str">
        <f>L20</f>
        <v>Schedule E-14E - CS/IS Customer Unit Cost</v>
      </c>
      <c r="AA21" s="231"/>
    </row>
    <row r="22" spans="1:27" x14ac:dyDescent="0.3">
      <c r="A22" s="231"/>
      <c r="B22" s="208">
        <f t="shared" si="0"/>
        <v>5</v>
      </c>
      <c r="F22" s="232" t="s">
        <v>102</v>
      </c>
      <c r="I22" s="245">
        <f>'[1]MFR E-14E'!J55</f>
        <v>455.81536561845974</v>
      </c>
      <c r="J22" s="244" t="s">
        <v>340</v>
      </c>
      <c r="L22" s="232" t="str">
        <f>L20</f>
        <v>Schedule E-14E - CS/IS Customer Unit Cost</v>
      </c>
      <c r="AA22" s="231"/>
    </row>
    <row r="23" spans="1:27" x14ac:dyDescent="0.3">
      <c r="A23" s="231"/>
      <c r="B23" s="208">
        <f t="shared" si="0"/>
        <v>6</v>
      </c>
      <c r="I23" s="245"/>
      <c r="J23" s="244"/>
      <c r="AA23" s="231"/>
    </row>
    <row r="24" spans="1:27" x14ac:dyDescent="0.3">
      <c r="A24" s="231"/>
      <c r="B24" s="208">
        <f t="shared" si="0"/>
        <v>7</v>
      </c>
      <c r="E24" s="232" t="s">
        <v>160</v>
      </c>
      <c r="I24" s="245"/>
      <c r="J24" s="244"/>
      <c r="AA24" s="231"/>
    </row>
    <row r="25" spans="1:27" x14ac:dyDescent="0.3">
      <c r="A25" s="231"/>
      <c r="B25" s="208">
        <f t="shared" si="0"/>
        <v>8</v>
      </c>
      <c r="F25" s="232" t="s">
        <v>99</v>
      </c>
      <c r="I25" s="245">
        <f>'[1]MFR E-14E'!K53</f>
        <v>385.10825319807788</v>
      </c>
      <c r="J25" s="244" t="s">
        <v>340</v>
      </c>
      <c r="L25" s="232" t="s">
        <v>342</v>
      </c>
      <c r="AA25" s="231"/>
    </row>
    <row r="26" spans="1:27" x14ac:dyDescent="0.3">
      <c r="A26" s="231"/>
      <c r="B26" s="208">
        <f t="shared" si="0"/>
        <v>9</v>
      </c>
      <c r="F26" s="232" t="s">
        <v>101</v>
      </c>
      <c r="I26" s="245">
        <f>'[1]MFR E-14E'!K54</f>
        <v>538.27899330916057</v>
      </c>
      <c r="J26" s="244" t="s">
        <v>340</v>
      </c>
      <c r="L26" s="232" t="str">
        <f>L25</f>
        <v>Schedule E-14E - CS/IS Unit Cost + IS Equipment</v>
      </c>
      <c r="AA26" s="231"/>
    </row>
    <row r="27" spans="1:27" x14ac:dyDescent="0.3">
      <c r="A27" s="231"/>
      <c r="B27" s="208">
        <f t="shared" si="0"/>
        <v>10</v>
      </c>
      <c r="F27" s="232" t="s">
        <v>102</v>
      </c>
      <c r="I27" s="245">
        <f>'[1]MFR E-14E'!K55</f>
        <v>734.29093054736359</v>
      </c>
      <c r="J27" s="244" t="s">
        <v>340</v>
      </c>
      <c r="L27" s="232" t="str">
        <f>L25</f>
        <v>Schedule E-14E - CS/IS Unit Cost + IS Equipment</v>
      </c>
      <c r="AA27" s="231"/>
    </row>
    <row r="28" spans="1:27" x14ac:dyDescent="0.3">
      <c r="A28" s="231"/>
      <c r="B28" s="208">
        <f t="shared" si="0"/>
        <v>11</v>
      </c>
      <c r="I28" s="246"/>
      <c r="AA28" s="231"/>
    </row>
    <row r="29" spans="1:27" x14ac:dyDescent="0.3">
      <c r="A29" s="231"/>
      <c r="B29" s="208">
        <f t="shared" si="0"/>
        <v>12</v>
      </c>
      <c r="I29" s="246"/>
      <c r="AA29" s="231"/>
    </row>
    <row r="30" spans="1:27" x14ac:dyDescent="0.3">
      <c r="A30" s="231"/>
      <c r="B30" s="208">
        <f t="shared" si="0"/>
        <v>13</v>
      </c>
      <c r="D30" s="243" t="s">
        <v>343</v>
      </c>
      <c r="I30" s="246">
        <f>+'[1]MFR E-14D1'!Q23</f>
        <v>6.57</v>
      </c>
      <c r="J30" s="244" t="s">
        <v>344</v>
      </c>
      <c r="L30" s="232" t="s">
        <v>345</v>
      </c>
      <c r="AA30" s="231"/>
    </row>
    <row r="31" spans="1:27" x14ac:dyDescent="0.3">
      <c r="A31" s="231"/>
      <c r="B31" s="208">
        <f t="shared" si="0"/>
        <v>14</v>
      </c>
      <c r="D31" s="243"/>
      <c r="I31" s="246"/>
      <c r="AA31" s="231"/>
    </row>
    <row r="32" spans="1:27" x14ac:dyDescent="0.3">
      <c r="A32" s="231"/>
      <c r="B32" s="208">
        <f t="shared" si="0"/>
        <v>15</v>
      </c>
      <c r="I32" s="246"/>
      <c r="AA32" s="231"/>
    </row>
    <row r="33" spans="1:27" x14ac:dyDescent="0.3">
      <c r="A33" s="231"/>
      <c r="B33" s="208">
        <f t="shared" si="0"/>
        <v>16</v>
      </c>
      <c r="D33" s="243" t="s">
        <v>346</v>
      </c>
      <c r="I33" s="246"/>
      <c r="AA33" s="231"/>
    </row>
    <row r="34" spans="1:27" x14ac:dyDescent="0.3">
      <c r="A34" s="231"/>
      <c r="B34" s="208">
        <f t="shared" si="0"/>
        <v>17</v>
      </c>
      <c r="E34" s="232" t="s">
        <v>155</v>
      </c>
      <c r="I34" s="245">
        <f>+'[1]MFR E-14D1'!J49</f>
        <v>6.69</v>
      </c>
      <c r="J34" s="244" t="s">
        <v>347</v>
      </c>
      <c r="L34" s="232" t="s">
        <v>348</v>
      </c>
      <c r="AA34" s="231"/>
    </row>
    <row r="35" spans="1:27" x14ac:dyDescent="0.3">
      <c r="A35" s="231"/>
      <c r="B35" s="208">
        <f t="shared" si="0"/>
        <v>18</v>
      </c>
      <c r="AA35" s="231"/>
    </row>
    <row r="36" spans="1:27" x14ac:dyDescent="0.3">
      <c r="A36" s="231"/>
      <c r="B36" s="208">
        <f t="shared" si="0"/>
        <v>19</v>
      </c>
      <c r="AA36" s="231"/>
    </row>
    <row r="37" spans="1:27" x14ac:dyDescent="0.3">
      <c r="A37" s="231"/>
      <c r="B37" s="208">
        <f t="shared" si="0"/>
        <v>20</v>
      </c>
      <c r="D37" s="243" t="s">
        <v>349</v>
      </c>
      <c r="AA37" s="231"/>
    </row>
    <row r="38" spans="1:27" x14ac:dyDescent="0.3">
      <c r="A38" s="231"/>
      <c r="B38" s="208">
        <f t="shared" si="0"/>
        <v>21</v>
      </c>
      <c r="E38" s="232" t="s">
        <v>157</v>
      </c>
      <c r="AA38" s="231"/>
    </row>
    <row r="39" spans="1:27" x14ac:dyDescent="0.3">
      <c r="A39" s="231"/>
      <c r="B39" s="208">
        <f t="shared" si="0"/>
        <v>22</v>
      </c>
      <c r="AA39" s="231"/>
    </row>
    <row r="40" spans="1:27" x14ac:dyDescent="0.3">
      <c r="A40" s="231"/>
      <c r="B40" s="208">
        <f t="shared" si="0"/>
        <v>23</v>
      </c>
      <c r="E40" s="232" t="s">
        <v>350</v>
      </c>
      <c r="AA40" s="231"/>
    </row>
    <row r="41" spans="1:27" x14ac:dyDescent="0.3">
      <c r="A41" s="231"/>
      <c r="B41" s="208">
        <f t="shared" si="0"/>
        <v>24</v>
      </c>
      <c r="F41" s="232" t="s">
        <v>155</v>
      </c>
      <c r="I41" s="247">
        <f>ROUND(('[1]MFR E-14D1'!Q22+'[1]MFR E-14D1'!Q24)*0.1,3)</f>
        <v>2.2770000000000001</v>
      </c>
      <c r="J41" s="244" t="s">
        <v>347</v>
      </c>
      <c r="L41" s="232" t="s">
        <v>351</v>
      </c>
      <c r="AA41" s="231"/>
    </row>
    <row r="42" spans="1:27" x14ac:dyDescent="0.3">
      <c r="A42" s="231"/>
      <c r="B42" s="208">
        <f t="shared" si="0"/>
        <v>25</v>
      </c>
      <c r="I42" s="248"/>
      <c r="L42" s="232" t="s">
        <v>352</v>
      </c>
      <c r="AA42" s="231"/>
    </row>
    <row r="43" spans="1:27" x14ac:dyDescent="0.3">
      <c r="A43" s="231"/>
      <c r="B43" s="208">
        <f t="shared" si="0"/>
        <v>26</v>
      </c>
      <c r="I43" s="248"/>
      <c r="AA43" s="231"/>
    </row>
    <row r="44" spans="1:27" x14ac:dyDescent="0.3">
      <c r="A44" s="231"/>
      <c r="B44" s="208">
        <f t="shared" si="0"/>
        <v>27</v>
      </c>
      <c r="E44" s="232" t="s">
        <v>353</v>
      </c>
      <c r="I44" s="249">
        <f>ROUND(('[1]MFR E-14D1'!Q22+'[1]MFR E-14D1'!Q24)/21,3)</f>
        <v>1.0840000000000001</v>
      </c>
      <c r="J44" s="244" t="s">
        <v>354</v>
      </c>
      <c r="L44" s="232" t="s">
        <v>351</v>
      </c>
      <c r="AA44" s="231"/>
    </row>
    <row r="45" spans="1:27" x14ac:dyDescent="0.3">
      <c r="A45" s="231"/>
      <c r="B45" s="208">
        <f t="shared" si="0"/>
        <v>28</v>
      </c>
      <c r="I45" s="247"/>
      <c r="L45" s="232" t="s">
        <v>355</v>
      </c>
      <c r="AA45" s="231"/>
    </row>
    <row r="46" spans="1:27" x14ac:dyDescent="0.3">
      <c r="A46" s="231"/>
      <c r="B46" s="208">
        <f t="shared" si="0"/>
        <v>29</v>
      </c>
      <c r="I46" s="247"/>
      <c r="AA46" s="231"/>
    </row>
    <row r="47" spans="1:27" x14ac:dyDescent="0.3">
      <c r="A47" s="231"/>
      <c r="B47" s="208">
        <f t="shared" si="0"/>
        <v>30</v>
      </c>
      <c r="I47" s="247"/>
      <c r="AA47" s="231"/>
    </row>
    <row r="48" spans="1:27" x14ac:dyDescent="0.3">
      <c r="A48" s="231"/>
      <c r="B48" s="208">
        <f t="shared" si="0"/>
        <v>31</v>
      </c>
      <c r="D48" s="243" t="s">
        <v>356</v>
      </c>
      <c r="I48" s="247"/>
      <c r="AA48" s="231"/>
    </row>
    <row r="49" spans="1:27" x14ac:dyDescent="0.3">
      <c r="A49" s="231"/>
      <c r="B49" s="208">
        <f t="shared" si="0"/>
        <v>32</v>
      </c>
      <c r="E49" s="232" t="s">
        <v>357</v>
      </c>
      <c r="I49" s="250"/>
      <c r="AA49" s="231"/>
    </row>
    <row r="50" spans="1:27" x14ac:dyDescent="0.3">
      <c r="A50" s="231"/>
      <c r="B50" s="208">
        <f t="shared" si="0"/>
        <v>33</v>
      </c>
      <c r="F50" s="232" t="s">
        <v>358</v>
      </c>
      <c r="I50" s="249">
        <f>ROUND('[1]MFR E-14A'!I116*0.1,3)</f>
        <v>0.58199999999999996</v>
      </c>
      <c r="J50" s="244" t="s">
        <v>347</v>
      </c>
      <c r="L50" s="232" t="s">
        <v>359</v>
      </c>
      <c r="Q50" s="251"/>
      <c r="R50" s="252"/>
      <c r="AA50" s="231"/>
    </row>
    <row r="51" spans="1:27" x14ac:dyDescent="0.3">
      <c r="A51" s="231"/>
      <c r="B51" s="208">
        <f t="shared" si="0"/>
        <v>34</v>
      </c>
      <c r="I51" s="249"/>
      <c r="AA51" s="231"/>
    </row>
    <row r="52" spans="1:27" x14ac:dyDescent="0.3">
      <c r="A52" s="231"/>
      <c r="B52" s="208">
        <f t="shared" si="0"/>
        <v>35</v>
      </c>
      <c r="F52" s="232" t="s">
        <v>360</v>
      </c>
      <c r="I52" s="249">
        <f>ROUND(I50/0.1/21,3)</f>
        <v>0.27700000000000002</v>
      </c>
      <c r="J52" s="244" t="s">
        <v>354</v>
      </c>
      <c r="L52" s="232" t="s">
        <v>361</v>
      </c>
      <c r="AA52" s="231"/>
    </row>
    <row r="53" spans="1:27" x14ac:dyDescent="0.3">
      <c r="A53" s="231"/>
      <c r="B53" s="208">
        <f t="shared" si="0"/>
        <v>36</v>
      </c>
      <c r="I53" s="247"/>
      <c r="AA53" s="231"/>
    </row>
    <row r="54" spans="1:27" x14ac:dyDescent="0.3">
      <c r="A54" s="231"/>
      <c r="B54" s="208">
        <f t="shared" si="0"/>
        <v>37</v>
      </c>
      <c r="E54" s="232" t="s">
        <v>362</v>
      </c>
      <c r="I54" s="247"/>
      <c r="AA54" s="231"/>
    </row>
    <row r="55" spans="1:27" x14ac:dyDescent="0.3">
      <c r="A55" s="231"/>
      <c r="B55" s="208">
        <f t="shared" si="0"/>
        <v>38</v>
      </c>
      <c r="F55" s="232" t="s">
        <v>358</v>
      </c>
      <c r="I55" s="249">
        <f>ROUND('[1]MFR E-14A'!I153*0.1,3)</f>
        <v>0.46200000000000002</v>
      </c>
      <c r="J55" s="244" t="s">
        <v>347</v>
      </c>
      <c r="L55" s="232" t="s">
        <v>363</v>
      </c>
      <c r="Q55" s="251"/>
      <c r="R55" s="252"/>
      <c r="AA55" s="231"/>
    </row>
    <row r="56" spans="1:27" x14ac:dyDescent="0.3">
      <c r="A56" s="231"/>
      <c r="B56" s="208">
        <f t="shared" si="0"/>
        <v>39</v>
      </c>
      <c r="I56" s="247"/>
      <c r="AA56" s="231"/>
    </row>
    <row r="57" spans="1:27" x14ac:dyDescent="0.3">
      <c r="A57" s="231"/>
      <c r="B57" s="208">
        <f t="shared" si="0"/>
        <v>40</v>
      </c>
      <c r="F57" s="232" t="s">
        <v>360</v>
      </c>
      <c r="I57" s="249">
        <f>ROUND(I55/0.1/21,3)</f>
        <v>0.22</v>
      </c>
      <c r="J57" s="244" t="s">
        <v>354</v>
      </c>
      <c r="L57" s="232" t="s">
        <v>364</v>
      </c>
      <c r="AA57" s="231"/>
    </row>
    <row r="58" spans="1:27" x14ac:dyDescent="0.3">
      <c r="A58" s="231"/>
      <c r="B58" s="208"/>
      <c r="AA58" s="231"/>
    </row>
    <row r="59" spans="1:27" x14ac:dyDescent="0.3">
      <c r="A59" s="231"/>
      <c r="AA59" s="231"/>
    </row>
    <row r="62" spans="1:27" x14ac:dyDescent="0.3">
      <c r="I62" s="253"/>
    </row>
    <row r="64" spans="1:27" x14ac:dyDescent="0.3">
      <c r="I64" s="253"/>
    </row>
  </sheetData>
  <pageMargins left="0.5" right="0.5" top="0.75" bottom="0.25" header="0.5" footer="0.25"/>
  <pageSetup scale="66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6C38-C833-4C48-A6E9-855DC139BD55}">
  <sheetPr>
    <tabColor theme="7" tint="0.39997558519241921"/>
    <pageSetUpPr fitToPage="1"/>
  </sheetPr>
  <dimension ref="A1:AA64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1.33203125" style="232" customWidth="1"/>
    <col min="2" max="2" width="4.6640625" style="232" customWidth="1"/>
    <col min="3" max="3" width="2.6640625" style="232" customWidth="1"/>
    <col min="4" max="4" width="4" style="232" customWidth="1"/>
    <col min="5" max="5" width="3.6640625" style="232" customWidth="1"/>
    <col min="6" max="6" width="37" style="232" customWidth="1"/>
    <col min="7" max="7" width="2.6640625" style="232" customWidth="1"/>
    <col min="8" max="8" width="5.6640625" style="232" customWidth="1"/>
    <col min="9" max="9" width="12.33203125" style="232" customWidth="1"/>
    <col min="10" max="10" width="11.5546875" style="232" bestFit="1" customWidth="1"/>
    <col min="11" max="11" width="4.6640625" style="232" customWidth="1"/>
    <col min="12" max="12" width="64.33203125" style="232" bestFit="1" customWidth="1"/>
    <col min="13" max="13" width="1.6640625" style="232" customWidth="1"/>
    <col min="14" max="15" width="0.88671875" style="232" customWidth="1"/>
    <col min="16" max="16" width="8.33203125" style="232" customWidth="1"/>
    <col min="17" max="17" width="10.5546875" style="232" customWidth="1"/>
    <col min="18" max="18" width="4.109375" style="232" bestFit="1" customWidth="1"/>
    <col min="19" max="26" width="0.88671875" style="232" customWidth="1"/>
    <col min="27" max="27" width="1.33203125" style="232" customWidth="1"/>
    <col min="28" max="16384" width="9.109375" style="232"/>
  </cols>
  <sheetData>
    <row r="1" spans="1:27" s="230" customFormat="1" ht="18" x14ac:dyDescent="0.35">
      <c r="A1" s="229"/>
      <c r="B1" s="24">
        <v>2026</v>
      </c>
      <c r="C1" s="183"/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229"/>
    </row>
    <row r="2" spans="1:27" x14ac:dyDescent="0.3">
      <c r="A2" s="231"/>
      <c r="L2" s="30" t="s">
        <v>37</v>
      </c>
      <c r="AA2" s="231"/>
    </row>
    <row r="3" spans="1:27" x14ac:dyDescent="0.3">
      <c r="A3" s="231"/>
      <c r="L3" s="33" t="str">
        <f>"DOCKET NO.  " &amp; +"20240025-EI"</f>
        <v>DOCKET NO.  20240025-EI</v>
      </c>
      <c r="AA3" s="231"/>
    </row>
    <row r="4" spans="1:27" x14ac:dyDescent="0.3">
      <c r="A4" s="231"/>
      <c r="L4" s="33" t="s">
        <v>38</v>
      </c>
      <c r="AA4" s="231"/>
    </row>
    <row r="5" spans="1:27" x14ac:dyDescent="0.3">
      <c r="A5" s="231"/>
      <c r="L5" s="30" t="s">
        <v>298</v>
      </c>
      <c r="AA5" s="231"/>
    </row>
    <row r="6" spans="1:27" x14ac:dyDescent="0.3">
      <c r="A6" s="231"/>
      <c r="L6" s="79" t="s">
        <v>365</v>
      </c>
      <c r="AA6" s="231"/>
    </row>
    <row r="7" spans="1:27" x14ac:dyDescent="0.3">
      <c r="A7" s="231"/>
      <c r="B7" s="78"/>
      <c r="L7" s="37" t="s">
        <v>11</v>
      </c>
      <c r="AA7" s="231"/>
    </row>
    <row r="8" spans="1:27" x14ac:dyDescent="0.3">
      <c r="A8" s="231"/>
      <c r="B8" s="78"/>
      <c r="L8" s="37"/>
      <c r="AA8" s="231"/>
    </row>
    <row r="9" spans="1:27" s="234" customFormat="1" ht="15.6" x14ac:dyDescent="0.3">
      <c r="A9" s="233"/>
      <c r="B9" s="258" t="s">
        <v>300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AA9" s="233"/>
    </row>
    <row r="10" spans="1:27" s="234" customFormat="1" ht="15.6" x14ac:dyDescent="0.3">
      <c r="A10" s="233"/>
      <c r="B10" s="258" t="s">
        <v>301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AA10" s="233"/>
    </row>
    <row r="11" spans="1:27" s="234" customFormat="1" ht="15.6" x14ac:dyDescent="0.3">
      <c r="A11" s="233"/>
      <c r="AA11" s="233"/>
    </row>
    <row r="12" spans="1:27" s="234" customFormat="1" ht="15.6" x14ac:dyDescent="0.3">
      <c r="A12" s="233"/>
      <c r="B12" s="332" t="s">
        <v>336</v>
      </c>
      <c r="C12" s="191"/>
      <c r="D12" s="191"/>
      <c r="E12" s="191"/>
      <c r="F12" s="334"/>
      <c r="G12" s="334"/>
      <c r="H12" s="334"/>
      <c r="I12" s="334"/>
      <c r="J12" s="334"/>
      <c r="K12" s="334"/>
      <c r="L12" s="334"/>
      <c r="M12" s="191"/>
      <c r="AA12" s="233"/>
    </row>
    <row r="13" spans="1:27" s="234" customFormat="1" ht="15.6" x14ac:dyDescent="0.3">
      <c r="A13" s="233"/>
      <c r="B13" s="333" t="s">
        <v>303</v>
      </c>
      <c r="C13" s="191"/>
      <c r="D13" s="191"/>
      <c r="E13" s="191"/>
      <c r="F13" s="334"/>
      <c r="G13" s="334"/>
      <c r="H13" s="334"/>
      <c r="I13" s="334"/>
      <c r="J13" s="334"/>
      <c r="K13" s="334"/>
      <c r="L13" s="334"/>
      <c r="M13" s="191"/>
      <c r="AA13" s="233"/>
    </row>
    <row r="14" spans="1:27" x14ac:dyDescent="0.3">
      <c r="A14" s="231"/>
      <c r="AA14" s="231"/>
    </row>
    <row r="15" spans="1:27" ht="15.75" customHeight="1" x14ac:dyDescent="0.3">
      <c r="A15" s="231"/>
      <c r="B15" s="235"/>
      <c r="C15" s="235"/>
      <c r="D15" s="236">
        <v>-1</v>
      </c>
      <c r="E15" s="236"/>
      <c r="F15" s="236"/>
      <c r="G15" s="237"/>
      <c r="H15" s="237"/>
      <c r="I15" s="237">
        <f>+D15-1</f>
        <v>-2</v>
      </c>
      <c r="J15" s="237"/>
      <c r="K15" s="237"/>
      <c r="L15" s="238">
        <f>+I15-1</f>
        <v>-3</v>
      </c>
      <c r="AA15" s="231"/>
    </row>
    <row r="16" spans="1:27" ht="15.75" customHeight="1" x14ac:dyDescent="0.3">
      <c r="A16" s="231"/>
      <c r="B16" s="239" t="s">
        <v>54</v>
      </c>
      <c r="C16" s="240"/>
      <c r="D16" s="240"/>
      <c r="E16" s="241" t="s">
        <v>187</v>
      </c>
      <c r="F16" s="241"/>
      <c r="G16" s="240"/>
      <c r="H16" s="240"/>
      <c r="I16" s="241" t="s">
        <v>337</v>
      </c>
      <c r="J16" s="241"/>
      <c r="K16" s="240"/>
      <c r="L16" s="239" t="s">
        <v>58</v>
      </c>
      <c r="AA16" s="231"/>
    </row>
    <row r="17" spans="1:27" x14ac:dyDescent="0.3">
      <c r="A17" s="231"/>
      <c r="B17" s="208"/>
      <c r="I17" s="242"/>
      <c r="J17" s="242"/>
      <c r="L17" s="208"/>
      <c r="AA17" s="231"/>
    </row>
    <row r="18" spans="1:27" x14ac:dyDescent="0.3">
      <c r="A18" s="231"/>
      <c r="B18" s="208">
        <v>1</v>
      </c>
      <c r="D18" s="243" t="s">
        <v>338</v>
      </c>
      <c r="I18" s="242"/>
      <c r="J18" s="242"/>
      <c r="L18" s="208"/>
      <c r="AA18" s="231"/>
    </row>
    <row r="19" spans="1:27" x14ac:dyDescent="0.3">
      <c r="A19" s="231"/>
      <c r="B19" s="208">
        <f>+B18+1</f>
        <v>2</v>
      </c>
      <c r="E19" s="232" t="s">
        <v>339</v>
      </c>
      <c r="J19" s="244"/>
      <c r="AA19" s="231"/>
    </row>
    <row r="20" spans="1:27" x14ac:dyDescent="0.3">
      <c r="A20" s="231"/>
      <c r="B20" s="208">
        <f t="shared" ref="B20:B57" si="0">+B19+1</f>
        <v>3</v>
      </c>
      <c r="F20" s="232" t="s">
        <v>99</v>
      </c>
      <c r="I20" s="245">
        <f>'[2]MFR E-14E'!J53</f>
        <v>95.531058081229432</v>
      </c>
      <c r="J20" s="244" t="s">
        <v>340</v>
      </c>
      <c r="L20" s="232" t="s">
        <v>341</v>
      </c>
      <c r="AA20" s="231"/>
    </row>
    <row r="21" spans="1:27" x14ac:dyDescent="0.3">
      <c r="A21" s="231"/>
      <c r="B21" s="208">
        <f t="shared" si="0"/>
        <v>4</v>
      </c>
      <c r="F21" s="232" t="s">
        <v>101</v>
      </c>
      <c r="I21" s="245">
        <f>'[2]MFR E-14E'!J54</f>
        <v>240.37860095595573</v>
      </c>
      <c r="J21" s="244" t="s">
        <v>340</v>
      </c>
      <c r="L21" s="232" t="str">
        <f>L20</f>
        <v>Schedule E-14E - CS/IS Customer Unit Cost</v>
      </c>
      <c r="AA21" s="231"/>
    </row>
    <row r="22" spans="1:27" x14ac:dyDescent="0.3">
      <c r="A22" s="231"/>
      <c r="B22" s="208">
        <f t="shared" si="0"/>
        <v>5</v>
      </c>
      <c r="F22" s="232" t="s">
        <v>102</v>
      </c>
      <c r="I22" s="245">
        <f>'[2]MFR E-14E'!J55</f>
        <v>425.73937849400534</v>
      </c>
      <c r="J22" s="244" t="s">
        <v>340</v>
      </c>
      <c r="L22" s="232" t="str">
        <f>L20</f>
        <v>Schedule E-14E - CS/IS Customer Unit Cost</v>
      </c>
      <c r="AA22" s="231"/>
    </row>
    <row r="23" spans="1:27" x14ac:dyDescent="0.3">
      <c r="A23" s="231"/>
      <c r="B23" s="208">
        <f t="shared" si="0"/>
        <v>6</v>
      </c>
      <c r="I23" s="245"/>
      <c r="J23" s="244"/>
      <c r="AA23" s="231"/>
    </row>
    <row r="24" spans="1:27" x14ac:dyDescent="0.3">
      <c r="A24" s="231"/>
      <c r="B24" s="208">
        <f t="shared" si="0"/>
        <v>7</v>
      </c>
      <c r="E24" s="232" t="s">
        <v>160</v>
      </c>
      <c r="I24" s="245"/>
      <c r="J24" s="244"/>
      <c r="AA24" s="231"/>
    </row>
    <row r="25" spans="1:27" x14ac:dyDescent="0.3">
      <c r="A25" s="231"/>
      <c r="B25" s="208">
        <f t="shared" si="0"/>
        <v>8</v>
      </c>
      <c r="F25" s="232" t="s">
        <v>99</v>
      </c>
      <c r="I25" s="245">
        <f>'[2]MFR E-14E'!K53</f>
        <v>374.46769549622667</v>
      </c>
      <c r="J25" s="244" t="s">
        <v>340</v>
      </c>
      <c r="L25" s="232" t="s">
        <v>342</v>
      </c>
      <c r="AA25" s="231"/>
    </row>
    <row r="26" spans="1:27" x14ac:dyDescent="0.3">
      <c r="A26" s="231"/>
      <c r="B26" s="208">
        <f t="shared" si="0"/>
        <v>9</v>
      </c>
      <c r="F26" s="232" t="s">
        <v>101</v>
      </c>
      <c r="I26" s="245">
        <f>'[2]MFR E-14E'!K54</f>
        <v>519.31523837095301</v>
      </c>
      <c r="J26" s="244" t="s">
        <v>340</v>
      </c>
      <c r="L26" s="232" t="str">
        <f>L25</f>
        <v>Schedule E-14E - CS/IS Unit Cost + IS Equipment</v>
      </c>
      <c r="AA26" s="231"/>
    </row>
    <row r="27" spans="1:27" x14ac:dyDescent="0.3">
      <c r="A27" s="231"/>
      <c r="B27" s="208">
        <f t="shared" si="0"/>
        <v>10</v>
      </c>
      <c r="F27" s="232" t="s">
        <v>102</v>
      </c>
      <c r="I27" s="245">
        <f>'[2]MFR E-14E'!K55</f>
        <v>704.67601590900256</v>
      </c>
      <c r="J27" s="244" t="s">
        <v>340</v>
      </c>
      <c r="L27" s="232" t="str">
        <f>L25</f>
        <v>Schedule E-14E - CS/IS Unit Cost + IS Equipment</v>
      </c>
      <c r="AA27" s="231"/>
    </row>
    <row r="28" spans="1:27" x14ac:dyDescent="0.3">
      <c r="A28" s="231"/>
      <c r="B28" s="208">
        <f t="shared" si="0"/>
        <v>11</v>
      </c>
      <c r="I28" s="246"/>
      <c r="AA28" s="231"/>
    </row>
    <row r="29" spans="1:27" x14ac:dyDescent="0.3">
      <c r="A29" s="231"/>
      <c r="B29" s="208">
        <f t="shared" si="0"/>
        <v>12</v>
      </c>
      <c r="I29" s="246"/>
      <c r="AA29" s="231"/>
    </row>
    <row r="30" spans="1:27" x14ac:dyDescent="0.3">
      <c r="A30" s="231"/>
      <c r="B30" s="208">
        <f t="shared" si="0"/>
        <v>13</v>
      </c>
      <c r="D30" s="243" t="s">
        <v>343</v>
      </c>
      <c r="I30" s="246">
        <f>+'[2]MFR E-14D1'!Q23</f>
        <v>6.09</v>
      </c>
      <c r="J30" s="244" t="s">
        <v>344</v>
      </c>
      <c r="L30" s="232" t="s">
        <v>345</v>
      </c>
      <c r="AA30" s="231"/>
    </row>
    <row r="31" spans="1:27" x14ac:dyDescent="0.3">
      <c r="A31" s="231"/>
      <c r="B31" s="208">
        <f t="shared" si="0"/>
        <v>14</v>
      </c>
      <c r="D31" s="243"/>
      <c r="I31" s="246"/>
      <c r="AA31" s="231"/>
    </row>
    <row r="32" spans="1:27" x14ac:dyDescent="0.3">
      <c r="A32" s="231"/>
      <c r="B32" s="208">
        <f t="shared" si="0"/>
        <v>15</v>
      </c>
      <c r="I32" s="246"/>
      <c r="AA32" s="231"/>
    </row>
    <row r="33" spans="1:27" x14ac:dyDescent="0.3">
      <c r="A33" s="231"/>
      <c r="B33" s="208">
        <f t="shared" si="0"/>
        <v>16</v>
      </c>
      <c r="D33" s="243" t="s">
        <v>346</v>
      </c>
      <c r="I33" s="246"/>
      <c r="AA33" s="231"/>
    </row>
    <row r="34" spans="1:27" x14ac:dyDescent="0.3">
      <c r="A34" s="231"/>
      <c r="B34" s="208">
        <f t="shared" si="0"/>
        <v>17</v>
      </c>
      <c r="E34" s="232" t="s">
        <v>155</v>
      </c>
      <c r="I34" s="245">
        <f>+'[2]MFR E-14D1'!J49</f>
        <v>6.52</v>
      </c>
      <c r="J34" s="244" t="s">
        <v>347</v>
      </c>
      <c r="L34" s="232" t="s">
        <v>348</v>
      </c>
      <c r="AA34" s="231"/>
    </row>
    <row r="35" spans="1:27" x14ac:dyDescent="0.3">
      <c r="A35" s="231"/>
      <c r="B35" s="208">
        <f t="shared" si="0"/>
        <v>18</v>
      </c>
      <c r="AA35" s="231"/>
    </row>
    <row r="36" spans="1:27" x14ac:dyDescent="0.3">
      <c r="A36" s="231"/>
      <c r="B36" s="208">
        <f t="shared" si="0"/>
        <v>19</v>
      </c>
      <c r="AA36" s="231"/>
    </row>
    <row r="37" spans="1:27" x14ac:dyDescent="0.3">
      <c r="A37" s="231"/>
      <c r="B37" s="208">
        <f t="shared" si="0"/>
        <v>20</v>
      </c>
      <c r="D37" s="243" t="s">
        <v>349</v>
      </c>
      <c r="AA37" s="231"/>
    </row>
    <row r="38" spans="1:27" x14ac:dyDescent="0.3">
      <c r="A38" s="231"/>
      <c r="B38" s="208">
        <f t="shared" si="0"/>
        <v>21</v>
      </c>
      <c r="E38" s="232" t="s">
        <v>157</v>
      </c>
      <c r="AA38" s="231"/>
    </row>
    <row r="39" spans="1:27" x14ac:dyDescent="0.3">
      <c r="A39" s="231"/>
      <c r="B39" s="208">
        <f t="shared" si="0"/>
        <v>22</v>
      </c>
      <c r="AA39" s="231"/>
    </row>
    <row r="40" spans="1:27" x14ac:dyDescent="0.3">
      <c r="A40" s="231"/>
      <c r="B40" s="208">
        <f t="shared" si="0"/>
        <v>23</v>
      </c>
      <c r="E40" s="232" t="s">
        <v>350</v>
      </c>
      <c r="AA40" s="231"/>
    </row>
    <row r="41" spans="1:27" x14ac:dyDescent="0.3">
      <c r="A41" s="231"/>
      <c r="B41" s="208">
        <f t="shared" si="0"/>
        <v>24</v>
      </c>
      <c r="F41" s="232" t="s">
        <v>155</v>
      </c>
      <c r="I41" s="247">
        <f>ROUND(('[2]MFR E-14D1'!Q22+'[2]MFR E-14D1'!Q24)*0.1,3)</f>
        <v>2.21</v>
      </c>
      <c r="J41" s="244" t="s">
        <v>347</v>
      </c>
      <c r="L41" s="232" t="s">
        <v>351</v>
      </c>
      <c r="AA41" s="231"/>
    </row>
    <row r="42" spans="1:27" x14ac:dyDescent="0.3">
      <c r="A42" s="231"/>
      <c r="B42" s="208">
        <f t="shared" si="0"/>
        <v>25</v>
      </c>
      <c r="I42" s="248"/>
      <c r="L42" s="232" t="s">
        <v>352</v>
      </c>
      <c r="AA42" s="231"/>
    </row>
    <row r="43" spans="1:27" x14ac:dyDescent="0.3">
      <c r="A43" s="231"/>
      <c r="B43" s="208">
        <f t="shared" si="0"/>
        <v>26</v>
      </c>
      <c r="I43" s="248"/>
      <c r="AA43" s="231"/>
    </row>
    <row r="44" spans="1:27" x14ac:dyDescent="0.3">
      <c r="A44" s="231"/>
      <c r="B44" s="208">
        <f t="shared" si="0"/>
        <v>27</v>
      </c>
      <c r="E44" s="232" t="s">
        <v>353</v>
      </c>
      <c r="I44" s="249">
        <f>ROUND(('[2]MFR E-14D1'!Q22+'[2]MFR E-14D1'!Q24)/21,3)</f>
        <v>1.052</v>
      </c>
      <c r="J44" s="244" t="s">
        <v>354</v>
      </c>
      <c r="L44" s="232" t="s">
        <v>351</v>
      </c>
      <c r="AA44" s="231"/>
    </row>
    <row r="45" spans="1:27" x14ac:dyDescent="0.3">
      <c r="A45" s="231"/>
      <c r="B45" s="208">
        <f t="shared" si="0"/>
        <v>28</v>
      </c>
      <c r="I45" s="247"/>
      <c r="L45" s="232" t="s">
        <v>355</v>
      </c>
      <c r="AA45" s="231"/>
    </row>
    <row r="46" spans="1:27" x14ac:dyDescent="0.3">
      <c r="A46" s="231"/>
      <c r="B46" s="208">
        <f t="shared" si="0"/>
        <v>29</v>
      </c>
      <c r="I46" s="247"/>
      <c r="AA46" s="231"/>
    </row>
    <row r="47" spans="1:27" x14ac:dyDescent="0.3">
      <c r="A47" s="231"/>
      <c r="B47" s="208">
        <f t="shared" si="0"/>
        <v>30</v>
      </c>
      <c r="I47" s="247"/>
      <c r="AA47" s="231"/>
    </row>
    <row r="48" spans="1:27" x14ac:dyDescent="0.3">
      <c r="A48" s="231"/>
      <c r="B48" s="208">
        <f t="shared" si="0"/>
        <v>31</v>
      </c>
      <c r="D48" s="243" t="s">
        <v>356</v>
      </c>
      <c r="I48" s="247"/>
      <c r="AA48" s="231"/>
    </row>
    <row r="49" spans="1:27" x14ac:dyDescent="0.3">
      <c r="A49" s="231"/>
      <c r="B49" s="208">
        <f t="shared" si="0"/>
        <v>32</v>
      </c>
      <c r="E49" s="232" t="s">
        <v>357</v>
      </c>
      <c r="I49" s="250"/>
      <c r="AA49" s="231"/>
    </row>
    <row r="50" spans="1:27" x14ac:dyDescent="0.3">
      <c r="A50" s="231"/>
      <c r="B50" s="208">
        <f t="shared" si="0"/>
        <v>33</v>
      </c>
      <c r="F50" s="232" t="s">
        <v>358</v>
      </c>
      <c r="I50" s="249">
        <f>ROUND('[2]MFR E-14A'!I116*0.1,3)</f>
        <v>0.58199999999999996</v>
      </c>
      <c r="J50" s="244" t="s">
        <v>347</v>
      </c>
      <c r="L50" s="232" t="s">
        <v>359</v>
      </c>
      <c r="Q50" s="251"/>
      <c r="R50" s="252"/>
      <c r="AA50" s="231"/>
    </row>
    <row r="51" spans="1:27" x14ac:dyDescent="0.3">
      <c r="A51" s="231"/>
      <c r="B51" s="208">
        <f t="shared" si="0"/>
        <v>34</v>
      </c>
      <c r="I51" s="249"/>
      <c r="AA51" s="231"/>
    </row>
    <row r="52" spans="1:27" x14ac:dyDescent="0.3">
      <c r="A52" s="231"/>
      <c r="B52" s="208">
        <f t="shared" si="0"/>
        <v>35</v>
      </c>
      <c r="F52" s="232" t="s">
        <v>360</v>
      </c>
      <c r="I52" s="249">
        <f>ROUND(I50/0.1/21,3)</f>
        <v>0.27700000000000002</v>
      </c>
      <c r="J52" s="244" t="s">
        <v>354</v>
      </c>
      <c r="L52" s="232" t="s">
        <v>361</v>
      </c>
      <c r="AA52" s="231"/>
    </row>
    <row r="53" spans="1:27" x14ac:dyDescent="0.3">
      <c r="A53" s="231"/>
      <c r="B53" s="208">
        <f t="shared" si="0"/>
        <v>36</v>
      </c>
      <c r="I53" s="247"/>
      <c r="AA53" s="231"/>
    </row>
    <row r="54" spans="1:27" x14ac:dyDescent="0.3">
      <c r="A54" s="231"/>
      <c r="B54" s="208">
        <f t="shared" si="0"/>
        <v>37</v>
      </c>
      <c r="E54" s="232" t="s">
        <v>362</v>
      </c>
      <c r="I54" s="247"/>
      <c r="AA54" s="231"/>
    </row>
    <row r="55" spans="1:27" x14ac:dyDescent="0.3">
      <c r="A55" s="231"/>
      <c r="B55" s="208">
        <f t="shared" si="0"/>
        <v>38</v>
      </c>
      <c r="F55" s="232" t="s">
        <v>358</v>
      </c>
      <c r="I55" s="249">
        <f>ROUND('[2]MFR E-14A'!I153*0.1,3)</f>
        <v>0.46200000000000002</v>
      </c>
      <c r="J55" s="244" t="s">
        <v>347</v>
      </c>
      <c r="L55" s="232" t="s">
        <v>363</v>
      </c>
      <c r="Q55" s="251"/>
      <c r="R55" s="252"/>
      <c r="AA55" s="231"/>
    </row>
    <row r="56" spans="1:27" x14ac:dyDescent="0.3">
      <c r="A56" s="231"/>
      <c r="B56" s="208">
        <f t="shared" si="0"/>
        <v>39</v>
      </c>
      <c r="I56" s="247"/>
      <c r="AA56" s="231"/>
    </row>
    <row r="57" spans="1:27" x14ac:dyDescent="0.3">
      <c r="A57" s="231"/>
      <c r="B57" s="208">
        <f t="shared" si="0"/>
        <v>40</v>
      </c>
      <c r="F57" s="232" t="s">
        <v>360</v>
      </c>
      <c r="I57" s="249">
        <f>ROUND(I55/0.1/21,3)</f>
        <v>0.22</v>
      </c>
      <c r="J57" s="244" t="s">
        <v>354</v>
      </c>
      <c r="L57" s="232" t="s">
        <v>364</v>
      </c>
      <c r="AA57" s="231"/>
    </row>
    <row r="58" spans="1:27" x14ac:dyDescent="0.3">
      <c r="A58" s="231"/>
      <c r="B58" s="208"/>
      <c r="AA58" s="231"/>
    </row>
    <row r="59" spans="1:27" x14ac:dyDescent="0.3">
      <c r="A59" s="231"/>
      <c r="AA59" s="231"/>
    </row>
    <row r="62" spans="1:27" x14ac:dyDescent="0.3">
      <c r="I62" s="253"/>
    </row>
    <row r="64" spans="1:27" x14ac:dyDescent="0.3">
      <c r="I64" s="253"/>
    </row>
  </sheetData>
  <pageMargins left="0.5" right="0.5" top="0.75" bottom="0.25" header="0.5" footer="0.25"/>
  <pageSetup scale="66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A16A-BADE-45C9-A922-E08575CED188}">
  <sheetPr>
    <tabColor theme="7" tint="0.39997558519241921"/>
    <pageSetUpPr fitToPage="1"/>
  </sheetPr>
  <dimension ref="A1:AA64"/>
  <sheetViews>
    <sheetView tabSelected="1" view="pageBreakPreview" topLeftCell="A19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1.33203125" style="232" customWidth="1"/>
    <col min="2" max="2" width="4.6640625" style="232" customWidth="1"/>
    <col min="3" max="3" width="2.6640625" style="232" customWidth="1"/>
    <col min="4" max="4" width="4" style="232" customWidth="1"/>
    <col min="5" max="5" width="3.6640625" style="232" customWidth="1"/>
    <col min="6" max="6" width="37" style="232" customWidth="1"/>
    <col min="7" max="7" width="2.6640625" style="232" customWidth="1"/>
    <col min="8" max="8" width="5.6640625" style="232" customWidth="1"/>
    <col min="9" max="9" width="12.33203125" style="232" customWidth="1"/>
    <col min="10" max="10" width="11.5546875" style="232" bestFit="1" customWidth="1"/>
    <col min="11" max="11" width="4.6640625" style="232" customWidth="1"/>
    <col min="12" max="12" width="64.33203125" style="232" bestFit="1" customWidth="1"/>
    <col min="13" max="13" width="1.6640625" style="232" customWidth="1"/>
    <col min="14" max="15" width="0.88671875" style="232" customWidth="1"/>
    <col min="16" max="16" width="8.33203125" style="232" customWidth="1"/>
    <col min="17" max="17" width="10.5546875" style="232" customWidth="1"/>
    <col min="18" max="18" width="4.109375" style="232" bestFit="1" customWidth="1"/>
    <col min="19" max="26" width="0.88671875" style="232" customWidth="1"/>
    <col min="27" max="27" width="1.33203125" style="232" customWidth="1"/>
    <col min="28" max="16384" width="9.109375" style="232"/>
  </cols>
  <sheetData>
    <row r="1" spans="1:27" s="230" customFormat="1" ht="18" x14ac:dyDescent="0.35">
      <c r="A1" s="229"/>
      <c r="B1" s="24">
        <v>2025</v>
      </c>
      <c r="C1" s="183"/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229"/>
    </row>
    <row r="2" spans="1:27" x14ac:dyDescent="0.3">
      <c r="A2" s="231"/>
      <c r="L2" s="30" t="s">
        <v>37</v>
      </c>
      <c r="AA2" s="231"/>
    </row>
    <row r="3" spans="1:27" x14ac:dyDescent="0.3">
      <c r="A3" s="231"/>
      <c r="L3" s="33" t="str">
        <f>"DOCKET NO.  " &amp; +"20240025-EI"</f>
        <v>DOCKET NO.  20240025-EI</v>
      </c>
      <c r="AA3" s="231"/>
    </row>
    <row r="4" spans="1:27" x14ac:dyDescent="0.3">
      <c r="A4" s="231"/>
      <c r="L4" s="33" t="s">
        <v>38</v>
      </c>
      <c r="AA4" s="231"/>
    </row>
    <row r="5" spans="1:27" x14ac:dyDescent="0.3">
      <c r="A5" s="231"/>
      <c r="L5" s="30" t="s">
        <v>298</v>
      </c>
      <c r="AA5" s="231"/>
    </row>
    <row r="6" spans="1:27" x14ac:dyDescent="0.3">
      <c r="A6" s="231"/>
      <c r="L6" s="79" t="s">
        <v>366</v>
      </c>
      <c r="AA6" s="231"/>
    </row>
    <row r="7" spans="1:27" x14ac:dyDescent="0.3">
      <c r="A7" s="231"/>
      <c r="B7" s="78"/>
      <c r="L7" s="37" t="s">
        <v>8</v>
      </c>
      <c r="AA7" s="231"/>
    </row>
    <row r="8" spans="1:27" x14ac:dyDescent="0.3">
      <c r="A8" s="231"/>
      <c r="B8" s="78"/>
      <c r="L8" s="37"/>
      <c r="AA8" s="231"/>
    </row>
    <row r="9" spans="1:27" s="234" customFormat="1" ht="15.6" x14ac:dyDescent="0.3">
      <c r="A9" s="233"/>
      <c r="B9" s="258" t="s">
        <v>300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AA9" s="233"/>
    </row>
    <row r="10" spans="1:27" s="234" customFormat="1" ht="15.6" x14ac:dyDescent="0.3">
      <c r="A10" s="233"/>
      <c r="B10" s="258" t="s">
        <v>301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AA10" s="233"/>
    </row>
    <row r="11" spans="1:27" s="234" customFormat="1" ht="15.6" x14ac:dyDescent="0.3">
      <c r="A11" s="233"/>
      <c r="AA11" s="233"/>
    </row>
    <row r="12" spans="1:27" s="234" customFormat="1" ht="15.6" x14ac:dyDescent="0.3">
      <c r="A12" s="233"/>
      <c r="B12" s="332" t="s">
        <v>336</v>
      </c>
      <c r="C12" s="191"/>
      <c r="D12" s="191"/>
      <c r="E12" s="191"/>
      <c r="F12" s="334"/>
      <c r="G12" s="334"/>
      <c r="H12" s="334"/>
      <c r="I12" s="334"/>
      <c r="J12" s="334"/>
      <c r="K12" s="334"/>
      <c r="L12" s="334"/>
      <c r="M12" s="191"/>
      <c r="AA12" s="233"/>
    </row>
    <row r="13" spans="1:27" s="234" customFormat="1" ht="15.6" x14ac:dyDescent="0.3">
      <c r="A13" s="233"/>
      <c r="B13" s="333" t="s">
        <v>303</v>
      </c>
      <c r="C13" s="191"/>
      <c r="D13" s="191"/>
      <c r="E13" s="191"/>
      <c r="F13" s="334"/>
      <c r="G13" s="334"/>
      <c r="H13" s="334"/>
      <c r="I13" s="334"/>
      <c r="J13" s="334"/>
      <c r="K13" s="334"/>
      <c r="L13" s="334"/>
      <c r="M13" s="191"/>
      <c r="AA13" s="233"/>
    </row>
    <row r="14" spans="1:27" x14ac:dyDescent="0.3">
      <c r="A14" s="231"/>
      <c r="AA14" s="231"/>
    </row>
    <row r="15" spans="1:27" ht="15.75" customHeight="1" x14ac:dyDescent="0.3">
      <c r="A15" s="231"/>
      <c r="B15" s="235"/>
      <c r="C15" s="235"/>
      <c r="D15" s="236">
        <v>-1</v>
      </c>
      <c r="E15" s="236"/>
      <c r="F15" s="236"/>
      <c r="G15" s="237"/>
      <c r="H15" s="237"/>
      <c r="I15" s="237">
        <f>+D15-1</f>
        <v>-2</v>
      </c>
      <c r="J15" s="237"/>
      <c r="K15" s="237"/>
      <c r="L15" s="238">
        <f>+I15-1</f>
        <v>-3</v>
      </c>
      <c r="AA15" s="231"/>
    </row>
    <row r="16" spans="1:27" ht="15.75" customHeight="1" x14ac:dyDescent="0.3">
      <c r="A16" s="231"/>
      <c r="B16" s="239" t="s">
        <v>54</v>
      </c>
      <c r="C16" s="240"/>
      <c r="D16" s="240"/>
      <c r="E16" s="241" t="s">
        <v>187</v>
      </c>
      <c r="F16" s="241"/>
      <c r="G16" s="240"/>
      <c r="H16" s="240"/>
      <c r="I16" s="241" t="s">
        <v>337</v>
      </c>
      <c r="J16" s="241"/>
      <c r="K16" s="240"/>
      <c r="L16" s="239" t="s">
        <v>58</v>
      </c>
      <c r="AA16" s="231"/>
    </row>
    <row r="17" spans="1:27" x14ac:dyDescent="0.3">
      <c r="A17" s="231"/>
      <c r="B17" s="208"/>
      <c r="I17" s="242"/>
      <c r="J17" s="242"/>
      <c r="L17" s="208"/>
      <c r="AA17" s="231"/>
    </row>
    <row r="18" spans="1:27" x14ac:dyDescent="0.3">
      <c r="A18" s="231"/>
      <c r="B18" s="208">
        <v>1</v>
      </c>
      <c r="D18" s="243" t="s">
        <v>338</v>
      </c>
      <c r="I18" s="242"/>
      <c r="J18" s="242"/>
      <c r="L18" s="208"/>
      <c r="AA18" s="231"/>
    </row>
    <row r="19" spans="1:27" x14ac:dyDescent="0.3">
      <c r="A19" s="231"/>
      <c r="B19" s="208">
        <f>+B18+1</f>
        <v>2</v>
      </c>
      <c r="E19" s="232" t="s">
        <v>339</v>
      </c>
      <c r="J19" s="244"/>
      <c r="AA19" s="231"/>
    </row>
    <row r="20" spans="1:27" x14ac:dyDescent="0.3">
      <c r="A20" s="231"/>
      <c r="B20" s="208">
        <f t="shared" ref="B20:B57" si="0">+B19+1</f>
        <v>3</v>
      </c>
      <c r="F20" s="232" t="s">
        <v>99</v>
      </c>
      <c r="I20" s="245">
        <v>82.321758637420231</v>
      </c>
      <c r="J20" s="244" t="s">
        <v>340</v>
      </c>
      <c r="L20" s="232" t="s">
        <v>341</v>
      </c>
      <c r="AA20" s="231"/>
    </row>
    <row r="21" spans="1:27" x14ac:dyDescent="0.3">
      <c r="A21" s="231"/>
      <c r="B21" s="208">
        <f t="shared" si="0"/>
        <v>4</v>
      </c>
      <c r="F21" s="232" t="s">
        <v>101</v>
      </c>
      <c r="I21" s="245">
        <v>219.13750953241291</v>
      </c>
      <c r="J21" s="244" t="s">
        <v>340</v>
      </c>
      <c r="L21" s="232" t="str">
        <f>L20</f>
        <v>Schedule E-14E - CS/IS Customer Unit Cost</v>
      </c>
      <c r="AA21" s="231"/>
    </row>
    <row r="22" spans="1:27" x14ac:dyDescent="0.3">
      <c r="A22" s="231"/>
      <c r="B22" s="208">
        <f t="shared" si="0"/>
        <v>5</v>
      </c>
      <c r="F22" s="232" t="s">
        <v>102</v>
      </c>
      <c r="I22" s="245">
        <v>394.22003742369503</v>
      </c>
      <c r="J22" s="244" t="s">
        <v>340</v>
      </c>
      <c r="L22" s="232" t="str">
        <f>L20</f>
        <v>Schedule E-14E - CS/IS Customer Unit Cost</v>
      </c>
      <c r="AA22" s="231"/>
    </row>
    <row r="23" spans="1:27" x14ac:dyDescent="0.3">
      <c r="A23" s="231"/>
      <c r="B23" s="208">
        <f t="shared" si="0"/>
        <v>6</v>
      </c>
      <c r="I23" s="245"/>
      <c r="J23" s="244"/>
      <c r="AA23" s="231"/>
    </row>
    <row r="24" spans="1:27" x14ac:dyDescent="0.3">
      <c r="A24" s="231"/>
      <c r="B24" s="208">
        <f t="shared" si="0"/>
        <v>7</v>
      </c>
      <c r="E24" s="232" t="s">
        <v>160</v>
      </c>
      <c r="I24" s="245"/>
      <c r="J24" s="244"/>
      <c r="AA24" s="231"/>
    </row>
    <row r="25" spans="1:27" x14ac:dyDescent="0.3">
      <c r="A25" s="231"/>
      <c r="B25" s="208">
        <f t="shared" si="0"/>
        <v>8</v>
      </c>
      <c r="F25" s="232" t="s">
        <v>99</v>
      </c>
      <c r="I25" s="245">
        <v>390.44721729205196</v>
      </c>
      <c r="J25" s="244" t="s">
        <v>340</v>
      </c>
      <c r="L25" s="232" t="s">
        <v>342</v>
      </c>
      <c r="AA25" s="231"/>
    </row>
    <row r="26" spans="1:27" x14ac:dyDescent="0.3">
      <c r="A26" s="231"/>
      <c r="B26" s="208">
        <f t="shared" si="0"/>
        <v>9</v>
      </c>
      <c r="F26" s="232" t="s">
        <v>101</v>
      </c>
      <c r="I26" s="245">
        <v>527.26296818704463</v>
      </c>
      <c r="J26" s="244" t="s">
        <v>340</v>
      </c>
      <c r="L26" s="232" t="str">
        <f>L25</f>
        <v>Schedule E-14E - CS/IS Unit Cost + IS Equipment</v>
      </c>
      <c r="AA26" s="231"/>
    </row>
    <row r="27" spans="1:27" x14ac:dyDescent="0.3">
      <c r="A27" s="231"/>
      <c r="B27" s="208">
        <f t="shared" si="0"/>
        <v>10</v>
      </c>
      <c r="F27" s="232" t="s">
        <v>102</v>
      </c>
      <c r="I27" s="245">
        <v>702.34549607832673</v>
      </c>
      <c r="J27" s="244" t="s">
        <v>340</v>
      </c>
      <c r="L27" s="232" t="str">
        <f>L25</f>
        <v>Schedule E-14E - CS/IS Unit Cost + IS Equipment</v>
      </c>
      <c r="AA27" s="231"/>
    </row>
    <row r="28" spans="1:27" x14ac:dyDescent="0.3">
      <c r="A28" s="231"/>
      <c r="B28" s="208">
        <f t="shared" si="0"/>
        <v>11</v>
      </c>
      <c r="I28" s="246"/>
      <c r="AA28" s="231"/>
    </row>
    <row r="29" spans="1:27" x14ac:dyDescent="0.3">
      <c r="A29" s="231"/>
      <c r="B29" s="208">
        <f t="shared" si="0"/>
        <v>12</v>
      </c>
      <c r="I29" s="246"/>
      <c r="AA29" s="231"/>
    </row>
    <row r="30" spans="1:27" x14ac:dyDescent="0.3">
      <c r="A30" s="231"/>
      <c r="B30" s="208">
        <f t="shared" si="0"/>
        <v>13</v>
      </c>
      <c r="D30" s="243" t="s">
        <v>343</v>
      </c>
      <c r="I30" s="246">
        <v>6.08</v>
      </c>
      <c r="J30" s="244" t="s">
        <v>344</v>
      </c>
      <c r="L30" s="232" t="s">
        <v>345</v>
      </c>
      <c r="AA30" s="231"/>
    </row>
    <row r="31" spans="1:27" x14ac:dyDescent="0.3">
      <c r="A31" s="231"/>
      <c r="B31" s="208">
        <f t="shared" si="0"/>
        <v>14</v>
      </c>
      <c r="D31" s="243"/>
      <c r="I31" s="246"/>
      <c r="AA31" s="231"/>
    </row>
    <row r="32" spans="1:27" x14ac:dyDescent="0.3">
      <c r="A32" s="231"/>
      <c r="B32" s="208">
        <f t="shared" si="0"/>
        <v>15</v>
      </c>
      <c r="I32" s="246"/>
      <c r="AA32" s="231"/>
    </row>
    <row r="33" spans="1:27" x14ac:dyDescent="0.3">
      <c r="A33" s="231"/>
      <c r="B33" s="208">
        <f t="shared" si="0"/>
        <v>16</v>
      </c>
      <c r="D33" s="243" t="s">
        <v>346</v>
      </c>
      <c r="I33" s="246"/>
      <c r="AA33" s="231"/>
    </row>
    <row r="34" spans="1:27" x14ac:dyDescent="0.3">
      <c r="A34" s="231"/>
      <c r="B34" s="208">
        <f t="shared" si="0"/>
        <v>17</v>
      </c>
      <c r="E34" s="232" t="s">
        <v>155</v>
      </c>
      <c r="I34" s="245">
        <v>6.2299999999999995</v>
      </c>
      <c r="J34" s="244" t="s">
        <v>347</v>
      </c>
      <c r="L34" s="232" t="s">
        <v>348</v>
      </c>
      <c r="AA34" s="231"/>
    </row>
    <row r="35" spans="1:27" x14ac:dyDescent="0.3">
      <c r="A35" s="231"/>
      <c r="B35" s="208">
        <f t="shared" si="0"/>
        <v>18</v>
      </c>
      <c r="AA35" s="231"/>
    </row>
    <row r="36" spans="1:27" x14ac:dyDescent="0.3">
      <c r="A36" s="231"/>
      <c r="B36" s="208">
        <f t="shared" si="0"/>
        <v>19</v>
      </c>
      <c r="AA36" s="231"/>
    </row>
    <row r="37" spans="1:27" x14ac:dyDescent="0.3">
      <c r="A37" s="231"/>
      <c r="B37" s="208">
        <f t="shared" si="0"/>
        <v>20</v>
      </c>
      <c r="D37" s="243" t="s">
        <v>349</v>
      </c>
      <c r="AA37" s="231"/>
    </row>
    <row r="38" spans="1:27" x14ac:dyDescent="0.3">
      <c r="A38" s="231"/>
      <c r="B38" s="208">
        <f t="shared" si="0"/>
        <v>21</v>
      </c>
      <c r="E38" s="232" t="s">
        <v>157</v>
      </c>
      <c r="AA38" s="231"/>
    </row>
    <row r="39" spans="1:27" x14ac:dyDescent="0.3">
      <c r="A39" s="231"/>
      <c r="B39" s="208">
        <f t="shared" si="0"/>
        <v>22</v>
      </c>
      <c r="AA39" s="231"/>
    </row>
    <row r="40" spans="1:27" x14ac:dyDescent="0.3">
      <c r="A40" s="231"/>
      <c r="B40" s="208">
        <f t="shared" si="0"/>
        <v>23</v>
      </c>
      <c r="E40" s="232" t="s">
        <v>350</v>
      </c>
      <c r="AA40" s="231"/>
    </row>
    <row r="41" spans="1:27" x14ac:dyDescent="0.3">
      <c r="A41" s="231"/>
      <c r="B41" s="208">
        <f t="shared" si="0"/>
        <v>24</v>
      </c>
      <c r="F41" s="232" t="s">
        <v>155</v>
      </c>
      <c r="I41" s="247">
        <v>2.1240000000000001</v>
      </c>
      <c r="J41" s="244" t="s">
        <v>347</v>
      </c>
      <c r="L41" s="232" t="s">
        <v>351</v>
      </c>
      <c r="AA41" s="231"/>
    </row>
    <row r="42" spans="1:27" x14ac:dyDescent="0.3">
      <c r="A42" s="231"/>
      <c r="B42" s="208">
        <f t="shared" si="0"/>
        <v>25</v>
      </c>
      <c r="I42" s="248"/>
      <c r="L42" s="232" t="s">
        <v>352</v>
      </c>
      <c r="AA42" s="231"/>
    </row>
    <row r="43" spans="1:27" x14ac:dyDescent="0.3">
      <c r="A43" s="231"/>
      <c r="B43" s="208">
        <f t="shared" si="0"/>
        <v>26</v>
      </c>
      <c r="I43" s="248"/>
      <c r="AA43" s="231"/>
    </row>
    <row r="44" spans="1:27" x14ac:dyDescent="0.3">
      <c r="A44" s="231"/>
      <c r="B44" s="208">
        <f t="shared" si="0"/>
        <v>27</v>
      </c>
      <c r="E44" s="232" t="s">
        <v>353</v>
      </c>
      <c r="I44" s="249">
        <v>1.0109999999999999</v>
      </c>
      <c r="J44" s="244" t="s">
        <v>354</v>
      </c>
      <c r="L44" s="232" t="s">
        <v>351</v>
      </c>
      <c r="AA44" s="231"/>
    </row>
    <row r="45" spans="1:27" x14ac:dyDescent="0.3">
      <c r="A45" s="231"/>
      <c r="B45" s="208">
        <f t="shared" si="0"/>
        <v>28</v>
      </c>
      <c r="I45" s="247"/>
      <c r="L45" s="232" t="s">
        <v>355</v>
      </c>
      <c r="AA45" s="231"/>
    </row>
    <row r="46" spans="1:27" x14ac:dyDescent="0.3">
      <c r="A46" s="231"/>
      <c r="B46" s="208">
        <f t="shared" si="0"/>
        <v>29</v>
      </c>
      <c r="I46" s="247"/>
      <c r="AA46" s="231"/>
    </row>
    <row r="47" spans="1:27" x14ac:dyDescent="0.3">
      <c r="A47" s="231"/>
      <c r="B47" s="208">
        <f t="shared" si="0"/>
        <v>30</v>
      </c>
      <c r="I47" s="247"/>
      <c r="AA47" s="231"/>
    </row>
    <row r="48" spans="1:27" x14ac:dyDescent="0.3">
      <c r="A48" s="231"/>
      <c r="B48" s="208">
        <f t="shared" si="0"/>
        <v>31</v>
      </c>
      <c r="D48" s="243" t="s">
        <v>356</v>
      </c>
      <c r="I48" s="247"/>
      <c r="AA48" s="231"/>
    </row>
    <row r="49" spans="1:27" x14ac:dyDescent="0.3">
      <c r="A49" s="231"/>
      <c r="B49" s="208">
        <f t="shared" si="0"/>
        <v>32</v>
      </c>
      <c r="E49" s="232" t="s">
        <v>357</v>
      </c>
      <c r="I49" s="250"/>
      <c r="AA49" s="231"/>
    </row>
    <row r="50" spans="1:27" x14ac:dyDescent="0.3">
      <c r="A50" s="231"/>
      <c r="B50" s="208">
        <f t="shared" si="0"/>
        <v>33</v>
      </c>
      <c r="F50" s="232" t="s">
        <v>358</v>
      </c>
      <c r="I50" s="249">
        <v>0.58199999999999996</v>
      </c>
      <c r="J50" s="244" t="s">
        <v>347</v>
      </c>
      <c r="L50" s="232" t="s">
        <v>359</v>
      </c>
      <c r="Q50" s="251"/>
      <c r="R50" s="252"/>
      <c r="AA50" s="231"/>
    </row>
    <row r="51" spans="1:27" x14ac:dyDescent="0.3">
      <c r="A51" s="231"/>
      <c r="B51" s="208">
        <f t="shared" si="0"/>
        <v>34</v>
      </c>
      <c r="I51" s="249"/>
      <c r="AA51" s="231"/>
    </row>
    <row r="52" spans="1:27" x14ac:dyDescent="0.3">
      <c r="A52" s="231"/>
      <c r="B52" s="208">
        <f t="shared" si="0"/>
        <v>35</v>
      </c>
      <c r="F52" s="232" t="s">
        <v>360</v>
      </c>
      <c r="I52" s="249">
        <f>ROUND(I50/0.1/21,3)</f>
        <v>0.27700000000000002</v>
      </c>
      <c r="J52" s="244" t="s">
        <v>354</v>
      </c>
      <c r="L52" s="232" t="s">
        <v>361</v>
      </c>
      <c r="AA52" s="231"/>
    </row>
    <row r="53" spans="1:27" x14ac:dyDescent="0.3">
      <c r="A53" s="231"/>
      <c r="B53" s="208">
        <f t="shared" si="0"/>
        <v>36</v>
      </c>
      <c r="I53" s="247"/>
      <c r="AA53" s="231"/>
    </row>
    <row r="54" spans="1:27" x14ac:dyDescent="0.3">
      <c r="A54" s="231"/>
      <c r="B54" s="208">
        <f t="shared" si="0"/>
        <v>37</v>
      </c>
      <c r="E54" s="232" t="s">
        <v>362</v>
      </c>
      <c r="I54" s="247"/>
      <c r="AA54" s="231"/>
    </row>
    <row r="55" spans="1:27" x14ac:dyDescent="0.3">
      <c r="A55" s="231"/>
      <c r="B55" s="208">
        <f t="shared" si="0"/>
        <v>38</v>
      </c>
      <c r="F55" s="232" t="s">
        <v>358</v>
      </c>
      <c r="I55" s="249">
        <v>0.46200000000000002</v>
      </c>
      <c r="J55" s="244" t="s">
        <v>347</v>
      </c>
      <c r="L55" s="232" t="s">
        <v>363</v>
      </c>
      <c r="Q55" s="251"/>
      <c r="R55" s="252"/>
      <c r="AA55" s="231"/>
    </row>
    <row r="56" spans="1:27" x14ac:dyDescent="0.3">
      <c r="A56" s="231"/>
      <c r="B56" s="208">
        <f t="shared" si="0"/>
        <v>39</v>
      </c>
      <c r="I56" s="247"/>
      <c r="AA56" s="231"/>
    </row>
    <row r="57" spans="1:27" x14ac:dyDescent="0.3">
      <c r="A57" s="231"/>
      <c r="B57" s="208">
        <f t="shared" si="0"/>
        <v>40</v>
      </c>
      <c r="F57" s="232" t="s">
        <v>360</v>
      </c>
      <c r="I57" s="249">
        <f>ROUND(I55/0.1/21,3)</f>
        <v>0.22</v>
      </c>
      <c r="J57" s="244" t="s">
        <v>354</v>
      </c>
      <c r="L57" s="232" t="s">
        <v>364</v>
      </c>
      <c r="AA57" s="231"/>
    </row>
    <row r="58" spans="1:27" x14ac:dyDescent="0.3">
      <c r="A58" s="231"/>
      <c r="B58" s="208"/>
      <c r="AA58" s="231"/>
    </row>
    <row r="59" spans="1:27" x14ac:dyDescent="0.3">
      <c r="A59" s="231"/>
      <c r="AA59" s="231"/>
    </row>
    <row r="62" spans="1:27" x14ac:dyDescent="0.3">
      <c r="I62" s="253"/>
    </row>
    <row r="64" spans="1:27" x14ac:dyDescent="0.3">
      <c r="I64" s="253"/>
    </row>
  </sheetData>
  <pageMargins left="0.5" right="0.5" top="0.75" bottom="0.25" header="0.5" footer="0.25"/>
  <pageSetup scale="66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243AF-E5BF-4F13-AF8F-DA01508B5941}">
  <sheetPr>
    <tabColor theme="7" tint="-0.249977111117893"/>
    <pageSetUpPr fitToPage="1"/>
  </sheetPr>
  <dimension ref="A1:AD58"/>
  <sheetViews>
    <sheetView tabSelected="1" view="pageBreakPreview" topLeftCell="A20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0.6640625" style="78" customWidth="1"/>
    <col min="2" max="2" width="5.6640625" style="78" customWidth="1"/>
    <col min="3" max="3" width="2.6640625" style="78" customWidth="1"/>
    <col min="4" max="4" width="5.6640625" style="78" customWidth="1"/>
    <col min="5" max="5" width="36.109375" style="78" customWidth="1"/>
    <col min="6" max="11" width="20.109375" style="78" customWidth="1"/>
    <col min="12" max="12" width="1.44140625" style="78" customWidth="1"/>
    <col min="13" max="13" width="36.6640625" style="78" customWidth="1"/>
    <col min="14" max="30" width="0.6640625" style="78" customWidth="1"/>
    <col min="31" max="16384" width="9.109375" style="78"/>
  </cols>
  <sheetData>
    <row r="1" spans="1:30" s="257" customFormat="1" ht="18" x14ac:dyDescent="0.35">
      <c r="A1" s="255"/>
      <c r="B1" s="24">
        <v>2027</v>
      </c>
      <c r="C1" s="183"/>
      <c r="D1" s="183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5"/>
      <c r="AB1" s="256"/>
      <c r="AC1" s="256"/>
      <c r="AD1" s="255"/>
    </row>
    <row r="2" spans="1:30" x14ac:dyDescent="0.3">
      <c r="A2" s="77"/>
      <c r="M2" s="30" t="s">
        <v>37</v>
      </c>
      <c r="AA2" s="77"/>
      <c r="AD2" s="77"/>
    </row>
    <row r="3" spans="1:30" x14ac:dyDescent="0.3">
      <c r="A3" s="77"/>
      <c r="M3" s="33" t="str">
        <f>"DOCKET NO.  " &amp; +"20240025-EI"</f>
        <v>DOCKET NO.  20240025-EI</v>
      </c>
      <c r="AA3" s="77"/>
      <c r="AD3" s="77"/>
    </row>
    <row r="4" spans="1:30" x14ac:dyDescent="0.3">
      <c r="A4" s="77"/>
      <c r="M4" s="33" t="s">
        <v>38</v>
      </c>
      <c r="AA4" s="77"/>
      <c r="AD4" s="77"/>
    </row>
    <row r="5" spans="1:30" x14ac:dyDescent="0.3">
      <c r="A5" s="77"/>
      <c r="M5" s="30" t="s">
        <v>367</v>
      </c>
      <c r="AA5" s="77"/>
      <c r="AD5" s="77"/>
    </row>
    <row r="6" spans="1:30" x14ac:dyDescent="0.3">
      <c r="A6" s="77"/>
      <c r="M6" s="79" t="s">
        <v>368</v>
      </c>
      <c r="AA6" s="77"/>
      <c r="AD6" s="77"/>
    </row>
    <row r="7" spans="1:30" x14ac:dyDescent="0.3">
      <c r="A7" s="77"/>
      <c r="M7" s="37" t="s">
        <v>13</v>
      </c>
      <c r="AA7" s="77"/>
      <c r="AD7" s="77"/>
    </row>
    <row r="8" spans="1:30" s="83" customFormat="1" ht="15.6" x14ac:dyDescent="0.3">
      <c r="A8" s="80"/>
      <c r="B8" s="81" t="s">
        <v>369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AA8" s="80"/>
      <c r="AD8" s="80"/>
    </row>
    <row r="9" spans="1:30" s="83" customFormat="1" ht="15.6" x14ac:dyDescent="0.3">
      <c r="A9" s="80"/>
      <c r="B9" s="258" t="s">
        <v>301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AA9" s="80"/>
      <c r="AD9" s="80"/>
    </row>
    <row r="10" spans="1:30" ht="6.75" customHeight="1" x14ac:dyDescent="0.3">
      <c r="A10" s="77"/>
      <c r="B10" s="109"/>
      <c r="AA10" s="77"/>
      <c r="AD10" s="77"/>
    </row>
    <row r="11" spans="1:30" ht="18" customHeight="1" x14ac:dyDescent="0.3">
      <c r="A11" s="77"/>
      <c r="B11" s="145"/>
      <c r="C11" s="146"/>
      <c r="D11" s="259">
        <v>-1</v>
      </c>
      <c r="E11" s="260"/>
      <c r="F11" s="278">
        <f>D11-1</f>
        <v>-2</v>
      </c>
      <c r="G11" s="278">
        <f>+F11-1</f>
        <v>-3</v>
      </c>
      <c r="H11" s="278">
        <f>+G11-1</f>
        <v>-4</v>
      </c>
      <c r="I11" s="278">
        <f>+H11-1</f>
        <v>-5</v>
      </c>
      <c r="J11" s="278">
        <f>+I11-1</f>
        <v>-6</v>
      </c>
      <c r="K11" s="278">
        <f>+J11-1</f>
        <v>-7</v>
      </c>
      <c r="L11" s="261"/>
      <c r="M11" s="278">
        <f>+K11-1</f>
        <v>-8</v>
      </c>
      <c r="AA11" s="77"/>
      <c r="AD11" s="77"/>
    </row>
    <row r="12" spans="1:30" ht="18.75" customHeight="1" x14ac:dyDescent="0.3">
      <c r="A12" s="77"/>
      <c r="B12" s="148"/>
      <c r="C12" s="148"/>
      <c r="D12" s="148"/>
      <c r="E12" s="148"/>
      <c r="F12" s="148"/>
      <c r="G12" s="149" t="s">
        <v>370</v>
      </c>
      <c r="H12" s="148"/>
      <c r="I12" s="149"/>
      <c r="M12" s="148"/>
      <c r="AA12" s="77"/>
      <c r="AD12" s="77"/>
    </row>
    <row r="13" spans="1:30" x14ac:dyDescent="0.3">
      <c r="A13" s="77"/>
      <c r="B13" s="148"/>
      <c r="C13" s="148"/>
      <c r="D13" s="148"/>
      <c r="E13" s="148"/>
      <c r="F13" s="149" t="s">
        <v>371</v>
      </c>
      <c r="G13" s="149" t="s">
        <v>99</v>
      </c>
      <c r="H13" s="151" t="s">
        <v>190</v>
      </c>
      <c r="I13" s="149" t="s">
        <v>98</v>
      </c>
      <c r="J13" s="151" t="s">
        <v>372</v>
      </c>
      <c r="K13" s="151" t="s">
        <v>372</v>
      </c>
      <c r="M13" s="148"/>
      <c r="AA13" s="77"/>
      <c r="AD13" s="77"/>
    </row>
    <row r="14" spans="1:30" x14ac:dyDescent="0.3">
      <c r="A14" s="77"/>
      <c r="B14" s="154" t="s">
        <v>54</v>
      </c>
      <c r="C14" s="155"/>
      <c r="D14" s="155"/>
      <c r="E14" s="155"/>
      <c r="F14" s="262" t="s">
        <v>373</v>
      </c>
      <c r="G14" s="154" t="s">
        <v>67</v>
      </c>
      <c r="H14" s="88"/>
      <c r="I14" s="154"/>
      <c r="J14" s="154" t="s">
        <v>374</v>
      </c>
      <c r="K14" s="154" t="s">
        <v>375</v>
      </c>
      <c r="L14" s="88"/>
      <c r="M14" s="154" t="s">
        <v>58</v>
      </c>
      <c r="AA14" s="77"/>
      <c r="AD14" s="77"/>
    </row>
    <row r="15" spans="1:30" x14ac:dyDescent="0.3">
      <c r="A15" s="77"/>
      <c r="B15" s="94"/>
      <c r="H15" s="152"/>
      <c r="J15" s="152"/>
      <c r="AA15" s="77"/>
      <c r="AD15" s="77"/>
    </row>
    <row r="16" spans="1:30" x14ac:dyDescent="0.3">
      <c r="A16" s="77"/>
      <c r="B16" s="94">
        <v>1</v>
      </c>
      <c r="C16" s="95" t="s">
        <v>376</v>
      </c>
      <c r="AA16" s="77"/>
      <c r="AD16" s="77"/>
    </row>
    <row r="17" spans="1:30" x14ac:dyDescent="0.3">
      <c r="A17" s="77"/>
      <c r="B17" s="94">
        <f t="shared" ref="B17:B55" si="0">+B16+1</f>
        <v>2</v>
      </c>
      <c r="D17" s="78" t="s">
        <v>377</v>
      </c>
      <c r="H17" s="97">
        <f>'[1]MFR E-6b'!K53</f>
        <v>10.814980993768907</v>
      </c>
      <c r="I17" s="97">
        <f>'[1]MFR E-6b'!I53</f>
        <v>4.8036092978037885</v>
      </c>
      <c r="J17" s="97">
        <f>'[1]MFR E-6b'!L53</f>
        <v>106.38563026082241</v>
      </c>
      <c r="K17" s="97">
        <f>'[1]MFR E-6b'!L53</f>
        <v>106.38563026082241</v>
      </c>
      <c r="M17" s="78" t="s">
        <v>194</v>
      </c>
      <c r="AA17" s="77"/>
      <c r="AD17" s="77"/>
    </row>
    <row r="18" spans="1:30" x14ac:dyDescent="0.3">
      <c r="A18" s="77"/>
      <c r="B18" s="94">
        <f t="shared" si="0"/>
        <v>3</v>
      </c>
      <c r="AA18" s="77"/>
      <c r="AD18" s="77"/>
    </row>
    <row r="19" spans="1:30" x14ac:dyDescent="0.3">
      <c r="A19" s="77"/>
      <c r="B19" s="94">
        <f t="shared" si="0"/>
        <v>4</v>
      </c>
      <c r="C19" s="95" t="s">
        <v>378</v>
      </c>
      <c r="AA19" s="77"/>
      <c r="AD19" s="77"/>
    </row>
    <row r="20" spans="1:30" x14ac:dyDescent="0.3">
      <c r="A20" s="77"/>
      <c r="B20" s="94">
        <f t="shared" si="0"/>
        <v>5</v>
      </c>
      <c r="D20" s="78" t="s">
        <v>379</v>
      </c>
      <c r="H20" s="12">
        <v>49313.723789427022</v>
      </c>
      <c r="I20" s="12">
        <f>SUM('[1]MFR E-13c'!J77:J79)/12</f>
        <v>1331.9019657639594</v>
      </c>
      <c r="J20" s="12">
        <v>68.865647242569921</v>
      </c>
      <c r="K20" s="12">
        <f>+J20</f>
        <v>68.865647242569921</v>
      </c>
      <c r="M20" s="78" t="s">
        <v>380</v>
      </c>
      <c r="AA20" s="77"/>
      <c r="AD20" s="77"/>
    </row>
    <row r="21" spans="1:30" x14ac:dyDescent="0.3">
      <c r="A21" s="77"/>
      <c r="B21" s="94">
        <f t="shared" si="0"/>
        <v>6</v>
      </c>
      <c r="D21" s="78" t="s">
        <v>381</v>
      </c>
      <c r="H21" s="12">
        <v>0</v>
      </c>
      <c r="I21" s="12">
        <v>13740.252069090231</v>
      </c>
      <c r="J21" s="12">
        <v>0</v>
      </c>
      <c r="K21" s="12">
        <f>+J21</f>
        <v>0</v>
      </c>
      <c r="M21" s="78" t="s">
        <v>382</v>
      </c>
      <c r="AA21" s="77"/>
      <c r="AD21" s="77"/>
    </row>
    <row r="22" spans="1:30" x14ac:dyDescent="0.3">
      <c r="A22" s="77"/>
      <c r="B22" s="94">
        <f t="shared" si="0"/>
        <v>7</v>
      </c>
      <c r="D22" s="78" t="s">
        <v>101</v>
      </c>
      <c r="H22" s="12">
        <v>387.78116624872149</v>
      </c>
      <c r="I22" s="12">
        <v>0</v>
      </c>
      <c r="J22" s="12">
        <v>75.834670565581362</v>
      </c>
      <c r="K22" s="12">
        <f>+J22</f>
        <v>75.834670565581362</v>
      </c>
      <c r="M22" s="78" t="s">
        <v>382</v>
      </c>
      <c r="AA22" s="77"/>
      <c r="AD22" s="77"/>
    </row>
    <row r="23" spans="1:30" x14ac:dyDescent="0.3">
      <c r="A23" s="77"/>
      <c r="B23" s="94">
        <f t="shared" si="0"/>
        <v>8</v>
      </c>
      <c r="D23" s="78" t="s">
        <v>102</v>
      </c>
      <c r="H23" s="12">
        <v>10.463356933275474</v>
      </c>
      <c r="I23" s="12">
        <v>0</v>
      </c>
      <c r="J23" s="12">
        <v>10.816353287274858</v>
      </c>
      <c r="K23" s="12">
        <f>J23</f>
        <v>10.816353287274858</v>
      </c>
      <c r="M23" s="78" t="s">
        <v>382</v>
      </c>
      <c r="AA23" s="77"/>
      <c r="AD23" s="77"/>
    </row>
    <row r="24" spans="1:30" ht="14.4" thickBot="1" x14ac:dyDescent="0.35">
      <c r="A24" s="77"/>
      <c r="B24" s="94">
        <f t="shared" si="0"/>
        <v>9</v>
      </c>
      <c r="H24" s="263">
        <f>SUM(H20:H23)</f>
        <v>49711.968312609017</v>
      </c>
      <c r="I24" s="263">
        <f>SUM(I20:I23)</f>
        <v>15072.154034854191</v>
      </c>
      <c r="J24" s="263">
        <f>SUM(J20:J23)</f>
        <v>155.51667109542615</v>
      </c>
      <c r="K24" s="263">
        <f>SUM(K20:K23)</f>
        <v>155.51667109542615</v>
      </c>
      <c r="AA24" s="77"/>
      <c r="AD24" s="77"/>
    </row>
    <row r="25" spans="1:30" ht="14.4" thickTop="1" x14ac:dyDescent="0.3">
      <c r="A25" s="77"/>
      <c r="B25" s="94">
        <f t="shared" si="0"/>
        <v>10</v>
      </c>
      <c r="C25" s="264" t="s">
        <v>383</v>
      </c>
      <c r="AA25" s="77"/>
      <c r="AD25" s="77"/>
    </row>
    <row r="26" spans="1:30" x14ac:dyDescent="0.3">
      <c r="A26" s="77"/>
      <c r="B26" s="94">
        <f t="shared" si="0"/>
        <v>11</v>
      </c>
      <c r="D26" s="78" t="s">
        <v>379</v>
      </c>
      <c r="E26" s="107"/>
      <c r="H26" s="245">
        <v>9.5590533249817007</v>
      </c>
      <c r="I26" s="245">
        <v>4.8</v>
      </c>
      <c r="J26" s="245">
        <v>7.4132426646294869</v>
      </c>
      <c r="K26" s="245">
        <f>J26</f>
        <v>7.4132426646294869</v>
      </c>
      <c r="M26" s="78" t="s">
        <v>384</v>
      </c>
      <c r="AA26" s="77"/>
      <c r="AD26" s="77"/>
    </row>
    <row r="27" spans="1:30" x14ac:dyDescent="0.3">
      <c r="A27" s="77"/>
      <c r="B27" s="94">
        <f t="shared" si="0"/>
        <v>12</v>
      </c>
      <c r="D27" s="78" t="s">
        <v>381</v>
      </c>
      <c r="E27" s="107"/>
      <c r="H27" s="245">
        <f>+H$26*G35</f>
        <v>4.6999348049258387</v>
      </c>
      <c r="I27" s="245">
        <f>+I$26*I35</f>
        <v>4.8</v>
      </c>
      <c r="J27" s="245">
        <f>+J$26*K35</f>
        <v>7.4132426646294869</v>
      </c>
      <c r="K27" s="245">
        <f>+J27</f>
        <v>7.4132426646294869</v>
      </c>
      <c r="M27" s="78" t="s">
        <v>385</v>
      </c>
      <c r="AA27" s="77"/>
      <c r="AD27" s="77"/>
    </row>
    <row r="28" spans="1:30" x14ac:dyDescent="0.3">
      <c r="A28" s="77"/>
      <c r="B28" s="94">
        <f t="shared" si="0"/>
        <v>13</v>
      </c>
      <c r="D28" s="78" t="s">
        <v>101</v>
      </c>
      <c r="E28" s="107"/>
      <c r="H28" s="209">
        <f>+H$26*G36</f>
        <v>159.64007964030023</v>
      </c>
      <c r="I28" s="209">
        <f>+I$26*I36</f>
        <v>74.387173260434338</v>
      </c>
      <c r="J28" s="209">
        <f>+J$26*K36</f>
        <v>160.58398277571212</v>
      </c>
      <c r="K28" s="209">
        <f>+J28</f>
        <v>160.58398277571212</v>
      </c>
      <c r="M28" s="78" t="s">
        <v>386</v>
      </c>
      <c r="AA28" s="77"/>
      <c r="AD28" s="77"/>
    </row>
    <row r="29" spans="1:30" x14ac:dyDescent="0.3">
      <c r="A29" s="77"/>
      <c r="B29" s="94">
        <f t="shared" si="0"/>
        <v>14</v>
      </c>
      <c r="D29" s="78" t="s">
        <v>102</v>
      </c>
      <c r="E29" s="107"/>
      <c r="H29" s="209">
        <f>+H$26*G37</f>
        <v>390.73940283878323</v>
      </c>
      <c r="I29" s="209">
        <f>+I$26*I37</f>
        <v>462.05883703325026</v>
      </c>
      <c r="J29" s="209">
        <f>+J$26*K37</f>
        <v>356.5959200139153</v>
      </c>
      <c r="K29" s="209">
        <f>+J29</f>
        <v>356.5959200139153</v>
      </c>
      <c r="M29" s="78" t="s">
        <v>387</v>
      </c>
      <c r="AA29" s="77"/>
      <c r="AD29" s="77"/>
    </row>
    <row r="30" spans="1:30" ht="14.4" thickBot="1" x14ac:dyDescent="0.35">
      <c r="A30" s="77"/>
      <c r="B30" s="94">
        <f t="shared" si="0"/>
        <v>15</v>
      </c>
      <c r="D30" s="78" t="s">
        <v>388</v>
      </c>
      <c r="H30" s="265">
        <f>SUMPRODUCT(H20:H23*H26:H29)/H24</f>
        <v>10.809999999999993</v>
      </c>
      <c r="I30" s="265">
        <f>SUMPRODUCT(I20:I23*I26:I29)/I24</f>
        <v>4.8</v>
      </c>
      <c r="J30" s="265">
        <f>(J20*J26+J21*J27+J22*J28+J23*J29)/J24</f>
        <v>106.38999999999993</v>
      </c>
      <c r="K30" s="265">
        <f>(K20*K26+K21*K27+K22*K28+K23*K29)/K24</f>
        <v>106.38999999999993</v>
      </c>
      <c r="AA30" s="77"/>
      <c r="AD30" s="77"/>
    </row>
    <row r="31" spans="1:30" ht="14.4" thickTop="1" x14ac:dyDescent="0.3">
      <c r="A31" s="77"/>
      <c r="B31" s="94">
        <f t="shared" si="0"/>
        <v>16</v>
      </c>
      <c r="H31" s="97"/>
      <c r="J31" s="97"/>
      <c r="AA31" s="77"/>
      <c r="AD31" s="77"/>
    </row>
    <row r="32" spans="1:30" x14ac:dyDescent="0.3">
      <c r="A32" s="77"/>
      <c r="B32" s="94">
        <f t="shared" si="0"/>
        <v>17</v>
      </c>
      <c r="AA32" s="77"/>
      <c r="AD32" s="77"/>
    </row>
    <row r="33" spans="1:30" x14ac:dyDescent="0.3">
      <c r="A33" s="77"/>
      <c r="B33" s="94">
        <f t="shared" si="0"/>
        <v>18</v>
      </c>
      <c r="C33" s="264" t="s">
        <v>389</v>
      </c>
      <c r="D33" s="107"/>
      <c r="E33" s="107"/>
      <c r="F33" s="266"/>
      <c r="G33" s="266"/>
      <c r="I33" s="266"/>
      <c r="AA33" s="77"/>
      <c r="AD33" s="77"/>
    </row>
    <row r="34" spans="1:30" x14ac:dyDescent="0.3">
      <c r="A34" s="77"/>
      <c r="B34" s="94">
        <f t="shared" si="0"/>
        <v>19</v>
      </c>
      <c r="C34" s="107"/>
      <c r="D34" s="78" t="s">
        <v>379</v>
      </c>
      <c r="E34" s="107"/>
      <c r="F34" s="267">
        <v>485.48881905696248</v>
      </c>
      <c r="G34" s="268">
        <f>+F34/F$34</f>
        <v>1</v>
      </c>
      <c r="H34" s="267">
        <v>238.70206813523856</v>
      </c>
      <c r="I34" s="268">
        <f>+H34/H$34</f>
        <v>1</v>
      </c>
      <c r="J34" s="267">
        <v>494.22269841269849</v>
      </c>
      <c r="K34" s="268">
        <f>+J34/J$34</f>
        <v>1</v>
      </c>
      <c r="M34" s="78" t="s">
        <v>382</v>
      </c>
      <c r="AA34" s="77"/>
      <c r="AD34" s="77"/>
    </row>
    <row r="35" spans="1:30" x14ac:dyDescent="0.3">
      <c r="A35" s="77"/>
      <c r="B35" s="94">
        <f t="shared" si="0"/>
        <v>20</v>
      </c>
      <c r="C35" s="107"/>
      <c r="D35" s="78" t="s">
        <v>381</v>
      </c>
      <c r="E35" s="107"/>
      <c r="F35" s="267">
        <v>238.70206813523856</v>
      </c>
      <c r="G35" s="268">
        <f>+F35/F$34</f>
        <v>0.49167366737488472</v>
      </c>
      <c r="H35" s="267">
        <v>238.70206813523856</v>
      </c>
      <c r="I35" s="268">
        <f>+H35/H$34</f>
        <v>1</v>
      </c>
      <c r="J35" s="267">
        <v>494.22269841269849</v>
      </c>
      <c r="K35" s="268">
        <f>+J35/J$34</f>
        <v>1</v>
      </c>
      <c r="M35" s="78" t="s">
        <v>382</v>
      </c>
      <c r="AA35" s="77"/>
      <c r="AD35" s="77"/>
    </row>
    <row r="36" spans="1:30" x14ac:dyDescent="0.3">
      <c r="A36" s="77"/>
      <c r="B36" s="94">
        <f t="shared" si="0"/>
        <v>21</v>
      </c>
      <c r="C36" s="107"/>
      <c r="D36" s="78" t="s">
        <v>101</v>
      </c>
      <c r="E36" s="107"/>
      <c r="F36" s="267">
        <v>8107.8608000000004</v>
      </c>
      <c r="G36" s="268">
        <f>+F36/F$34</f>
        <v>16.700406851282612</v>
      </c>
      <c r="H36" s="267">
        <v>3699.244187499999</v>
      </c>
      <c r="I36" s="268">
        <f>+H36/H$34</f>
        <v>15.497327762590489</v>
      </c>
      <c r="J36" s="267">
        <v>10705.74010317216</v>
      </c>
      <c r="K36" s="268">
        <f>+J36/J$34</f>
        <v>21.661773402063332</v>
      </c>
      <c r="M36" s="78" t="s">
        <v>382</v>
      </c>
      <c r="AA36" s="77"/>
      <c r="AD36" s="77"/>
    </row>
    <row r="37" spans="1:30" x14ac:dyDescent="0.3">
      <c r="A37" s="77"/>
      <c r="B37" s="94">
        <f t="shared" si="0"/>
        <v>22</v>
      </c>
      <c r="C37" s="107"/>
      <c r="D37" s="78" t="s">
        <v>102</v>
      </c>
      <c r="E37" s="107"/>
      <c r="F37" s="267">
        <v>19845.020714285718</v>
      </c>
      <c r="G37" s="268">
        <f>+F37/F$34</f>
        <v>40.876370238214072</v>
      </c>
      <c r="H37" s="267">
        <v>22978</v>
      </c>
      <c r="I37" s="268">
        <f>+H37/H$34</f>
        <v>96.262257715260475</v>
      </c>
      <c r="J37" s="267">
        <v>23773.375</v>
      </c>
      <c r="K37" s="268">
        <f>+J37/J$34</f>
        <v>48.102555945635963</v>
      </c>
      <c r="M37" s="78" t="s">
        <v>382</v>
      </c>
      <c r="AA37" s="77"/>
      <c r="AD37" s="77"/>
    </row>
    <row r="38" spans="1:30" x14ac:dyDescent="0.3">
      <c r="A38" s="77"/>
      <c r="B38" s="94">
        <f t="shared" si="0"/>
        <v>23</v>
      </c>
      <c r="C38" s="107"/>
      <c r="D38" s="78" t="s">
        <v>390</v>
      </c>
      <c r="E38" s="107"/>
      <c r="F38" s="187"/>
      <c r="G38" s="269"/>
      <c r="I38" s="269"/>
      <c r="AA38" s="77"/>
      <c r="AD38" s="77"/>
    </row>
    <row r="39" spans="1:30" x14ac:dyDescent="0.3">
      <c r="A39" s="77"/>
      <c r="B39" s="94">
        <f t="shared" si="0"/>
        <v>24</v>
      </c>
      <c r="AA39" s="77"/>
      <c r="AD39" s="77"/>
    </row>
    <row r="40" spans="1:30" x14ac:dyDescent="0.3">
      <c r="A40" s="77"/>
      <c r="B40" s="94">
        <f t="shared" si="0"/>
        <v>25</v>
      </c>
      <c r="C40" s="95" t="s">
        <v>391</v>
      </c>
      <c r="AA40" s="77"/>
      <c r="AD40" s="77"/>
    </row>
    <row r="41" spans="1:30" x14ac:dyDescent="0.3">
      <c r="A41" s="77"/>
      <c r="B41" s="94">
        <f t="shared" si="0"/>
        <v>26</v>
      </c>
      <c r="D41" s="78" t="s">
        <v>99</v>
      </c>
      <c r="H41" s="97">
        <f>SUM(+H26*H20+H27*H21)/(H20+H21)</f>
        <v>9.5590533249817007</v>
      </c>
      <c r="I41" s="97">
        <f>SUM(+I26*I20+I27*I21)/(I20+I21)</f>
        <v>4.8</v>
      </c>
      <c r="J41" s="97">
        <f>SUM(+J26*J20+J27*J21)/(J21+J20)</f>
        <v>7.4132426646294869</v>
      </c>
      <c r="K41" s="97">
        <f>+J41</f>
        <v>7.4132426646294869</v>
      </c>
      <c r="M41" s="78" t="s">
        <v>392</v>
      </c>
      <c r="AA41" s="77"/>
      <c r="AD41" s="77"/>
    </row>
    <row r="42" spans="1:30" x14ac:dyDescent="0.3">
      <c r="A42" s="77"/>
      <c r="B42" s="94">
        <f t="shared" si="0"/>
        <v>27</v>
      </c>
      <c r="D42" s="78" t="s">
        <v>101</v>
      </c>
      <c r="H42" s="97">
        <f t="shared" ref="H42:J43" si="1">H28</f>
        <v>159.64007964030023</v>
      </c>
      <c r="I42" s="97">
        <f t="shared" si="1"/>
        <v>74.387173260434338</v>
      </c>
      <c r="J42" s="97">
        <f t="shared" si="1"/>
        <v>160.58398277571212</v>
      </c>
      <c r="K42" s="97">
        <f>+J42</f>
        <v>160.58398277571212</v>
      </c>
      <c r="M42" s="78" t="s">
        <v>393</v>
      </c>
      <c r="AA42" s="77"/>
      <c r="AD42" s="77"/>
    </row>
    <row r="43" spans="1:30" x14ac:dyDescent="0.3">
      <c r="A43" s="77"/>
      <c r="B43" s="94">
        <f t="shared" si="0"/>
        <v>28</v>
      </c>
      <c r="D43" s="78" t="s">
        <v>102</v>
      </c>
      <c r="H43" s="97">
        <f t="shared" si="1"/>
        <v>390.73940283878323</v>
      </c>
      <c r="I43" s="97">
        <f t="shared" si="1"/>
        <v>462.05883703325026</v>
      </c>
      <c r="J43" s="97">
        <f t="shared" si="1"/>
        <v>356.5959200139153</v>
      </c>
      <c r="K43" s="97">
        <f>+J43</f>
        <v>356.5959200139153</v>
      </c>
      <c r="M43" s="78" t="s">
        <v>394</v>
      </c>
      <c r="AA43" s="77"/>
      <c r="AD43" s="77"/>
    </row>
    <row r="44" spans="1:30" x14ac:dyDescent="0.3">
      <c r="A44" s="77"/>
      <c r="B44" s="94">
        <f t="shared" si="0"/>
        <v>29</v>
      </c>
      <c r="F44" s="100"/>
      <c r="G44" s="270"/>
      <c r="H44" s="100"/>
      <c r="I44" s="270"/>
      <c r="AA44" s="77"/>
      <c r="AD44" s="77"/>
    </row>
    <row r="45" spans="1:30" x14ac:dyDescent="0.3">
      <c r="A45" s="77"/>
      <c r="B45" s="94">
        <f t="shared" si="0"/>
        <v>30</v>
      </c>
      <c r="C45" s="95" t="s">
        <v>395</v>
      </c>
      <c r="H45" s="152"/>
      <c r="J45" s="152"/>
      <c r="K45" s="152"/>
      <c r="AA45" s="77"/>
      <c r="AD45" s="77"/>
    </row>
    <row r="46" spans="1:30" x14ac:dyDescent="0.3">
      <c r="A46" s="77"/>
      <c r="B46" s="94">
        <f t="shared" si="0"/>
        <v>31</v>
      </c>
      <c r="D46" s="101" t="s">
        <v>396</v>
      </c>
      <c r="H46" s="97">
        <f>'[1]MFR E-6b'!K55</f>
        <v>9.9507389912390281</v>
      </c>
      <c r="I46" s="97">
        <f>'[1]MFR E-6b'!I55</f>
        <v>8.6913623660726351</v>
      </c>
      <c r="J46" s="97">
        <f>'[1]MFR E-6b'!L55</f>
        <v>96.952237697561088</v>
      </c>
      <c r="K46" s="97">
        <f>+J46</f>
        <v>96.952237697561088</v>
      </c>
      <c r="M46" s="78" t="s">
        <v>194</v>
      </c>
      <c r="AA46" s="77"/>
      <c r="AD46" s="77"/>
    </row>
    <row r="47" spans="1:30" x14ac:dyDescent="0.3">
      <c r="A47" s="77"/>
      <c r="B47" s="94">
        <f t="shared" si="0"/>
        <v>32</v>
      </c>
      <c r="D47" s="101" t="s">
        <v>397</v>
      </c>
      <c r="H47" s="97">
        <f>'[1]MFR E-6b'!K52</f>
        <v>2.2671683884154166</v>
      </c>
      <c r="I47" s="97">
        <f>'[1]MFR E-6b'!I52</f>
        <v>2.2672079069833782</v>
      </c>
      <c r="J47" s="97">
        <f>'[1]MFR E-6b'!L52</f>
        <v>2.2672079069833799</v>
      </c>
      <c r="K47" s="97">
        <f>+J47</f>
        <v>2.2672079069833799</v>
      </c>
      <c r="M47" s="78" t="s">
        <v>194</v>
      </c>
      <c r="AA47" s="77"/>
      <c r="AD47" s="77"/>
    </row>
    <row r="48" spans="1:30" x14ac:dyDescent="0.3">
      <c r="A48" s="77"/>
      <c r="B48" s="94">
        <f t="shared" si="0"/>
        <v>33</v>
      </c>
      <c r="D48" s="101" t="s">
        <v>254</v>
      </c>
      <c r="H48" s="271">
        <f>SUM(H46:H47)</f>
        <v>12.217907379654445</v>
      </c>
      <c r="I48" s="271">
        <f>SUM(I46:I47)</f>
        <v>10.958570273056013</v>
      </c>
      <c r="J48" s="271">
        <f>SUM(J46:J47)</f>
        <v>99.219445604544461</v>
      </c>
      <c r="K48" s="271">
        <f>SUM(K46:K47)</f>
        <v>99.219445604544461</v>
      </c>
      <c r="AA48" s="77"/>
      <c r="AD48" s="77"/>
    </row>
    <row r="49" spans="1:30" x14ac:dyDescent="0.3">
      <c r="A49" s="77"/>
      <c r="B49" s="94">
        <f t="shared" si="0"/>
        <v>34</v>
      </c>
      <c r="AA49" s="77"/>
      <c r="AD49" s="77"/>
    </row>
    <row r="50" spans="1:30" x14ac:dyDescent="0.3">
      <c r="A50" s="77"/>
      <c r="B50" s="94">
        <f t="shared" si="0"/>
        <v>35</v>
      </c>
      <c r="C50" s="95" t="s">
        <v>398</v>
      </c>
      <c r="H50" s="272" t="s">
        <v>136</v>
      </c>
      <c r="I50" s="272" t="s">
        <v>136</v>
      </c>
      <c r="J50" s="273" t="s">
        <v>136</v>
      </c>
      <c r="K50" s="97">
        <f>'[1]MFR E-6b'!L54</f>
        <v>278.47556492890391</v>
      </c>
      <c r="M50" s="78" t="s">
        <v>194</v>
      </c>
      <c r="AA50" s="77"/>
      <c r="AD50" s="77"/>
    </row>
    <row r="51" spans="1:30" x14ac:dyDescent="0.3">
      <c r="A51" s="77"/>
      <c r="B51" s="94">
        <f t="shared" si="0"/>
        <v>36</v>
      </c>
      <c r="AA51" s="77"/>
      <c r="AD51" s="77"/>
    </row>
    <row r="52" spans="1:30" x14ac:dyDescent="0.3">
      <c r="A52" s="77"/>
      <c r="B52" s="94">
        <f t="shared" si="0"/>
        <v>37</v>
      </c>
      <c r="C52" s="95" t="s">
        <v>399</v>
      </c>
      <c r="AA52" s="77"/>
      <c r="AD52" s="77"/>
    </row>
    <row r="53" spans="1:30" x14ac:dyDescent="0.3">
      <c r="A53" s="77"/>
      <c r="B53" s="94">
        <f t="shared" si="0"/>
        <v>38</v>
      </c>
      <c r="C53" s="95"/>
      <c r="D53" s="78" t="s">
        <v>99</v>
      </c>
      <c r="H53" s="97">
        <f>SUM(H41,H48)</f>
        <v>21.776960704636146</v>
      </c>
      <c r="I53" s="97">
        <f>SUM(I41,I48)</f>
        <v>15.758570273056012</v>
      </c>
      <c r="J53" s="97">
        <f t="shared" ref="J53" si="2">SUM(J41,J48)</f>
        <v>106.63268826917395</v>
      </c>
      <c r="K53" s="97">
        <f>SUM(K41,K48,K50)</f>
        <v>385.10825319807788</v>
      </c>
      <c r="M53" s="78" t="s">
        <v>400</v>
      </c>
      <c r="AA53" s="77"/>
      <c r="AD53" s="77"/>
    </row>
    <row r="54" spans="1:30" x14ac:dyDescent="0.3">
      <c r="A54" s="77"/>
      <c r="B54" s="94">
        <f t="shared" si="0"/>
        <v>39</v>
      </c>
      <c r="D54" s="78" t="s">
        <v>101</v>
      </c>
      <c r="H54" s="97">
        <f>SUM(H42,H48)</f>
        <v>171.85798701995466</v>
      </c>
      <c r="I54" s="97">
        <f t="shared" ref="I54:J54" si="3">SUM(I42,I48)</f>
        <v>85.345743533490349</v>
      </c>
      <c r="J54" s="97">
        <f t="shared" si="3"/>
        <v>259.80342838025661</v>
      </c>
      <c r="K54" s="97">
        <f>SUM(K42,K48,K50)</f>
        <v>538.27899330916057</v>
      </c>
      <c r="M54" s="78" t="s">
        <v>401</v>
      </c>
      <c r="AA54" s="77"/>
      <c r="AD54" s="77"/>
    </row>
    <row r="55" spans="1:30" x14ac:dyDescent="0.3">
      <c r="A55" s="77"/>
      <c r="B55" s="94">
        <f t="shared" si="0"/>
        <v>40</v>
      </c>
      <c r="D55" s="78" t="s">
        <v>102</v>
      </c>
      <c r="H55" s="97">
        <f>SUM(H43,H48)</f>
        <v>402.95731021843767</v>
      </c>
      <c r="I55" s="97">
        <f t="shared" ref="I55:J55" si="4">SUM(I43,I48)</f>
        <v>473.01740730630627</v>
      </c>
      <c r="J55" s="97">
        <f t="shared" si="4"/>
        <v>455.81536561845974</v>
      </c>
      <c r="K55" s="97">
        <f>SUM(K43,K48,K50)</f>
        <v>734.29093054736359</v>
      </c>
      <c r="M55" s="78" t="s">
        <v>402</v>
      </c>
      <c r="AA55" s="77"/>
      <c r="AD55" s="77"/>
    </row>
    <row r="56" spans="1:30" x14ac:dyDescent="0.3">
      <c r="F56" s="97"/>
      <c r="G56" s="97"/>
      <c r="I56" s="97"/>
    </row>
    <row r="57" spans="1:30" x14ac:dyDescent="0.3">
      <c r="C57" s="95"/>
      <c r="F57" s="274"/>
      <c r="G57" s="274"/>
      <c r="H57" s="275"/>
      <c r="I57" s="274"/>
    </row>
    <row r="58" spans="1:30" x14ac:dyDescent="0.3">
      <c r="B58" s="276"/>
    </row>
  </sheetData>
  <pageMargins left="0.5" right="0.5" top="0.75" bottom="0.25" header="0.5" footer="0.25"/>
  <pageSetup scale="61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5AE7-8F39-4217-B1F5-8C64F730E286}">
  <sheetPr>
    <tabColor theme="7" tint="-0.249977111117893"/>
    <pageSetUpPr fitToPage="1"/>
  </sheetPr>
  <dimension ref="A1:AD58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0.6640625" style="78" customWidth="1"/>
    <col min="2" max="2" width="5.6640625" style="78" customWidth="1"/>
    <col min="3" max="3" width="2.6640625" style="78" customWidth="1"/>
    <col min="4" max="4" width="5.6640625" style="78" customWidth="1"/>
    <col min="5" max="5" width="36.109375" style="78" customWidth="1"/>
    <col min="6" max="11" width="20.109375" style="78" customWidth="1"/>
    <col min="12" max="12" width="1.44140625" style="78" customWidth="1"/>
    <col min="13" max="13" width="36.6640625" style="78" customWidth="1"/>
    <col min="14" max="30" width="0.6640625" style="78" customWidth="1"/>
    <col min="31" max="16384" width="9.109375" style="78"/>
  </cols>
  <sheetData>
    <row r="1" spans="1:30" s="257" customFormat="1" ht="18" x14ac:dyDescent="0.35">
      <c r="A1" s="255"/>
      <c r="B1" s="24">
        <v>2026</v>
      </c>
      <c r="C1" s="183"/>
      <c r="D1" s="183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5"/>
      <c r="AB1" s="256"/>
      <c r="AC1" s="256"/>
      <c r="AD1" s="255"/>
    </row>
    <row r="2" spans="1:30" x14ac:dyDescent="0.3">
      <c r="A2" s="77"/>
      <c r="M2" s="30" t="s">
        <v>37</v>
      </c>
      <c r="AA2" s="77"/>
      <c r="AD2" s="77"/>
    </row>
    <row r="3" spans="1:30" x14ac:dyDescent="0.3">
      <c r="A3" s="77"/>
      <c r="M3" s="33" t="str">
        <f>"DOCKET NO.  " &amp; +"20240025-EI"</f>
        <v>DOCKET NO.  20240025-EI</v>
      </c>
      <c r="AA3" s="77"/>
      <c r="AD3" s="77"/>
    </row>
    <row r="4" spans="1:30" x14ac:dyDescent="0.3">
      <c r="A4" s="77"/>
      <c r="M4" s="33" t="s">
        <v>38</v>
      </c>
      <c r="AA4" s="77"/>
      <c r="AD4" s="77"/>
    </row>
    <row r="5" spans="1:30" x14ac:dyDescent="0.3">
      <c r="A5" s="77"/>
      <c r="M5" s="30" t="s">
        <v>367</v>
      </c>
      <c r="AA5" s="77"/>
      <c r="AD5" s="77"/>
    </row>
    <row r="6" spans="1:30" x14ac:dyDescent="0.3">
      <c r="A6" s="77"/>
      <c r="M6" s="79" t="s">
        <v>403</v>
      </c>
      <c r="AA6" s="77"/>
      <c r="AD6" s="77"/>
    </row>
    <row r="7" spans="1:30" x14ac:dyDescent="0.3">
      <c r="A7" s="77"/>
      <c r="M7" s="37" t="s">
        <v>11</v>
      </c>
      <c r="AA7" s="77"/>
      <c r="AD7" s="77"/>
    </row>
    <row r="8" spans="1:30" s="83" customFormat="1" ht="15.6" x14ac:dyDescent="0.3">
      <c r="A8" s="80"/>
      <c r="B8" s="81" t="s">
        <v>369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AA8" s="80"/>
      <c r="AD8" s="80"/>
    </row>
    <row r="9" spans="1:30" s="83" customFormat="1" ht="15.6" x14ac:dyDescent="0.3">
      <c r="A9" s="80"/>
      <c r="B9" s="258" t="s">
        <v>301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AA9" s="80"/>
      <c r="AD9" s="80"/>
    </row>
    <row r="10" spans="1:30" ht="6.75" customHeight="1" x14ac:dyDescent="0.3">
      <c r="A10" s="77"/>
      <c r="B10" s="109"/>
      <c r="AA10" s="77"/>
      <c r="AD10" s="77"/>
    </row>
    <row r="11" spans="1:30" ht="18" customHeight="1" x14ac:dyDescent="0.3">
      <c r="A11" s="77"/>
      <c r="B11" s="145"/>
      <c r="C11" s="146"/>
      <c r="D11" s="259">
        <v>-1</v>
      </c>
      <c r="E11" s="260"/>
      <c r="F11" s="278">
        <f>D11-1</f>
        <v>-2</v>
      </c>
      <c r="G11" s="278">
        <f>+F11-1</f>
        <v>-3</v>
      </c>
      <c r="H11" s="278">
        <f>+G11-1</f>
        <v>-4</v>
      </c>
      <c r="I11" s="278">
        <f>+H11-1</f>
        <v>-5</v>
      </c>
      <c r="J11" s="278">
        <f>+I11-1</f>
        <v>-6</v>
      </c>
      <c r="K11" s="278">
        <f>+J11-1</f>
        <v>-7</v>
      </c>
      <c r="L11" s="261"/>
      <c r="M11" s="278">
        <f>+K11-1</f>
        <v>-8</v>
      </c>
      <c r="AA11" s="77"/>
      <c r="AD11" s="77"/>
    </row>
    <row r="12" spans="1:30" ht="18.75" customHeight="1" x14ac:dyDescent="0.3">
      <c r="A12" s="77"/>
      <c r="B12" s="148"/>
      <c r="C12" s="148"/>
      <c r="D12" s="148"/>
      <c r="E12" s="148"/>
      <c r="F12" s="148"/>
      <c r="G12" s="149" t="s">
        <v>370</v>
      </c>
      <c r="H12" s="148"/>
      <c r="I12" s="149"/>
      <c r="M12" s="148"/>
      <c r="AA12" s="77"/>
      <c r="AD12" s="77"/>
    </row>
    <row r="13" spans="1:30" x14ac:dyDescent="0.3">
      <c r="A13" s="77"/>
      <c r="B13" s="148"/>
      <c r="C13" s="148"/>
      <c r="D13" s="148"/>
      <c r="E13" s="148"/>
      <c r="F13" s="149" t="s">
        <v>371</v>
      </c>
      <c r="G13" s="149" t="s">
        <v>99</v>
      </c>
      <c r="H13" s="151" t="s">
        <v>190</v>
      </c>
      <c r="I13" s="149" t="s">
        <v>98</v>
      </c>
      <c r="J13" s="151" t="s">
        <v>372</v>
      </c>
      <c r="K13" s="151" t="s">
        <v>372</v>
      </c>
      <c r="M13" s="148"/>
      <c r="AA13" s="77"/>
      <c r="AD13" s="77"/>
    </row>
    <row r="14" spans="1:30" x14ac:dyDescent="0.3">
      <c r="A14" s="77"/>
      <c r="B14" s="154" t="s">
        <v>54</v>
      </c>
      <c r="C14" s="155"/>
      <c r="D14" s="155"/>
      <c r="E14" s="155"/>
      <c r="F14" s="262" t="s">
        <v>373</v>
      </c>
      <c r="G14" s="154" t="s">
        <v>67</v>
      </c>
      <c r="H14" s="88"/>
      <c r="I14" s="154"/>
      <c r="J14" s="154" t="s">
        <v>374</v>
      </c>
      <c r="K14" s="154" t="s">
        <v>375</v>
      </c>
      <c r="L14" s="88"/>
      <c r="M14" s="154" t="s">
        <v>58</v>
      </c>
      <c r="AA14" s="77"/>
      <c r="AD14" s="77"/>
    </row>
    <row r="15" spans="1:30" x14ac:dyDescent="0.3">
      <c r="A15" s="77"/>
      <c r="B15" s="94"/>
      <c r="H15" s="152"/>
      <c r="J15" s="152"/>
      <c r="AA15" s="77"/>
      <c r="AD15" s="77"/>
    </row>
    <row r="16" spans="1:30" x14ac:dyDescent="0.3">
      <c r="A16" s="77"/>
      <c r="B16" s="94">
        <v>1</v>
      </c>
      <c r="C16" s="95" t="s">
        <v>376</v>
      </c>
      <c r="AA16" s="77"/>
      <c r="AD16" s="77"/>
    </row>
    <row r="17" spans="1:30" x14ac:dyDescent="0.3">
      <c r="A17" s="77"/>
      <c r="B17" s="94">
        <f t="shared" ref="B17:B55" si="0">+B16+1</f>
        <v>2</v>
      </c>
      <c r="D17" s="78" t="s">
        <v>377</v>
      </c>
      <c r="H17" s="97">
        <f>'[2]MFR E-6b'!K53</f>
        <v>10.228496027374327</v>
      </c>
      <c r="I17" s="97">
        <f>'[2]MFR E-6b'!I53</f>
        <v>4.5429749193303888</v>
      </c>
      <c r="J17" s="97">
        <f>'[2]MFR E-6b'!L53</f>
        <v>100.6238917107307</v>
      </c>
      <c r="K17" s="97">
        <f>'[2]MFR E-6b'!L53</f>
        <v>100.6238917107307</v>
      </c>
      <c r="M17" s="78" t="s">
        <v>194</v>
      </c>
      <c r="AA17" s="77"/>
      <c r="AD17" s="77"/>
    </row>
    <row r="18" spans="1:30" x14ac:dyDescent="0.3">
      <c r="A18" s="77"/>
      <c r="B18" s="94">
        <f t="shared" si="0"/>
        <v>3</v>
      </c>
      <c r="AA18" s="77"/>
      <c r="AD18" s="77"/>
    </row>
    <row r="19" spans="1:30" x14ac:dyDescent="0.3">
      <c r="A19" s="77"/>
      <c r="B19" s="94">
        <f t="shared" si="0"/>
        <v>4</v>
      </c>
      <c r="C19" s="95" t="s">
        <v>378</v>
      </c>
      <c r="AA19" s="77"/>
      <c r="AD19" s="77"/>
    </row>
    <row r="20" spans="1:30" x14ac:dyDescent="0.3">
      <c r="A20" s="77"/>
      <c r="B20" s="94">
        <f t="shared" si="0"/>
        <v>5</v>
      </c>
      <c r="D20" s="78" t="s">
        <v>379</v>
      </c>
      <c r="H20" s="12">
        <v>48741.784361920349</v>
      </c>
      <c r="I20" s="12">
        <f>SUM('[2]MFR E-13c'!J77:J79)/12</f>
        <v>1316.3028054870772</v>
      </c>
      <c r="J20" s="12">
        <v>68.533842440050648</v>
      </c>
      <c r="K20" s="12">
        <f>+J20</f>
        <v>68.533842440050648</v>
      </c>
      <c r="M20" s="78" t="s">
        <v>380</v>
      </c>
      <c r="AA20" s="77"/>
      <c r="AD20" s="77"/>
    </row>
    <row r="21" spans="1:30" x14ac:dyDescent="0.3">
      <c r="A21" s="77"/>
      <c r="B21" s="94">
        <f t="shared" si="0"/>
        <v>6</v>
      </c>
      <c r="D21" s="78" t="s">
        <v>381</v>
      </c>
      <c r="H21" s="12">
        <v>0</v>
      </c>
      <c r="I21" s="12">
        <v>13609.719731288706</v>
      </c>
      <c r="J21" s="12">
        <v>0</v>
      </c>
      <c r="K21" s="12">
        <f>+J21</f>
        <v>0</v>
      </c>
      <c r="M21" s="78" t="s">
        <v>382</v>
      </c>
      <c r="AA21" s="77"/>
      <c r="AD21" s="77"/>
    </row>
    <row r="22" spans="1:30" x14ac:dyDescent="0.3">
      <c r="A22" s="77"/>
      <c r="B22" s="94">
        <f t="shared" si="0"/>
        <v>7</v>
      </c>
      <c r="D22" s="78" t="s">
        <v>101</v>
      </c>
      <c r="H22" s="12">
        <v>383.30548251846875</v>
      </c>
      <c r="I22" s="12">
        <v>0</v>
      </c>
      <c r="J22" s="12">
        <v>75.468897875710809</v>
      </c>
      <c r="K22" s="12">
        <f>+J22</f>
        <v>75.468897875710809</v>
      </c>
      <c r="M22" s="78" t="s">
        <v>382</v>
      </c>
      <c r="AA22" s="77"/>
      <c r="AD22" s="77"/>
    </row>
    <row r="23" spans="1:30" x14ac:dyDescent="0.3">
      <c r="A23" s="77"/>
      <c r="B23" s="94">
        <f t="shared" si="0"/>
        <v>8</v>
      </c>
      <c r="D23" s="78" t="s">
        <v>102</v>
      </c>
      <c r="H23" s="12">
        <v>10.376466927289918</v>
      </c>
      <c r="I23" s="12">
        <v>0</v>
      </c>
      <c r="J23" s="12">
        <v>10.771624830785271</v>
      </c>
      <c r="K23" s="12">
        <f>J23</f>
        <v>10.771624830785271</v>
      </c>
      <c r="M23" s="78" t="s">
        <v>382</v>
      </c>
      <c r="AA23" s="77"/>
      <c r="AD23" s="77"/>
    </row>
    <row r="24" spans="1:30" ht="14.4" thickBot="1" x14ac:dyDescent="0.35">
      <c r="A24" s="77"/>
      <c r="B24" s="94">
        <f t="shared" si="0"/>
        <v>9</v>
      </c>
      <c r="H24" s="263">
        <f>SUM(H20:H23)</f>
        <v>49135.466311366108</v>
      </c>
      <c r="I24" s="263">
        <f>SUM(I20:I23)</f>
        <v>14926.022536775783</v>
      </c>
      <c r="J24" s="263">
        <f>SUM(J20:J23)</f>
        <v>154.77436514654673</v>
      </c>
      <c r="K24" s="263">
        <f>SUM(K20:K23)</f>
        <v>154.77436514654673</v>
      </c>
      <c r="AA24" s="77"/>
      <c r="AD24" s="77"/>
    </row>
    <row r="25" spans="1:30" ht="14.4" thickTop="1" x14ac:dyDescent="0.3">
      <c r="A25" s="77"/>
      <c r="B25" s="94">
        <f t="shared" si="0"/>
        <v>10</v>
      </c>
      <c r="C25" s="264" t="s">
        <v>383</v>
      </c>
      <c r="AA25" s="77"/>
      <c r="AD25" s="77"/>
    </row>
    <row r="26" spans="1:30" x14ac:dyDescent="0.3">
      <c r="A26" s="77"/>
      <c r="B26" s="94">
        <f t="shared" si="0"/>
        <v>11</v>
      </c>
      <c r="D26" s="78" t="s">
        <v>379</v>
      </c>
      <c r="E26" s="107"/>
      <c r="H26" s="245">
        <v>9.0458934136267093</v>
      </c>
      <c r="I26" s="245">
        <v>4.54</v>
      </c>
      <c r="J26" s="245">
        <v>7.0104119359019537</v>
      </c>
      <c r="K26" s="245">
        <f>J26</f>
        <v>7.0104119359019537</v>
      </c>
      <c r="M26" s="78" t="s">
        <v>384</v>
      </c>
      <c r="AA26" s="77"/>
      <c r="AD26" s="77"/>
    </row>
    <row r="27" spans="1:30" x14ac:dyDescent="0.3">
      <c r="A27" s="77"/>
      <c r="B27" s="94">
        <f t="shared" si="0"/>
        <v>12</v>
      </c>
      <c r="D27" s="78" t="s">
        <v>381</v>
      </c>
      <c r="E27" s="107"/>
      <c r="H27" s="245">
        <f>+H$26*G35</f>
        <v>4.4476275893601587</v>
      </c>
      <c r="I27" s="245">
        <f>+I$26*I35</f>
        <v>4.54</v>
      </c>
      <c r="J27" s="245">
        <f>+J$26*K35</f>
        <v>7.0104119359019537</v>
      </c>
      <c r="K27" s="245">
        <f>+J27</f>
        <v>7.0104119359019537</v>
      </c>
      <c r="M27" s="78" t="s">
        <v>385</v>
      </c>
      <c r="AA27" s="77"/>
      <c r="AD27" s="77"/>
    </row>
    <row r="28" spans="1:30" x14ac:dyDescent="0.3">
      <c r="A28" s="77"/>
      <c r="B28" s="94">
        <f t="shared" si="0"/>
        <v>13</v>
      </c>
      <c r="D28" s="78" t="s">
        <v>101</v>
      </c>
      <c r="E28" s="107"/>
      <c r="H28" s="209">
        <f>+H$26*G36</f>
        <v>151.07010034090374</v>
      </c>
      <c r="I28" s="209">
        <f>+I$26*I36</f>
        <v>70.357868042160817</v>
      </c>
      <c r="J28" s="209">
        <f>+J$26*K36</f>
        <v>151.85795481062826</v>
      </c>
      <c r="K28" s="209">
        <f>+J28</f>
        <v>151.85795481062826</v>
      </c>
      <c r="M28" s="78" t="s">
        <v>386</v>
      </c>
      <c r="AA28" s="77"/>
      <c r="AD28" s="77"/>
    </row>
    <row r="29" spans="1:30" x14ac:dyDescent="0.3">
      <c r="A29" s="77"/>
      <c r="B29" s="94">
        <f t="shared" si="0"/>
        <v>14</v>
      </c>
      <c r="D29" s="78" t="s">
        <v>102</v>
      </c>
      <c r="E29" s="107"/>
      <c r="H29" s="209">
        <f>+H$26*G37</f>
        <v>369.76328831082753</v>
      </c>
      <c r="I29" s="209">
        <f>+I$26*I37</f>
        <v>437.03065002728255</v>
      </c>
      <c r="J29" s="209">
        <f>+J$26*K37</f>
        <v>337.21873234867786</v>
      </c>
      <c r="K29" s="209">
        <f>+J29</f>
        <v>337.21873234867786</v>
      </c>
      <c r="M29" s="78" t="s">
        <v>387</v>
      </c>
      <c r="AA29" s="77"/>
      <c r="AD29" s="77"/>
    </row>
    <row r="30" spans="1:30" ht="14.4" thickBot="1" x14ac:dyDescent="0.35">
      <c r="A30" s="77"/>
      <c r="B30" s="94">
        <f t="shared" si="0"/>
        <v>15</v>
      </c>
      <c r="D30" s="78" t="s">
        <v>388</v>
      </c>
      <c r="H30" s="265">
        <f>SUMPRODUCT(H20:H23*H26:H29)/H24</f>
        <v>10.230000000000004</v>
      </c>
      <c r="I30" s="265">
        <f>SUMPRODUCT(I20:I23*I26:I29)/I24</f>
        <v>4.54</v>
      </c>
      <c r="J30" s="265">
        <f>(J20*J26+J21*J27+J22*J28+J23*J29)/J24</f>
        <v>100.61999999999989</v>
      </c>
      <c r="K30" s="265">
        <f>(K20*K26+K21*K27+K22*K28+K23*K29)/K24</f>
        <v>100.61999999999989</v>
      </c>
      <c r="AA30" s="77"/>
      <c r="AD30" s="77"/>
    </row>
    <row r="31" spans="1:30" ht="14.4" thickTop="1" x14ac:dyDescent="0.3">
      <c r="A31" s="77"/>
      <c r="B31" s="94">
        <f t="shared" si="0"/>
        <v>16</v>
      </c>
      <c r="H31" s="97"/>
      <c r="J31" s="97"/>
      <c r="AA31" s="77"/>
      <c r="AD31" s="77"/>
    </row>
    <row r="32" spans="1:30" x14ac:dyDescent="0.3">
      <c r="A32" s="77"/>
      <c r="B32" s="94">
        <f t="shared" si="0"/>
        <v>17</v>
      </c>
      <c r="AA32" s="77"/>
      <c r="AD32" s="77"/>
    </row>
    <row r="33" spans="1:30" x14ac:dyDescent="0.3">
      <c r="A33" s="77"/>
      <c r="B33" s="94">
        <f t="shared" si="0"/>
        <v>18</v>
      </c>
      <c r="C33" s="264" t="s">
        <v>389</v>
      </c>
      <c r="D33" s="107"/>
      <c r="E33" s="107"/>
      <c r="F33" s="266"/>
      <c r="G33" s="266"/>
      <c r="I33" s="266"/>
      <c r="AA33" s="77"/>
      <c r="AD33" s="77"/>
    </row>
    <row r="34" spans="1:30" x14ac:dyDescent="0.3">
      <c r="A34" s="77"/>
      <c r="B34" s="94">
        <f t="shared" si="0"/>
        <v>19</v>
      </c>
      <c r="C34" s="107"/>
      <c r="D34" s="78" t="s">
        <v>379</v>
      </c>
      <c r="E34" s="107"/>
      <c r="F34" s="267">
        <v>485.48881905696248</v>
      </c>
      <c r="G34" s="268">
        <f>+F34/F$34</f>
        <v>1</v>
      </c>
      <c r="H34" s="267">
        <v>238.70206813523856</v>
      </c>
      <c r="I34" s="268">
        <f>+H34/H$34</f>
        <v>1</v>
      </c>
      <c r="J34" s="267">
        <v>494.22269841269849</v>
      </c>
      <c r="K34" s="268">
        <f>+J34/J$34</f>
        <v>1</v>
      </c>
      <c r="M34" s="78" t="s">
        <v>382</v>
      </c>
      <c r="AA34" s="77"/>
      <c r="AD34" s="77"/>
    </row>
    <row r="35" spans="1:30" x14ac:dyDescent="0.3">
      <c r="A35" s="77"/>
      <c r="B35" s="94">
        <f t="shared" si="0"/>
        <v>20</v>
      </c>
      <c r="C35" s="107"/>
      <c r="D35" s="78" t="s">
        <v>381</v>
      </c>
      <c r="E35" s="107"/>
      <c r="F35" s="267">
        <v>238.70206813523856</v>
      </c>
      <c r="G35" s="268">
        <f>+F35/F$34</f>
        <v>0.49167366737488472</v>
      </c>
      <c r="H35" s="267">
        <v>238.70206813523856</v>
      </c>
      <c r="I35" s="268">
        <f>+H35/H$34</f>
        <v>1</v>
      </c>
      <c r="J35" s="267">
        <v>494.22269841269849</v>
      </c>
      <c r="K35" s="268">
        <f>+J35/J$34</f>
        <v>1</v>
      </c>
      <c r="M35" s="78" t="s">
        <v>382</v>
      </c>
      <c r="AA35" s="77"/>
      <c r="AD35" s="77"/>
    </row>
    <row r="36" spans="1:30" x14ac:dyDescent="0.3">
      <c r="A36" s="77"/>
      <c r="B36" s="94">
        <f t="shared" si="0"/>
        <v>21</v>
      </c>
      <c r="C36" s="107"/>
      <c r="D36" s="78" t="s">
        <v>101</v>
      </c>
      <c r="E36" s="107"/>
      <c r="F36" s="267">
        <v>8107.8608000000004</v>
      </c>
      <c r="G36" s="268">
        <f>+F36/F$34</f>
        <v>16.700406851282612</v>
      </c>
      <c r="H36" s="267">
        <v>3699.244187499999</v>
      </c>
      <c r="I36" s="268">
        <f>+H36/H$34</f>
        <v>15.497327762590489</v>
      </c>
      <c r="J36" s="267">
        <v>10705.74010317216</v>
      </c>
      <c r="K36" s="268">
        <f>+J36/J$34</f>
        <v>21.661773402063332</v>
      </c>
      <c r="M36" s="78" t="s">
        <v>382</v>
      </c>
      <c r="AA36" s="77"/>
      <c r="AD36" s="77"/>
    </row>
    <row r="37" spans="1:30" x14ac:dyDescent="0.3">
      <c r="A37" s="77"/>
      <c r="B37" s="94">
        <f t="shared" si="0"/>
        <v>22</v>
      </c>
      <c r="C37" s="107"/>
      <c r="D37" s="78" t="s">
        <v>102</v>
      </c>
      <c r="E37" s="107"/>
      <c r="F37" s="267">
        <v>19845.020714285718</v>
      </c>
      <c r="G37" s="268">
        <f>+F37/F$34</f>
        <v>40.876370238214072</v>
      </c>
      <c r="H37" s="267">
        <v>22978</v>
      </c>
      <c r="I37" s="268">
        <f>+H37/H$34</f>
        <v>96.262257715260475</v>
      </c>
      <c r="J37" s="267">
        <v>23773.375</v>
      </c>
      <c r="K37" s="268">
        <f>+J37/J$34</f>
        <v>48.102555945635963</v>
      </c>
      <c r="M37" s="78" t="s">
        <v>382</v>
      </c>
      <c r="AA37" s="77"/>
      <c r="AD37" s="77"/>
    </row>
    <row r="38" spans="1:30" x14ac:dyDescent="0.3">
      <c r="A38" s="77"/>
      <c r="B38" s="94">
        <f t="shared" si="0"/>
        <v>23</v>
      </c>
      <c r="C38" s="107"/>
      <c r="D38" s="78" t="s">
        <v>390</v>
      </c>
      <c r="E38" s="107"/>
      <c r="F38" s="187"/>
      <c r="G38" s="269"/>
      <c r="I38" s="269"/>
      <c r="AA38" s="77"/>
      <c r="AD38" s="77"/>
    </row>
    <row r="39" spans="1:30" x14ac:dyDescent="0.3">
      <c r="A39" s="77"/>
      <c r="B39" s="94">
        <f t="shared" si="0"/>
        <v>24</v>
      </c>
      <c r="AA39" s="77"/>
      <c r="AD39" s="77"/>
    </row>
    <row r="40" spans="1:30" x14ac:dyDescent="0.3">
      <c r="A40" s="77"/>
      <c r="B40" s="94">
        <f t="shared" si="0"/>
        <v>25</v>
      </c>
      <c r="C40" s="95" t="s">
        <v>391</v>
      </c>
      <c r="AA40" s="77"/>
      <c r="AD40" s="77"/>
    </row>
    <row r="41" spans="1:30" x14ac:dyDescent="0.3">
      <c r="A41" s="77"/>
      <c r="B41" s="94">
        <f t="shared" si="0"/>
        <v>26</v>
      </c>
      <c r="D41" s="78" t="s">
        <v>99</v>
      </c>
      <c r="H41" s="97">
        <f>SUM(+H26*H20+H27*H21)/(H20+H21)</f>
        <v>9.0458934136267093</v>
      </c>
      <c r="I41" s="97">
        <f>SUM(+I26*I20+I27*I21)/(I20+I21)</f>
        <v>4.54</v>
      </c>
      <c r="J41" s="97">
        <f>SUM(+J26*J20+J27*J21)/(J21+J20)</f>
        <v>7.0104119359019537</v>
      </c>
      <c r="K41" s="97">
        <f>+J41</f>
        <v>7.0104119359019537</v>
      </c>
      <c r="M41" s="78" t="s">
        <v>392</v>
      </c>
      <c r="AA41" s="77"/>
      <c r="AD41" s="77"/>
    </row>
    <row r="42" spans="1:30" x14ac:dyDescent="0.3">
      <c r="A42" s="77"/>
      <c r="B42" s="94">
        <f t="shared" si="0"/>
        <v>27</v>
      </c>
      <c r="D42" s="78" t="s">
        <v>101</v>
      </c>
      <c r="H42" s="97">
        <f t="shared" ref="H42:J43" si="1">H28</f>
        <v>151.07010034090374</v>
      </c>
      <c r="I42" s="97">
        <f t="shared" si="1"/>
        <v>70.357868042160817</v>
      </c>
      <c r="J42" s="97">
        <f t="shared" si="1"/>
        <v>151.85795481062826</v>
      </c>
      <c r="K42" s="97">
        <f>+J42</f>
        <v>151.85795481062826</v>
      </c>
      <c r="M42" s="78" t="s">
        <v>393</v>
      </c>
      <c r="AA42" s="77"/>
      <c r="AD42" s="77"/>
    </row>
    <row r="43" spans="1:30" x14ac:dyDescent="0.3">
      <c r="A43" s="77"/>
      <c r="B43" s="94">
        <f t="shared" si="0"/>
        <v>28</v>
      </c>
      <c r="D43" s="78" t="s">
        <v>102</v>
      </c>
      <c r="H43" s="97">
        <f t="shared" si="1"/>
        <v>369.76328831082753</v>
      </c>
      <c r="I43" s="97">
        <f t="shared" si="1"/>
        <v>437.03065002728255</v>
      </c>
      <c r="J43" s="97">
        <f t="shared" si="1"/>
        <v>337.21873234867786</v>
      </c>
      <c r="K43" s="97">
        <f>+J43</f>
        <v>337.21873234867786</v>
      </c>
      <c r="M43" s="78" t="s">
        <v>394</v>
      </c>
      <c r="AA43" s="77"/>
      <c r="AD43" s="77"/>
    </row>
    <row r="44" spans="1:30" x14ac:dyDescent="0.3">
      <c r="A44" s="77"/>
      <c r="B44" s="94">
        <f t="shared" si="0"/>
        <v>29</v>
      </c>
      <c r="F44" s="100"/>
      <c r="G44" s="270"/>
      <c r="H44" s="100"/>
      <c r="I44" s="270"/>
      <c r="AA44" s="77"/>
      <c r="AD44" s="77"/>
    </row>
    <row r="45" spans="1:30" x14ac:dyDescent="0.3">
      <c r="A45" s="77"/>
      <c r="B45" s="94">
        <f t="shared" si="0"/>
        <v>30</v>
      </c>
      <c r="C45" s="95" t="s">
        <v>395</v>
      </c>
      <c r="H45" s="152"/>
      <c r="J45" s="152"/>
      <c r="K45" s="152"/>
      <c r="AA45" s="77"/>
      <c r="AD45" s="77"/>
    </row>
    <row r="46" spans="1:30" x14ac:dyDescent="0.3">
      <c r="A46" s="77"/>
      <c r="B46" s="94">
        <f t="shared" si="0"/>
        <v>31</v>
      </c>
      <c r="D46" s="101" t="s">
        <v>396</v>
      </c>
      <c r="H46" s="97">
        <f>'[2]MFR E-6b'!K55</f>
        <v>9.6078715884204122</v>
      </c>
      <c r="I46" s="97">
        <f>'[2]MFR E-6b'!I55</f>
        <v>8.5036943514994103</v>
      </c>
      <c r="J46" s="97">
        <f>'[2]MFR E-6b'!L55</f>
        <v>86.361659696408552</v>
      </c>
      <c r="K46" s="97">
        <f>+J46</f>
        <v>86.361659696408552</v>
      </c>
      <c r="M46" s="78" t="s">
        <v>194</v>
      </c>
      <c r="AA46" s="77"/>
      <c r="AD46" s="77"/>
    </row>
    <row r="47" spans="1:30" x14ac:dyDescent="0.3">
      <c r="A47" s="77"/>
      <c r="B47" s="94">
        <f t="shared" si="0"/>
        <v>32</v>
      </c>
      <c r="D47" s="101" t="s">
        <v>397</v>
      </c>
      <c r="H47" s="97">
        <f>'[2]MFR E-6b'!K52</f>
        <v>2.1589488167051103</v>
      </c>
      <c r="I47" s="97">
        <f>'[2]MFR E-6b'!I52</f>
        <v>2.1589864489189217</v>
      </c>
      <c r="J47" s="97">
        <f>'[2]MFR E-6b'!L52</f>
        <v>2.1589864489189217</v>
      </c>
      <c r="K47" s="97">
        <f>+J47</f>
        <v>2.1589864489189217</v>
      </c>
      <c r="M47" s="78" t="s">
        <v>194</v>
      </c>
      <c r="AA47" s="77"/>
      <c r="AD47" s="77"/>
    </row>
    <row r="48" spans="1:30" x14ac:dyDescent="0.3">
      <c r="A48" s="77"/>
      <c r="B48" s="94">
        <f t="shared" si="0"/>
        <v>33</v>
      </c>
      <c r="D48" s="101" t="s">
        <v>254</v>
      </c>
      <c r="H48" s="271">
        <f>SUM(H46:H47)</f>
        <v>11.766820405125522</v>
      </c>
      <c r="I48" s="271">
        <f>SUM(I46:I47)</f>
        <v>10.662680800418332</v>
      </c>
      <c r="J48" s="271">
        <f>SUM(J46:J47)</f>
        <v>88.520646145327476</v>
      </c>
      <c r="K48" s="271">
        <f>SUM(K46:K47)</f>
        <v>88.520646145327476</v>
      </c>
      <c r="AA48" s="77"/>
      <c r="AD48" s="77"/>
    </row>
    <row r="49" spans="1:30" x14ac:dyDescent="0.3">
      <c r="A49" s="77"/>
      <c r="B49" s="94">
        <f t="shared" si="0"/>
        <v>34</v>
      </c>
      <c r="AA49" s="77"/>
      <c r="AD49" s="77"/>
    </row>
    <row r="50" spans="1:30" x14ac:dyDescent="0.3">
      <c r="A50" s="77"/>
      <c r="B50" s="94">
        <f t="shared" si="0"/>
        <v>35</v>
      </c>
      <c r="C50" s="95" t="s">
        <v>398</v>
      </c>
      <c r="H50" s="272" t="s">
        <v>136</v>
      </c>
      <c r="I50" s="272" t="s">
        <v>136</v>
      </c>
      <c r="J50" s="273" t="s">
        <v>136</v>
      </c>
      <c r="K50" s="97">
        <f>'[2]MFR E-6b'!L54</f>
        <v>278.93663741499722</v>
      </c>
      <c r="M50" s="78" t="s">
        <v>194</v>
      </c>
      <c r="AA50" s="77"/>
      <c r="AD50" s="77"/>
    </row>
    <row r="51" spans="1:30" x14ac:dyDescent="0.3">
      <c r="A51" s="77"/>
      <c r="B51" s="94">
        <f t="shared" si="0"/>
        <v>36</v>
      </c>
      <c r="AA51" s="77"/>
      <c r="AD51" s="77"/>
    </row>
    <row r="52" spans="1:30" x14ac:dyDescent="0.3">
      <c r="A52" s="77"/>
      <c r="B52" s="94">
        <f t="shared" si="0"/>
        <v>37</v>
      </c>
      <c r="C52" s="95" t="s">
        <v>399</v>
      </c>
      <c r="AA52" s="77"/>
      <c r="AD52" s="77"/>
    </row>
    <row r="53" spans="1:30" x14ac:dyDescent="0.3">
      <c r="A53" s="77"/>
      <c r="B53" s="94">
        <f t="shared" si="0"/>
        <v>38</v>
      </c>
      <c r="C53" s="95"/>
      <c r="D53" s="78" t="s">
        <v>99</v>
      </c>
      <c r="H53" s="97">
        <f>SUM(H41,H48)</f>
        <v>20.812713818752229</v>
      </c>
      <c r="I53" s="97">
        <f>SUM(I41,I48)</f>
        <v>15.202680800418332</v>
      </c>
      <c r="J53" s="97">
        <f t="shared" ref="J53" si="2">SUM(J41,J48)</f>
        <v>95.531058081229432</v>
      </c>
      <c r="K53" s="97">
        <f>SUM(K41,K48,K50)</f>
        <v>374.46769549622667</v>
      </c>
      <c r="M53" s="78" t="s">
        <v>400</v>
      </c>
      <c r="AA53" s="77"/>
      <c r="AD53" s="77"/>
    </row>
    <row r="54" spans="1:30" x14ac:dyDescent="0.3">
      <c r="A54" s="77"/>
      <c r="B54" s="94">
        <f t="shared" si="0"/>
        <v>39</v>
      </c>
      <c r="D54" s="78" t="s">
        <v>101</v>
      </c>
      <c r="H54" s="97">
        <f>SUM(H42,H48)</f>
        <v>162.83692074602925</v>
      </c>
      <c r="I54" s="97">
        <f t="shared" ref="I54:J54" si="3">SUM(I42,I48)</f>
        <v>81.020548842579146</v>
      </c>
      <c r="J54" s="97">
        <f t="shared" si="3"/>
        <v>240.37860095595573</v>
      </c>
      <c r="K54" s="97">
        <f>SUM(K42,K48,K50)</f>
        <v>519.31523837095301</v>
      </c>
      <c r="M54" s="78" t="s">
        <v>401</v>
      </c>
      <c r="AA54" s="77"/>
      <c r="AD54" s="77"/>
    </row>
    <row r="55" spans="1:30" x14ac:dyDescent="0.3">
      <c r="A55" s="77"/>
      <c r="B55" s="94">
        <f t="shared" si="0"/>
        <v>40</v>
      </c>
      <c r="D55" s="78" t="s">
        <v>102</v>
      </c>
      <c r="H55" s="97">
        <f>SUM(H43,H48)</f>
        <v>381.53010871595308</v>
      </c>
      <c r="I55" s="97">
        <f t="shared" ref="I55:J55" si="4">SUM(I43,I48)</f>
        <v>447.69333082770089</v>
      </c>
      <c r="J55" s="97">
        <f t="shared" si="4"/>
        <v>425.73937849400534</v>
      </c>
      <c r="K55" s="97">
        <f>SUM(K43,K48,K50)</f>
        <v>704.67601590900256</v>
      </c>
      <c r="M55" s="78" t="s">
        <v>402</v>
      </c>
      <c r="AA55" s="77"/>
      <c r="AD55" s="77"/>
    </row>
    <row r="56" spans="1:30" x14ac:dyDescent="0.3">
      <c r="F56" s="97"/>
      <c r="G56" s="97"/>
      <c r="I56" s="97"/>
    </row>
    <row r="57" spans="1:30" x14ac:dyDescent="0.3">
      <c r="C57" s="95"/>
      <c r="F57" s="274"/>
      <c r="G57" s="274"/>
      <c r="H57" s="275"/>
      <c r="I57" s="274"/>
    </row>
    <row r="58" spans="1:30" x14ac:dyDescent="0.3">
      <c r="B58" s="276"/>
    </row>
  </sheetData>
  <pageMargins left="0.5" right="0.5" top="0.75" bottom="0.25" header="0.5" footer="0.25"/>
  <pageSetup scale="61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FDCD-4776-44E0-B7BA-C8E4347AAC63}">
  <sheetPr>
    <tabColor theme="7" tint="-0.249977111117893"/>
    <pageSetUpPr fitToPage="1"/>
  </sheetPr>
  <dimension ref="A1:AD58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0.6640625" style="78" customWidth="1"/>
    <col min="2" max="2" width="5.6640625" style="78" customWidth="1"/>
    <col min="3" max="3" width="2.6640625" style="78" customWidth="1"/>
    <col min="4" max="4" width="5.6640625" style="78" customWidth="1"/>
    <col min="5" max="5" width="36.109375" style="78" customWidth="1"/>
    <col min="6" max="11" width="20.109375" style="78" customWidth="1"/>
    <col min="12" max="12" width="1.44140625" style="78" customWidth="1"/>
    <col min="13" max="13" width="36.6640625" style="78" customWidth="1"/>
    <col min="14" max="30" width="0.6640625" style="78" customWidth="1"/>
    <col min="31" max="16384" width="9.109375" style="78"/>
  </cols>
  <sheetData>
    <row r="1" spans="1:30" s="257" customFormat="1" ht="18" x14ac:dyDescent="0.35">
      <c r="A1" s="255"/>
      <c r="B1" s="24">
        <v>2025</v>
      </c>
      <c r="C1" s="183"/>
      <c r="D1" s="183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5"/>
      <c r="AB1" s="256"/>
      <c r="AC1" s="256"/>
      <c r="AD1" s="255"/>
    </row>
    <row r="2" spans="1:30" x14ac:dyDescent="0.3">
      <c r="A2" s="77"/>
      <c r="M2" s="30" t="s">
        <v>37</v>
      </c>
      <c r="AA2" s="77"/>
      <c r="AD2" s="77"/>
    </row>
    <row r="3" spans="1:30" x14ac:dyDescent="0.3">
      <c r="A3" s="77"/>
      <c r="M3" s="33" t="str">
        <f>"DOCKET NO.  " &amp; +"20240025-EI"</f>
        <v>DOCKET NO.  20240025-EI</v>
      </c>
      <c r="AA3" s="77"/>
      <c r="AD3" s="77"/>
    </row>
    <row r="4" spans="1:30" x14ac:dyDescent="0.3">
      <c r="A4" s="77"/>
      <c r="M4" s="33" t="s">
        <v>38</v>
      </c>
      <c r="AA4" s="77"/>
      <c r="AD4" s="77"/>
    </row>
    <row r="5" spans="1:30" x14ac:dyDescent="0.3">
      <c r="A5" s="77"/>
      <c r="M5" s="30" t="s">
        <v>367</v>
      </c>
      <c r="AA5" s="77"/>
      <c r="AD5" s="77"/>
    </row>
    <row r="6" spans="1:30" x14ac:dyDescent="0.3">
      <c r="A6" s="77"/>
      <c r="M6" s="79" t="s">
        <v>404</v>
      </c>
      <c r="AA6" s="77"/>
      <c r="AD6" s="77"/>
    </row>
    <row r="7" spans="1:30" x14ac:dyDescent="0.3">
      <c r="A7" s="77"/>
      <c r="M7" s="37" t="s">
        <v>8</v>
      </c>
      <c r="AA7" s="77"/>
      <c r="AD7" s="77"/>
    </row>
    <row r="8" spans="1:30" s="83" customFormat="1" ht="15.6" x14ac:dyDescent="0.3">
      <c r="A8" s="80"/>
      <c r="B8" s="81" t="s">
        <v>369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AA8" s="80"/>
      <c r="AD8" s="80"/>
    </row>
    <row r="9" spans="1:30" s="83" customFormat="1" ht="15.6" x14ac:dyDescent="0.3">
      <c r="A9" s="80"/>
      <c r="B9" s="258" t="s">
        <v>301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AA9" s="80"/>
      <c r="AD9" s="80"/>
    </row>
    <row r="10" spans="1:30" ht="6.75" customHeight="1" x14ac:dyDescent="0.3">
      <c r="A10" s="77"/>
      <c r="B10" s="109"/>
      <c r="AA10" s="77"/>
      <c r="AD10" s="77"/>
    </row>
    <row r="11" spans="1:30" ht="18" customHeight="1" x14ac:dyDescent="0.3">
      <c r="A11" s="77"/>
      <c r="B11" s="145"/>
      <c r="C11" s="146"/>
      <c r="D11" s="259">
        <v>-1</v>
      </c>
      <c r="E11" s="260"/>
      <c r="F11" s="278">
        <f>D11-1</f>
        <v>-2</v>
      </c>
      <c r="G11" s="278">
        <f>+F11-1</f>
        <v>-3</v>
      </c>
      <c r="H11" s="278">
        <f>+G11-1</f>
        <v>-4</v>
      </c>
      <c r="I11" s="278">
        <f>+H11-1</f>
        <v>-5</v>
      </c>
      <c r="J11" s="278">
        <f>+I11-1</f>
        <v>-6</v>
      </c>
      <c r="K11" s="278">
        <f>+J11-1</f>
        <v>-7</v>
      </c>
      <c r="L11" s="261"/>
      <c r="M11" s="278">
        <f>+K11-1</f>
        <v>-8</v>
      </c>
      <c r="AA11" s="77"/>
      <c r="AD11" s="77"/>
    </row>
    <row r="12" spans="1:30" ht="18.75" customHeight="1" x14ac:dyDescent="0.3">
      <c r="A12" s="77"/>
      <c r="B12" s="148"/>
      <c r="C12" s="148"/>
      <c r="D12" s="148"/>
      <c r="E12" s="148"/>
      <c r="F12" s="148"/>
      <c r="G12" s="149" t="s">
        <v>370</v>
      </c>
      <c r="H12" s="148"/>
      <c r="I12" s="149"/>
      <c r="M12" s="148"/>
      <c r="AA12" s="77"/>
      <c r="AD12" s="77"/>
    </row>
    <row r="13" spans="1:30" x14ac:dyDescent="0.3">
      <c r="A13" s="77"/>
      <c r="B13" s="148"/>
      <c r="C13" s="148"/>
      <c r="D13" s="148"/>
      <c r="E13" s="148"/>
      <c r="F13" s="149" t="s">
        <v>371</v>
      </c>
      <c r="G13" s="149" t="s">
        <v>99</v>
      </c>
      <c r="H13" s="151" t="s">
        <v>190</v>
      </c>
      <c r="I13" s="149" t="s">
        <v>98</v>
      </c>
      <c r="J13" s="151" t="s">
        <v>372</v>
      </c>
      <c r="K13" s="151" t="s">
        <v>372</v>
      </c>
      <c r="M13" s="148"/>
      <c r="AA13" s="77"/>
      <c r="AD13" s="77"/>
    </row>
    <row r="14" spans="1:30" x14ac:dyDescent="0.3">
      <c r="A14" s="77"/>
      <c r="B14" s="154" t="s">
        <v>54</v>
      </c>
      <c r="C14" s="155"/>
      <c r="D14" s="155"/>
      <c r="E14" s="155"/>
      <c r="F14" s="262" t="s">
        <v>373</v>
      </c>
      <c r="G14" s="154" t="s">
        <v>67</v>
      </c>
      <c r="H14" s="88"/>
      <c r="I14" s="154"/>
      <c r="J14" s="154" t="s">
        <v>374</v>
      </c>
      <c r="K14" s="154" t="s">
        <v>375</v>
      </c>
      <c r="L14" s="88"/>
      <c r="M14" s="154" t="s">
        <v>58</v>
      </c>
      <c r="AA14" s="77"/>
      <c r="AD14" s="77"/>
    </row>
    <row r="15" spans="1:30" x14ac:dyDescent="0.3">
      <c r="A15" s="77"/>
      <c r="B15" s="94"/>
      <c r="H15" s="152"/>
      <c r="J15" s="152"/>
      <c r="AA15" s="77"/>
      <c r="AD15" s="77"/>
    </row>
    <row r="16" spans="1:30" x14ac:dyDescent="0.3">
      <c r="A16" s="77"/>
      <c r="B16" s="94">
        <v>1</v>
      </c>
      <c r="C16" s="95" t="s">
        <v>376</v>
      </c>
      <c r="AA16" s="77"/>
      <c r="AD16" s="77"/>
    </row>
    <row r="17" spans="1:30" x14ac:dyDescent="0.3">
      <c r="A17" s="77"/>
      <c r="B17" s="94">
        <f t="shared" ref="B17:B55" si="0">+B16+1</f>
        <v>2</v>
      </c>
      <c r="D17" s="78" t="s">
        <v>377</v>
      </c>
      <c r="H17" s="97">
        <v>9.6621052364391371</v>
      </c>
      <c r="I17" s="97">
        <v>4.291248773459901</v>
      </c>
      <c r="J17" s="97">
        <v>95.063553347556024</v>
      </c>
      <c r="K17" s="97">
        <v>95.063553347556024</v>
      </c>
      <c r="M17" s="78" t="s">
        <v>194</v>
      </c>
      <c r="AA17" s="77"/>
      <c r="AD17" s="77"/>
    </row>
    <row r="18" spans="1:30" x14ac:dyDescent="0.3">
      <c r="A18" s="77"/>
      <c r="B18" s="94">
        <f t="shared" si="0"/>
        <v>3</v>
      </c>
      <c r="AA18" s="77"/>
      <c r="AD18" s="77"/>
    </row>
    <row r="19" spans="1:30" x14ac:dyDescent="0.3">
      <c r="A19" s="77"/>
      <c r="B19" s="94">
        <f t="shared" si="0"/>
        <v>4</v>
      </c>
      <c r="C19" s="95" t="s">
        <v>378</v>
      </c>
      <c r="AA19" s="77"/>
      <c r="AD19" s="77"/>
    </row>
    <row r="20" spans="1:30" x14ac:dyDescent="0.3">
      <c r="A20" s="77"/>
      <c r="B20" s="94">
        <f t="shared" si="0"/>
        <v>5</v>
      </c>
      <c r="D20" s="78" t="s">
        <v>379</v>
      </c>
      <c r="H20" s="12">
        <v>48173.236045289632</v>
      </c>
      <c r="I20" s="12">
        <v>1300.6540747826166</v>
      </c>
      <c r="J20" s="12">
        <v>68.44925756992933</v>
      </c>
      <c r="K20" s="12">
        <f>+J20</f>
        <v>68.44925756992933</v>
      </c>
      <c r="M20" s="78" t="s">
        <v>380</v>
      </c>
      <c r="AA20" s="77"/>
      <c r="AD20" s="77"/>
    </row>
    <row r="21" spans="1:30" x14ac:dyDescent="0.3">
      <c r="A21" s="77"/>
      <c r="B21" s="94">
        <f t="shared" si="0"/>
        <v>6</v>
      </c>
      <c r="D21" s="78" t="s">
        <v>381</v>
      </c>
      <c r="H21" s="12">
        <v>0</v>
      </c>
      <c r="I21" s="12">
        <v>13478.451724374201</v>
      </c>
      <c r="J21" s="12">
        <v>0</v>
      </c>
      <c r="K21" s="12">
        <f>+J21</f>
        <v>0</v>
      </c>
      <c r="M21" s="78" t="s">
        <v>382</v>
      </c>
      <c r="AA21" s="77"/>
      <c r="AD21" s="77"/>
    </row>
    <row r="22" spans="1:30" x14ac:dyDescent="0.3">
      <c r="A22" s="77"/>
      <c r="B22" s="94">
        <f t="shared" si="0"/>
        <v>7</v>
      </c>
      <c r="D22" s="78" t="s">
        <v>101</v>
      </c>
      <c r="H22" s="12">
        <v>378.86123283208491</v>
      </c>
      <c r="I22" s="12">
        <v>0</v>
      </c>
      <c r="J22" s="12">
        <v>75.371501678330276</v>
      </c>
      <c r="K22" s="12">
        <f>+J22</f>
        <v>75.371501678330276</v>
      </c>
      <c r="M22" s="78" t="s">
        <v>382</v>
      </c>
      <c r="AA22" s="77"/>
      <c r="AD22" s="77"/>
    </row>
    <row r="23" spans="1:30" x14ac:dyDescent="0.3">
      <c r="A23" s="77"/>
      <c r="B23" s="94">
        <f t="shared" si="0"/>
        <v>8</v>
      </c>
      <c r="D23" s="78" t="s">
        <v>102</v>
      </c>
      <c r="H23" s="12">
        <v>10.297836313492844</v>
      </c>
      <c r="I23" s="12">
        <v>0</v>
      </c>
      <c r="J23" s="12">
        <v>10.772654759860609</v>
      </c>
      <c r="K23" s="12">
        <f>J23</f>
        <v>10.772654759860609</v>
      </c>
      <c r="M23" s="78" t="s">
        <v>382</v>
      </c>
      <c r="AA23" s="77"/>
      <c r="AD23" s="77"/>
    </row>
    <row r="24" spans="1:30" ht="14.4" thickBot="1" x14ac:dyDescent="0.35">
      <c r="A24" s="77"/>
      <c r="B24" s="94">
        <f t="shared" si="0"/>
        <v>9</v>
      </c>
      <c r="H24" s="263">
        <f>SUM(H20:H23)</f>
        <v>48562.395114435203</v>
      </c>
      <c r="I24" s="263">
        <f>SUM(I20:I23)</f>
        <v>14779.105799156818</v>
      </c>
      <c r="J24" s="263">
        <f>SUM(J20:J23)</f>
        <v>154.59341400812022</v>
      </c>
      <c r="K24" s="263">
        <f>SUM(K20:K23)</f>
        <v>154.59341400812022</v>
      </c>
      <c r="AA24" s="77"/>
      <c r="AD24" s="77"/>
    </row>
    <row r="25" spans="1:30" ht="14.4" thickTop="1" x14ac:dyDescent="0.3">
      <c r="A25" s="77"/>
      <c r="B25" s="94">
        <f t="shared" si="0"/>
        <v>10</v>
      </c>
      <c r="C25" s="264" t="s">
        <v>383</v>
      </c>
      <c r="AA25" s="77"/>
      <c r="AD25" s="77"/>
    </row>
    <row r="26" spans="1:30" x14ac:dyDescent="0.3">
      <c r="A26" s="77"/>
      <c r="B26" s="94">
        <f t="shared" si="0"/>
        <v>11</v>
      </c>
      <c r="D26" s="78" t="s">
        <v>379</v>
      </c>
      <c r="E26" s="107"/>
      <c r="H26" s="245">
        <v>8.541542959298086</v>
      </c>
      <c r="I26" s="245">
        <v>4.29</v>
      </c>
      <c r="J26" s="245">
        <v>6.6216848008472473</v>
      </c>
      <c r="K26" s="245">
        <f>J26</f>
        <v>6.6216848008472473</v>
      </c>
      <c r="M26" s="78" t="s">
        <v>384</v>
      </c>
      <c r="AA26" s="77"/>
      <c r="AD26" s="77"/>
    </row>
    <row r="27" spans="1:30" x14ac:dyDescent="0.3">
      <c r="A27" s="77"/>
      <c r="B27" s="94">
        <f t="shared" si="0"/>
        <v>12</v>
      </c>
      <c r="D27" s="78" t="s">
        <v>381</v>
      </c>
      <c r="E27" s="107"/>
      <c r="H27" s="245">
        <f>+H$26*G35</f>
        <v>4.1996517518382159</v>
      </c>
      <c r="I27" s="245">
        <f>+I$26*I35</f>
        <v>4.29</v>
      </c>
      <c r="J27" s="245">
        <f>+J$26*K35</f>
        <v>6.6216848008472473</v>
      </c>
      <c r="K27" s="245">
        <f>+J27</f>
        <v>6.6216848008472473</v>
      </c>
      <c r="M27" s="78" t="s">
        <v>385</v>
      </c>
      <c r="AA27" s="77"/>
      <c r="AD27" s="77"/>
    </row>
    <row r="28" spans="1:30" x14ac:dyDescent="0.3">
      <c r="A28" s="77"/>
      <c r="B28" s="94">
        <f t="shared" si="0"/>
        <v>13</v>
      </c>
      <c r="D28" s="78" t="s">
        <v>101</v>
      </c>
      <c r="E28" s="107"/>
      <c r="H28" s="209">
        <f>+H$26*G36</f>
        <v>142.64724255798652</v>
      </c>
      <c r="I28" s="209">
        <f>+I$26*I36</f>
        <v>66.483536101513195</v>
      </c>
      <c r="J28" s="209">
        <f>+J$26*K36</f>
        <v>143.43743569583992</v>
      </c>
      <c r="K28" s="209">
        <f>+J28</f>
        <v>143.43743569583992</v>
      </c>
      <c r="M28" s="78" t="s">
        <v>386</v>
      </c>
      <c r="AA28" s="77"/>
      <c r="AD28" s="77"/>
    </row>
    <row r="29" spans="1:30" x14ac:dyDescent="0.3">
      <c r="A29" s="77"/>
      <c r="B29" s="94">
        <f t="shared" si="0"/>
        <v>14</v>
      </c>
      <c r="D29" s="78" t="s">
        <v>102</v>
      </c>
      <c r="E29" s="107"/>
      <c r="H29" s="209">
        <f>+H$26*G37</f>
        <v>349.14727240987924</v>
      </c>
      <c r="I29" s="209">
        <f>+I$26*I37</f>
        <v>412.96508559846745</v>
      </c>
      <c r="J29" s="209">
        <f>+J$26*K37</f>
        <v>318.51996358712205</v>
      </c>
      <c r="K29" s="209">
        <f>+J29</f>
        <v>318.51996358712205</v>
      </c>
      <c r="M29" s="78" t="s">
        <v>387</v>
      </c>
      <c r="AA29" s="77"/>
      <c r="AD29" s="77"/>
    </row>
    <row r="30" spans="1:30" ht="14.4" thickBot="1" x14ac:dyDescent="0.35">
      <c r="A30" s="77"/>
      <c r="B30" s="94">
        <f t="shared" si="0"/>
        <v>15</v>
      </c>
      <c r="D30" s="78" t="s">
        <v>388</v>
      </c>
      <c r="H30" s="265">
        <f>SUMPRODUCT(H20:H23*H26:H29)/H24</f>
        <v>9.6600000000000019</v>
      </c>
      <c r="I30" s="265">
        <f>SUMPRODUCT(I20:I23*I26:I29)/I24</f>
        <v>4.29</v>
      </c>
      <c r="J30" s="265">
        <f>(J20*J26+J21*J27+J22*J28+J23*J29)/J24</f>
        <v>95.06</v>
      </c>
      <c r="K30" s="265">
        <f>(K20*K26+K21*K27+K22*K28+K23*K29)/K24</f>
        <v>95.06</v>
      </c>
      <c r="AA30" s="77"/>
      <c r="AD30" s="77"/>
    </row>
    <row r="31" spans="1:30" ht="14.4" thickTop="1" x14ac:dyDescent="0.3">
      <c r="A31" s="77"/>
      <c r="B31" s="94">
        <f t="shared" si="0"/>
        <v>16</v>
      </c>
      <c r="H31" s="97"/>
      <c r="J31" s="97"/>
      <c r="AA31" s="77"/>
      <c r="AD31" s="77"/>
    </row>
    <row r="32" spans="1:30" x14ac:dyDescent="0.3">
      <c r="A32" s="77"/>
      <c r="B32" s="94">
        <f t="shared" si="0"/>
        <v>17</v>
      </c>
      <c r="AA32" s="77"/>
      <c r="AD32" s="77"/>
    </row>
    <row r="33" spans="1:30" x14ac:dyDescent="0.3">
      <c r="A33" s="77"/>
      <c r="B33" s="94">
        <f t="shared" si="0"/>
        <v>18</v>
      </c>
      <c r="C33" s="264" t="s">
        <v>389</v>
      </c>
      <c r="D33" s="107"/>
      <c r="E33" s="107"/>
      <c r="F33" s="266"/>
      <c r="G33" s="266"/>
      <c r="I33" s="266"/>
      <c r="AA33" s="77"/>
      <c r="AD33" s="77"/>
    </row>
    <row r="34" spans="1:30" x14ac:dyDescent="0.3">
      <c r="A34" s="77"/>
      <c r="B34" s="94">
        <f t="shared" si="0"/>
        <v>19</v>
      </c>
      <c r="C34" s="107"/>
      <c r="D34" s="78" t="s">
        <v>379</v>
      </c>
      <c r="E34" s="107"/>
      <c r="F34" s="267">
        <v>485.48881905696248</v>
      </c>
      <c r="G34" s="268">
        <f>+F34/F$34</f>
        <v>1</v>
      </c>
      <c r="H34" s="267">
        <v>238.70206813523856</v>
      </c>
      <c r="I34" s="268">
        <f>+H34/H$34</f>
        <v>1</v>
      </c>
      <c r="J34" s="267">
        <v>494.22269841269849</v>
      </c>
      <c r="K34" s="268">
        <f>+J34/J$34</f>
        <v>1</v>
      </c>
      <c r="M34" s="78" t="s">
        <v>382</v>
      </c>
      <c r="AA34" s="77"/>
      <c r="AD34" s="77"/>
    </row>
    <row r="35" spans="1:30" x14ac:dyDescent="0.3">
      <c r="A35" s="77"/>
      <c r="B35" s="94">
        <f t="shared" si="0"/>
        <v>20</v>
      </c>
      <c r="C35" s="107"/>
      <c r="D35" s="78" t="s">
        <v>381</v>
      </c>
      <c r="E35" s="107"/>
      <c r="F35" s="267">
        <v>238.70206813523856</v>
      </c>
      <c r="G35" s="268">
        <f>+F35/F$34</f>
        <v>0.49167366737488472</v>
      </c>
      <c r="H35" s="267">
        <v>238.70206813523856</v>
      </c>
      <c r="I35" s="268">
        <f>+H35/H$34</f>
        <v>1</v>
      </c>
      <c r="J35" s="267">
        <v>494.22269841269849</v>
      </c>
      <c r="K35" s="268">
        <f>+J35/J$34</f>
        <v>1</v>
      </c>
      <c r="M35" s="78" t="s">
        <v>382</v>
      </c>
      <c r="AA35" s="77"/>
      <c r="AD35" s="77"/>
    </row>
    <row r="36" spans="1:30" x14ac:dyDescent="0.3">
      <c r="A36" s="77"/>
      <c r="B36" s="94">
        <f t="shared" si="0"/>
        <v>21</v>
      </c>
      <c r="C36" s="107"/>
      <c r="D36" s="78" t="s">
        <v>101</v>
      </c>
      <c r="E36" s="107"/>
      <c r="F36" s="267">
        <v>8107.8608000000004</v>
      </c>
      <c r="G36" s="268">
        <f>+F36/F$34</f>
        <v>16.700406851282612</v>
      </c>
      <c r="H36" s="267">
        <v>3699.244187499999</v>
      </c>
      <c r="I36" s="268">
        <f>+H36/H$34</f>
        <v>15.497327762590489</v>
      </c>
      <c r="J36" s="267">
        <v>10705.74010317216</v>
      </c>
      <c r="K36" s="268">
        <f>+J36/J$34</f>
        <v>21.661773402063332</v>
      </c>
      <c r="M36" s="78" t="s">
        <v>382</v>
      </c>
      <c r="AA36" s="77"/>
      <c r="AD36" s="77"/>
    </row>
    <row r="37" spans="1:30" x14ac:dyDescent="0.3">
      <c r="A37" s="77"/>
      <c r="B37" s="94">
        <f t="shared" si="0"/>
        <v>22</v>
      </c>
      <c r="C37" s="107"/>
      <c r="D37" s="78" t="s">
        <v>102</v>
      </c>
      <c r="E37" s="107"/>
      <c r="F37" s="267">
        <v>19845.020714285718</v>
      </c>
      <c r="G37" s="268">
        <f>+F37/F$34</f>
        <v>40.876370238214072</v>
      </c>
      <c r="H37" s="267">
        <v>22978</v>
      </c>
      <c r="I37" s="268">
        <f>+H37/H$34</f>
        <v>96.262257715260475</v>
      </c>
      <c r="J37" s="267">
        <v>23773.375</v>
      </c>
      <c r="K37" s="268">
        <f>+J37/J$34</f>
        <v>48.102555945635963</v>
      </c>
      <c r="M37" s="78" t="s">
        <v>382</v>
      </c>
      <c r="AA37" s="77"/>
      <c r="AD37" s="77"/>
    </row>
    <row r="38" spans="1:30" x14ac:dyDescent="0.3">
      <c r="A38" s="77"/>
      <c r="B38" s="94">
        <f t="shared" si="0"/>
        <v>23</v>
      </c>
      <c r="C38" s="107"/>
      <c r="D38" s="78" t="s">
        <v>390</v>
      </c>
      <c r="E38" s="107"/>
      <c r="F38" s="187"/>
      <c r="G38" s="269"/>
      <c r="I38" s="269"/>
      <c r="AA38" s="77"/>
      <c r="AD38" s="77"/>
    </row>
    <row r="39" spans="1:30" x14ac:dyDescent="0.3">
      <c r="A39" s="77"/>
      <c r="B39" s="94">
        <f t="shared" si="0"/>
        <v>24</v>
      </c>
      <c r="AA39" s="77"/>
      <c r="AD39" s="77"/>
    </row>
    <row r="40" spans="1:30" x14ac:dyDescent="0.3">
      <c r="A40" s="77"/>
      <c r="B40" s="94">
        <f t="shared" si="0"/>
        <v>25</v>
      </c>
      <c r="C40" s="95" t="s">
        <v>391</v>
      </c>
      <c r="AA40" s="77"/>
      <c r="AD40" s="77"/>
    </row>
    <row r="41" spans="1:30" x14ac:dyDescent="0.3">
      <c r="A41" s="77"/>
      <c r="B41" s="94">
        <f t="shared" si="0"/>
        <v>26</v>
      </c>
      <c r="D41" s="78" t="s">
        <v>99</v>
      </c>
      <c r="H41" s="97">
        <f>SUM(+H26*H20+H27*H21)/(H20+H21)</f>
        <v>8.541542959298086</v>
      </c>
      <c r="I41" s="97">
        <f>SUM(+I26*I20+I27*I21)/(I20+I21)</f>
        <v>4.29</v>
      </c>
      <c r="J41" s="97">
        <f>SUM(+J26*J20+J27*J21)/(J21+J20)</f>
        <v>6.6216848008472473</v>
      </c>
      <c r="K41" s="97">
        <f>+J41</f>
        <v>6.6216848008472473</v>
      </c>
      <c r="M41" s="78" t="s">
        <v>392</v>
      </c>
      <c r="AA41" s="77"/>
      <c r="AD41" s="77"/>
    </row>
    <row r="42" spans="1:30" x14ac:dyDescent="0.3">
      <c r="A42" s="77"/>
      <c r="B42" s="94">
        <f t="shared" si="0"/>
        <v>27</v>
      </c>
      <c r="D42" s="78" t="s">
        <v>101</v>
      </c>
      <c r="H42" s="97">
        <f t="shared" ref="H42:J43" si="1">H28</f>
        <v>142.64724255798652</v>
      </c>
      <c r="I42" s="97">
        <f t="shared" si="1"/>
        <v>66.483536101513195</v>
      </c>
      <c r="J42" s="97">
        <f t="shared" si="1"/>
        <v>143.43743569583992</v>
      </c>
      <c r="K42" s="97">
        <f>+J42</f>
        <v>143.43743569583992</v>
      </c>
      <c r="M42" s="78" t="s">
        <v>393</v>
      </c>
      <c r="AA42" s="77"/>
      <c r="AD42" s="77"/>
    </row>
    <row r="43" spans="1:30" x14ac:dyDescent="0.3">
      <c r="A43" s="77"/>
      <c r="B43" s="94">
        <f t="shared" si="0"/>
        <v>28</v>
      </c>
      <c r="D43" s="78" t="s">
        <v>102</v>
      </c>
      <c r="H43" s="97">
        <f t="shared" si="1"/>
        <v>349.14727240987924</v>
      </c>
      <c r="I43" s="97">
        <f t="shared" si="1"/>
        <v>412.96508559846745</v>
      </c>
      <c r="J43" s="97">
        <f t="shared" si="1"/>
        <v>318.51996358712205</v>
      </c>
      <c r="K43" s="97">
        <f>+J43</f>
        <v>318.51996358712205</v>
      </c>
      <c r="M43" s="78" t="s">
        <v>394</v>
      </c>
      <c r="AA43" s="77"/>
      <c r="AD43" s="77"/>
    </row>
    <row r="44" spans="1:30" x14ac:dyDescent="0.3">
      <c r="A44" s="77"/>
      <c r="B44" s="94">
        <f t="shared" si="0"/>
        <v>29</v>
      </c>
      <c r="F44" s="100"/>
      <c r="G44" s="270"/>
      <c r="H44" s="100"/>
      <c r="I44" s="270"/>
      <c r="AA44" s="77"/>
      <c r="AD44" s="77"/>
    </row>
    <row r="45" spans="1:30" x14ac:dyDescent="0.3">
      <c r="A45" s="77"/>
      <c r="B45" s="94">
        <f t="shared" si="0"/>
        <v>30</v>
      </c>
      <c r="C45" s="95" t="s">
        <v>395</v>
      </c>
      <c r="H45" s="152"/>
      <c r="J45" s="152"/>
      <c r="K45" s="152"/>
      <c r="AA45" s="77"/>
      <c r="AD45" s="77"/>
    </row>
    <row r="46" spans="1:30" x14ac:dyDescent="0.3">
      <c r="A46" s="77"/>
      <c r="B46" s="94">
        <f t="shared" si="0"/>
        <v>31</v>
      </c>
      <c r="D46" s="101" t="s">
        <v>396</v>
      </c>
      <c r="H46" s="97">
        <v>9.3650354193263041</v>
      </c>
      <c r="I46" s="97">
        <v>8.4583831870702468</v>
      </c>
      <c r="J46" s="97">
        <v>73.598924923670097</v>
      </c>
      <c r="K46" s="97">
        <f>+J46</f>
        <v>73.598924923670097</v>
      </c>
      <c r="M46" s="78" t="s">
        <v>194</v>
      </c>
      <c r="AA46" s="77"/>
      <c r="AD46" s="77"/>
    </row>
    <row r="47" spans="1:30" x14ac:dyDescent="0.3">
      <c r="A47" s="77"/>
      <c r="B47" s="94">
        <f t="shared" si="0"/>
        <v>32</v>
      </c>
      <c r="D47" s="101" t="s">
        <v>397</v>
      </c>
      <c r="H47" s="97">
        <v>2.1011122888262559</v>
      </c>
      <c r="I47" s="97">
        <v>2.1011489129028833</v>
      </c>
      <c r="J47" s="97">
        <v>2.1011489129028829</v>
      </c>
      <c r="K47" s="97">
        <f>+J47</f>
        <v>2.1011489129028829</v>
      </c>
      <c r="M47" s="78" t="s">
        <v>194</v>
      </c>
      <c r="AA47" s="77"/>
      <c r="AD47" s="77"/>
    </row>
    <row r="48" spans="1:30" x14ac:dyDescent="0.3">
      <c r="A48" s="77"/>
      <c r="B48" s="94">
        <f t="shared" si="0"/>
        <v>33</v>
      </c>
      <c r="D48" s="101" t="s">
        <v>254</v>
      </c>
      <c r="H48" s="271">
        <f>SUM(H46:H47)</f>
        <v>11.46614770815256</v>
      </c>
      <c r="I48" s="271">
        <f>SUM(I46:I47)</f>
        <v>10.559532099973129</v>
      </c>
      <c r="J48" s="271">
        <f>SUM(J46:J47)</f>
        <v>75.700073836572983</v>
      </c>
      <c r="K48" s="271">
        <f>SUM(K46:K47)</f>
        <v>75.700073836572983</v>
      </c>
      <c r="AA48" s="77"/>
      <c r="AD48" s="77"/>
    </row>
    <row r="49" spans="1:30" x14ac:dyDescent="0.3">
      <c r="A49" s="77"/>
      <c r="B49" s="94">
        <f t="shared" si="0"/>
        <v>34</v>
      </c>
      <c r="AA49" s="77"/>
      <c r="AD49" s="77"/>
    </row>
    <row r="50" spans="1:30" x14ac:dyDescent="0.3">
      <c r="A50" s="77"/>
      <c r="B50" s="94">
        <f t="shared" si="0"/>
        <v>35</v>
      </c>
      <c r="C50" s="95" t="s">
        <v>398</v>
      </c>
      <c r="H50" s="272" t="s">
        <v>136</v>
      </c>
      <c r="I50" s="272" t="s">
        <v>136</v>
      </c>
      <c r="J50" s="273" t="s">
        <v>136</v>
      </c>
      <c r="K50" s="97">
        <v>308.12545865463176</v>
      </c>
      <c r="M50" s="78" t="s">
        <v>194</v>
      </c>
      <c r="AA50" s="77"/>
      <c r="AD50" s="77"/>
    </row>
    <row r="51" spans="1:30" x14ac:dyDescent="0.3">
      <c r="A51" s="77"/>
      <c r="B51" s="94">
        <f t="shared" si="0"/>
        <v>36</v>
      </c>
      <c r="AA51" s="77"/>
      <c r="AD51" s="77"/>
    </row>
    <row r="52" spans="1:30" x14ac:dyDescent="0.3">
      <c r="A52" s="77"/>
      <c r="B52" s="94">
        <f t="shared" si="0"/>
        <v>37</v>
      </c>
      <c r="C52" s="95" t="s">
        <v>399</v>
      </c>
      <c r="AA52" s="77"/>
      <c r="AD52" s="77"/>
    </row>
    <row r="53" spans="1:30" x14ac:dyDescent="0.3">
      <c r="A53" s="77"/>
      <c r="B53" s="94">
        <f t="shared" si="0"/>
        <v>38</v>
      </c>
      <c r="C53" s="95"/>
      <c r="D53" s="78" t="s">
        <v>99</v>
      </c>
      <c r="H53" s="97">
        <f>SUM(H41,H48)</f>
        <v>20.007690667450646</v>
      </c>
      <c r="I53" s="97">
        <f>SUM(I41,I48)</f>
        <v>14.849532099973128</v>
      </c>
      <c r="J53" s="97">
        <f t="shared" ref="J53" si="2">SUM(J41,J48)</f>
        <v>82.321758637420231</v>
      </c>
      <c r="K53" s="97">
        <f>SUM(K41,K48,K50)</f>
        <v>390.44721729205196</v>
      </c>
      <c r="M53" s="78" t="s">
        <v>400</v>
      </c>
      <c r="AA53" s="77"/>
      <c r="AD53" s="77"/>
    </row>
    <row r="54" spans="1:30" x14ac:dyDescent="0.3">
      <c r="A54" s="77"/>
      <c r="B54" s="94">
        <f t="shared" si="0"/>
        <v>39</v>
      </c>
      <c r="D54" s="78" t="s">
        <v>101</v>
      </c>
      <c r="H54" s="97">
        <f>SUM(H42,H48)</f>
        <v>154.11339026613908</v>
      </c>
      <c r="I54" s="97">
        <f t="shared" ref="I54:J54" si="3">SUM(I42,I48)</f>
        <v>77.043068201486321</v>
      </c>
      <c r="J54" s="97">
        <f t="shared" si="3"/>
        <v>219.13750953241291</v>
      </c>
      <c r="K54" s="97">
        <f>SUM(K42,K48,K50)</f>
        <v>527.26296818704463</v>
      </c>
      <c r="M54" s="78" t="s">
        <v>401</v>
      </c>
      <c r="AA54" s="77"/>
      <c r="AD54" s="77"/>
    </row>
    <row r="55" spans="1:30" x14ac:dyDescent="0.3">
      <c r="A55" s="77"/>
      <c r="B55" s="94">
        <f t="shared" si="0"/>
        <v>40</v>
      </c>
      <c r="D55" s="78" t="s">
        <v>102</v>
      </c>
      <c r="H55" s="97">
        <f>SUM(H43,H48)</f>
        <v>360.6134201180318</v>
      </c>
      <c r="I55" s="97">
        <f t="shared" ref="I55:J55" si="4">SUM(I43,I48)</f>
        <v>423.52461769844058</v>
      </c>
      <c r="J55" s="97">
        <f t="shared" si="4"/>
        <v>394.22003742369503</v>
      </c>
      <c r="K55" s="97">
        <f>SUM(K43,K48,K50)</f>
        <v>702.34549607832673</v>
      </c>
      <c r="M55" s="78" t="s">
        <v>402</v>
      </c>
      <c r="AA55" s="77"/>
      <c r="AD55" s="77"/>
    </row>
    <row r="56" spans="1:30" x14ac:dyDescent="0.3">
      <c r="F56" s="97"/>
      <c r="G56" s="97"/>
      <c r="I56" s="97"/>
    </row>
    <row r="57" spans="1:30" x14ac:dyDescent="0.3">
      <c r="C57" s="95"/>
      <c r="F57" s="274"/>
      <c r="G57" s="274"/>
      <c r="H57" s="275"/>
      <c r="I57" s="274"/>
    </row>
    <row r="58" spans="1:30" x14ac:dyDescent="0.3">
      <c r="B58" s="276"/>
    </row>
  </sheetData>
  <pageMargins left="0.5" right="0.5" top="0.75" bottom="0.25" header="0.5" footer="0.25"/>
  <pageSetup scale="61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0F0C-69CB-4402-A801-B891DC56541A}">
  <sheetPr>
    <tabColor theme="5" tint="-0.499984740745262"/>
    <pageSetUpPr fitToPage="1"/>
  </sheetPr>
  <dimension ref="A1:AC299"/>
  <sheetViews>
    <sheetView tabSelected="1" view="pageBreakPreview" zoomScaleNormal="100" zoomScaleSheetLayoutView="100" workbookViewId="0">
      <selection activeCell="N69" sqref="N69"/>
    </sheetView>
  </sheetViews>
  <sheetFormatPr defaultColWidth="11.44140625" defaultRowHeight="13.8" x14ac:dyDescent="0.3"/>
  <cols>
    <col min="1" max="1" width="5" style="27" customWidth="1"/>
    <col min="2" max="2" width="10.109375" style="27" customWidth="1"/>
    <col min="3" max="4" width="3" style="27" customWidth="1"/>
    <col min="5" max="5" width="42.109375" style="27" customWidth="1"/>
    <col min="6" max="6" width="6.44140625" style="27" customWidth="1"/>
    <col min="7" max="7" width="10.44140625" style="27" customWidth="1"/>
    <col min="8" max="9" width="12.44140625" style="27" bestFit="1" customWidth="1"/>
    <col min="10" max="10" width="11.6640625" style="42" customWidth="1"/>
    <col min="11" max="11" width="66" style="27" bestFit="1" customWidth="1"/>
    <col min="12" max="12" width="8.88671875" style="27" customWidth="1"/>
    <col min="13" max="13" width="0.6640625" style="27" customWidth="1"/>
    <col min="14" max="14" width="10" style="283" hidden="1" customWidth="1"/>
    <col min="15" max="15" width="10.6640625" style="284" hidden="1" customWidth="1"/>
    <col min="16" max="17" width="11.5546875" style="283" hidden="1" customWidth="1"/>
    <col min="18" max="18" width="11.5546875" style="285" hidden="1" customWidth="1"/>
    <col min="19" max="19" width="11.5546875" style="283" hidden="1" customWidth="1"/>
    <col min="20" max="21" width="11.5546875" style="285" hidden="1" customWidth="1"/>
    <col min="22" max="23" width="0" style="27" hidden="1" customWidth="1"/>
    <col min="24" max="24" width="3.33203125" style="27" hidden="1" customWidth="1"/>
    <col min="25" max="26" width="1" style="27" hidden="1" customWidth="1"/>
    <col min="27" max="29" width="0" style="27" hidden="1" customWidth="1"/>
    <col min="30" max="16384" width="11.44140625" style="27"/>
  </cols>
  <sheetData>
    <row r="1" spans="1:29" ht="18" x14ac:dyDescent="0.35">
      <c r="A1" s="24">
        <v>2027</v>
      </c>
      <c r="B1" s="25"/>
      <c r="C1" s="25"/>
      <c r="D1" s="26"/>
      <c r="E1" s="26"/>
      <c r="F1" s="26"/>
      <c r="G1" s="26"/>
      <c r="H1" s="26"/>
      <c r="I1" s="26"/>
      <c r="J1" s="26"/>
      <c r="K1" s="25"/>
      <c r="L1" s="25"/>
      <c r="M1" s="25"/>
      <c r="N1" s="280"/>
      <c r="O1" s="281"/>
      <c r="P1" s="280"/>
      <c r="Q1" s="280"/>
      <c r="R1" s="280"/>
      <c r="S1" s="280"/>
      <c r="T1" s="280"/>
      <c r="U1" s="280"/>
      <c r="V1" s="25"/>
      <c r="W1" s="25"/>
      <c r="X1" s="25"/>
      <c r="Y1" s="25"/>
      <c r="Z1" s="282"/>
    </row>
    <row r="2" spans="1:29" x14ac:dyDescent="0.3">
      <c r="A2" s="28"/>
      <c r="B2" s="28"/>
      <c r="C2" s="28"/>
      <c r="D2" s="28"/>
      <c r="E2" s="28"/>
      <c r="F2" s="28"/>
      <c r="J2" s="29"/>
      <c r="L2" s="30" t="s">
        <v>37</v>
      </c>
      <c r="M2" s="31"/>
      <c r="Z2" s="282"/>
    </row>
    <row r="3" spans="1:29" x14ac:dyDescent="0.3">
      <c r="A3" s="28"/>
      <c r="B3" s="28"/>
      <c r="C3" s="28"/>
      <c r="D3" s="28"/>
      <c r="E3" s="28"/>
      <c r="F3" s="28"/>
      <c r="G3" s="32"/>
      <c r="H3" s="32"/>
      <c r="I3" s="32"/>
      <c r="J3" s="29"/>
      <c r="L3" s="33" t="str">
        <f>"DOCKET NO.  " &amp; +"20240025-EI"</f>
        <v>DOCKET NO.  20240025-EI</v>
      </c>
      <c r="M3" s="31"/>
      <c r="Z3" s="282"/>
    </row>
    <row r="4" spans="1:29" x14ac:dyDescent="0.3">
      <c r="A4" s="28"/>
      <c r="B4" s="28"/>
      <c r="C4" s="28"/>
      <c r="D4" s="28"/>
      <c r="E4" s="28"/>
      <c r="F4" s="28"/>
      <c r="G4" s="32"/>
      <c r="H4" s="32"/>
      <c r="I4" s="32"/>
      <c r="J4" s="29"/>
      <c r="L4" s="33" t="s">
        <v>38</v>
      </c>
      <c r="M4" s="31"/>
      <c r="Z4" s="282"/>
    </row>
    <row r="5" spans="1:29" x14ac:dyDescent="0.3">
      <c r="A5" s="28"/>
      <c r="B5" s="28"/>
      <c r="C5" s="28"/>
      <c r="D5" s="28"/>
      <c r="E5" s="28"/>
      <c r="F5" s="28"/>
      <c r="G5" s="32"/>
      <c r="H5" s="32"/>
      <c r="I5" s="32"/>
      <c r="J5" s="29"/>
      <c r="L5" s="30" t="s">
        <v>39</v>
      </c>
      <c r="M5" s="31"/>
      <c r="Z5" s="282"/>
    </row>
    <row r="6" spans="1:29" x14ac:dyDescent="0.3">
      <c r="B6" s="34"/>
      <c r="C6" s="35"/>
      <c r="D6" s="35"/>
      <c r="G6" s="35"/>
      <c r="H6" s="35"/>
      <c r="I6" s="35"/>
      <c r="J6" s="36"/>
      <c r="K6" s="79"/>
      <c r="L6" s="37" t="s">
        <v>13</v>
      </c>
      <c r="M6" s="31"/>
      <c r="N6" s="286"/>
      <c r="O6" s="287"/>
      <c r="Z6" s="282"/>
    </row>
    <row r="7" spans="1:29" x14ac:dyDescent="0.3">
      <c r="A7" s="38" t="s">
        <v>40</v>
      </c>
      <c r="B7" s="38"/>
      <c r="C7" s="39"/>
      <c r="D7" s="39"/>
      <c r="E7" s="40"/>
      <c r="F7" s="40"/>
      <c r="G7" s="39"/>
      <c r="H7" s="39"/>
      <c r="I7" s="39"/>
      <c r="J7" s="40"/>
      <c r="K7" s="40"/>
      <c r="L7" s="40"/>
      <c r="M7" s="31"/>
      <c r="N7" s="286"/>
      <c r="O7" s="287"/>
      <c r="Z7" s="282"/>
    </row>
    <row r="8" spans="1:29" ht="3.75" customHeight="1" x14ac:dyDescent="0.3">
      <c r="G8" s="41"/>
      <c r="H8" s="41"/>
      <c r="I8" s="41"/>
      <c r="M8" s="31"/>
      <c r="N8" s="286"/>
      <c r="O8" s="287"/>
      <c r="Z8" s="282"/>
    </row>
    <row r="9" spans="1:29" x14ac:dyDescent="0.3">
      <c r="G9" s="43">
        <v>46388</v>
      </c>
      <c r="H9" s="43">
        <v>46388</v>
      </c>
      <c r="I9" s="43"/>
      <c r="M9" s="31"/>
      <c r="S9" s="288" t="s">
        <v>41</v>
      </c>
      <c r="U9" s="289" t="s">
        <v>42</v>
      </c>
      <c r="Z9" s="282"/>
    </row>
    <row r="10" spans="1:29" x14ac:dyDescent="0.3">
      <c r="B10" s="42" t="s">
        <v>43</v>
      </c>
      <c r="G10" s="42" t="s">
        <v>44</v>
      </c>
      <c r="H10" s="42" t="s">
        <v>45</v>
      </c>
      <c r="I10" s="42" t="s">
        <v>46</v>
      </c>
      <c r="J10" s="42" t="s">
        <v>47</v>
      </c>
      <c r="K10" s="42"/>
      <c r="L10" s="42"/>
      <c r="M10" s="44"/>
      <c r="N10" s="288" t="s">
        <v>48</v>
      </c>
      <c r="O10" s="288" t="s">
        <v>48</v>
      </c>
      <c r="Q10" s="290" t="s">
        <v>49</v>
      </c>
      <c r="R10" s="290" t="s">
        <v>50</v>
      </c>
      <c r="S10" s="290" t="s">
        <v>51</v>
      </c>
      <c r="T10" s="290" t="s">
        <v>52</v>
      </c>
      <c r="U10" s="290" t="s">
        <v>51</v>
      </c>
      <c r="V10" s="291" t="s">
        <v>53</v>
      </c>
      <c r="W10" s="291" t="s">
        <v>53</v>
      </c>
      <c r="Z10" s="282"/>
    </row>
    <row r="11" spans="1:29" x14ac:dyDescent="0.3">
      <c r="A11" s="45" t="s">
        <v>54</v>
      </c>
      <c r="B11" s="46" t="s">
        <v>55</v>
      </c>
      <c r="C11" s="40" t="s">
        <v>56</v>
      </c>
      <c r="D11" s="40"/>
      <c r="E11" s="40"/>
      <c r="F11" s="45"/>
      <c r="G11" s="46" t="s">
        <v>43</v>
      </c>
      <c r="H11" s="46" t="s">
        <v>43</v>
      </c>
      <c r="I11" s="46" t="s">
        <v>57</v>
      </c>
      <c r="J11" s="46" t="s">
        <v>58</v>
      </c>
      <c r="K11" s="46" t="s">
        <v>59</v>
      </c>
      <c r="L11" s="46"/>
      <c r="M11" s="47"/>
      <c r="N11" s="292" t="s">
        <v>60</v>
      </c>
      <c r="O11" s="293" t="s">
        <v>61</v>
      </c>
      <c r="P11" s="292" t="s">
        <v>62</v>
      </c>
      <c r="Q11" s="292" t="s">
        <v>60</v>
      </c>
      <c r="R11" s="292" t="s">
        <v>60</v>
      </c>
      <c r="S11" s="292" t="s">
        <v>60</v>
      </c>
      <c r="T11" s="292" t="s">
        <v>60</v>
      </c>
      <c r="U11" s="292" t="s">
        <v>60</v>
      </c>
      <c r="V11" s="291" t="s">
        <v>63</v>
      </c>
      <c r="W11" s="291" t="s">
        <v>63</v>
      </c>
      <c r="Z11" s="282"/>
    </row>
    <row r="12" spans="1:29" x14ac:dyDescent="0.3">
      <c r="A12" s="27">
        <v>1</v>
      </c>
      <c r="B12" s="48" t="s">
        <v>64</v>
      </c>
      <c r="C12" s="27" t="s">
        <v>65</v>
      </c>
      <c r="G12" s="49"/>
      <c r="H12" s="49"/>
      <c r="I12" s="49"/>
      <c r="J12" s="50"/>
      <c r="K12" s="51"/>
      <c r="L12" s="51"/>
      <c r="M12" s="52"/>
      <c r="V12" s="294"/>
      <c r="W12" s="294"/>
      <c r="Z12" s="282"/>
    </row>
    <row r="13" spans="1:29" x14ac:dyDescent="0.3">
      <c r="A13" s="27">
        <f>+A12+1</f>
        <v>2</v>
      </c>
      <c r="B13" s="48" t="s">
        <v>66</v>
      </c>
      <c r="D13" s="27" t="s">
        <v>67</v>
      </c>
      <c r="F13" s="27" t="s">
        <v>60</v>
      </c>
      <c r="G13" s="49">
        <f>'[1]MFR E-13c'!F17</f>
        <v>15.13</v>
      </c>
      <c r="H13" s="49">
        <f>'[1]MFR E-13c'!L17</f>
        <v>15.45</v>
      </c>
      <c r="I13" s="49">
        <f>'[1]MFR E-14B'!G31</f>
        <v>14.44</v>
      </c>
      <c r="J13" s="50" t="s">
        <v>68</v>
      </c>
      <c r="K13" s="51" t="s">
        <v>69</v>
      </c>
      <c r="L13" s="51"/>
      <c r="M13" s="52"/>
      <c r="N13" s="295">
        <f>H13-G13</f>
        <v>0.31999999999999851</v>
      </c>
      <c r="O13" s="284">
        <f>(N13/G13)</f>
        <v>2.1150033046926538E-2</v>
      </c>
      <c r="P13" s="296">
        <f>'[1]MFR E-13c'!J17</f>
        <v>22062145.335498188</v>
      </c>
      <c r="Q13" s="297">
        <f>(P13*G13)/1000</f>
        <v>333800.25892608764</v>
      </c>
      <c r="R13" s="297">
        <f>(P13*H13)/1000</f>
        <v>340860.14543344697</v>
      </c>
      <c r="S13" s="298">
        <f>R13-Q13</f>
        <v>7059.8865073593333</v>
      </c>
      <c r="T13" s="297">
        <f>(P13*I13)/1000</f>
        <v>318577.37864459382</v>
      </c>
      <c r="U13" s="298">
        <f>R13-T13</f>
        <v>22282.766788853158</v>
      </c>
      <c r="V13" s="299" t="s">
        <v>64</v>
      </c>
      <c r="W13" s="299" t="s">
        <v>64</v>
      </c>
      <c r="Z13" s="282"/>
      <c r="AC13" s="27" t="b">
        <f>H13&gt;=I13</f>
        <v>1</v>
      </c>
    </row>
    <row r="14" spans="1:29" x14ac:dyDescent="0.3">
      <c r="A14" s="27">
        <f t="shared" ref="A14:A77" si="0">+A13+1</f>
        <v>3</v>
      </c>
      <c r="B14" s="48" t="s">
        <v>70</v>
      </c>
      <c r="D14" s="27" t="s">
        <v>71</v>
      </c>
      <c r="G14" s="49"/>
      <c r="H14" s="49"/>
      <c r="I14" s="49"/>
      <c r="J14" s="50"/>
      <c r="K14" s="51"/>
      <c r="L14" s="51"/>
      <c r="M14" s="52"/>
      <c r="P14" s="296"/>
      <c r="Q14" s="297"/>
      <c r="R14" s="297"/>
      <c r="T14" s="297"/>
      <c r="U14" s="283"/>
      <c r="V14" s="294"/>
      <c r="W14" s="294"/>
      <c r="Z14" s="282"/>
    </row>
    <row r="15" spans="1:29" x14ac:dyDescent="0.3">
      <c r="A15" s="27">
        <f t="shared" si="0"/>
        <v>4</v>
      </c>
      <c r="B15" s="53" t="s">
        <v>72</v>
      </c>
      <c r="D15" s="54" t="s">
        <v>73</v>
      </c>
      <c r="F15" s="27" t="s">
        <v>60</v>
      </c>
      <c r="G15" s="49">
        <f>'[1]MFR E-13c'!F19</f>
        <v>15.13</v>
      </c>
      <c r="H15" s="49">
        <f>'[1]MFR E-13c'!L19</f>
        <v>15.45</v>
      </c>
      <c r="I15" s="49">
        <f>I13</f>
        <v>14.44</v>
      </c>
      <c r="J15" s="50" t="s">
        <v>68</v>
      </c>
      <c r="K15" s="51" t="s">
        <v>74</v>
      </c>
      <c r="L15" s="51"/>
      <c r="M15" s="52"/>
      <c r="N15" s="295">
        <f>H15-G15</f>
        <v>0.31999999999999851</v>
      </c>
      <c r="O15" s="284">
        <f>(N15/G15)</f>
        <v>2.1150033046926538E-2</v>
      </c>
      <c r="P15" s="296">
        <f>'[1]MFR E-13c'!J19</f>
        <v>2372.0157434354887</v>
      </c>
      <c r="Q15" s="297">
        <f>(P15*G15)/1000</f>
        <v>35.888598198178947</v>
      </c>
      <c r="R15" s="297">
        <f>(P15*H15)/1000</f>
        <v>36.647643236078302</v>
      </c>
      <c r="S15" s="298">
        <f>R15-Q15</f>
        <v>0.75904503789935518</v>
      </c>
      <c r="T15" s="297">
        <f>(P15*I15)/1000</f>
        <v>34.251907335208458</v>
      </c>
      <c r="U15" s="298">
        <f>R15-T15</f>
        <v>2.3957359008698447</v>
      </c>
      <c r="V15" s="294" t="s">
        <v>66</v>
      </c>
      <c r="W15" s="294" t="s">
        <v>66</v>
      </c>
      <c r="Z15" s="282"/>
      <c r="AC15" s="27" t="b">
        <f>H15&gt;=I15</f>
        <v>1</v>
      </c>
    </row>
    <row r="16" spans="1:29" x14ac:dyDescent="0.3">
      <c r="A16" s="27">
        <f t="shared" si="0"/>
        <v>5</v>
      </c>
      <c r="G16" s="55"/>
      <c r="H16" s="55"/>
      <c r="I16" s="55"/>
      <c r="J16" s="50"/>
      <c r="K16" s="51"/>
      <c r="L16" s="51"/>
      <c r="M16" s="52"/>
      <c r="P16" s="296"/>
      <c r="Q16" s="297"/>
      <c r="R16" s="297"/>
      <c r="T16" s="297"/>
      <c r="U16" s="283"/>
      <c r="V16" s="294"/>
      <c r="W16" s="294"/>
      <c r="Z16" s="282"/>
    </row>
    <row r="17" spans="1:26" x14ac:dyDescent="0.3">
      <c r="A17" s="27">
        <f t="shared" si="0"/>
        <v>6</v>
      </c>
      <c r="C17" s="27" t="s">
        <v>75</v>
      </c>
      <c r="G17" s="51"/>
      <c r="H17" s="51"/>
      <c r="I17" s="51"/>
      <c r="J17" s="50"/>
      <c r="K17" s="51"/>
      <c r="L17" s="51"/>
      <c r="M17" s="52"/>
      <c r="P17" s="296"/>
      <c r="Q17" s="297"/>
      <c r="R17" s="297"/>
      <c r="T17" s="297"/>
      <c r="U17" s="283"/>
      <c r="V17" s="294"/>
      <c r="W17" s="294"/>
      <c r="Z17" s="282"/>
    </row>
    <row r="18" spans="1:26" x14ac:dyDescent="0.3">
      <c r="A18" s="27">
        <f t="shared" si="0"/>
        <v>7</v>
      </c>
      <c r="D18" s="27" t="s">
        <v>76</v>
      </c>
      <c r="G18" s="56"/>
      <c r="H18" s="56"/>
      <c r="I18" s="56"/>
      <c r="J18" s="56"/>
      <c r="L18" s="51"/>
      <c r="M18" s="52"/>
      <c r="P18" s="296"/>
      <c r="Q18" s="297"/>
      <c r="R18" s="297"/>
      <c r="T18" s="297"/>
      <c r="U18" s="298"/>
      <c r="V18" s="294"/>
      <c r="W18" s="294"/>
      <c r="Z18" s="282"/>
    </row>
    <row r="19" spans="1:26" x14ac:dyDescent="0.3">
      <c r="A19" s="27">
        <f t="shared" si="0"/>
        <v>8</v>
      </c>
      <c r="D19" s="54" t="s">
        <v>77</v>
      </c>
      <c r="F19" s="27" t="s">
        <v>78</v>
      </c>
      <c r="G19" s="56">
        <f>'[1]MFR E-13c'!F26/10</f>
        <v>9.0849999999999991</v>
      </c>
      <c r="H19" s="56">
        <f>'[1]MFR E-13c'!L26/10</f>
        <v>9.5590000000000011</v>
      </c>
      <c r="I19" s="56">
        <f>'[1]MFR E-14B'!G50</f>
        <v>11.118</v>
      </c>
      <c r="J19" s="50" t="s">
        <v>68</v>
      </c>
      <c r="K19" s="51" t="s">
        <v>79</v>
      </c>
      <c r="L19" s="51"/>
      <c r="M19" s="52"/>
      <c r="N19" s="295">
        <f t="shared" ref="N19:N25" si="1">H19-G19</f>
        <v>0.47400000000000198</v>
      </c>
      <c r="O19" s="284">
        <f t="shared" ref="O19:O25" si="2">(N19/G19)</f>
        <v>5.2173913043478487E-2</v>
      </c>
      <c r="P19" s="296">
        <f>'[1]MFR E-13c'!J26</f>
        <v>3503376.381384375</v>
      </c>
      <c r="Q19" s="297">
        <f t="shared" ref="Q19:Q25" si="3">(+P19*G19*10)/1000</f>
        <v>318281.74424877041</v>
      </c>
      <c r="R19" s="297">
        <f t="shared" ref="R19:R25" si="4">(+P19*H19*10)/1000</f>
        <v>334887.74829653243</v>
      </c>
      <c r="S19" s="298">
        <f t="shared" ref="S19:S25" si="5">R19-Q19</f>
        <v>16606.00404776202</v>
      </c>
      <c r="T19" s="297">
        <f t="shared" ref="T19:T25" si="6">(P19*I19*10)/1000</f>
        <v>389505.38608231483</v>
      </c>
      <c r="U19" s="298">
        <f t="shared" ref="U19:U25" si="7">R19-T19</f>
        <v>-54617.637785782397</v>
      </c>
      <c r="V19" s="299" t="s">
        <v>64</v>
      </c>
      <c r="W19" s="299" t="s">
        <v>64</v>
      </c>
      <c r="Z19" s="282"/>
    </row>
    <row r="20" spans="1:26" x14ac:dyDescent="0.3">
      <c r="A20" s="27">
        <f t="shared" si="0"/>
        <v>9</v>
      </c>
      <c r="D20" s="54" t="s">
        <v>80</v>
      </c>
      <c r="F20" s="27" t="s">
        <v>78</v>
      </c>
      <c r="G20" s="56">
        <f>'[1]MFR E-13c'!F27/10</f>
        <v>10.531000000000001</v>
      </c>
      <c r="H20" s="56">
        <f>'[1]MFR E-13c'!L27/10</f>
        <v>11.019</v>
      </c>
      <c r="I20" s="56">
        <f>'[1]MFR E-14B'!G51</f>
        <v>12.622</v>
      </c>
      <c r="J20" s="50" t="s">
        <v>68</v>
      </c>
      <c r="K20" s="51" t="s">
        <v>79</v>
      </c>
      <c r="L20" s="51"/>
      <c r="M20" s="52"/>
      <c r="N20" s="295">
        <f t="shared" si="1"/>
        <v>0.48799999999999955</v>
      </c>
      <c r="O20" s="284">
        <f t="shared" si="2"/>
        <v>4.6339378976355476E-2</v>
      </c>
      <c r="P20" s="296">
        <f>'[1]MFR E-13c'!J27</f>
        <v>917951.42526270542</v>
      </c>
      <c r="Q20" s="297">
        <f t="shared" si="3"/>
        <v>96669.46459441552</v>
      </c>
      <c r="R20" s="297">
        <f t="shared" si="4"/>
        <v>101149.06754969752</v>
      </c>
      <c r="S20" s="298">
        <f t="shared" si="5"/>
        <v>4479.6029552819964</v>
      </c>
      <c r="T20" s="297">
        <f t="shared" si="6"/>
        <v>115863.82889665868</v>
      </c>
      <c r="U20" s="298">
        <f t="shared" si="7"/>
        <v>-14714.761346961168</v>
      </c>
      <c r="V20" s="299" t="s">
        <v>64</v>
      </c>
      <c r="W20" s="299" t="s">
        <v>64</v>
      </c>
      <c r="Z20" s="282"/>
    </row>
    <row r="21" spans="1:26" x14ac:dyDescent="0.3">
      <c r="A21" s="27">
        <f t="shared" si="0"/>
        <v>10</v>
      </c>
      <c r="D21" s="54" t="s">
        <v>81</v>
      </c>
      <c r="F21" s="27" t="s">
        <v>78</v>
      </c>
      <c r="G21" s="56">
        <f>'[1]MFR E-13c'!F31/10</f>
        <v>8.7029999999999994</v>
      </c>
      <c r="H21" s="56">
        <f>'[1]MFR E-13c'!L31/10</f>
        <v>9.16</v>
      </c>
      <c r="I21" s="56">
        <f>'[1]MFR E-14B'!G52</f>
        <v>9.1999999999999993</v>
      </c>
      <c r="J21" s="50" t="s">
        <v>68</v>
      </c>
      <c r="K21" s="51" t="s">
        <v>79</v>
      </c>
      <c r="L21" s="51"/>
      <c r="M21" s="52"/>
      <c r="N21" s="295">
        <f t="shared" si="1"/>
        <v>0.45700000000000074</v>
      </c>
      <c r="O21" s="284">
        <f t="shared" si="2"/>
        <v>5.251062851890162E-2</v>
      </c>
      <c r="P21" s="296">
        <f>'[1]MFR E-13c'!J31</f>
        <v>11936975.693225868</v>
      </c>
      <c r="Q21" s="297">
        <f t="shared" si="3"/>
        <v>1038874.9945814472</v>
      </c>
      <c r="R21" s="297">
        <f t="shared" si="4"/>
        <v>1093426.9734994895</v>
      </c>
      <c r="S21" s="298">
        <f t="shared" si="5"/>
        <v>54551.978918042267</v>
      </c>
      <c r="T21" s="297">
        <f t="shared" si="6"/>
        <v>1098201.7637767796</v>
      </c>
      <c r="U21" s="298">
        <f t="shared" si="7"/>
        <v>-4774.790277290158</v>
      </c>
      <c r="V21" s="299" t="s">
        <v>64</v>
      </c>
      <c r="W21" s="299" t="s">
        <v>64</v>
      </c>
      <c r="Z21" s="282"/>
    </row>
    <row r="22" spans="1:26" x14ac:dyDescent="0.3">
      <c r="A22" s="27">
        <f t="shared" si="0"/>
        <v>11</v>
      </c>
      <c r="D22" s="54" t="s">
        <v>82</v>
      </c>
      <c r="F22" s="27" t="s">
        <v>78</v>
      </c>
      <c r="G22" s="56">
        <f>'[1]MFR E-13c'!F32/10</f>
        <v>9.4030000000000005</v>
      </c>
      <c r="H22" s="56">
        <f>'[1]MFR E-13c'!L32/10</f>
        <v>9.8480000000000008</v>
      </c>
      <c r="I22" s="56">
        <f>'[1]MFR E-14B'!G53</f>
        <v>9.8870000000000005</v>
      </c>
      <c r="J22" s="50" t="s">
        <v>68</v>
      </c>
      <c r="K22" s="51" t="s">
        <v>79</v>
      </c>
      <c r="L22" s="51"/>
      <c r="M22" s="52"/>
      <c r="N22" s="295">
        <f t="shared" si="1"/>
        <v>0.44500000000000028</v>
      </c>
      <c r="O22" s="284">
        <f t="shared" si="2"/>
        <v>4.7325321705838592E-2</v>
      </c>
      <c r="P22" s="296">
        <f>'[1]MFR E-13c'!J32</f>
        <v>5137589.2414063234</v>
      </c>
      <c r="Q22" s="297">
        <f t="shared" si="3"/>
        <v>483087.51636943663</v>
      </c>
      <c r="R22" s="297">
        <f t="shared" si="4"/>
        <v>505949.78849369474</v>
      </c>
      <c r="S22" s="298">
        <f t="shared" si="5"/>
        <v>22862.272124258103</v>
      </c>
      <c r="T22" s="297">
        <f t="shared" si="6"/>
        <v>507953.44829784322</v>
      </c>
      <c r="U22" s="298">
        <f t="shared" si="7"/>
        <v>-2003.6598041484831</v>
      </c>
      <c r="V22" s="299" t="s">
        <v>64</v>
      </c>
      <c r="W22" s="299" t="s">
        <v>64</v>
      </c>
      <c r="Z22" s="282"/>
    </row>
    <row r="23" spans="1:26" x14ac:dyDescent="0.3">
      <c r="A23" s="27">
        <f t="shared" si="0"/>
        <v>12</v>
      </c>
      <c r="D23" s="27" t="s">
        <v>83</v>
      </c>
      <c r="F23" s="27" t="s">
        <v>78</v>
      </c>
      <c r="G23" s="56">
        <f>'[1]MFR E-13c'!F37/10</f>
        <v>12.584999999999999</v>
      </c>
      <c r="H23" s="56">
        <f>'[1]MFR E-13c'!L37/10</f>
        <v>13.588999999999999</v>
      </c>
      <c r="I23" s="57">
        <f>ROUND('[1]MFR E-14C'!AA45,3)</f>
        <v>15.058</v>
      </c>
      <c r="J23" s="50" t="s">
        <v>84</v>
      </c>
      <c r="K23" s="51" t="s">
        <v>85</v>
      </c>
      <c r="L23" s="51"/>
      <c r="M23" s="52"/>
      <c r="N23" s="295">
        <f t="shared" si="1"/>
        <v>1.0039999999999996</v>
      </c>
      <c r="O23" s="284">
        <f t="shared" si="2"/>
        <v>7.9777512912197035E-2</v>
      </c>
      <c r="P23" s="296">
        <f>'[1]MFR E-13c'!J37</f>
        <v>345.42013753226672</v>
      </c>
      <c r="Q23" s="297">
        <f t="shared" si="3"/>
        <v>43.471124308435762</v>
      </c>
      <c r="R23" s="297">
        <f t="shared" si="4"/>
        <v>46.939142489259723</v>
      </c>
      <c r="S23" s="298">
        <f t="shared" si="5"/>
        <v>3.468018180823961</v>
      </c>
      <c r="T23" s="297">
        <f t="shared" si="6"/>
        <v>52.013364309608725</v>
      </c>
      <c r="U23" s="298">
        <f t="shared" si="7"/>
        <v>-5.0742218203490026</v>
      </c>
      <c r="V23" s="291" t="s">
        <v>66</v>
      </c>
      <c r="W23" s="291" t="s">
        <v>66</v>
      </c>
      <c r="Z23" s="282"/>
    </row>
    <row r="24" spans="1:26" x14ac:dyDescent="0.3">
      <c r="A24" s="27">
        <f t="shared" si="0"/>
        <v>13</v>
      </c>
      <c r="D24" s="27" t="s">
        <v>86</v>
      </c>
      <c r="F24" s="27" t="s">
        <v>78</v>
      </c>
      <c r="G24" s="56">
        <f>'[1]MFR E-13c'!F38/10</f>
        <v>8.9890000000000008</v>
      </c>
      <c r="H24" s="56">
        <f>'[1]MFR E-13c'!L38/10</f>
        <v>9.3719999999999999</v>
      </c>
      <c r="I24" s="57">
        <f>ROUND('[1]MFR E-14C'!AA46,3)</f>
        <v>10.385</v>
      </c>
      <c r="J24" s="50" t="s">
        <v>84</v>
      </c>
      <c r="K24" s="51" t="s">
        <v>85</v>
      </c>
      <c r="L24" s="51"/>
      <c r="M24" s="52"/>
      <c r="N24" s="295">
        <f t="shared" si="1"/>
        <v>0.38299999999999912</v>
      </c>
      <c r="O24" s="284">
        <f t="shared" si="2"/>
        <v>4.2607631549671718E-2</v>
      </c>
      <c r="P24" s="296">
        <f>'[1]MFR E-13c'!J38</f>
        <v>2336.0298102093789</v>
      </c>
      <c r="Q24" s="297">
        <f t="shared" si="3"/>
        <v>209.98571963972108</v>
      </c>
      <c r="R24" s="297">
        <f t="shared" si="4"/>
        <v>218.93271381282301</v>
      </c>
      <c r="S24" s="298">
        <f t="shared" si="5"/>
        <v>8.9469941731019276</v>
      </c>
      <c r="T24" s="297">
        <f t="shared" si="6"/>
        <v>242.59669579024398</v>
      </c>
      <c r="U24" s="298">
        <f t="shared" si="7"/>
        <v>-23.663981977420974</v>
      </c>
      <c r="V24" s="291" t="s">
        <v>66</v>
      </c>
      <c r="W24" s="291" t="s">
        <v>66</v>
      </c>
      <c r="Z24" s="282"/>
    </row>
    <row r="25" spans="1:26" x14ac:dyDescent="0.3">
      <c r="A25" s="27">
        <f t="shared" si="0"/>
        <v>14</v>
      </c>
      <c r="D25" s="27" t="s">
        <v>87</v>
      </c>
      <c r="F25" s="27" t="s">
        <v>78</v>
      </c>
      <c r="G25" s="56">
        <f>'[1]MFR E-13c'!F39/10</f>
        <v>5.4799999999999995</v>
      </c>
      <c r="H25" s="56">
        <f>'[1]MFR E-13c'!L39/10</f>
        <v>5.7080000000000002</v>
      </c>
      <c r="I25" s="57">
        <f>ROUND('[1]MFR E-14C'!AA47,3)</f>
        <v>6.3250000000000002</v>
      </c>
      <c r="J25" s="50" t="s">
        <v>84</v>
      </c>
      <c r="K25" s="51" t="s">
        <v>85</v>
      </c>
      <c r="L25" s="51"/>
      <c r="M25" s="52"/>
      <c r="N25" s="295">
        <f t="shared" si="1"/>
        <v>0.22800000000000065</v>
      </c>
      <c r="O25" s="284">
        <f t="shared" si="2"/>
        <v>4.1605839416058513E-2</v>
      </c>
      <c r="P25" s="296">
        <f>'[1]MFR E-13c'!J39</f>
        <v>758.75172155404562</v>
      </c>
      <c r="Q25" s="297">
        <f t="shared" si="3"/>
        <v>41.579594341161688</v>
      </c>
      <c r="R25" s="297">
        <f t="shared" si="4"/>
        <v>43.30954826630493</v>
      </c>
      <c r="S25" s="298">
        <f t="shared" si="5"/>
        <v>1.7299539251432421</v>
      </c>
      <c r="T25" s="297">
        <f t="shared" si="6"/>
        <v>47.991046388293391</v>
      </c>
      <c r="U25" s="298">
        <f t="shared" si="7"/>
        <v>-4.6814981219884615</v>
      </c>
      <c r="V25" s="291" t="s">
        <v>66</v>
      </c>
      <c r="W25" s="291" t="s">
        <v>66</v>
      </c>
      <c r="Z25" s="282"/>
    </row>
    <row r="26" spans="1:26" x14ac:dyDescent="0.3">
      <c r="A26" s="27">
        <f t="shared" si="0"/>
        <v>15</v>
      </c>
      <c r="G26" s="56"/>
      <c r="H26" s="56"/>
      <c r="I26" s="57"/>
      <c r="J26" s="50"/>
      <c r="K26" s="51"/>
      <c r="L26" s="51"/>
      <c r="M26" s="52"/>
      <c r="N26" s="295"/>
      <c r="P26" s="296"/>
      <c r="Q26" s="297"/>
      <c r="R26" s="297"/>
      <c r="S26" s="298"/>
      <c r="T26" s="297"/>
      <c r="U26" s="298"/>
      <c r="V26" s="291"/>
      <c r="W26" s="291"/>
      <c r="Z26" s="282"/>
    </row>
    <row r="27" spans="1:26" x14ac:dyDescent="0.3">
      <c r="A27" s="27">
        <f t="shared" si="0"/>
        <v>16</v>
      </c>
      <c r="C27" s="27" t="s">
        <v>88</v>
      </c>
      <c r="F27" s="27" t="s">
        <v>60</v>
      </c>
      <c r="G27" s="49">
        <v>7.5</v>
      </c>
      <c r="H27" s="58">
        <v>7.5</v>
      </c>
      <c r="I27" s="49">
        <f>'[1]EV Off-Pk'!B22</f>
        <v>7.9126874999999997</v>
      </c>
      <c r="J27" s="50" t="s">
        <v>89</v>
      </c>
      <c r="K27" s="51" t="s">
        <v>90</v>
      </c>
      <c r="L27" s="51"/>
      <c r="M27" s="52"/>
      <c r="N27" s="295"/>
      <c r="P27" s="296"/>
      <c r="Q27" s="297"/>
      <c r="R27" s="297"/>
      <c r="S27" s="298"/>
      <c r="T27" s="297"/>
      <c r="U27" s="298"/>
      <c r="V27" s="291"/>
      <c r="W27" s="291"/>
      <c r="Z27" s="282"/>
    </row>
    <row r="28" spans="1:26" x14ac:dyDescent="0.3">
      <c r="A28" s="27">
        <f t="shared" si="0"/>
        <v>17</v>
      </c>
      <c r="G28" s="56"/>
      <c r="H28" s="56"/>
      <c r="I28" s="56"/>
      <c r="J28" s="50"/>
      <c r="K28" s="51"/>
      <c r="L28" s="51"/>
      <c r="M28" s="52"/>
      <c r="N28" s="295"/>
      <c r="P28" s="296"/>
      <c r="Q28" s="296"/>
      <c r="R28" s="296"/>
      <c r="T28" s="296"/>
      <c r="U28" s="283"/>
      <c r="V28" s="291"/>
      <c r="W28" s="291"/>
      <c r="Z28" s="282"/>
    </row>
    <row r="29" spans="1:26" ht="14.4" thickBot="1" x14ac:dyDescent="0.35">
      <c r="B29" s="31"/>
      <c r="C29" s="31"/>
      <c r="D29" s="31"/>
      <c r="E29" s="31"/>
      <c r="F29" s="31"/>
      <c r="G29" s="52"/>
      <c r="H29" s="52"/>
      <c r="I29" s="52"/>
      <c r="J29" s="59"/>
      <c r="K29" s="52"/>
      <c r="L29" s="52"/>
      <c r="M29" s="52"/>
      <c r="N29" s="300"/>
      <c r="O29" s="301"/>
      <c r="P29" s="302"/>
      <c r="Q29" s="303">
        <f>SUM(Q12:Q28)</f>
        <v>2271044.903756645</v>
      </c>
      <c r="R29" s="303">
        <f>SUM(R12:R28)</f>
        <v>2376619.5523206657</v>
      </c>
      <c r="S29" s="303">
        <f>SUM(S12:S28)</f>
        <v>105574.6485640207</v>
      </c>
      <c r="T29" s="303">
        <f>SUM(T12:T28)</f>
        <v>2430478.6587120132</v>
      </c>
      <c r="U29" s="303">
        <f>SUM(U12:U28)</f>
        <v>-53859.106391347937</v>
      </c>
      <c r="V29" s="291"/>
      <c r="W29" s="291"/>
      <c r="Z29" s="282"/>
    </row>
    <row r="30" spans="1:26" ht="14.4" thickTop="1" x14ac:dyDescent="0.3">
      <c r="A30" s="27">
        <f>+A28+1</f>
        <v>18</v>
      </c>
      <c r="B30" s="48"/>
      <c r="G30" s="51"/>
      <c r="H30" s="51"/>
      <c r="I30" s="51"/>
      <c r="J30" s="50"/>
      <c r="K30" s="51"/>
      <c r="L30" s="51"/>
      <c r="M30" s="52"/>
      <c r="P30" s="296"/>
      <c r="Q30" s="296"/>
      <c r="R30" s="296"/>
      <c r="S30" s="304" t="s">
        <v>91</v>
      </c>
      <c r="T30" s="305">
        <v>0</v>
      </c>
      <c r="U30" s="283"/>
      <c r="V30" s="291"/>
      <c r="W30" s="291"/>
      <c r="Z30" s="282"/>
    </row>
    <row r="31" spans="1:26" x14ac:dyDescent="0.3">
      <c r="A31" s="27">
        <f t="shared" si="0"/>
        <v>19</v>
      </c>
      <c r="B31" s="48" t="s">
        <v>92</v>
      </c>
      <c r="C31" s="27" t="s">
        <v>65</v>
      </c>
      <c r="G31" s="51"/>
      <c r="H31" s="51"/>
      <c r="I31" s="51"/>
      <c r="J31" s="50"/>
      <c r="K31" s="51"/>
      <c r="L31" s="51"/>
      <c r="M31" s="52"/>
      <c r="P31" s="296"/>
      <c r="Q31" s="296"/>
      <c r="R31" s="296"/>
      <c r="T31" s="296" t="s">
        <v>93</v>
      </c>
      <c r="U31" s="283"/>
      <c r="V31" s="291"/>
      <c r="W31" s="291"/>
      <c r="Z31" s="282"/>
    </row>
    <row r="32" spans="1:26" x14ac:dyDescent="0.3">
      <c r="A32" s="27">
        <f t="shared" si="0"/>
        <v>20</v>
      </c>
      <c r="B32" s="48" t="s">
        <v>94</v>
      </c>
      <c r="D32" s="27" t="s">
        <v>67</v>
      </c>
      <c r="G32" s="51"/>
      <c r="H32" s="51"/>
      <c r="I32" s="51"/>
      <c r="J32" s="50"/>
      <c r="K32" s="51"/>
      <c r="L32" s="51"/>
      <c r="M32" s="52"/>
      <c r="P32" s="296"/>
      <c r="Q32" s="296"/>
      <c r="R32" s="296"/>
      <c r="T32" s="296"/>
      <c r="U32" s="283"/>
      <c r="V32" s="291"/>
      <c r="W32" s="291"/>
      <c r="Z32" s="282"/>
    </row>
    <row r="33" spans="1:29" x14ac:dyDescent="0.3">
      <c r="A33" s="27">
        <f t="shared" si="0"/>
        <v>21</v>
      </c>
      <c r="D33" s="54" t="s">
        <v>95</v>
      </c>
      <c r="F33" s="27" t="s">
        <v>60</v>
      </c>
      <c r="G33" s="49">
        <f>'[1]MFR E-13c'!F72</f>
        <v>10.66</v>
      </c>
      <c r="H33" s="49">
        <f>'[1]MFR E-13c'!L72</f>
        <v>10.96</v>
      </c>
      <c r="I33" s="49">
        <f>'[1]MFR E-14E'!I48</f>
        <v>10.958570273056013</v>
      </c>
      <c r="J33" s="50" t="s">
        <v>96</v>
      </c>
      <c r="K33" s="51" t="s">
        <v>97</v>
      </c>
      <c r="L33" s="51"/>
      <c r="M33" s="52"/>
      <c r="N33" s="295">
        <f>H33-G33</f>
        <v>0.30000000000000071</v>
      </c>
      <c r="O33" s="284">
        <f>(N33/G33)</f>
        <v>2.8142589118198939E-2</v>
      </c>
      <c r="P33" s="296">
        <v>5029.440529544815</v>
      </c>
      <c r="Q33" s="297">
        <f>(+P33*G33)/1000</f>
        <v>53.613836044947725</v>
      </c>
      <c r="R33" s="297">
        <f>(+P33*H33)/1000</f>
        <v>55.122668203811173</v>
      </c>
      <c r="S33" s="298">
        <f>R33-Q33</f>
        <v>1.5088321588634486</v>
      </c>
      <c r="T33" s="297">
        <f>(+P33*I33)/1000</f>
        <v>55.115477477172909</v>
      </c>
      <c r="U33" s="298">
        <f>R33-T33</f>
        <v>7.1907266382638113E-3</v>
      </c>
      <c r="V33" s="291" t="s">
        <v>98</v>
      </c>
      <c r="W33" s="291" t="s">
        <v>98</v>
      </c>
      <c r="Z33" s="282"/>
      <c r="AC33" s="27" t="b">
        <f t="shared" ref="AC33:AC36" si="8">H33&gt;=I33</f>
        <v>1</v>
      </c>
    </row>
    <row r="34" spans="1:29" x14ac:dyDescent="0.3">
      <c r="A34" s="27">
        <f t="shared" si="0"/>
        <v>22</v>
      </c>
      <c r="D34" s="54" t="s">
        <v>99</v>
      </c>
      <c r="F34" s="27" t="s">
        <v>60</v>
      </c>
      <c r="G34" s="49">
        <f>'[1]MFR E-13c'!F73</f>
        <v>16.64</v>
      </c>
      <c r="H34" s="49">
        <f>'[1]MFR E-13c'!L73</f>
        <v>16.91</v>
      </c>
      <c r="I34" s="49">
        <f>'[1]MFR E-14E'!I53</f>
        <v>15.758570273056012</v>
      </c>
      <c r="J34" s="50" t="s">
        <v>96</v>
      </c>
      <c r="K34" s="51" t="s">
        <v>100</v>
      </c>
      <c r="L34" s="51"/>
      <c r="M34" s="52"/>
      <c r="N34" s="295">
        <f>H34-G34</f>
        <v>0.26999999999999957</v>
      </c>
      <c r="O34" s="284">
        <f>(N34/G34)</f>
        <v>1.6225961538461512E-2</v>
      </c>
      <c r="P34" s="296">
        <v>1599802.6233321449</v>
      </c>
      <c r="Q34" s="297">
        <f>(+P34*G34)/1000</f>
        <v>26620.715652246894</v>
      </c>
      <c r="R34" s="297">
        <f>(+P34*H34)/1000</f>
        <v>27052.662360546572</v>
      </c>
      <c r="S34" s="298">
        <f>R34-Q34</f>
        <v>431.94670829967799</v>
      </c>
      <c r="T34" s="297">
        <f>(+P34*I34)/1000</f>
        <v>25210.602062798964</v>
      </c>
      <c r="U34" s="298">
        <f>R34-T34</f>
        <v>1842.0602977476083</v>
      </c>
      <c r="V34" s="291" t="s">
        <v>98</v>
      </c>
      <c r="W34" s="291" t="s">
        <v>98</v>
      </c>
      <c r="Z34" s="282"/>
      <c r="AC34" s="27" t="b">
        <f t="shared" si="8"/>
        <v>1</v>
      </c>
    </row>
    <row r="35" spans="1:29" x14ac:dyDescent="0.3">
      <c r="A35" s="27">
        <f t="shared" si="0"/>
        <v>23</v>
      </c>
      <c r="D35" s="54" t="s">
        <v>101</v>
      </c>
      <c r="F35" s="27" t="s">
        <v>60</v>
      </c>
      <c r="G35" s="49">
        <f>'[1]MFR E-13c'!F74</f>
        <v>210.34</v>
      </c>
      <c r="H35" s="49">
        <f>'[1]MFR E-13c'!L74</f>
        <v>213.78</v>
      </c>
      <c r="I35" s="49">
        <f>'[1]MFR E-14E'!I54</f>
        <v>85.345743533490349</v>
      </c>
      <c r="J35" s="50" t="s">
        <v>96</v>
      </c>
      <c r="K35" s="51" t="s">
        <v>100</v>
      </c>
      <c r="L35" s="51"/>
      <c r="M35" s="52"/>
      <c r="N35" s="295">
        <f>H35-G35</f>
        <v>3.4399999999999977</v>
      </c>
      <c r="O35" s="284">
        <f>(N35/G35)</f>
        <v>1.635447370923266E-2</v>
      </c>
      <c r="P35" s="296">
        <v>416.06077373363422</v>
      </c>
      <c r="Q35" s="297">
        <f>(+P35*G35)/1000</f>
        <v>87.514223147132626</v>
      </c>
      <c r="R35" s="297">
        <f>(+P35*H35)/1000</f>
        <v>88.945472208776323</v>
      </c>
      <c r="S35" s="298">
        <f>R35-Q35</f>
        <v>1.4312490616436975</v>
      </c>
      <c r="T35" s="297">
        <f>(+P35*I35)/1000</f>
        <v>35.509016089416306</v>
      </c>
      <c r="U35" s="298">
        <f>R35-T35</f>
        <v>53.436456119360017</v>
      </c>
      <c r="V35" s="291" t="s">
        <v>98</v>
      </c>
      <c r="W35" s="291" t="s">
        <v>98</v>
      </c>
      <c r="Z35" s="282"/>
      <c r="AC35" s="27" t="b">
        <f t="shared" si="8"/>
        <v>1</v>
      </c>
    </row>
    <row r="36" spans="1:29" x14ac:dyDescent="0.3">
      <c r="A36" s="27">
        <f t="shared" si="0"/>
        <v>24</v>
      </c>
      <c r="D36" s="54" t="s">
        <v>102</v>
      </c>
      <c r="F36" s="27" t="s">
        <v>60</v>
      </c>
      <c r="G36" s="49">
        <f>'[1]MFR E-13c'!F75</f>
        <v>1037.56</v>
      </c>
      <c r="H36" s="49">
        <f>'[1]MFR E-13c'!L75</f>
        <v>1054.52</v>
      </c>
      <c r="I36" s="49">
        <f>'[1]MFR E-14E'!I55</f>
        <v>473.01740730630627</v>
      </c>
      <c r="J36" s="50" t="s">
        <v>96</v>
      </c>
      <c r="K36" s="51" t="s">
        <v>100</v>
      </c>
      <c r="L36" s="51"/>
      <c r="M36" s="52"/>
      <c r="N36" s="295">
        <f>H36-G36</f>
        <v>16.960000000000036</v>
      </c>
      <c r="O36" s="284">
        <f>(N36/G36)</f>
        <v>1.6346042638498051E-2</v>
      </c>
      <c r="P36" s="296">
        <v>0</v>
      </c>
      <c r="Q36" s="297">
        <f>(+P36*G36)/1000</f>
        <v>0</v>
      </c>
      <c r="R36" s="297">
        <f>(+P36*H36)/1000</f>
        <v>0</v>
      </c>
      <c r="S36" s="298">
        <f>R36-Q36</f>
        <v>0</v>
      </c>
      <c r="T36" s="297">
        <f>(+P36*I36)/1000</f>
        <v>0</v>
      </c>
      <c r="U36" s="298">
        <f>R36-T36</f>
        <v>0</v>
      </c>
      <c r="V36" s="291" t="s">
        <v>98</v>
      </c>
      <c r="W36" s="291" t="s">
        <v>98</v>
      </c>
      <c r="Z36" s="282"/>
      <c r="AC36" s="27" t="b">
        <f t="shared" si="8"/>
        <v>1</v>
      </c>
    </row>
    <row r="37" spans="1:29" x14ac:dyDescent="0.3">
      <c r="A37" s="27">
        <f t="shared" si="0"/>
        <v>25</v>
      </c>
      <c r="D37" s="27" t="s">
        <v>71</v>
      </c>
      <c r="G37" s="49"/>
      <c r="H37" s="49"/>
      <c r="I37" s="49"/>
      <c r="J37" s="50"/>
      <c r="K37" s="51"/>
      <c r="L37" s="51"/>
      <c r="M37" s="52"/>
      <c r="P37" s="296"/>
      <c r="Q37" s="297"/>
      <c r="R37" s="297"/>
      <c r="T37" s="297"/>
      <c r="U37" s="283"/>
      <c r="V37" s="291"/>
      <c r="W37" s="291"/>
      <c r="Z37" s="282"/>
    </row>
    <row r="38" spans="1:29" x14ac:dyDescent="0.3">
      <c r="A38" s="27">
        <f t="shared" si="0"/>
        <v>26</v>
      </c>
      <c r="D38" s="54" t="s">
        <v>99</v>
      </c>
      <c r="F38" s="27" t="s">
        <v>60</v>
      </c>
      <c r="G38" s="49">
        <f>G34</f>
        <v>16.64</v>
      </c>
      <c r="H38" s="49">
        <f>'[1]MFR E-13c'!L77</f>
        <v>16.91</v>
      </c>
      <c r="I38" s="49">
        <f>I34</f>
        <v>15.758570273056012</v>
      </c>
      <c r="J38" s="50" t="s">
        <v>96</v>
      </c>
      <c r="K38" s="51" t="s">
        <v>103</v>
      </c>
      <c r="L38" s="51"/>
      <c r="M38" s="52"/>
      <c r="N38" s="295">
        <f>H38-G38</f>
        <v>0.26999999999999957</v>
      </c>
      <c r="O38" s="284">
        <f>(N38/G38)</f>
        <v>1.6225961538461512E-2</v>
      </c>
      <c r="P38" s="296">
        <v>15492.382362368073</v>
      </c>
      <c r="Q38" s="297">
        <f>(+P38*G38)/1000</f>
        <v>257.79324250980477</v>
      </c>
      <c r="R38" s="297">
        <f>(+P38*H38)/1000</f>
        <v>261.97618574764408</v>
      </c>
      <c r="S38" s="298">
        <f>R38-Q38</f>
        <v>4.1829432378393108</v>
      </c>
      <c r="T38" s="297">
        <f>(+P38*I38)/1000</f>
        <v>244.13779615443079</v>
      </c>
      <c r="U38" s="298">
        <f>R38-T38</f>
        <v>17.838389593213293</v>
      </c>
      <c r="V38" s="291" t="s">
        <v>94</v>
      </c>
      <c r="W38" s="291" t="s">
        <v>94</v>
      </c>
      <c r="Z38" s="282"/>
    </row>
    <row r="39" spans="1:29" x14ac:dyDescent="0.3">
      <c r="A39" s="27">
        <f t="shared" si="0"/>
        <v>27</v>
      </c>
      <c r="D39" s="54" t="s">
        <v>101</v>
      </c>
      <c r="F39" s="27" t="s">
        <v>60</v>
      </c>
      <c r="G39" s="49">
        <f>G35</f>
        <v>210.34</v>
      </c>
      <c r="H39" s="49">
        <f>'[1]MFR E-13c'!L78</f>
        <v>213.78</v>
      </c>
      <c r="I39" s="49">
        <f>I35</f>
        <v>85.345743533490349</v>
      </c>
      <c r="J39" s="50" t="s">
        <v>96</v>
      </c>
      <c r="K39" s="51" t="s">
        <v>103</v>
      </c>
      <c r="L39" s="51"/>
      <c r="M39" s="52"/>
      <c r="N39" s="295">
        <f>H39-G39</f>
        <v>3.4399999999999977</v>
      </c>
      <c r="O39" s="284">
        <f>(N39/G39)</f>
        <v>1.635447370923266E-2</v>
      </c>
      <c r="P39" s="296">
        <v>0</v>
      </c>
      <c r="Q39" s="297">
        <f>(+P39*G39)/1000</f>
        <v>0</v>
      </c>
      <c r="R39" s="297">
        <f>(+P39*H39)/1000</f>
        <v>0</v>
      </c>
      <c r="S39" s="298">
        <f>R39-Q39</f>
        <v>0</v>
      </c>
      <c r="T39" s="297">
        <f>(+P39*I39)/1000</f>
        <v>0</v>
      </c>
      <c r="U39" s="298">
        <f>R39-T39</f>
        <v>0</v>
      </c>
      <c r="V39" s="291" t="s">
        <v>94</v>
      </c>
      <c r="W39" s="291" t="s">
        <v>94</v>
      </c>
      <c r="Z39" s="282"/>
    </row>
    <row r="40" spans="1:29" x14ac:dyDescent="0.3">
      <c r="A40" s="27">
        <f t="shared" si="0"/>
        <v>28</v>
      </c>
      <c r="D40" s="54" t="s">
        <v>102</v>
      </c>
      <c r="F40" s="27" t="s">
        <v>60</v>
      </c>
      <c r="G40" s="49">
        <f>G36</f>
        <v>1037.56</v>
      </c>
      <c r="H40" s="49">
        <f>'[1]MFR E-13c'!L79</f>
        <v>1054.52</v>
      </c>
      <c r="I40" s="49">
        <f>I36</f>
        <v>473.01740730630627</v>
      </c>
      <c r="J40" s="50" t="s">
        <v>96</v>
      </c>
      <c r="K40" s="51" t="s">
        <v>103</v>
      </c>
      <c r="L40" s="51"/>
      <c r="M40" s="52"/>
      <c r="N40" s="295">
        <f>H40-G40</f>
        <v>16.960000000000036</v>
      </c>
      <c r="O40" s="284">
        <f>(N40/G40)</f>
        <v>1.6346042638498051E-2</v>
      </c>
      <c r="P40" s="296">
        <v>0</v>
      </c>
      <c r="Q40" s="297">
        <f>(+P40*G40)/1000</f>
        <v>0</v>
      </c>
      <c r="R40" s="297">
        <f>(+P40*H40)/1000</f>
        <v>0</v>
      </c>
      <c r="S40" s="298">
        <f>R40-Q40</f>
        <v>0</v>
      </c>
      <c r="T40" s="297">
        <f>(+P40*I40)/1000</f>
        <v>0</v>
      </c>
      <c r="U40" s="298">
        <f>R40-T40</f>
        <v>0</v>
      </c>
      <c r="V40" s="291" t="s">
        <v>94</v>
      </c>
      <c r="W40" s="291" t="s">
        <v>94</v>
      </c>
      <c r="Z40" s="282"/>
    </row>
    <row r="41" spans="1:29" x14ac:dyDescent="0.3">
      <c r="A41" s="27">
        <f t="shared" si="0"/>
        <v>29</v>
      </c>
      <c r="G41" s="51"/>
      <c r="H41" s="51"/>
      <c r="I41" s="51"/>
      <c r="J41" s="50"/>
      <c r="K41" s="51"/>
      <c r="L41" s="51"/>
      <c r="M41" s="52"/>
      <c r="P41" s="296"/>
      <c r="Q41" s="297"/>
      <c r="R41" s="297"/>
      <c r="T41" s="297"/>
      <c r="U41" s="283"/>
      <c r="V41" s="291"/>
      <c r="W41" s="291"/>
      <c r="Z41" s="282"/>
    </row>
    <row r="42" spans="1:29" x14ac:dyDescent="0.3">
      <c r="A42" s="27">
        <f t="shared" si="0"/>
        <v>30</v>
      </c>
      <c r="C42" s="27" t="s">
        <v>75</v>
      </c>
      <c r="G42" s="51"/>
      <c r="H42" s="51"/>
      <c r="I42" s="51"/>
      <c r="J42" s="50"/>
      <c r="K42" s="51"/>
      <c r="L42" s="51"/>
      <c r="M42" s="52"/>
      <c r="P42" s="296"/>
      <c r="Q42" s="297"/>
      <c r="R42" s="297"/>
      <c r="T42" s="297"/>
      <c r="U42" s="283"/>
      <c r="V42" s="291"/>
      <c r="W42" s="291"/>
      <c r="Z42" s="282"/>
    </row>
    <row r="43" spans="1:29" x14ac:dyDescent="0.3">
      <c r="A43" s="27">
        <f t="shared" si="0"/>
        <v>31</v>
      </c>
      <c r="D43" s="27" t="s">
        <v>67</v>
      </c>
      <c r="F43" s="27" t="s">
        <v>78</v>
      </c>
      <c r="G43" s="56">
        <f>'[1]MFR E-13c'!F84/10</f>
        <v>7.6390000000000002</v>
      </c>
      <c r="H43" s="56">
        <f>'[1]MFR E-13c'!L84/10</f>
        <v>7.7750000000000004</v>
      </c>
      <c r="I43" s="56">
        <f>'[1]MFR E-14B'!H39</f>
        <v>8.2959221185854677</v>
      </c>
      <c r="J43" s="50" t="s">
        <v>68</v>
      </c>
      <c r="K43" s="51" t="s">
        <v>69</v>
      </c>
      <c r="L43" s="56"/>
      <c r="M43" s="60"/>
      <c r="N43" s="295">
        <f>H43-G43</f>
        <v>0.13600000000000012</v>
      </c>
      <c r="O43" s="284">
        <f>(N43/G43)</f>
        <v>1.7803377405419572E-2</v>
      </c>
      <c r="P43" s="296">
        <v>1821747.0640758092</v>
      </c>
      <c r="Q43" s="297">
        <f>(+P43*G43*10)/1000</f>
        <v>139163.25822475107</v>
      </c>
      <c r="R43" s="297">
        <f>(+P43*H43*10)/1000</f>
        <v>141640.83423189417</v>
      </c>
      <c r="S43" s="298">
        <f>R43-Q43</f>
        <v>2477.5760071430996</v>
      </c>
      <c r="T43" s="297">
        <f>(+P43*I43*10)/1000</f>
        <v>151130.71763334644</v>
      </c>
      <c r="U43" s="298">
        <f>R43-T43</f>
        <v>-9489.8834014522727</v>
      </c>
      <c r="V43" s="291" t="s">
        <v>98</v>
      </c>
      <c r="W43" s="291" t="s">
        <v>98</v>
      </c>
      <c r="Z43" s="282"/>
    </row>
    <row r="44" spans="1:29" x14ac:dyDescent="0.3">
      <c r="A44" s="27">
        <f t="shared" si="0"/>
        <v>32</v>
      </c>
      <c r="D44" s="27" t="s">
        <v>83</v>
      </c>
      <c r="F44" s="27" t="s">
        <v>78</v>
      </c>
      <c r="G44" s="56">
        <f>'[1]MFR E-13c'!F89/10</f>
        <v>10.834999999999999</v>
      </c>
      <c r="H44" s="56">
        <f>'[1]MFR E-13c'!L89/10</f>
        <v>11.385</v>
      </c>
      <c r="I44" s="57">
        <f>ROUND('[1]MFR E-14C'!AA96,3)</f>
        <v>12.169</v>
      </c>
      <c r="J44" s="50" t="s">
        <v>84</v>
      </c>
      <c r="K44" s="51" t="s">
        <v>85</v>
      </c>
      <c r="L44" s="56"/>
      <c r="M44" s="60"/>
      <c r="N44" s="295">
        <f>H44-G44</f>
        <v>0.55000000000000071</v>
      </c>
      <c r="O44" s="284">
        <f>(N44/G44)</f>
        <v>5.0761421319797023E-2</v>
      </c>
      <c r="P44" s="296">
        <v>29367.944181914649</v>
      </c>
      <c r="Q44" s="297">
        <f>(+P44*G44*10)/1000</f>
        <v>3182.0167521104518</v>
      </c>
      <c r="R44" s="297">
        <f>(+P44*H44*10)/1000</f>
        <v>3343.5404451109821</v>
      </c>
      <c r="S44" s="298">
        <f>R44-Q44</f>
        <v>161.52369300053033</v>
      </c>
      <c r="T44" s="297">
        <f>(+P44*I44*10)/1000</f>
        <v>3573.785127497194</v>
      </c>
      <c r="U44" s="298">
        <f>R44-T44</f>
        <v>-230.24468238621193</v>
      </c>
      <c r="V44" s="291" t="s">
        <v>94</v>
      </c>
      <c r="W44" s="291" t="s">
        <v>94</v>
      </c>
      <c r="Z44" s="282"/>
    </row>
    <row r="45" spans="1:29" x14ac:dyDescent="0.3">
      <c r="A45" s="27">
        <f t="shared" si="0"/>
        <v>33</v>
      </c>
      <c r="D45" s="27" t="s">
        <v>86</v>
      </c>
      <c r="F45" s="27" t="s">
        <v>78</v>
      </c>
      <c r="G45" s="56">
        <f>'[1]MFR E-13c'!F90/10</f>
        <v>8.5779999999999994</v>
      </c>
      <c r="H45" s="56">
        <f>'[1]MFR E-13c'!L90/10</f>
        <v>8.5779999999999994</v>
      </c>
      <c r="I45" s="57">
        <f>ROUND('[1]MFR E-14C'!AA97,3)</f>
        <v>8.3930000000000007</v>
      </c>
      <c r="J45" s="50" t="s">
        <v>84</v>
      </c>
      <c r="K45" s="51" t="s">
        <v>85</v>
      </c>
      <c r="L45" s="56"/>
      <c r="M45" s="60"/>
      <c r="N45" s="295">
        <f>H45-G45</f>
        <v>0</v>
      </c>
      <c r="O45" s="284">
        <f>(N45/G45)</f>
        <v>0</v>
      </c>
      <c r="P45" s="296">
        <v>94002.391742275766</v>
      </c>
      <c r="Q45" s="297">
        <f>(+P45*G45*10)/1000</f>
        <v>8063.5251636524144</v>
      </c>
      <c r="R45" s="297">
        <f>(+P45*H45*10)/1000</f>
        <v>8063.5251636524144</v>
      </c>
      <c r="S45" s="298">
        <f>R45-Q45</f>
        <v>0</v>
      </c>
      <c r="T45" s="297">
        <f>(+P45*I45*10)/1000</f>
        <v>7889.6207389292049</v>
      </c>
      <c r="U45" s="298">
        <f>R45-T45</f>
        <v>173.90442472320956</v>
      </c>
      <c r="V45" s="291" t="s">
        <v>94</v>
      </c>
      <c r="W45" s="291" t="s">
        <v>94</v>
      </c>
      <c r="Z45" s="282"/>
    </row>
    <row r="46" spans="1:29" x14ac:dyDescent="0.3">
      <c r="A46" s="27">
        <f t="shared" si="0"/>
        <v>34</v>
      </c>
      <c r="D46" s="27" t="s">
        <v>87</v>
      </c>
      <c r="F46" s="27" t="s">
        <v>78</v>
      </c>
      <c r="G46" s="56">
        <f>'[1]MFR E-13c'!F91/10</f>
        <v>5.077</v>
      </c>
      <c r="H46" s="56">
        <f>'[1]MFR E-13c'!L91/10</f>
        <v>5.1740000000000004</v>
      </c>
      <c r="I46" s="57">
        <f>ROUND('[1]MFR E-14C'!AA98,3)</f>
        <v>5.5309999999999997</v>
      </c>
      <c r="J46" s="50" t="s">
        <v>84</v>
      </c>
      <c r="K46" s="51" t="s">
        <v>85</v>
      </c>
      <c r="L46" s="56"/>
      <c r="M46" s="60"/>
      <c r="N46" s="295"/>
      <c r="P46" s="296"/>
      <c r="Q46" s="297"/>
      <c r="R46" s="297"/>
      <c r="S46" s="298"/>
      <c r="T46" s="297"/>
      <c r="U46" s="298"/>
      <c r="V46" s="291"/>
      <c r="W46" s="291"/>
      <c r="Z46" s="282"/>
    </row>
    <row r="47" spans="1:29" x14ac:dyDescent="0.3">
      <c r="A47" s="27">
        <f t="shared" si="0"/>
        <v>35</v>
      </c>
      <c r="G47" s="56"/>
      <c r="H47" s="56"/>
      <c r="I47" s="56"/>
      <c r="J47" s="61"/>
      <c r="K47" s="56"/>
      <c r="L47" s="56"/>
      <c r="M47" s="60"/>
      <c r="N47" s="295"/>
      <c r="P47" s="296"/>
      <c r="Q47" s="297"/>
      <c r="R47" s="297"/>
      <c r="T47" s="297"/>
      <c r="U47" s="283"/>
      <c r="V47" s="291"/>
      <c r="W47" s="291"/>
      <c r="Z47" s="282"/>
    </row>
    <row r="48" spans="1:29" x14ac:dyDescent="0.3">
      <c r="A48" s="27">
        <f t="shared" si="0"/>
        <v>36</v>
      </c>
      <c r="C48" s="27" t="s">
        <v>104</v>
      </c>
      <c r="F48" s="27" t="s">
        <v>78</v>
      </c>
      <c r="G48" s="56">
        <v>1.7129999999999999</v>
      </c>
      <c r="H48" s="57">
        <f>I48</f>
        <v>1.7579999999999998</v>
      </c>
      <c r="I48" s="57">
        <f>'[1]MFR E-14G'!G35*100</f>
        <v>1.7579999999999998</v>
      </c>
      <c r="J48" s="50" t="s">
        <v>105</v>
      </c>
      <c r="K48" s="51" t="s">
        <v>106</v>
      </c>
      <c r="L48" s="51"/>
      <c r="M48" s="52"/>
      <c r="N48" s="295">
        <f>H48-G48</f>
        <v>4.4999999999999929E-2</v>
      </c>
      <c r="O48" s="284">
        <f>(N48/G48)</f>
        <v>2.6269702276707493E-2</v>
      </c>
      <c r="P48" s="296"/>
      <c r="Q48" s="297">
        <f>(+P48*G48*10)/1000</f>
        <v>0</v>
      </c>
      <c r="R48" s="297">
        <f>(+P48*H48*10)/1000</f>
        <v>0</v>
      </c>
      <c r="S48" s="298">
        <f>R48-Q48</f>
        <v>0</v>
      </c>
      <c r="T48" s="297">
        <f>(+P48*I48*10)/1000</f>
        <v>0</v>
      </c>
      <c r="U48" s="298">
        <f>R48-T48</f>
        <v>0</v>
      </c>
      <c r="V48" s="291" t="s">
        <v>98</v>
      </c>
      <c r="W48" s="291" t="s">
        <v>98</v>
      </c>
      <c r="Z48" s="282"/>
    </row>
    <row r="49" spans="1:29" x14ac:dyDescent="0.3">
      <c r="A49" s="27">
        <f t="shared" si="0"/>
        <v>37</v>
      </c>
      <c r="G49" s="56"/>
      <c r="H49" s="56"/>
      <c r="I49" s="56"/>
      <c r="J49" s="50"/>
      <c r="K49" s="51"/>
      <c r="L49" s="51"/>
      <c r="M49" s="52"/>
      <c r="P49" s="296"/>
      <c r="Q49" s="297"/>
      <c r="R49" s="297"/>
      <c r="T49" s="297"/>
      <c r="U49" s="283"/>
      <c r="V49" s="291"/>
      <c r="W49" s="291"/>
      <c r="Z49" s="282"/>
    </row>
    <row r="50" spans="1:29" x14ac:dyDescent="0.3">
      <c r="A50" s="27">
        <f t="shared" si="0"/>
        <v>38</v>
      </c>
      <c r="C50" s="27" t="s">
        <v>107</v>
      </c>
      <c r="G50" s="51"/>
      <c r="H50" s="51"/>
      <c r="I50" s="51"/>
      <c r="J50" s="50"/>
      <c r="K50" s="51"/>
      <c r="L50" s="51"/>
      <c r="M50" s="52"/>
      <c r="P50" s="296"/>
      <c r="Q50" s="297"/>
      <c r="R50" s="297"/>
      <c r="T50" s="297"/>
      <c r="U50" s="283"/>
      <c r="V50" s="291"/>
      <c r="W50" s="291"/>
      <c r="Z50" s="282"/>
    </row>
    <row r="51" spans="1:29" x14ac:dyDescent="0.3">
      <c r="A51" s="27">
        <f t="shared" si="0"/>
        <v>39</v>
      </c>
      <c r="D51" s="27" t="s">
        <v>101</v>
      </c>
      <c r="F51" s="27" t="s">
        <v>61</v>
      </c>
      <c r="G51" s="62">
        <v>0.01</v>
      </c>
      <c r="H51" s="62">
        <v>0.01</v>
      </c>
      <c r="I51" s="62"/>
      <c r="J51" s="50"/>
      <c r="K51" s="51" t="s">
        <v>108</v>
      </c>
      <c r="L51" s="51"/>
      <c r="M51" s="52"/>
      <c r="N51" s="306">
        <f>H51-G51</f>
        <v>0</v>
      </c>
      <c r="O51" s="284">
        <f>(N51/G51)</f>
        <v>0</v>
      </c>
      <c r="P51" s="296"/>
      <c r="Q51" s="297">
        <f>(P51*G51)/1000</f>
        <v>0</v>
      </c>
      <c r="R51" s="297">
        <f>(P51*H51)/1000</f>
        <v>0</v>
      </c>
      <c r="S51" s="298">
        <f>R51-Q51</f>
        <v>0</v>
      </c>
      <c r="T51" s="297">
        <f>(P51*I51)/1000</f>
        <v>0</v>
      </c>
      <c r="U51" s="298">
        <f>R51-T51</f>
        <v>0</v>
      </c>
      <c r="V51" s="291" t="s">
        <v>98</v>
      </c>
      <c r="W51" s="291" t="s">
        <v>98</v>
      </c>
      <c r="Z51" s="282"/>
    </row>
    <row r="52" spans="1:29" x14ac:dyDescent="0.3">
      <c r="A52" s="27">
        <f t="shared" si="0"/>
        <v>40</v>
      </c>
      <c r="D52" s="27" t="s">
        <v>102</v>
      </c>
      <c r="F52" s="27" t="s">
        <v>61</v>
      </c>
      <c r="G52" s="62">
        <v>0.02</v>
      </c>
      <c r="H52" s="62">
        <v>0.02</v>
      </c>
      <c r="I52" s="62"/>
      <c r="J52" s="50"/>
      <c r="K52" s="51" t="s">
        <v>108</v>
      </c>
      <c r="L52" s="51"/>
      <c r="M52" s="52"/>
      <c r="N52" s="306">
        <f>H52-G52</f>
        <v>0</v>
      </c>
      <c r="O52" s="284">
        <f>(N52/G52)</f>
        <v>0</v>
      </c>
      <c r="P52" s="296"/>
      <c r="Q52" s="297">
        <f>(P52*G52)/1000</f>
        <v>0</v>
      </c>
      <c r="R52" s="297">
        <f>(P52*H52)/1000</f>
        <v>0</v>
      </c>
      <c r="S52" s="298">
        <f>R52-Q52</f>
        <v>0</v>
      </c>
      <c r="T52" s="297">
        <f>(P52*I52)/1000</f>
        <v>0</v>
      </c>
      <c r="U52" s="298">
        <f>R52-T52</f>
        <v>0</v>
      </c>
      <c r="V52" s="291" t="s">
        <v>98</v>
      </c>
      <c r="W52" s="291" t="s">
        <v>98</v>
      </c>
      <c r="Z52" s="282"/>
    </row>
    <row r="53" spans="1:29" x14ac:dyDescent="0.3">
      <c r="A53" s="27">
        <f t="shared" si="0"/>
        <v>41</v>
      </c>
      <c r="G53" s="62"/>
      <c r="H53" s="62"/>
      <c r="I53" s="62"/>
      <c r="J53" s="50"/>
      <c r="K53" s="51"/>
      <c r="L53" s="51"/>
      <c r="M53" s="52"/>
      <c r="N53" s="306"/>
      <c r="P53" s="296"/>
      <c r="Q53" s="297"/>
      <c r="R53" s="297"/>
      <c r="S53" s="298"/>
      <c r="T53" s="297"/>
      <c r="U53" s="298"/>
      <c r="V53" s="291"/>
      <c r="W53" s="291"/>
      <c r="Z53" s="282"/>
    </row>
    <row r="54" spans="1:29" x14ac:dyDescent="0.3">
      <c r="A54" s="27">
        <f t="shared" si="0"/>
        <v>42</v>
      </c>
      <c r="C54" s="27" t="s">
        <v>109</v>
      </c>
      <c r="F54" s="27" t="s">
        <v>61</v>
      </c>
      <c r="G54" s="63">
        <f>G182</f>
        <v>9.5999999999999992E-3</v>
      </c>
      <c r="H54" s="64">
        <f>I54</f>
        <v>9.5999999999999992E-3</v>
      </c>
      <c r="I54" s="65">
        <f>I182</f>
        <v>9.5999999999999992E-3</v>
      </c>
      <c r="J54" s="42" t="s">
        <v>110</v>
      </c>
      <c r="K54" s="66" t="s">
        <v>111</v>
      </c>
      <c r="L54" s="51"/>
      <c r="M54" s="52"/>
      <c r="N54" s="307">
        <f>H54-G54</f>
        <v>0</v>
      </c>
      <c r="O54" s="284">
        <f>(N54/G54)</f>
        <v>0</v>
      </c>
      <c r="P54" s="296"/>
      <c r="Q54" s="296"/>
      <c r="R54" s="296"/>
      <c r="T54" s="296"/>
      <c r="U54" s="283"/>
      <c r="V54" s="291" t="s">
        <v>98</v>
      </c>
      <c r="W54" s="291" t="s">
        <v>98</v>
      </c>
      <c r="Z54" s="282"/>
    </row>
    <row r="55" spans="1:29" ht="14.4" thickBot="1" x14ac:dyDescent="0.35">
      <c r="B55" s="31"/>
      <c r="C55" s="31"/>
      <c r="D55" s="31"/>
      <c r="E55" s="31"/>
      <c r="F55" s="31"/>
      <c r="G55" s="52"/>
      <c r="H55" s="52"/>
      <c r="I55" s="52"/>
      <c r="J55" s="59"/>
      <c r="K55" s="52"/>
      <c r="L55" s="52"/>
      <c r="M55" s="52"/>
      <c r="N55" s="300"/>
      <c r="O55" s="301"/>
      <c r="P55" s="302"/>
      <c r="Q55" s="303">
        <f>SUM(Q31:Q54)</f>
        <v>177428.43709446272</v>
      </c>
      <c r="R55" s="303">
        <f>SUM(R31:R54)</f>
        <v>180506.60652736438</v>
      </c>
      <c r="S55" s="303">
        <f>SUM(S31:S54)</f>
        <v>3078.1694329016545</v>
      </c>
      <c r="T55" s="303">
        <f>SUM(T31:T54)</f>
        <v>188139.4878522928</v>
      </c>
      <c r="U55" s="303">
        <f>SUM(U31:U54)</f>
        <v>-7632.8813249284549</v>
      </c>
      <c r="V55" s="291"/>
      <c r="W55" s="291"/>
      <c r="Z55" s="282"/>
    </row>
    <row r="56" spans="1:29" ht="14.4" thickTop="1" x14ac:dyDescent="0.3">
      <c r="A56" s="27">
        <f>+A54+1</f>
        <v>43</v>
      </c>
      <c r="B56" s="48"/>
      <c r="G56" s="51"/>
      <c r="H56" s="51"/>
      <c r="I56" s="51"/>
      <c r="J56" s="50"/>
      <c r="K56" s="51"/>
      <c r="L56" s="51"/>
      <c r="M56" s="52"/>
      <c r="P56" s="296"/>
      <c r="Q56" s="296"/>
      <c r="R56" s="296"/>
      <c r="S56" s="304" t="s">
        <v>91</v>
      </c>
      <c r="T56" s="305">
        <v>0</v>
      </c>
      <c r="U56" s="283"/>
      <c r="V56" s="291"/>
      <c r="W56" s="291"/>
      <c r="Z56" s="282"/>
    </row>
    <row r="57" spans="1:29" x14ac:dyDescent="0.3">
      <c r="A57" s="27">
        <f t="shared" si="0"/>
        <v>44</v>
      </c>
      <c r="B57" s="48" t="s">
        <v>112</v>
      </c>
      <c r="C57" s="27" t="s">
        <v>65</v>
      </c>
      <c r="G57" s="51"/>
      <c r="H57" s="51"/>
      <c r="I57" s="51"/>
      <c r="J57" s="50"/>
      <c r="K57" s="51"/>
      <c r="L57" s="51"/>
      <c r="M57" s="52"/>
      <c r="P57" s="296"/>
      <c r="Q57" s="296"/>
      <c r="R57" s="296"/>
      <c r="T57" s="296"/>
      <c r="U57" s="283"/>
      <c r="V57" s="291"/>
      <c r="W57" s="291"/>
      <c r="Z57" s="282"/>
    </row>
    <row r="58" spans="1:29" x14ac:dyDescent="0.3">
      <c r="A58" s="27">
        <f t="shared" si="0"/>
        <v>45</v>
      </c>
      <c r="D58" s="27" t="s">
        <v>67</v>
      </c>
      <c r="G58" s="51"/>
      <c r="H58" s="51"/>
      <c r="I58" s="51"/>
      <c r="J58" s="50"/>
      <c r="K58" s="51"/>
      <c r="L58" s="51"/>
      <c r="M58" s="52"/>
      <c r="P58" s="296"/>
      <c r="Q58" s="296"/>
      <c r="R58" s="296"/>
      <c r="T58" s="296"/>
      <c r="U58" s="283"/>
      <c r="V58" s="291"/>
      <c r="W58" s="291"/>
      <c r="Z58" s="282"/>
    </row>
    <row r="59" spans="1:29" x14ac:dyDescent="0.3">
      <c r="A59" s="27">
        <f t="shared" si="0"/>
        <v>46</v>
      </c>
      <c r="D59" s="54" t="s">
        <v>95</v>
      </c>
      <c r="F59" s="27" t="s">
        <v>60</v>
      </c>
      <c r="G59" s="49">
        <f>'[1]MFR E-13c'!F131</f>
        <v>12.67</v>
      </c>
      <c r="H59" s="49">
        <f>'[1]MFR E-13c'!L131</f>
        <v>13.34</v>
      </c>
      <c r="I59" s="49">
        <f>SUM('[1]MFR E-6b'!J52,'[1]MFR E-6b'!J55)</f>
        <v>11.018714270397499</v>
      </c>
      <c r="J59" s="50" t="s">
        <v>113</v>
      </c>
      <c r="K59" s="51" t="s">
        <v>69</v>
      </c>
      <c r="L59" s="51"/>
      <c r="M59" s="52"/>
      <c r="N59" s="295">
        <f>H59-G59</f>
        <v>0.66999999999999993</v>
      </c>
      <c r="O59" s="284">
        <f>(N59/G59)</f>
        <v>5.2880820836621933E-2</v>
      </c>
      <c r="P59" s="296">
        <v>10797.571442115595</v>
      </c>
      <c r="Q59" s="297">
        <f>(P59*G59)/1000</f>
        <v>136.80523017160459</v>
      </c>
      <c r="R59" s="297">
        <f>(P59*H59)/1000</f>
        <v>144.03960303782202</v>
      </c>
      <c r="S59" s="298">
        <f>R59-Q59</f>
        <v>7.2343728662174271</v>
      </c>
      <c r="T59" s="297">
        <f>(P59*I59)/1000</f>
        <v>118.97535453487562</v>
      </c>
      <c r="U59" s="298">
        <f>R59-T59</f>
        <v>25.064248502946398</v>
      </c>
      <c r="V59" s="291" t="s">
        <v>112</v>
      </c>
      <c r="W59" s="291" t="s">
        <v>112</v>
      </c>
      <c r="Z59" s="282"/>
      <c r="AC59" s="27" t="b">
        <f>H59&gt;=I59</f>
        <v>1</v>
      </c>
    </row>
    <row r="60" spans="1:29" x14ac:dyDescent="0.3">
      <c r="A60" s="27">
        <f t="shared" si="0"/>
        <v>47</v>
      </c>
      <c r="D60" s="54" t="s">
        <v>114</v>
      </c>
      <c r="F60" s="27" t="s">
        <v>60</v>
      </c>
      <c r="G60" s="49">
        <f>'[1]MFR E-13c'!F132</f>
        <v>22.51</v>
      </c>
      <c r="H60" s="49">
        <f>'[1]MFR E-13c'!L132</f>
        <v>23.72</v>
      </c>
      <c r="I60" s="49">
        <f>SUM('[1]MFR E-6b'!J56)</f>
        <v>14.851427100679967</v>
      </c>
      <c r="J60" s="50" t="s">
        <v>113</v>
      </c>
      <c r="K60" s="51" t="s">
        <v>69</v>
      </c>
      <c r="L60" s="51"/>
      <c r="M60" s="52"/>
      <c r="N60" s="295">
        <f>H60-G60</f>
        <v>1.2099999999999973</v>
      </c>
      <c r="O60" s="284">
        <f>(N60/G60)</f>
        <v>5.3753887161261539E-2</v>
      </c>
      <c r="P60" s="296">
        <v>169777.44269799883</v>
      </c>
      <c r="Q60" s="297">
        <f>(P60*G60)/1000</f>
        <v>3821.6902351319541</v>
      </c>
      <c r="R60" s="297">
        <f>(P60*H60)/1000</f>
        <v>4027.1209407965321</v>
      </c>
      <c r="S60" s="298">
        <f>R60-Q60</f>
        <v>205.430705664578</v>
      </c>
      <c r="T60" s="297">
        <f>(P60*I60)/1000</f>
        <v>2521.4373135692003</v>
      </c>
      <c r="U60" s="298">
        <f>R60-T60</f>
        <v>1505.6836272273317</v>
      </c>
      <c r="V60" s="291" t="s">
        <v>112</v>
      </c>
      <c r="W60" s="291" t="s">
        <v>112</v>
      </c>
      <c r="Z60" s="282"/>
      <c r="AC60" s="27" t="b">
        <f>H60&gt;=I60</f>
        <v>1</v>
      </c>
    </row>
    <row r="61" spans="1:29" x14ac:dyDescent="0.3">
      <c r="A61" s="27">
        <f t="shared" si="0"/>
        <v>48</v>
      </c>
      <c r="G61" s="51"/>
      <c r="H61" s="51"/>
      <c r="I61" s="51"/>
      <c r="J61" s="50"/>
      <c r="K61" s="51"/>
      <c r="L61" s="51"/>
      <c r="M61" s="52"/>
      <c r="P61" s="296"/>
      <c r="Q61" s="297"/>
      <c r="R61" s="297"/>
      <c r="T61" s="297"/>
      <c r="U61" s="283"/>
      <c r="V61" s="291"/>
      <c r="W61" s="291"/>
      <c r="Z61" s="282"/>
    </row>
    <row r="62" spans="1:29" x14ac:dyDescent="0.3">
      <c r="A62" s="27">
        <f t="shared" si="0"/>
        <v>49</v>
      </c>
      <c r="C62" s="27" t="s">
        <v>75</v>
      </c>
      <c r="G62" s="51"/>
      <c r="H62" s="51"/>
      <c r="I62" s="51"/>
      <c r="J62" s="50"/>
      <c r="K62" s="51"/>
      <c r="L62" s="51"/>
      <c r="M62" s="52"/>
      <c r="P62" s="296"/>
      <c r="Q62" s="297"/>
      <c r="R62" s="297"/>
      <c r="T62" s="297"/>
      <c r="U62" s="283"/>
      <c r="V62" s="291"/>
      <c r="W62" s="291"/>
      <c r="Z62" s="282"/>
    </row>
    <row r="63" spans="1:29" x14ac:dyDescent="0.3">
      <c r="A63" s="27">
        <f t="shared" si="0"/>
        <v>50</v>
      </c>
      <c r="D63" s="27" t="s">
        <v>67</v>
      </c>
      <c r="F63" s="27" t="s">
        <v>78</v>
      </c>
      <c r="G63" s="56">
        <f>'[1]MFR E-13c'!F137/10</f>
        <v>3.8909999999999996</v>
      </c>
      <c r="H63" s="56">
        <f>'[1]MFR E-13c'!L137/10</f>
        <v>4.1070000000000002</v>
      </c>
      <c r="I63" s="57">
        <f>SUM('[1]MFR E-6b'!J59,'[1]MFR E-6b'!J66)/10</f>
        <v>5.2102721210464846</v>
      </c>
      <c r="J63" s="50" t="s">
        <v>113</v>
      </c>
      <c r="K63" s="51" t="s">
        <v>69</v>
      </c>
      <c r="L63" s="56"/>
      <c r="M63" s="60"/>
      <c r="N63" s="295">
        <f>H63-G63</f>
        <v>0.21600000000000064</v>
      </c>
      <c r="O63" s="284">
        <f>(N63/G63)</f>
        <v>5.551272166538182E-2</v>
      </c>
      <c r="P63" s="296">
        <v>180592.4</v>
      </c>
      <c r="Q63" s="297">
        <f>(+P63*G63*10)/1000</f>
        <v>7026.8502840000001</v>
      </c>
      <c r="R63" s="297">
        <f>(+P63*H63*10)/1000</f>
        <v>7416.9298680000011</v>
      </c>
      <c r="S63" s="298">
        <f>R63-Q63</f>
        <v>390.07958400000098</v>
      </c>
      <c r="T63" s="297">
        <f>(+P63*I63*10)/1000</f>
        <v>9409.3554699287524</v>
      </c>
      <c r="U63" s="298">
        <f>R63-T63</f>
        <v>-1992.4256019287513</v>
      </c>
      <c r="V63" s="291" t="s">
        <v>112</v>
      </c>
      <c r="W63" s="291" t="s">
        <v>112</v>
      </c>
      <c r="Z63" s="282"/>
    </row>
    <row r="64" spans="1:29" x14ac:dyDescent="0.3">
      <c r="A64" s="27">
        <f t="shared" si="0"/>
        <v>51</v>
      </c>
      <c r="G64" s="56"/>
      <c r="H64" s="56"/>
      <c r="I64" s="56"/>
      <c r="J64" s="61"/>
      <c r="K64" s="56"/>
      <c r="L64" s="56"/>
      <c r="M64" s="60"/>
      <c r="P64" s="296"/>
      <c r="Q64" s="297"/>
      <c r="R64" s="297"/>
      <c r="T64" s="297"/>
      <c r="U64" s="283"/>
      <c r="V64" s="291"/>
      <c r="W64" s="291"/>
      <c r="Z64" s="282"/>
    </row>
    <row r="65" spans="1:29" x14ac:dyDescent="0.3">
      <c r="A65" s="27">
        <f t="shared" si="0"/>
        <v>52</v>
      </c>
      <c r="C65" s="27" t="s">
        <v>104</v>
      </c>
      <c r="F65" s="27" t="s">
        <v>78</v>
      </c>
      <c r="G65" s="57">
        <v>0.36199999999999999</v>
      </c>
      <c r="H65" s="57">
        <f>I65</f>
        <v>0.371</v>
      </c>
      <c r="I65" s="57">
        <f>'[1]MFR E-14G'!I35*100</f>
        <v>0.371</v>
      </c>
      <c r="J65" s="50" t="s">
        <v>105</v>
      </c>
      <c r="K65" s="51" t="s">
        <v>106</v>
      </c>
      <c r="L65" s="56"/>
      <c r="M65" s="60"/>
      <c r="N65" s="295">
        <f>H65-G65</f>
        <v>9.000000000000008E-3</v>
      </c>
      <c r="O65" s="284">
        <f>(N65/G65)</f>
        <v>2.4861878453038697E-2</v>
      </c>
      <c r="P65" s="296"/>
      <c r="Q65" s="297">
        <f>(+P65*G65*10)/1000</f>
        <v>0</v>
      </c>
      <c r="R65" s="297">
        <f>(+P65*H65*10)/1000</f>
        <v>0</v>
      </c>
      <c r="S65" s="298">
        <f>R65-Q65</f>
        <v>0</v>
      </c>
      <c r="T65" s="297">
        <f>(+P65*I65*10)/1000</f>
        <v>0</v>
      </c>
      <c r="U65" s="298">
        <f>R65-T65</f>
        <v>0</v>
      </c>
      <c r="V65" s="291" t="s">
        <v>112</v>
      </c>
      <c r="W65" s="291" t="s">
        <v>112</v>
      </c>
      <c r="Z65" s="282"/>
    </row>
    <row r="66" spans="1:29" x14ac:dyDescent="0.3">
      <c r="A66" s="27">
        <f t="shared" si="0"/>
        <v>53</v>
      </c>
      <c r="G66" s="56"/>
      <c r="H66" s="56"/>
      <c r="I66" s="56"/>
      <c r="J66" s="61"/>
      <c r="K66" s="56"/>
      <c r="L66" s="56"/>
      <c r="M66" s="60"/>
      <c r="N66" s="295"/>
      <c r="P66" s="296"/>
      <c r="Q66" s="296"/>
      <c r="R66" s="296"/>
      <c r="T66" s="296"/>
      <c r="U66" s="283"/>
      <c r="V66" s="291"/>
      <c r="W66" s="291"/>
      <c r="Z66" s="282"/>
    </row>
    <row r="67" spans="1:29" ht="14.4" thickBot="1" x14ac:dyDescent="0.35">
      <c r="B67" s="31"/>
      <c r="C67" s="31"/>
      <c r="D67" s="31"/>
      <c r="E67" s="31"/>
      <c r="F67" s="31"/>
      <c r="G67" s="52"/>
      <c r="H67" s="52"/>
      <c r="I67" s="52"/>
      <c r="J67" s="59"/>
      <c r="K67" s="52"/>
      <c r="L67" s="52"/>
      <c r="M67" s="52"/>
      <c r="N67" s="300"/>
      <c r="O67" s="301"/>
      <c r="P67" s="302"/>
      <c r="Q67" s="303">
        <f>SUM(Q57:Q66)</f>
        <v>10985.345749303558</v>
      </c>
      <c r="R67" s="303">
        <f>SUM(R57:R66)</f>
        <v>11588.090411834355</v>
      </c>
      <c r="S67" s="303">
        <f>SUM(S57:S66)</f>
        <v>602.7446625307964</v>
      </c>
      <c r="T67" s="303">
        <f>SUM(T57:T66)</f>
        <v>12049.768138032829</v>
      </c>
      <c r="U67" s="303">
        <f>SUM(U57:U66)</f>
        <v>-461.67772619847324</v>
      </c>
      <c r="V67" s="291"/>
      <c r="W67" s="291"/>
      <c r="Z67" s="282"/>
    </row>
    <row r="68" spans="1:29" ht="14.4" thickTop="1" x14ac:dyDescent="0.3">
      <c r="A68" s="27">
        <f>+A66+1</f>
        <v>54</v>
      </c>
      <c r="B68" s="48"/>
      <c r="G68" s="51"/>
      <c r="H68" s="51"/>
      <c r="I68" s="51"/>
      <c r="J68" s="50"/>
      <c r="K68" s="51"/>
      <c r="L68" s="51"/>
      <c r="M68" s="52"/>
      <c r="P68" s="296"/>
      <c r="Q68" s="296"/>
      <c r="R68" s="296"/>
      <c r="S68" s="304" t="s">
        <v>91</v>
      </c>
      <c r="T68" s="305">
        <v>0</v>
      </c>
      <c r="U68" s="283"/>
      <c r="V68" s="291"/>
      <c r="W68" s="291"/>
      <c r="Z68" s="282"/>
    </row>
    <row r="69" spans="1:29" x14ac:dyDescent="0.3">
      <c r="A69" s="27">
        <f t="shared" si="0"/>
        <v>55</v>
      </c>
      <c r="B69" s="48" t="s">
        <v>115</v>
      </c>
      <c r="C69" s="27" t="s">
        <v>65</v>
      </c>
      <c r="G69" s="51"/>
      <c r="H69" s="51"/>
      <c r="I69" s="51"/>
      <c r="J69" s="50"/>
      <c r="K69" s="51"/>
      <c r="L69" s="51"/>
      <c r="M69" s="52"/>
      <c r="P69" s="296"/>
      <c r="Q69" s="296"/>
      <c r="R69" s="296"/>
      <c r="T69" s="296"/>
      <c r="U69" s="283"/>
      <c r="V69" s="291"/>
      <c r="W69" s="291"/>
      <c r="Z69" s="282"/>
    </row>
    <row r="70" spans="1:29" x14ac:dyDescent="0.3">
      <c r="A70" s="27">
        <f t="shared" si="0"/>
        <v>56</v>
      </c>
      <c r="B70" s="48" t="s">
        <v>116</v>
      </c>
      <c r="D70" s="27" t="s">
        <v>67</v>
      </c>
      <c r="G70" s="55"/>
      <c r="H70" s="55"/>
      <c r="I70" s="55"/>
      <c r="J70" s="50"/>
      <c r="K70" s="51"/>
      <c r="L70" s="51"/>
      <c r="M70" s="52"/>
      <c r="P70" s="296"/>
      <c r="Q70" s="296"/>
      <c r="R70" s="296"/>
      <c r="T70" s="296"/>
      <c r="U70" s="283"/>
      <c r="V70" s="291"/>
      <c r="W70" s="291"/>
      <c r="Z70" s="282"/>
    </row>
    <row r="71" spans="1:29" x14ac:dyDescent="0.3">
      <c r="A71" s="27">
        <f t="shared" si="0"/>
        <v>57</v>
      </c>
      <c r="B71" s="48"/>
      <c r="D71" s="54" t="s">
        <v>99</v>
      </c>
      <c r="F71" s="27" t="s">
        <v>60</v>
      </c>
      <c r="G71" s="49">
        <f>'[1]MFR E-13c'!F165</f>
        <v>22.07</v>
      </c>
      <c r="H71" s="49">
        <f>'[1]MFR E-13c'!L165</f>
        <v>22.35</v>
      </c>
      <c r="I71" s="58">
        <f>'[1]MFR E-14E'!H53</f>
        <v>21.776960704636146</v>
      </c>
      <c r="J71" s="50" t="s">
        <v>96</v>
      </c>
      <c r="K71" s="51" t="s">
        <v>69</v>
      </c>
      <c r="L71" s="51"/>
      <c r="M71" s="52"/>
      <c r="N71" s="295">
        <f>H71-G71</f>
        <v>0.28000000000000114</v>
      </c>
      <c r="O71" s="284">
        <f>(N71/G71)</f>
        <v>1.2686905301314052E-2</v>
      </c>
      <c r="P71" s="296">
        <v>410153.35282424564</v>
      </c>
      <c r="Q71" s="297">
        <f>(P71*G71)/1000</f>
        <v>9052.0844968311012</v>
      </c>
      <c r="R71" s="297">
        <f>(P71*H71)/1000</f>
        <v>9166.9274356218921</v>
      </c>
      <c r="S71" s="298">
        <f>R71-Q71</f>
        <v>114.84293879079087</v>
      </c>
      <c r="T71" s="297">
        <f>(P71*I71)/1000</f>
        <v>8931.8934473283625</v>
      </c>
      <c r="U71" s="298">
        <f>R71-T71</f>
        <v>235.03398829352955</v>
      </c>
      <c r="V71" s="291" t="s">
        <v>115</v>
      </c>
      <c r="W71" s="291" t="s">
        <v>115</v>
      </c>
      <c r="Z71" s="282"/>
      <c r="AC71" s="27" t="b">
        <f t="shared" ref="AC71:AC73" si="9">H71&gt;=I71</f>
        <v>1</v>
      </c>
    </row>
    <row r="72" spans="1:29" x14ac:dyDescent="0.3">
      <c r="A72" s="27">
        <f t="shared" si="0"/>
        <v>58</v>
      </c>
      <c r="B72" s="48"/>
      <c r="D72" s="54" t="s">
        <v>101</v>
      </c>
      <c r="F72" s="27" t="s">
        <v>60</v>
      </c>
      <c r="G72" s="49">
        <f>'[1]MFR E-13c'!F166</f>
        <v>279.02999999999997</v>
      </c>
      <c r="H72" s="49">
        <f>'[1]MFR E-13c'!L166</f>
        <v>282.52999999999997</v>
      </c>
      <c r="I72" s="58">
        <f>'[1]MFR E-14E'!H54</f>
        <v>171.85798701995466</v>
      </c>
      <c r="J72" s="50" t="s">
        <v>96</v>
      </c>
      <c r="K72" s="51" t="s">
        <v>69</v>
      </c>
      <c r="L72" s="51"/>
      <c r="M72" s="52"/>
      <c r="N72" s="295">
        <f>H72-G72</f>
        <v>3.5</v>
      </c>
      <c r="O72" s="284">
        <f>(N72/G72)</f>
        <v>1.2543454108877182E-2</v>
      </c>
      <c r="P72" s="296">
        <v>917.45955625931117</v>
      </c>
      <c r="Q72" s="297">
        <f>(P72*G72)/1000</f>
        <v>255.99873998303556</v>
      </c>
      <c r="R72" s="297">
        <f>(P72*H72)/1000</f>
        <v>259.20984842994318</v>
      </c>
      <c r="S72" s="298">
        <f>R72-Q72</f>
        <v>3.2111084469076161</v>
      </c>
      <c r="T72" s="297">
        <f>(P72*I72)/1000</f>
        <v>157.67275251094608</v>
      </c>
      <c r="U72" s="298">
        <f>R72-T72</f>
        <v>101.5370959189971</v>
      </c>
      <c r="V72" s="291" t="s">
        <v>115</v>
      </c>
      <c r="W72" s="291" t="s">
        <v>115</v>
      </c>
      <c r="Z72" s="282"/>
      <c r="AC72" s="27" t="b">
        <f t="shared" si="9"/>
        <v>1</v>
      </c>
    </row>
    <row r="73" spans="1:29" x14ac:dyDescent="0.3">
      <c r="A73" s="27">
        <f t="shared" si="0"/>
        <v>59</v>
      </c>
      <c r="D73" s="54" t="s">
        <v>102</v>
      </c>
      <c r="F73" s="27" t="s">
        <v>60</v>
      </c>
      <c r="G73" s="49">
        <f>'[1]MFR E-13c'!F167</f>
        <v>1376.31</v>
      </c>
      <c r="H73" s="49">
        <f>'[1]MFR E-13c'!L167</f>
        <v>1393.56</v>
      </c>
      <c r="I73" s="58">
        <f>'[1]MFR E-14E'!H55</f>
        <v>402.95731021843767</v>
      </c>
      <c r="J73" s="50" t="s">
        <v>96</v>
      </c>
      <c r="K73" s="51" t="s">
        <v>69</v>
      </c>
      <c r="L73" s="51"/>
      <c r="M73" s="52"/>
      <c r="N73" s="295">
        <f>H73-G73</f>
        <v>17.25</v>
      </c>
      <c r="O73" s="284">
        <f>(N73/G73)</f>
        <v>1.25335135252959E-2</v>
      </c>
      <c r="P73" s="296"/>
      <c r="Q73" s="297">
        <f>(P73*G73)/1000</f>
        <v>0</v>
      </c>
      <c r="R73" s="297">
        <f>(P73*H73)/1000</f>
        <v>0</v>
      </c>
      <c r="S73" s="298">
        <f>R73-Q73</f>
        <v>0</v>
      </c>
      <c r="T73" s="297">
        <f>(P73*I73)/1000</f>
        <v>0</v>
      </c>
      <c r="U73" s="298">
        <f>R73-T73</f>
        <v>0</v>
      </c>
      <c r="V73" s="291" t="s">
        <v>115</v>
      </c>
      <c r="W73" s="291" t="s">
        <v>115</v>
      </c>
      <c r="Z73" s="282"/>
      <c r="AC73" s="27" t="b">
        <f t="shared" si="9"/>
        <v>1</v>
      </c>
    </row>
    <row r="74" spans="1:29" x14ac:dyDescent="0.3">
      <c r="A74" s="27">
        <f t="shared" si="0"/>
        <v>60</v>
      </c>
      <c r="D74" s="27" t="s">
        <v>71</v>
      </c>
      <c r="G74" s="49"/>
      <c r="H74" s="49"/>
      <c r="I74" s="49"/>
      <c r="J74" s="50"/>
      <c r="K74" s="51"/>
      <c r="L74" s="51"/>
      <c r="M74" s="52"/>
      <c r="P74" s="296"/>
      <c r="Q74" s="297"/>
      <c r="R74" s="297"/>
      <c r="T74" s="297"/>
      <c r="U74" s="283"/>
      <c r="V74" s="291"/>
      <c r="W74" s="291"/>
      <c r="Z74" s="282"/>
    </row>
    <row r="75" spans="1:29" x14ac:dyDescent="0.3">
      <c r="A75" s="27">
        <f t="shared" si="0"/>
        <v>61</v>
      </c>
      <c r="D75" s="54" t="s">
        <v>99</v>
      </c>
      <c r="F75" s="27" t="s">
        <v>60</v>
      </c>
      <c r="G75" s="49">
        <f>'[1]MFR E-13c'!F169</f>
        <v>22.07</v>
      </c>
      <c r="H75" s="49">
        <f>'[1]MFR E-13c'!L169</f>
        <v>22.35</v>
      </c>
      <c r="I75" s="58">
        <f>I71</f>
        <v>21.776960704636146</v>
      </c>
      <c r="J75" s="50" t="s">
        <v>96</v>
      </c>
      <c r="K75" s="51" t="s">
        <v>117</v>
      </c>
      <c r="L75" s="51"/>
      <c r="M75" s="52"/>
      <c r="N75" s="295">
        <f t="shared" ref="N75:N77" si="10">H75-G75</f>
        <v>0.28000000000000114</v>
      </c>
      <c r="O75" s="284">
        <f t="shared" ref="O75:O77" si="11">(N75/G75)</f>
        <v>1.2686905301314052E-2</v>
      </c>
      <c r="P75" s="296">
        <v>169731.8802606402</v>
      </c>
      <c r="Q75" s="297">
        <f t="shared" ref="Q75:Q76" si="12">(P75*G75)/1000</f>
        <v>3745.9825973523293</v>
      </c>
      <c r="R75" s="297">
        <f t="shared" ref="R75:R76" si="13">(P75*H75)/1000</f>
        <v>3793.5075238253089</v>
      </c>
      <c r="S75" s="298">
        <f t="shared" ref="S75:S76" si="14">R75-Q75</f>
        <v>47.524926472979587</v>
      </c>
      <c r="T75" s="297">
        <f t="shared" ref="T75:T76" si="15">(P75*I75)/1000</f>
        <v>3696.2444867599688</v>
      </c>
      <c r="U75" s="298">
        <f t="shared" ref="U75:U76" si="16">R75-T75</f>
        <v>97.263037065340086</v>
      </c>
      <c r="V75" s="291" t="s">
        <v>116</v>
      </c>
      <c r="W75" s="291" t="s">
        <v>116</v>
      </c>
      <c r="Z75" s="282"/>
      <c r="AC75" s="27" t="b">
        <f t="shared" ref="AC75:AC77" si="17">H75&gt;=I75</f>
        <v>1</v>
      </c>
    </row>
    <row r="76" spans="1:29" x14ac:dyDescent="0.3">
      <c r="A76" s="27">
        <f t="shared" si="0"/>
        <v>62</v>
      </c>
      <c r="D76" s="54" t="s">
        <v>101</v>
      </c>
      <c r="F76" s="27" t="s">
        <v>60</v>
      </c>
      <c r="G76" s="49">
        <f>'[1]MFR E-13c'!F170</f>
        <v>279.02999999999997</v>
      </c>
      <c r="H76" s="49">
        <f>'[1]MFR E-13c'!L170</f>
        <v>282.52999999999997</v>
      </c>
      <c r="I76" s="58">
        <f>I72</f>
        <v>171.85798701995466</v>
      </c>
      <c r="J76" s="50" t="s">
        <v>96</v>
      </c>
      <c r="K76" s="51" t="s">
        <v>117</v>
      </c>
      <c r="L76" s="51"/>
      <c r="M76" s="52"/>
      <c r="N76" s="295">
        <f t="shared" si="10"/>
        <v>3.5</v>
      </c>
      <c r="O76" s="284">
        <f t="shared" si="11"/>
        <v>1.2543454108877182E-2</v>
      </c>
      <c r="P76" s="296">
        <v>2777.5426391952201</v>
      </c>
      <c r="Q76" s="297">
        <f t="shared" si="12"/>
        <v>775.01772261464225</v>
      </c>
      <c r="R76" s="297">
        <f t="shared" si="13"/>
        <v>784.73912185182553</v>
      </c>
      <c r="S76" s="298">
        <f t="shared" si="14"/>
        <v>9.7213992371832774</v>
      </c>
      <c r="T76" s="297">
        <f t="shared" si="15"/>
        <v>477.34288683418276</v>
      </c>
      <c r="U76" s="298">
        <f t="shared" si="16"/>
        <v>307.39623501764277</v>
      </c>
      <c r="V76" s="291" t="s">
        <v>116</v>
      </c>
      <c r="W76" s="291" t="s">
        <v>116</v>
      </c>
      <c r="Z76" s="282"/>
      <c r="AC76" s="27" t="b">
        <f t="shared" si="17"/>
        <v>1</v>
      </c>
    </row>
    <row r="77" spans="1:29" x14ac:dyDescent="0.3">
      <c r="A77" s="27">
        <f t="shared" si="0"/>
        <v>63</v>
      </c>
      <c r="D77" s="54" t="s">
        <v>102</v>
      </c>
      <c r="F77" s="27" t="s">
        <v>60</v>
      </c>
      <c r="G77" s="49">
        <f>'[1]MFR E-13c'!F171</f>
        <v>1376.31</v>
      </c>
      <c r="H77" s="49">
        <f>'[1]MFR E-13c'!L171</f>
        <v>1393.56</v>
      </c>
      <c r="I77" s="58">
        <f>I73</f>
        <v>402.95731021843767</v>
      </c>
      <c r="J77" s="50" t="s">
        <v>96</v>
      </c>
      <c r="K77" s="51" t="s">
        <v>117</v>
      </c>
      <c r="L77" s="51"/>
      <c r="M77" s="52"/>
      <c r="N77" s="295">
        <f t="shared" si="10"/>
        <v>17.25</v>
      </c>
      <c r="O77" s="284">
        <f t="shared" si="11"/>
        <v>1.25335135252959E-2</v>
      </c>
      <c r="P77" s="296">
        <v>0</v>
      </c>
      <c r="Q77" s="297">
        <f>(P77*G77)/1000</f>
        <v>0</v>
      </c>
      <c r="R77" s="297">
        <f>(P77*H77)/1000</f>
        <v>0</v>
      </c>
      <c r="S77" s="298">
        <f>R77-Q77</f>
        <v>0</v>
      </c>
      <c r="T77" s="297">
        <f>(P77*I77)/1000</f>
        <v>0</v>
      </c>
      <c r="U77" s="298">
        <f>R77-T77</f>
        <v>0</v>
      </c>
      <c r="V77" s="291" t="s">
        <v>116</v>
      </c>
      <c r="W77" s="291" t="s">
        <v>116</v>
      </c>
      <c r="Z77" s="282"/>
      <c r="AC77" s="27" t="b">
        <f t="shared" si="17"/>
        <v>1</v>
      </c>
    </row>
    <row r="78" spans="1:29" x14ac:dyDescent="0.3">
      <c r="A78" s="27">
        <f t="shared" ref="A78:A141" si="18">+A77+1</f>
        <v>64</v>
      </c>
      <c r="G78" s="51"/>
      <c r="H78" s="51"/>
      <c r="I78" s="51"/>
      <c r="J78" s="50"/>
      <c r="K78" s="51"/>
      <c r="L78" s="51"/>
      <c r="M78" s="52"/>
      <c r="P78" s="296"/>
      <c r="Q78" s="297"/>
      <c r="R78" s="297"/>
      <c r="T78" s="297"/>
      <c r="U78" s="283"/>
      <c r="V78" s="291"/>
      <c r="W78" s="291"/>
      <c r="Z78" s="282"/>
    </row>
    <row r="79" spans="1:29" x14ac:dyDescent="0.3">
      <c r="A79" s="27">
        <f t="shared" si="18"/>
        <v>65</v>
      </c>
      <c r="C79" s="27" t="s">
        <v>118</v>
      </c>
      <c r="G79" s="51"/>
      <c r="H79" s="51"/>
      <c r="I79" s="51"/>
      <c r="J79" s="50"/>
      <c r="K79" s="51"/>
      <c r="L79" s="51"/>
      <c r="M79" s="52"/>
      <c r="P79" s="296"/>
      <c r="Q79" s="297"/>
      <c r="R79" s="297"/>
      <c r="T79" s="297"/>
      <c r="U79" s="283"/>
      <c r="V79" s="291"/>
      <c r="W79" s="291"/>
      <c r="Z79" s="282"/>
    </row>
    <row r="80" spans="1:29" x14ac:dyDescent="0.3">
      <c r="A80" s="27">
        <f t="shared" si="18"/>
        <v>66</v>
      </c>
      <c r="D80" s="27" t="s">
        <v>67</v>
      </c>
      <c r="F80" s="27" t="s">
        <v>119</v>
      </c>
      <c r="G80" s="49">
        <f>'[1]MFR E-13c'!F176</f>
        <v>9.68</v>
      </c>
      <c r="H80" s="49">
        <f>'[1]MFR E-13c'!L176</f>
        <v>9.82</v>
      </c>
      <c r="I80" s="49">
        <f>'[1]MFR E-6b'!K73</f>
        <v>21.477438642218928</v>
      </c>
      <c r="J80" s="50" t="s">
        <v>113</v>
      </c>
      <c r="K80" s="51" t="s">
        <v>69</v>
      </c>
      <c r="L80" s="51"/>
      <c r="M80" s="52"/>
      <c r="N80" s="295">
        <f>H80-G80</f>
        <v>0.14000000000000057</v>
      </c>
      <c r="O80" s="284">
        <f>(N80/G80)</f>
        <v>1.4462809917355431E-2</v>
      </c>
      <c r="P80" s="296">
        <v>249397.8255275425</v>
      </c>
      <c r="Q80" s="297">
        <f>(P80*G80)/1000</f>
        <v>2414.170951106611</v>
      </c>
      <c r="R80" s="297">
        <f>(P80*H80)/1000</f>
        <v>2449.0866466804673</v>
      </c>
      <c r="S80" s="298">
        <f>R80-Q80</f>
        <v>34.915695573856283</v>
      </c>
      <c r="T80" s="297">
        <f>(P80*I80)/1000</f>
        <v>5356.4264952706153</v>
      </c>
      <c r="U80" s="298">
        <f>R80-T80</f>
        <v>-2907.339848590148</v>
      </c>
      <c r="V80" s="291" t="s">
        <v>115</v>
      </c>
      <c r="W80" s="291" t="s">
        <v>115</v>
      </c>
      <c r="Z80" s="282"/>
    </row>
    <row r="81" spans="1:26" x14ac:dyDescent="0.3">
      <c r="A81" s="27">
        <f t="shared" si="18"/>
        <v>67</v>
      </c>
      <c r="D81" s="27" t="s">
        <v>71</v>
      </c>
      <c r="G81" s="51"/>
      <c r="H81" s="51"/>
      <c r="I81" s="51"/>
      <c r="J81" s="50"/>
      <c r="K81" s="51"/>
      <c r="L81" s="51"/>
      <c r="M81" s="52"/>
      <c r="P81" s="296"/>
      <c r="Q81" s="297"/>
      <c r="R81" s="297"/>
      <c r="T81" s="297"/>
      <c r="U81" s="283"/>
      <c r="V81" s="291"/>
      <c r="W81" s="291"/>
      <c r="Z81" s="282"/>
    </row>
    <row r="82" spans="1:26" x14ac:dyDescent="0.3">
      <c r="A82" s="27">
        <f t="shared" si="18"/>
        <v>68</v>
      </c>
      <c r="D82" s="54" t="s">
        <v>120</v>
      </c>
      <c r="F82" s="27" t="s">
        <v>119</v>
      </c>
      <c r="G82" s="49">
        <f>'[1]MFR E-13c'!F184</f>
        <v>3.32</v>
      </c>
      <c r="H82" s="49">
        <f>'[1]MFR E-13c'!L184</f>
        <v>3.41</v>
      </c>
      <c r="I82" s="58">
        <f>ROUND('[1]MFR E-14C'!M163,2)</f>
        <v>3.4</v>
      </c>
      <c r="J82" s="50" t="s">
        <v>84</v>
      </c>
      <c r="K82" s="51" t="s">
        <v>85</v>
      </c>
      <c r="L82" s="51"/>
      <c r="M82" s="52"/>
      <c r="N82" s="308">
        <f>H82-G82</f>
        <v>9.0000000000000302E-2</v>
      </c>
      <c r="O82" s="284">
        <f>(N82/G82)</f>
        <v>2.710843373493985E-2</v>
      </c>
      <c r="P82" s="296">
        <v>19998627.430895977</v>
      </c>
      <c r="Q82" s="297">
        <f>(P82*G82)/1000</f>
        <v>66395.443070574634</v>
      </c>
      <c r="R82" s="297">
        <f>(P82*H82)/1000</f>
        <v>68195.319539355274</v>
      </c>
      <c r="S82" s="298">
        <f>R82-Q82</f>
        <v>1799.8764687806397</v>
      </c>
      <c r="T82" s="297">
        <f>(P82*I82)/1000</f>
        <v>67995.333265046313</v>
      </c>
      <c r="U82" s="298">
        <f>R82-T82</f>
        <v>199.98627430896158</v>
      </c>
      <c r="V82" s="291" t="s">
        <v>116</v>
      </c>
      <c r="W82" s="291" t="s">
        <v>116</v>
      </c>
      <c r="Z82" s="282"/>
    </row>
    <row r="83" spans="1:26" x14ac:dyDescent="0.3">
      <c r="A83" s="27">
        <f t="shared" si="18"/>
        <v>69</v>
      </c>
      <c r="D83" s="54" t="s">
        <v>121</v>
      </c>
      <c r="F83" s="27" t="s">
        <v>119</v>
      </c>
      <c r="G83" s="49">
        <f>'[1]MFR E-13c'!F182</f>
        <v>2.72</v>
      </c>
      <c r="H83" s="49">
        <f>'[1]MFR E-13c'!L182</f>
        <v>2.74</v>
      </c>
      <c r="I83" s="58">
        <f>ROUND('[1]MFR E-14C'!M161,2)</f>
        <v>2.73</v>
      </c>
      <c r="J83" s="50" t="s">
        <v>84</v>
      </c>
      <c r="K83" s="51" t="s">
        <v>85</v>
      </c>
      <c r="L83" s="51"/>
      <c r="M83" s="52"/>
      <c r="N83" s="308">
        <f>H83-G83</f>
        <v>2.0000000000000018E-2</v>
      </c>
      <c r="O83" s="284">
        <f>(N83/G83)</f>
        <v>7.3529411764705942E-3</v>
      </c>
      <c r="P83" s="296">
        <v>19220704.071794525</v>
      </c>
      <c r="Q83" s="297">
        <f>(P83*G83)/1000</f>
        <v>52280.315075281113</v>
      </c>
      <c r="R83" s="297">
        <f>(P83*H83)/1000</f>
        <v>52664.729156717003</v>
      </c>
      <c r="S83" s="298">
        <f>R83-Q83</f>
        <v>384.41408143589069</v>
      </c>
      <c r="T83" s="297">
        <f>(P83*I83)/1000</f>
        <v>52472.522115999047</v>
      </c>
      <c r="U83" s="298">
        <f>R83-T83</f>
        <v>192.20704071795626</v>
      </c>
      <c r="V83" s="291" t="s">
        <v>116</v>
      </c>
      <c r="W83" s="291" t="s">
        <v>116</v>
      </c>
      <c r="Z83" s="282"/>
    </row>
    <row r="84" spans="1:26" x14ac:dyDescent="0.3">
      <c r="A84" s="27">
        <f t="shared" si="18"/>
        <v>70</v>
      </c>
      <c r="D84" s="54" t="s">
        <v>122</v>
      </c>
      <c r="F84" s="27" t="s">
        <v>119</v>
      </c>
      <c r="G84" s="49">
        <f>'[1]MFR E-13c'!F183</f>
        <v>4.8600000000000003</v>
      </c>
      <c r="H84" s="49">
        <f>'[1]MFR E-13c'!L183</f>
        <v>4.9000000000000004</v>
      </c>
      <c r="I84" s="58">
        <f>ROUND('[1]MFR E-14C'!M162,2)</f>
        <v>4.8899999999999997</v>
      </c>
      <c r="J84" s="50" t="s">
        <v>84</v>
      </c>
      <c r="K84" s="51" t="s">
        <v>85</v>
      </c>
      <c r="L84" s="51"/>
      <c r="M84" s="52"/>
      <c r="N84" s="308">
        <f>H84-G84</f>
        <v>4.0000000000000036E-2</v>
      </c>
      <c r="O84" s="284">
        <f>(N84/G84)</f>
        <v>8.2304526748971252E-3</v>
      </c>
      <c r="P84" s="296">
        <v>19220705.071794499</v>
      </c>
      <c r="Q84" s="297">
        <f>(P84*G84)/1000</f>
        <v>93412.626648921272</v>
      </c>
      <c r="R84" s="297">
        <f>(P84*H84)/1000</f>
        <v>94181.454851793053</v>
      </c>
      <c r="S84" s="298">
        <f>R84-Q84</f>
        <v>768.82820287178038</v>
      </c>
      <c r="T84" s="297">
        <f>(P84*I84)/1000</f>
        <v>93989.247801075093</v>
      </c>
      <c r="U84" s="298">
        <f>R84-T84</f>
        <v>192.20705071795965</v>
      </c>
      <c r="V84" s="291" t="s">
        <v>116</v>
      </c>
      <c r="W84" s="291" t="s">
        <v>116</v>
      </c>
      <c r="Z84" s="282"/>
    </row>
    <row r="85" spans="1:26" x14ac:dyDescent="0.3">
      <c r="A85" s="27">
        <f t="shared" si="18"/>
        <v>71</v>
      </c>
      <c r="D85" s="27" t="s">
        <v>123</v>
      </c>
      <c r="G85" s="49"/>
      <c r="H85" s="49"/>
      <c r="I85" s="49"/>
      <c r="J85" s="50"/>
      <c r="K85" s="51"/>
      <c r="L85" s="51"/>
      <c r="M85" s="52"/>
      <c r="P85" s="296"/>
      <c r="Q85" s="297"/>
      <c r="R85" s="297"/>
      <c r="T85" s="297"/>
      <c r="U85" s="283"/>
      <c r="V85" s="291"/>
      <c r="W85" s="291"/>
      <c r="Z85" s="282"/>
    </row>
    <row r="86" spans="1:26" x14ac:dyDescent="0.3">
      <c r="A86" s="27">
        <f t="shared" si="18"/>
        <v>72</v>
      </c>
      <c r="D86" s="54" t="s">
        <v>101</v>
      </c>
      <c r="F86" s="27" t="s">
        <v>119</v>
      </c>
      <c r="G86" s="49">
        <v>1.34</v>
      </c>
      <c r="H86" s="49">
        <f>I86</f>
        <v>1.36</v>
      </c>
      <c r="I86" s="49">
        <f>ROUND([1]DVC!$G$43,2)</f>
        <v>1.36</v>
      </c>
      <c r="J86" s="50" t="s">
        <v>124</v>
      </c>
      <c r="K86" s="51" t="s">
        <v>106</v>
      </c>
      <c r="L86" s="51"/>
      <c r="M86" s="52"/>
      <c r="N86" s="308">
        <f>H86-G86</f>
        <v>2.0000000000000018E-2</v>
      </c>
      <c r="O86" s="284">
        <f>(N86/G86)</f>
        <v>1.492537313432837E-2</v>
      </c>
      <c r="P86" s="296">
        <v>-3980308.082081967</v>
      </c>
      <c r="Q86" s="297">
        <f>(P86*G86)/1000</f>
        <v>-5333.6128299898364</v>
      </c>
      <c r="R86" s="297">
        <f>(P86*H86)/1000</f>
        <v>-5413.2189916314755</v>
      </c>
      <c r="S86" s="298">
        <f>R86-Q86</f>
        <v>-79.606161641639119</v>
      </c>
      <c r="T86" s="297">
        <f>(P86*I86)/1000</f>
        <v>-5413.2189916314755</v>
      </c>
      <c r="U86" s="298">
        <f>R86-T86</f>
        <v>0</v>
      </c>
      <c r="V86" s="291" t="s">
        <v>115</v>
      </c>
      <c r="W86" s="291" t="s">
        <v>115</v>
      </c>
      <c r="Z86" s="282"/>
    </row>
    <row r="87" spans="1:26" x14ac:dyDescent="0.3">
      <c r="A87" s="27">
        <f t="shared" si="18"/>
        <v>73</v>
      </c>
      <c r="D87" s="54" t="s">
        <v>125</v>
      </c>
      <c r="F87" s="27" t="s">
        <v>119</v>
      </c>
      <c r="G87" s="49">
        <v>6.47</v>
      </c>
      <c r="H87" s="49">
        <f t="shared" ref="H87:H88" si="19">I87</f>
        <v>6.64</v>
      </c>
      <c r="I87" s="49">
        <f>ROUND([1]DVC!$G$44,2)</f>
        <v>6.64</v>
      </c>
      <c r="J87" s="50" t="s">
        <v>124</v>
      </c>
      <c r="K87" s="51" t="s">
        <v>106</v>
      </c>
      <c r="L87" s="51"/>
      <c r="M87" s="52"/>
      <c r="N87" s="308">
        <f>H87-G87</f>
        <v>0.16999999999999993</v>
      </c>
      <c r="O87" s="284">
        <f>(N87/G87)</f>
        <v>2.6275115919629048E-2</v>
      </c>
      <c r="P87" s="296">
        <v>-176441.66677094577</v>
      </c>
      <c r="Q87" s="297">
        <f>(P87*G87)/1000</f>
        <v>-1141.5775840080191</v>
      </c>
      <c r="R87" s="297">
        <f>(P87*H87)/1000</f>
        <v>-1171.57266735908</v>
      </c>
      <c r="S87" s="298">
        <f>R87-Q87</f>
        <v>-29.995083351060885</v>
      </c>
      <c r="T87" s="297">
        <f>(P87*I87)/1000</f>
        <v>-1171.57266735908</v>
      </c>
      <c r="U87" s="298">
        <f>R87-T87</f>
        <v>0</v>
      </c>
      <c r="V87" s="291" t="s">
        <v>115</v>
      </c>
      <c r="W87" s="291" t="s">
        <v>115</v>
      </c>
      <c r="Z87" s="282"/>
    </row>
    <row r="88" spans="1:26" x14ac:dyDescent="0.3">
      <c r="A88" s="27">
        <f t="shared" si="18"/>
        <v>74</v>
      </c>
      <c r="D88" s="54" t="s">
        <v>126</v>
      </c>
      <c r="F88" s="27" t="s">
        <v>119</v>
      </c>
      <c r="G88" s="49">
        <v>9.0399999999999991</v>
      </c>
      <c r="H88" s="49">
        <f t="shared" si="19"/>
        <v>9.24</v>
      </c>
      <c r="I88" s="49">
        <f>ROUND([1]DVC!$G$45,2)</f>
        <v>9.24</v>
      </c>
      <c r="J88" s="50" t="s">
        <v>124</v>
      </c>
      <c r="K88" s="51" t="s">
        <v>106</v>
      </c>
      <c r="L88" s="51"/>
      <c r="M88" s="52"/>
      <c r="N88" s="308"/>
      <c r="P88" s="296"/>
      <c r="Q88" s="297"/>
      <c r="R88" s="297"/>
      <c r="S88" s="298"/>
      <c r="T88" s="297"/>
      <c r="U88" s="298"/>
      <c r="V88" s="291"/>
      <c r="W88" s="291"/>
      <c r="Z88" s="282"/>
    </row>
    <row r="89" spans="1:26" x14ac:dyDescent="0.3">
      <c r="A89" s="27">
        <f t="shared" si="18"/>
        <v>75</v>
      </c>
      <c r="D89" s="27" t="s">
        <v>104</v>
      </c>
      <c r="F89" s="27" t="s">
        <v>119</v>
      </c>
      <c r="G89" s="58">
        <f>'[1]MFR E-13c'!F197</f>
        <v>2.64</v>
      </c>
      <c r="H89" s="58">
        <f>I89</f>
        <v>2.71</v>
      </c>
      <c r="I89" s="58">
        <f>'[1]MFR E-14G'!G22</f>
        <v>2.71</v>
      </c>
      <c r="J89" s="50" t="s">
        <v>105</v>
      </c>
      <c r="K89" s="51" t="s">
        <v>106</v>
      </c>
      <c r="L89" s="51"/>
      <c r="M89" s="52"/>
      <c r="N89" s="308">
        <f>H89-G89</f>
        <v>6.999999999999984E-2</v>
      </c>
      <c r="O89" s="284">
        <f>(N89/G89)</f>
        <v>2.6515151515151453E-2</v>
      </c>
      <c r="P89" s="296">
        <v>364382.43722191069</v>
      </c>
      <c r="Q89" s="297">
        <f>(P89*G89)/1000</f>
        <v>961.96963426584421</v>
      </c>
      <c r="R89" s="297">
        <f>(P89*H89)/1000</f>
        <v>987.47640487137801</v>
      </c>
      <c r="S89" s="298">
        <f>R89-Q89</f>
        <v>25.506770605533802</v>
      </c>
      <c r="T89" s="297">
        <f>(P89*I89)/1000</f>
        <v>987.47640487137801</v>
      </c>
      <c r="U89" s="298">
        <f>R89-T89</f>
        <v>0</v>
      </c>
      <c r="V89" s="291" t="s">
        <v>115</v>
      </c>
      <c r="W89" s="291" t="s">
        <v>115</v>
      </c>
      <c r="Z89" s="282"/>
    </row>
    <row r="90" spans="1:26" x14ac:dyDescent="0.3">
      <c r="A90" s="27">
        <f t="shared" si="18"/>
        <v>76</v>
      </c>
      <c r="G90" s="51"/>
      <c r="H90" s="51"/>
      <c r="I90" s="51"/>
      <c r="J90" s="50"/>
      <c r="K90" s="51"/>
      <c r="L90" s="51"/>
      <c r="M90" s="52"/>
      <c r="P90" s="296"/>
      <c r="Q90" s="297"/>
      <c r="R90" s="297"/>
      <c r="T90" s="297"/>
      <c r="U90" s="283"/>
      <c r="V90" s="291"/>
      <c r="W90" s="291"/>
      <c r="Z90" s="282"/>
    </row>
    <row r="91" spans="1:26" x14ac:dyDescent="0.3">
      <c r="A91" s="27">
        <f t="shared" si="18"/>
        <v>77</v>
      </c>
      <c r="C91" s="27" t="s">
        <v>75</v>
      </c>
      <c r="G91" s="51"/>
      <c r="H91" s="51"/>
      <c r="I91" s="51"/>
      <c r="J91" s="50"/>
      <c r="K91" s="51"/>
      <c r="L91" s="51"/>
      <c r="M91" s="52"/>
      <c r="P91" s="296"/>
      <c r="Q91" s="297"/>
      <c r="R91" s="297"/>
      <c r="T91" s="297"/>
      <c r="U91" s="283"/>
      <c r="V91" s="291"/>
      <c r="W91" s="291"/>
      <c r="Z91" s="282"/>
    </row>
    <row r="92" spans="1:26" x14ac:dyDescent="0.3">
      <c r="A92" s="27">
        <f t="shared" si="18"/>
        <v>78</v>
      </c>
      <c r="D92" s="27" t="s">
        <v>67</v>
      </c>
      <c r="F92" s="27" t="s">
        <v>78</v>
      </c>
      <c r="G92" s="56">
        <f>'[1]MFR E-13c'!F220/10</f>
        <v>4.08</v>
      </c>
      <c r="H92" s="56">
        <f>'[1]MFR E-13c'!L220/10</f>
        <v>4.1319999999999997</v>
      </c>
      <c r="I92" s="56">
        <f>'[1]MFR E-14B'!I39</f>
        <v>6.571237562208573</v>
      </c>
      <c r="J92" s="50" t="s">
        <v>68</v>
      </c>
      <c r="K92" s="56" t="s">
        <v>69</v>
      </c>
      <c r="L92" s="56"/>
      <c r="M92" s="60"/>
      <c r="N92" s="295">
        <f>H92-G92</f>
        <v>5.1999999999999602E-2</v>
      </c>
      <c r="O92" s="284">
        <f>(N92/G92)</f>
        <v>1.2745098039215589E-2</v>
      </c>
      <c r="P92" s="296">
        <v>3352764.0446919771</v>
      </c>
      <c r="Q92" s="297">
        <f>(P92*G92*10)/1000</f>
        <v>136792.77302343267</v>
      </c>
      <c r="R92" s="297">
        <f>(P92*H92*10)/1000</f>
        <v>138536.21032667247</v>
      </c>
      <c r="S92" s="298">
        <f>R92-Q92</f>
        <v>1743.4373032397998</v>
      </c>
      <c r="T92" s="297">
        <f>(P92*I92*10)/1000</f>
        <v>220318.09027702265</v>
      </c>
      <c r="U92" s="298">
        <f>R92-T92</f>
        <v>-81781.87995035018</v>
      </c>
      <c r="V92" s="291" t="s">
        <v>115</v>
      </c>
      <c r="W92" s="291" t="s">
        <v>115</v>
      </c>
      <c r="Z92" s="282"/>
    </row>
    <row r="93" spans="1:26" x14ac:dyDescent="0.3">
      <c r="A93" s="27">
        <f t="shared" si="18"/>
        <v>79</v>
      </c>
      <c r="D93" s="27" t="s">
        <v>83</v>
      </c>
      <c r="F93" s="27" t="s">
        <v>78</v>
      </c>
      <c r="G93" s="56">
        <f>'[1]MFR E-13c'!F225/10</f>
        <v>4.9979999999999993</v>
      </c>
      <c r="H93" s="56">
        <f>'[1]MFR E-13c'!L225/10</f>
        <v>5.2039999999999997</v>
      </c>
      <c r="I93" s="57">
        <f>ROUND('[1]MFR E-14C'!AA149,3)</f>
        <v>5.2080000000000002</v>
      </c>
      <c r="J93" s="50" t="s">
        <v>84</v>
      </c>
      <c r="K93" s="51" t="s">
        <v>85</v>
      </c>
      <c r="L93" s="56"/>
      <c r="M93" s="60"/>
      <c r="N93" s="295">
        <f>H93-G93</f>
        <v>0.20600000000000041</v>
      </c>
      <c r="O93" s="284">
        <f>((N93/G93))</f>
        <v>4.121648659463794E-2</v>
      </c>
      <c r="P93" s="296">
        <v>2516136.7779227081</v>
      </c>
      <c r="Q93" s="297">
        <f>(P93*G93*10)/1000</f>
        <v>125756.51616057694</v>
      </c>
      <c r="R93" s="297">
        <f>(P93*H93*10)/1000</f>
        <v>130939.75792309773</v>
      </c>
      <c r="S93" s="298">
        <f>R93-Q93</f>
        <v>5183.2417625207891</v>
      </c>
      <c r="T93" s="297">
        <f>(P93*I94*10)/1000</f>
        <v>90379.633062983674</v>
      </c>
      <c r="U93" s="298">
        <f>R93-T93</f>
        <v>40560.124860114054</v>
      </c>
      <c r="V93" s="291" t="s">
        <v>116</v>
      </c>
      <c r="W93" s="291" t="s">
        <v>116</v>
      </c>
      <c r="Z93" s="282"/>
    </row>
    <row r="94" spans="1:26" x14ac:dyDescent="0.3">
      <c r="A94" s="27">
        <f t="shared" si="18"/>
        <v>80</v>
      </c>
      <c r="D94" s="27" t="s">
        <v>86</v>
      </c>
      <c r="F94" s="27" t="s">
        <v>78</v>
      </c>
      <c r="G94" s="56">
        <f>'[1]MFR E-13c'!F226/10</f>
        <v>3.5700000000000003</v>
      </c>
      <c r="H94" s="56">
        <f>'[1]MFR E-13c'!L230/10</f>
        <v>3.589</v>
      </c>
      <c r="I94" s="57">
        <f>ROUND('[1]MFR E-14C'!AA150,3)</f>
        <v>3.5920000000000001</v>
      </c>
      <c r="J94" s="50" t="s">
        <v>84</v>
      </c>
      <c r="K94" s="51" t="s">
        <v>85</v>
      </c>
      <c r="L94" s="56"/>
      <c r="M94" s="60"/>
      <c r="N94" s="295">
        <f>H94-G94</f>
        <v>1.8999999999999684E-2</v>
      </c>
      <c r="O94" s="284">
        <f>(N94/G94)</f>
        <v>5.3221288515405271E-3</v>
      </c>
      <c r="P94" s="296">
        <v>6500289.4773853142</v>
      </c>
      <c r="Q94" s="297">
        <f>(P94*G94*10)/1000</f>
        <v>232060.33434265573</v>
      </c>
      <c r="R94" s="297">
        <f>(P94*H94*10)/1000</f>
        <v>233295.3893433589</v>
      </c>
      <c r="S94" s="298">
        <f>R94-Q94</f>
        <v>1235.0550007031707</v>
      </c>
      <c r="T94" s="297">
        <f>(P94*I93*10)/1000</f>
        <v>338535.07598222722</v>
      </c>
      <c r="U94" s="298">
        <f>R94-T94</f>
        <v>-105239.68663886833</v>
      </c>
      <c r="V94" s="291" t="s">
        <v>116</v>
      </c>
      <c r="W94" s="291" t="s">
        <v>116</v>
      </c>
      <c r="Z94" s="282"/>
    </row>
    <row r="95" spans="1:26" x14ac:dyDescent="0.3">
      <c r="A95" s="27">
        <f t="shared" si="18"/>
        <v>81</v>
      </c>
      <c r="D95" s="27" t="s">
        <v>87</v>
      </c>
      <c r="F95" s="27" t="s">
        <v>78</v>
      </c>
      <c r="G95" s="56">
        <f>'[1]MFR E-13c'!F227/10</f>
        <v>2.4159999999999999</v>
      </c>
      <c r="H95" s="56">
        <f>'[1]MFR E-13c'!L227/10</f>
        <v>2.4319999999999999</v>
      </c>
      <c r="I95" s="57">
        <f>ROUND('[1]MFR E-14C'!AA151,3)</f>
        <v>2.4340000000000002</v>
      </c>
      <c r="J95" s="50" t="s">
        <v>84</v>
      </c>
      <c r="K95" s="51" t="s">
        <v>85</v>
      </c>
      <c r="L95" s="56"/>
      <c r="M95" s="60"/>
      <c r="N95" s="295"/>
      <c r="P95" s="296"/>
      <c r="Q95" s="297"/>
      <c r="R95" s="297"/>
      <c r="S95" s="298"/>
      <c r="T95" s="297"/>
      <c r="U95" s="298"/>
      <c r="V95" s="291"/>
      <c r="W95" s="291"/>
      <c r="Z95" s="282"/>
    </row>
    <row r="96" spans="1:26" x14ac:dyDescent="0.3">
      <c r="A96" s="27">
        <f t="shared" si="18"/>
        <v>82</v>
      </c>
      <c r="G96" s="51"/>
      <c r="H96" s="51"/>
      <c r="I96" s="51"/>
      <c r="J96" s="50"/>
      <c r="K96" s="51"/>
      <c r="L96" s="51"/>
      <c r="M96" s="52"/>
      <c r="P96" s="296"/>
      <c r="Q96" s="297"/>
      <c r="R96" s="297"/>
      <c r="T96" s="297"/>
      <c r="U96" s="283"/>
      <c r="V96" s="291"/>
      <c r="W96" s="291"/>
      <c r="Z96" s="282"/>
    </row>
    <row r="97" spans="1:29" x14ac:dyDescent="0.3">
      <c r="A97" s="27">
        <f t="shared" si="18"/>
        <v>83</v>
      </c>
      <c r="C97" s="27" t="s">
        <v>107</v>
      </c>
      <c r="G97" s="51"/>
      <c r="H97" s="51"/>
      <c r="I97" s="51"/>
      <c r="J97" s="50"/>
      <c r="K97" s="51"/>
      <c r="L97" s="51"/>
      <c r="M97" s="52"/>
      <c r="P97" s="296"/>
      <c r="Q97" s="297"/>
      <c r="R97" s="297"/>
      <c r="T97" s="297"/>
      <c r="U97" s="283"/>
      <c r="V97" s="291"/>
      <c r="W97" s="291"/>
      <c r="Z97" s="282"/>
    </row>
    <row r="98" spans="1:29" x14ac:dyDescent="0.3">
      <c r="A98" s="27">
        <f t="shared" si="18"/>
        <v>84</v>
      </c>
      <c r="D98" s="27" t="s">
        <v>101</v>
      </c>
      <c r="F98" s="27" t="s">
        <v>61</v>
      </c>
      <c r="G98" s="62">
        <v>0.01</v>
      </c>
      <c r="H98" s="62">
        <v>0.01</v>
      </c>
      <c r="I98" s="62"/>
      <c r="J98" s="50"/>
      <c r="K98" s="51" t="s">
        <v>108</v>
      </c>
      <c r="L98" s="51"/>
      <c r="M98" s="52"/>
      <c r="N98" s="306">
        <f>H98-G98</f>
        <v>0</v>
      </c>
      <c r="O98" s="284">
        <f>(N98/G98)</f>
        <v>0</v>
      </c>
      <c r="P98" s="296"/>
      <c r="Q98" s="297">
        <f>(P98*G98)/1000</f>
        <v>0</v>
      </c>
      <c r="R98" s="297">
        <f>(P98*H98)/1000</f>
        <v>0</v>
      </c>
      <c r="S98" s="298">
        <f>R98-Q98</f>
        <v>0</v>
      </c>
      <c r="T98" s="297">
        <f>(P98*I98)/1000</f>
        <v>0</v>
      </c>
      <c r="U98" s="298">
        <f>R98-T98</f>
        <v>0</v>
      </c>
      <c r="V98" s="291" t="s">
        <v>115</v>
      </c>
      <c r="W98" s="291" t="s">
        <v>115</v>
      </c>
      <c r="Z98" s="282"/>
    </row>
    <row r="99" spans="1:29" x14ac:dyDescent="0.3">
      <c r="A99" s="27">
        <f t="shared" si="18"/>
        <v>85</v>
      </c>
      <c r="D99" s="27" t="s">
        <v>102</v>
      </c>
      <c r="F99" s="27" t="s">
        <v>61</v>
      </c>
      <c r="G99" s="62">
        <v>0.02</v>
      </c>
      <c r="H99" s="62">
        <v>0.02</v>
      </c>
      <c r="I99" s="62"/>
      <c r="J99" s="50"/>
      <c r="K99" s="51" t="s">
        <v>108</v>
      </c>
      <c r="L99" s="51"/>
      <c r="M99" s="52"/>
      <c r="N99" s="306">
        <f>H99-G99</f>
        <v>0</v>
      </c>
      <c r="O99" s="284">
        <f>(N99/G99)</f>
        <v>0</v>
      </c>
      <c r="P99" s="296"/>
      <c r="Q99" s="297">
        <f>(P99*G99)/1000</f>
        <v>0</v>
      </c>
      <c r="R99" s="297">
        <f>(P99*H99)/1000</f>
        <v>0</v>
      </c>
      <c r="S99" s="298">
        <f>R99-Q99</f>
        <v>0</v>
      </c>
      <c r="T99" s="297">
        <f>(P99*I99)/1000</f>
        <v>0</v>
      </c>
      <c r="U99" s="298">
        <f>R99-T99</f>
        <v>0</v>
      </c>
      <c r="V99" s="291" t="s">
        <v>115</v>
      </c>
      <c r="W99" s="291" t="s">
        <v>115</v>
      </c>
      <c r="Z99" s="282"/>
    </row>
    <row r="100" spans="1:29" x14ac:dyDescent="0.3">
      <c r="A100" s="27">
        <f t="shared" si="18"/>
        <v>86</v>
      </c>
      <c r="G100" s="62"/>
      <c r="H100" s="62"/>
      <c r="I100" s="62"/>
      <c r="J100" s="50"/>
      <c r="K100" s="51"/>
      <c r="L100" s="51"/>
      <c r="M100" s="52"/>
      <c r="N100" s="295"/>
      <c r="P100" s="296"/>
      <c r="Q100" s="297"/>
      <c r="R100" s="297"/>
      <c r="T100" s="297"/>
      <c r="U100" s="283"/>
      <c r="V100" s="291"/>
      <c r="W100" s="291"/>
      <c r="Z100" s="282"/>
    </row>
    <row r="101" spans="1:29" x14ac:dyDescent="0.3">
      <c r="A101" s="27">
        <f t="shared" si="18"/>
        <v>87</v>
      </c>
      <c r="C101" s="27" t="s">
        <v>109</v>
      </c>
      <c r="F101" s="27" t="s">
        <v>61</v>
      </c>
      <c r="G101" s="63">
        <f>G54</f>
        <v>9.5999999999999992E-3</v>
      </c>
      <c r="H101" s="64">
        <f>I101</f>
        <v>9.5999999999999992E-3</v>
      </c>
      <c r="I101" s="65">
        <f>I54</f>
        <v>9.5999999999999992E-3</v>
      </c>
      <c r="J101" s="42" t="s">
        <v>110</v>
      </c>
      <c r="K101" s="66" t="s">
        <v>111</v>
      </c>
      <c r="L101" s="51"/>
      <c r="M101" s="52"/>
      <c r="N101" s="307">
        <f>H101-G101</f>
        <v>0</v>
      </c>
      <c r="O101" s="284">
        <f>(N101/G101)</f>
        <v>0</v>
      </c>
      <c r="P101" s="296"/>
      <c r="Q101" s="297"/>
      <c r="R101" s="297"/>
      <c r="T101" s="297"/>
      <c r="U101" s="283"/>
      <c r="V101" s="291" t="s">
        <v>115</v>
      </c>
      <c r="W101" s="291" t="s">
        <v>115</v>
      </c>
      <c r="Z101" s="282"/>
    </row>
    <row r="102" spans="1:29" ht="14.4" thickBot="1" x14ac:dyDescent="0.35">
      <c r="B102" s="31"/>
      <c r="C102" s="31"/>
      <c r="D102" s="31"/>
      <c r="E102" s="31"/>
      <c r="F102" s="31"/>
      <c r="G102" s="52"/>
      <c r="H102" s="52"/>
      <c r="I102" s="52"/>
      <c r="J102" s="59"/>
      <c r="K102" s="52"/>
      <c r="L102" s="52"/>
      <c r="M102" s="52"/>
      <c r="N102" s="300"/>
      <c r="O102" s="301"/>
      <c r="P102" s="302"/>
      <c r="Q102" s="303">
        <f>SUM(Q69:Q101)</f>
        <v>717428.04204959807</v>
      </c>
      <c r="R102" s="303">
        <f>SUM(R69:R101)</f>
        <v>728669.01646328473</v>
      </c>
      <c r="S102" s="303">
        <f>SUM(S69:S101)</f>
        <v>11240.974413686621</v>
      </c>
      <c r="T102" s="303">
        <f>SUM(T69:T101)</f>
        <v>876712.16731893888</v>
      </c>
      <c r="U102" s="303">
        <f>SUM(U69:U101)</f>
        <v>-148043.15085565421</v>
      </c>
      <c r="V102" s="291"/>
      <c r="W102" s="291"/>
      <c r="Z102" s="282"/>
    </row>
    <row r="103" spans="1:29" ht="14.4" thickTop="1" x14ac:dyDescent="0.3">
      <c r="A103" s="27">
        <f>+A101+1</f>
        <v>88</v>
      </c>
      <c r="B103" s="48"/>
      <c r="G103" s="51"/>
      <c r="H103" s="51"/>
      <c r="I103" s="51"/>
      <c r="J103" s="50"/>
      <c r="K103" s="51"/>
      <c r="L103" s="51"/>
      <c r="M103" s="52"/>
      <c r="P103" s="296"/>
      <c r="Q103" s="296"/>
      <c r="R103" s="296"/>
      <c r="S103" s="304" t="s">
        <v>91</v>
      </c>
      <c r="T103" s="305">
        <v>0</v>
      </c>
      <c r="U103" s="283"/>
      <c r="V103" s="291"/>
      <c r="W103" s="291"/>
      <c r="Z103" s="282"/>
    </row>
    <row r="104" spans="1:29" x14ac:dyDescent="0.3">
      <c r="A104" s="27">
        <f t="shared" si="18"/>
        <v>89</v>
      </c>
      <c r="B104" s="48" t="s">
        <v>127</v>
      </c>
      <c r="C104" s="27" t="s">
        <v>65</v>
      </c>
      <c r="G104" s="51"/>
      <c r="H104" s="51"/>
      <c r="I104" s="51"/>
      <c r="J104" s="50"/>
      <c r="K104" s="51"/>
      <c r="L104" s="51"/>
      <c r="M104" s="52"/>
      <c r="P104" s="296"/>
      <c r="Q104" s="296"/>
      <c r="R104" s="296"/>
      <c r="T104" s="296"/>
      <c r="U104" s="283"/>
      <c r="V104" s="291"/>
      <c r="W104" s="291"/>
      <c r="Z104" s="282"/>
    </row>
    <row r="105" spans="1:29" x14ac:dyDescent="0.3">
      <c r="A105" s="27">
        <f t="shared" si="18"/>
        <v>90</v>
      </c>
      <c r="B105" s="48" t="s">
        <v>128</v>
      </c>
      <c r="D105" s="27" t="s">
        <v>99</v>
      </c>
      <c r="F105" s="27" t="s">
        <v>60</v>
      </c>
      <c r="G105" s="49">
        <f>'[1]MFR E-13c'!F269</f>
        <v>119.69</v>
      </c>
      <c r="H105" s="49">
        <f>'[1]MFR E-13c'!L269</f>
        <v>125.71</v>
      </c>
      <c r="I105" s="49">
        <f>'[1]MFR E-14E'!J53</f>
        <v>106.63268826917395</v>
      </c>
      <c r="J105" s="50" t="s">
        <v>96</v>
      </c>
      <c r="K105" s="51" t="s">
        <v>69</v>
      </c>
      <c r="L105" s="51"/>
      <c r="M105" s="52"/>
      <c r="N105" s="295">
        <f>H105-G105</f>
        <v>6.019999999999996</v>
      </c>
      <c r="O105" s="284">
        <f>(N105/G105)</f>
        <v>5.0296599548834454E-2</v>
      </c>
      <c r="P105" s="296">
        <v>0</v>
      </c>
      <c r="Q105" s="297">
        <f>(P105*G105)/1000</f>
        <v>0</v>
      </c>
      <c r="R105" s="297">
        <f>(P105*H105)/1000</f>
        <v>0</v>
      </c>
      <c r="S105" s="298">
        <f>R105-Q105</f>
        <v>0</v>
      </c>
      <c r="T105" s="297">
        <f>(P105*I105)/1000</f>
        <v>0</v>
      </c>
      <c r="U105" s="298">
        <f>R105-T105</f>
        <v>0</v>
      </c>
      <c r="V105" s="291" t="s">
        <v>129</v>
      </c>
      <c r="W105" s="291" t="s">
        <v>129</v>
      </c>
      <c r="Z105" s="282"/>
      <c r="AC105" s="27" t="b">
        <f t="shared" ref="AC105:AC107" si="20">H105&gt;=I105</f>
        <v>1</v>
      </c>
    </row>
    <row r="106" spans="1:29" x14ac:dyDescent="0.3">
      <c r="A106" s="27">
        <f t="shared" si="18"/>
        <v>91</v>
      </c>
      <c r="B106" s="48" t="s">
        <v>130</v>
      </c>
      <c r="D106" s="27" t="s">
        <v>101</v>
      </c>
      <c r="F106" s="27" t="s">
        <v>60</v>
      </c>
      <c r="G106" s="49">
        <f>'[1]MFR E-13c'!F270</f>
        <v>332.29</v>
      </c>
      <c r="H106" s="49">
        <f>'[1]MFR E-13c'!L270</f>
        <v>349.01</v>
      </c>
      <c r="I106" s="49">
        <f>'[1]MFR E-14E'!J54</f>
        <v>259.80342838025661</v>
      </c>
      <c r="J106" s="50" t="s">
        <v>96</v>
      </c>
      <c r="K106" s="51" t="s">
        <v>69</v>
      </c>
      <c r="L106" s="51"/>
      <c r="M106" s="52"/>
      <c r="N106" s="295">
        <f>H106-G106</f>
        <v>16.71999999999997</v>
      </c>
      <c r="O106" s="284">
        <f>(N106/G106)</f>
        <v>5.0317493755454482E-2</v>
      </c>
      <c r="P106" s="296">
        <v>36.105882352941173</v>
      </c>
      <c r="Q106" s="297">
        <f>(P106*G106)/1000</f>
        <v>11.997623647058823</v>
      </c>
      <c r="R106" s="297">
        <f>(P106*H106)/1000</f>
        <v>12.601313999999999</v>
      </c>
      <c r="S106" s="298">
        <f>R106-Q106</f>
        <v>0.60369035294117523</v>
      </c>
      <c r="T106" s="297">
        <f>(P106*I106)/1000</f>
        <v>9.3804320199883229</v>
      </c>
      <c r="U106" s="298">
        <f>R106-T106</f>
        <v>3.2208819800116757</v>
      </c>
      <c r="V106" s="291" t="s">
        <v>129</v>
      </c>
      <c r="W106" s="291" t="s">
        <v>129</v>
      </c>
      <c r="Z106" s="282"/>
      <c r="AC106" s="27" t="b">
        <f t="shared" si="20"/>
        <v>1</v>
      </c>
    </row>
    <row r="107" spans="1:29" x14ac:dyDescent="0.3">
      <c r="A107" s="27">
        <f t="shared" si="18"/>
        <v>92</v>
      </c>
      <c r="B107" s="48" t="s">
        <v>131</v>
      </c>
      <c r="D107" s="27" t="s">
        <v>102</v>
      </c>
      <c r="F107" s="27" t="s">
        <v>60</v>
      </c>
      <c r="G107" s="49">
        <f>'[1]MFR E-13c'!F271</f>
        <v>1240.17</v>
      </c>
      <c r="H107" s="49">
        <f>'[1]MFR E-13c'!L271</f>
        <v>1302.57</v>
      </c>
      <c r="I107" s="49">
        <f>'[1]MFR E-14E'!J55</f>
        <v>455.81536561845974</v>
      </c>
      <c r="J107" s="50" t="s">
        <v>96</v>
      </c>
      <c r="K107" s="51" t="s">
        <v>69</v>
      </c>
      <c r="L107" s="51"/>
      <c r="M107" s="52"/>
      <c r="N107" s="295">
        <f>H107-G107</f>
        <v>62.399999999999864</v>
      </c>
      <c r="O107" s="284">
        <f>(N107/G107)</f>
        <v>5.0315682527395322E-2</v>
      </c>
      <c r="P107" s="296">
        <v>0</v>
      </c>
      <c r="Q107" s="297">
        <f>(P107*G107)/1000</f>
        <v>0</v>
      </c>
      <c r="R107" s="297">
        <f>(P107*H107)/1000</f>
        <v>0</v>
      </c>
      <c r="S107" s="298">
        <f>R107-Q107</f>
        <v>0</v>
      </c>
      <c r="T107" s="297">
        <f>(P107*I107)/1000</f>
        <v>0</v>
      </c>
      <c r="U107" s="298">
        <f>R107-T107</f>
        <v>0</v>
      </c>
      <c r="V107" s="291" t="s">
        <v>129</v>
      </c>
      <c r="W107" s="291" t="s">
        <v>129</v>
      </c>
      <c r="Z107" s="282"/>
      <c r="AC107" s="27" t="b">
        <f t="shared" si="20"/>
        <v>1</v>
      </c>
    </row>
    <row r="108" spans="1:29" x14ac:dyDescent="0.3">
      <c r="A108" s="27">
        <f t="shared" si="18"/>
        <v>93</v>
      </c>
      <c r="G108" s="51"/>
      <c r="H108" s="51"/>
      <c r="I108" s="51"/>
      <c r="J108" s="50"/>
      <c r="K108" s="51"/>
      <c r="L108" s="51"/>
      <c r="M108" s="52"/>
      <c r="P108" s="296"/>
      <c r="Q108" s="297"/>
      <c r="R108" s="297"/>
      <c r="T108" s="297"/>
      <c r="U108" s="283"/>
      <c r="V108" s="291"/>
      <c r="W108" s="291"/>
      <c r="Z108" s="282"/>
    </row>
    <row r="109" spans="1:29" x14ac:dyDescent="0.3">
      <c r="A109" s="27">
        <f t="shared" si="18"/>
        <v>94</v>
      </c>
      <c r="C109" s="27" t="s">
        <v>118</v>
      </c>
      <c r="G109" s="51"/>
      <c r="H109" s="51"/>
      <c r="I109" s="51"/>
      <c r="J109" s="50"/>
      <c r="K109" s="51"/>
      <c r="L109" s="51"/>
      <c r="M109" s="52"/>
      <c r="P109" s="296"/>
      <c r="Q109" s="297"/>
      <c r="R109" s="297"/>
      <c r="T109" s="297"/>
      <c r="U109" s="283"/>
      <c r="V109" s="291"/>
      <c r="W109" s="291"/>
      <c r="Z109" s="282"/>
    </row>
    <row r="110" spans="1:29" x14ac:dyDescent="0.3">
      <c r="A110" s="27">
        <f t="shared" si="18"/>
        <v>95</v>
      </c>
      <c r="D110" s="27" t="s">
        <v>67</v>
      </c>
      <c r="F110" s="27" t="s">
        <v>119</v>
      </c>
      <c r="G110" s="49">
        <f>'[1]MFR E-13c'!F280</f>
        <v>14.53</v>
      </c>
      <c r="H110" s="49">
        <f>'[1]MFR E-13c'!L280</f>
        <v>15.37</v>
      </c>
      <c r="I110" s="49">
        <f>'[1]MFR E-6b'!T73</f>
        <v>17.277290854623949</v>
      </c>
      <c r="J110" s="50" t="s">
        <v>113</v>
      </c>
      <c r="K110" s="51" t="s">
        <v>69</v>
      </c>
      <c r="L110" s="51"/>
      <c r="M110" s="52"/>
      <c r="N110" s="295">
        <f>H110-G110</f>
        <v>0.83999999999999986</v>
      </c>
      <c r="O110" s="284">
        <f>(N110/G110)</f>
        <v>5.7811424638678589E-2</v>
      </c>
      <c r="P110" s="296">
        <v>0</v>
      </c>
      <c r="Q110" s="297">
        <f>(P110*G110)/1000</f>
        <v>0</v>
      </c>
      <c r="R110" s="297">
        <f>(P110*H110)/1000</f>
        <v>0</v>
      </c>
      <c r="S110" s="298">
        <f>R110-Q110</f>
        <v>0</v>
      </c>
      <c r="T110" s="297">
        <f>(P110*I110)/1000</f>
        <v>0</v>
      </c>
      <c r="U110" s="298">
        <f>R110-T110</f>
        <v>0</v>
      </c>
      <c r="V110" s="291" t="s">
        <v>129</v>
      </c>
      <c r="W110" s="291" t="s">
        <v>129</v>
      </c>
      <c r="Z110" s="282"/>
    </row>
    <row r="111" spans="1:29" x14ac:dyDescent="0.3">
      <c r="A111" s="27">
        <f t="shared" si="18"/>
        <v>96</v>
      </c>
      <c r="D111" s="27" t="s">
        <v>71</v>
      </c>
      <c r="G111" s="49"/>
      <c r="H111" s="49"/>
      <c r="I111" s="49"/>
      <c r="J111" s="50"/>
      <c r="K111" s="51"/>
      <c r="L111" s="51"/>
      <c r="M111" s="52"/>
      <c r="P111" s="296"/>
      <c r="Q111" s="297"/>
      <c r="R111" s="297"/>
      <c r="T111" s="297"/>
      <c r="U111" s="283"/>
      <c r="V111" s="291"/>
      <c r="W111" s="291"/>
      <c r="Z111" s="282"/>
    </row>
    <row r="112" spans="1:29" x14ac:dyDescent="0.3">
      <c r="A112" s="27">
        <f t="shared" si="18"/>
        <v>97</v>
      </c>
      <c r="D112" s="54" t="s">
        <v>120</v>
      </c>
      <c r="F112" s="27" t="s">
        <v>119</v>
      </c>
      <c r="G112" s="49">
        <f>'[1]MFR E-13c'!F288</f>
        <v>2.33</v>
      </c>
      <c r="H112" s="49">
        <f>'[1]MFR E-13c'!L288</f>
        <v>2.5</v>
      </c>
      <c r="I112" s="58">
        <f>ROUND('[1]MFR E-14C'!M221,2)</f>
        <v>2.4900000000000002</v>
      </c>
      <c r="J112" s="50" t="s">
        <v>84</v>
      </c>
      <c r="K112" s="51" t="s">
        <v>85</v>
      </c>
      <c r="L112" s="51"/>
      <c r="M112" s="52"/>
      <c r="N112" s="295">
        <f>H112-G112</f>
        <v>0.16999999999999993</v>
      </c>
      <c r="O112" s="284">
        <f>(N112/G112)</f>
        <v>7.2961373390557901E-2</v>
      </c>
      <c r="P112" s="296">
        <v>221500.33574738415</v>
      </c>
      <c r="Q112" s="297">
        <f>(P112*G112)/1000</f>
        <v>516.09578229140504</v>
      </c>
      <c r="R112" s="297">
        <f>(P112*H112)/1000</f>
        <v>553.75083936846033</v>
      </c>
      <c r="S112" s="298">
        <f>R112-Q112</f>
        <v>37.655057077055289</v>
      </c>
      <c r="T112" s="297">
        <f>(P112*I112)/1000</f>
        <v>551.5358360109866</v>
      </c>
      <c r="U112" s="298">
        <f>R112-T112</f>
        <v>2.2150033574737336</v>
      </c>
      <c r="V112" s="291" t="s">
        <v>132</v>
      </c>
      <c r="W112" s="291" t="s">
        <v>132</v>
      </c>
      <c r="Z112" s="282"/>
    </row>
    <row r="113" spans="1:26" x14ac:dyDescent="0.3">
      <c r="A113" s="27">
        <f t="shared" si="18"/>
        <v>98</v>
      </c>
      <c r="D113" s="54" t="s">
        <v>121</v>
      </c>
      <c r="F113" s="27" t="s">
        <v>119</v>
      </c>
      <c r="G113" s="49">
        <f>'[1]MFR E-13c'!F286</f>
        <v>2.6</v>
      </c>
      <c r="H113" s="49">
        <f>'[1]MFR E-13c'!L286</f>
        <v>2.72</v>
      </c>
      <c r="I113" s="58">
        <f>ROUND('[1]MFR E-14C'!M219,2)</f>
        <v>2.71</v>
      </c>
      <c r="J113" s="50" t="s">
        <v>84</v>
      </c>
      <c r="K113" s="51" t="s">
        <v>85</v>
      </c>
      <c r="L113" s="51"/>
      <c r="M113" s="52"/>
      <c r="N113" s="295">
        <f>H113-G113</f>
        <v>0.12000000000000011</v>
      </c>
      <c r="O113" s="284">
        <f>(N113/G113)</f>
        <v>4.6153846153846191E-2</v>
      </c>
      <c r="P113" s="296">
        <v>175218.38904317838</v>
      </c>
      <c r="Q113" s="297">
        <f>(P113*G113)/1000</f>
        <v>455.5678115122638</v>
      </c>
      <c r="R113" s="297">
        <f>(P113*H113)/1000</f>
        <v>476.59401819744528</v>
      </c>
      <c r="S113" s="298">
        <f>R113-Q113</f>
        <v>21.026206685181478</v>
      </c>
      <c r="T113" s="297">
        <f>(P113*I113)/1000</f>
        <v>474.84183430701341</v>
      </c>
      <c r="U113" s="298">
        <f>R113-T113</f>
        <v>1.7521838904318656</v>
      </c>
      <c r="V113" s="291" t="s">
        <v>132</v>
      </c>
      <c r="W113" s="291" t="s">
        <v>132</v>
      </c>
      <c r="Z113" s="282"/>
    </row>
    <row r="114" spans="1:26" x14ac:dyDescent="0.3">
      <c r="A114" s="27">
        <f t="shared" si="18"/>
        <v>99</v>
      </c>
      <c r="D114" s="54" t="s">
        <v>122</v>
      </c>
      <c r="F114" s="27" t="s">
        <v>119</v>
      </c>
      <c r="G114" s="49">
        <f>'[1]MFR E-13c'!F287</f>
        <v>5.17</v>
      </c>
      <c r="H114" s="49">
        <f>'[1]MFR E-13c'!L287</f>
        <v>5.42</v>
      </c>
      <c r="I114" s="58">
        <f>ROUND('[1]MFR E-14C'!M220,2)</f>
        <v>5.39</v>
      </c>
      <c r="J114" s="50" t="s">
        <v>84</v>
      </c>
      <c r="K114" s="51" t="s">
        <v>85</v>
      </c>
      <c r="M114" s="31"/>
      <c r="P114" s="296"/>
      <c r="Q114" s="297"/>
      <c r="R114" s="297"/>
      <c r="T114" s="297"/>
      <c r="U114" s="283"/>
      <c r="V114" s="291"/>
      <c r="W114" s="291"/>
      <c r="Z114" s="282"/>
    </row>
    <row r="115" spans="1:26" x14ac:dyDescent="0.3">
      <c r="A115" s="27">
        <f t="shared" si="18"/>
        <v>100</v>
      </c>
      <c r="D115" s="27" t="s">
        <v>133</v>
      </c>
      <c r="G115" s="49"/>
      <c r="H115" s="49"/>
      <c r="I115" s="58"/>
      <c r="J115" s="50"/>
      <c r="K115" s="51"/>
      <c r="L115" s="51"/>
      <c r="M115" s="52"/>
      <c r="P115" s="296"/>
      <c r="Q115" s="297"/>
      <c r="R115" s="297"/>
      <c r="T115" s="297"/>
      <c r="U115" s="283"/>
      <c r="V115" s="291"/>
      <c r="W115" s="291"/>
      <c r="Z115" s="282"/>
    </row>
    <row r="116" spans="1:26" x14ac:dyDescent="0.3">
      <c r="A116" s="27">
        <f t="shared" si="18"/>
        <v>101</v>
      </c>
      <c r="D116" s="54" t="s">
        <v>134</v>
      </c>
      <c r="F116" s="27" t="s">
        <v>119</v>
      </c>
      <c r="G116" s="49">
        <v>5.82</v>
      </c>
      <c r="H116" s="58">
        <f>I116</f>
        <v>5.82</v>
      </c>
      <c r="I116" s="58">
        <v>5.82</v>
      </c>
      <c r="J116" s="50"/>
      <c r="K116" s="51" t="s">
        <v>135</v>
      </c>
      <c r="L116" s="51"/>
      <c r="M116" s="52"/>
      <c r="N116" s="295">
        <f>H116-G116</f>
        <v>0</v>
      </c>
      <c r="O116" s="284">
        <f>(N116/G116)</f>
        <v>0</v>
      </c>
      <c r="P116" s="296"/>
      <c r="Q116" s="309" t="s">
        <v>136</v>
      </c>
      <c r="R116" s="309" t="s">
        <v>136</v>
      </c>
      <c r="T116" s="309" t="s">
        <v>136</v>
      </c>
      <c r="U116" s="283"/>
      <c r="V116" s="291" t="s">
        <v>130</v>
      </c>
      <c r="W116" s="291" t="s">
        <v>130</v>
      </c>
      <c r="Z116" s="282"/>
    </row>
    <row r="117" spans="1:26" x14ac:dyDescent="0.3">
      <c r="A117" s="27">
        <f t="shared" si="18"/>
        <v>102</v>
      </c>
      <c r="D117" s="54" t="s">
        <v>137</v>
      </c>
      <c r="F117" s="27" t="s">
        <v>119</v>
      </c>
      <c r="G117" s="49">
        <v>5.82</v>
      </c>
      <c r="H117" s="58">
        <f>I117</f>
        <v>5.82</v>
      </c>
      <c r="I117" s="58">
        <f>I116</f>
        <v>5.82</v>
      </c>
      <c r="J117" s="50"/>
      <c r="K117" s="51" t="s">
        <v>135</v>
      </c>
      <c r="L117" s="51"/>
      <c r="M117" s="52"/>
      <c r="O117" s="284">
        <f>(M117/G117)</f>
        <v>0</v>
      </c>
      <c r="P117" s="296"/>
      <c r="Q117" s="309" t="s">
        <v>136</v>
      </c>
      <c r="R117" s="309" t="s">
        <v>136</v>
      </c>
      <c r="T117" s="309" t="s">
        <v>136</v>
      </c>
      <c r="U117" s="283"/>
      <c r="V117" s="291" t="s">
        <v>131</v>
      </c>
      <c r="W117" s="291" t="s">
        <v>131</v>
      </c>
      <c r="Z117" s="282"/>
    </row>
    <row r="118" spans="1:26" x14ac:dyDescent="0.3">
      <c r="A118" s="27">
        <f t="shared" si="18"/>
        <v>103</v>
      </c>
      <c r="D118" s="54" t="s">
        <v>138</v>
      </c>
      <c r="F118" s="27" t="s">
        <v>78</v>
      </c>
      <c r="G118" s="58">
        <v>0.25</v>
      </c>
      <c r="H118" s="58">
        <v>0.25</v>
      </c>
      <c r="I118" s="58">
        <v>0.25</v>
      </c>
      <c r="J118" s="67"/>
      <c r="K118" s="51" t="s">
        <v>108</v>
      </c>
      <c r="L118" s="66"/>
      <c r="M118" s="52"/>
      <c r="N118" s="295"/>
      <c r="O118" s="310"/>
      <c r="P118" s="311"/>
      <c r="Q118" s="312"/>
      <c r="R118" s="312"/>
      <c r="T118" s="312"/>
      <c r="U118" s="283"/>
    </row>
    <row r="119" spans="1:26" x14ac:dyDescent="0.3">
      <c r="A119" s="27">
        <f t="shared" si="18"/>
        <v>104</v>
      </c>
      <c r="G119" s="49"/>
      <c r="H119" s="49"/>
      <c r="I119" s="58"/>
      <c r="J119" s="50"/>
      <c r="K119" s="51"/>
      <c r="L119" s="51"/>
      <c r="M119" s="52"/>
      <c r="P119" s="296"/>
      <c r="Q119" s="297"/>
      <c r="R119" s="297"/>
      <c r="T119" s="297"/>
      <c r="U119" s="283"/>
      <c r="V119" s="291"/>
      <c r="W119" s="291"/>
      <c r="Z119" s="282"/>
    </row>
    <row r="120" spans="1:26" x14ac:dyDescent="0.3">
      <c r="A120" s="27">
        <f t="shared" si="18"/>
        <v>105</v>
      </c>
      <c r="D120" s="27" t="s">
        <v>123</v>
      </c>
      <c r="G120" s="49"/>
      <c r="H120" s="49"/>
      <c r="I120" s="58"/>
      <c r="J120" s="50"/>
      <c r="K120" s="51"/>
      <c r="L120" s="51"/>
      <c r="M120" s="52"/>
      <c r="P120" s="296"/>
      <c r="Q120" s="297"/>
      <c r="R120" s="297"/>
      <c r="T120" s="297"/>
      <c r="U120" s="283"/>
      <c r="V120" s="291"/>
      <c r="W120" s="291"/>
      <c r="Z120" s="282"/>
    </row>
    <row r="121" spans="1:26" x14ac:dyDescent="0.3">
      <c r="A121" s="27">
        <f t="shared" si="18"/>
        <v>106</v>
      </c>
      <c r="D121" s="54" t="s">
        <v>101</v>
      </c>
      <c r="F121" s="27" t="s">
        <v>119</v>
      </c>
      <c r="G121" s="49">
        <f>G86</f>
        <v>1.34</v>
      </c>
      <c r="H121" s="49">
        <f>I121</f>
        <v>1.36</v>
      </c>
      <c r="I121" s="58">
        <f>I86</f>
        <v>1.36</v>
      </c>
      <c r="J121" s="50" t="s">
        <v>124</v>
      </c>
      <c r="K121" s="51" t="s">
        <v>106</v>
      </c>
      <c r="L121" s="51"/>
      <c r="M121" s="52"/>
      <c r="N121" s="295">
        <f>H121-G121</f>
        <v>2.0000000000000018E-2</v>
      </c>
      <c r="O121" s="284">
        <f>(N121/G121)</f>
        <v>1.492537313432837E-2</v>
      </c>
      <c r="P121" s="296">
        <v>-221500.33574738415</v>
      </c>
      <c r="Q121" s="297">
        <f>(P121*G121)/1000</f>
        <v>-296.81044990149479</v>
      </c>
      <c r="R121" s="297">
        <f>(P121*H121)/1000</f>
        <v>-301.24045661644249</v>
      </c>
      <c r="S121" s="298">
        <f>R121-Q121</f>
        <v>-4.4300067149476945</v>
      </c>
      <c r="T121" s="297">
        <f>(P121*I121)/1000</f>
        <v>-301.24045661644249</v>
      </c>
      <c r="U121" s="298">
        <f>R121-T121</f>
        <v>0</v>
      </c>
      <c r="V121" s="291" t="s">
        <v>129</v>
      </c>
      <c r="W121" s="291" t="s">
        <v>129</v>
      </c>
      <c r="Z121" s="282"/>
    </row>
    <row r="122" spans="1:26" x14ac:dyDescent="0.3">
      <c r="A122" s="27">
        <f t="shared" si="18"/>
        <v>107</v>
      </c>
      <c r="D122" s="54" t="s">
        <v>125</v>
      </c>
      <c r="F122" s="27" t="s">
        <v>119</v>
      </c>
      <c r="G122" s="49">
        <f>G87</f>
        <v>6.47</v>
      </c>
      <c r="H122" s="49">
        <f t="shared" ref="H122:H123" si="21">I122</f>
        <v>6.64</v>
      </c>
      <c r="I122" s="58">
        <f t="shared" ref="I122:I123" si="22">I87</f>
        <v>6.64</v>
      </c>
      <c r="J122" s="50" t="s">
        <v>124</v>
      </c>
      <c r="K122" s="51" t="s">
        <v>106</v>
      </c>
      <c r="L122" s="51"/>
      <c r="M122" s="52"/>
      <c r="N122" s="295">
        <f>H122-G122</f>
        <v>0.16999999999999993</v>
      </c>
      <c r="O122" s="284">
        <f>(N122/G122)</f>
        <v>2.6275115919629048E-2</v>
      </c>
      <c r="P122" s="296">
        <v>0</v>
      </c>
      <c r="Q122" s="297">
        <f>(P122*G122)/1000</f>
        <v>0</v>
      </c>
      <c r="R122" s="297">
        <f>(P122*H122)/1000</f>
        <v>0</v>
      </c>
      <c r="S122" s="298">
        <f>R122-Q122</f>
        <v>0</v>
      </c>
      <c r="T122" s="297">
        <f>(P122*I122)/1000</f>
        <v>0</v>
      </c>
      <c r="U122" s="298">
        <f>R122-T122</f>
        <v>0</v>
      </c>
      <c r="V122" s="291" t="s">
        <v>129</v>
      </c>
      <c r="W122" s="291" t="s">
        <v>129</v>
      </c>
      <c r="Z122" s="282"/>
    </row>
    <row r="123" spans="1:26" x14ac:dyDescent="0.3">
      <c r="A123" s="27">
        <f t="shared" si="18"/>
        <v>108</v>
      </c>
      <c r="D123" s="54" t="s">
        <v>126</v>
      </c>
      <c r="F123" s="27" t="s">
        <v>119</v>
      </c>
      <c r="G123" s="49">
        <f>G88</f>
        <v>9.0399999999999991</v>
      </c>
      <c r="H123" s="49">
        <f t="shared" si="21"/>
        <v>9.24</v>
      </c>
      <c r="I123" s="58">
        <f t="shared" si="22"/>
        <v>9.24</v>
      </c>
      <c r="J123" s="50" t="s">
        <v>124</v>
      </c>
      <c r="K123" s="51" t="s">
        <v>106</v>
      </c>
      <c r="L123" s="51"/>
      <c r="M123" s="52"/>
      <c r="N123" s="295"/>
      <c r="P123" s="296"/>
      <c r="Q123" s="297"/>
      <c r="R123" s="297"/>
      <c r="S123" s="298"/>
      <c r="T123" s="297"/>
      <c r="U123" s="298"/>
      <c r="V123" s="291"/>
      <c r="W123" s="291"/>
      <c r="Z123" s="282"/>
    </row>
    <row r="124" spans="1:26" x14ac:dyDescent="0.3">
      <c r="A124" s="27">
        <f t="shared" si="18"/>
        <v>109</v>
      </c>
      <c r="G124" s="49"/>
      <c r="H124" s="49"/>
      <c r="I124" s="58"/>
      <c r="J124" s="50"/>
      <c r="K124" s="51"/>
      <c r="L124" s="51"/>
      <c r="M124" s="52"/>
      <c r="P124" s="296"/>
      <c r="Q124" s="297"/>
      <c r="R124" s="297"/>
      <c r="T124" s="297"/>
      <c r="U124" s="283"/>
      <c r="V124" s="291"/>
      <c r="W124" s="291"/>
      <c r="Z124" s="282"/>
    </row>
    <row r="125" spans="1:26" x14ac:dyDescent="0.3">
      <c r="A125" s="27">
        <f t="shared" si="18"/>
        <v>110</v>
      </c>
      <c r="D125" s="27" t="s">
        <v>104</v>
      </c>
      <c r="F125" s="27" t="s">
        <v>119</v>
      </c>
      <c r="G125" s="49">
        <v>2.06</v>
      </c>
      <c r="H125" s="49">
        <f>I125</f>
        <v>2.12</v>
      </c>
      <c r="I125" s="58">
        <f>'[1]MFR E-14G'!I22</f>
        <v>2.12</v>
      </c>
      <c r="J125" s="50" t="s">
        <v>105</v>
      </c>
      <c r="K125" s="51" t="s">
        <v>106</v>
      </c>
      <c r="L125" s="51"/>
      <c r="M125" s="52"/>
      <c r="N125" s="295">
        <f>H125-G125</f>
        <v>6.0000000000000053E-2</v>
      </c>
      <c r="O125" s="284">
        <f>(N125/G125)</f>
        <v>2.9126213592233035E-2</v>
      </c>
      <c r="P125" s="296"/>
      <c r="Q125" s="297">
        <f>(P125*G125)/1000</f>
        <v>0</v>
      </c>
      <c r="R125" s="297">
        <f>(P125*H125)/1000</f>
        <v>0</v>
      </c>
      <c r="S125" s="298">
        <f>R125-Q125</f>
        <v>0</v>
      </c>
      <c r="T125" s="297">
        <f>(P125*I125)/1000</f>
        <v>0</v>
      </c>
      <c r="U125" s="298">
        <f>R125-T125</f>
        <v>0</v>
      </c>
      <c r="V125" s="291" t="s">
        <v>129</v>
      </c>
      <c r="W125" s="291" t="s">
        <v>129</v>
      </c>
      <c r="Z125" s="282"/>
    </row>
    <row r="126" spans="1:26" x14ac:dyDescent="0.3">
      <c r="A126" s="27">
        <f t="shared" si="18"/>
        <v>111</v>
      </c>
      <c r="G126" s="51"/>
      <c r="H126" s="51"/>
      <c r="I126" s="66"/>
      <c r="J126" s="50"/>
      <c r="K126" s="51"/>
      <c r="L126" s="51"/>
      <c r="M126" s="52"/>
      <c r="P126" s="296"/>
      <c r="Q126" s="297"/>
      <c r="R126" s="297"/>
      <c r="T126" s="297"/>
      <c r="U126" s="283"/>
      <c r="V126" s="291"/>
      <c r="W126" s="291"/>
      <c r="Z126" s="282"/>
    </row>
    <row r="127" spans="1:26" x14ac:dyDescent="0.3">
      <c r="A127" s="27">
        <f t="shared" si="18"/>
        <v>112</v>
      </c>
      <c r="C127" s="27" t="s">
        <v>75</v>
      </c>
      <c r="G127" s="51"/>
      <c r="H127" s="51"/>
      <c r="I127" s="66"/>
      <c r="J127" s="50"/>
      <c r="K127" s="51"/>
      <c r="L127" s="51"/>
      <c r="M127" s="52"/>
      <c r="P127" s="296"/>
      <c r="Q127" s="297"/>
      <c r="R127" s="297"/>
      <c r="T127" s="297"/>
      <c r="U127" s="283"/>
      <c r="V127" s="291"/>
      <c r="W127" s="291"/>
      <c r="Z127" s="282"/>
    </row>
    <row r="128" spans="1:26" x14ac:dyDescent="0.3">
      <c r="A128" s="27">
        <f t="shared" si="18"/>
        <v>113</v>
      </c>
      <c r="D128" s="27" t="s">
        <v>67</v>
      </c>
      <c r="F128" s="27" t="s">
        <v>78</v>
      </c>
      <c r="G128" s="56">
        <f>'[1]MFR E-13c'!F320/10</f>
        <v>2.79</v>
      </c>
      <c r="H128" s="56">
        <f>'[1]MFR E-13c'!L320/10</f>
        <v>2.9530000000000003</v>
      </c>
      <c r="I128" s="57">
        <f>SUM('[1]MFR E-6b'!T59,'[1]MFR E-6b'!T66)/10</f>
        <v>5.2344062020699127</v>
      </c>
      <c r="J128" s="50" t="s">
        <v>113</v>
      </c>
      <c r="K128" s="56" t="s">
        <v>69</v>
      </c>
      <c r="L128" s="56"/>
      <c r="M128" s="60"/>
      <c r="N128" s="295">
        <f>H128-G128</f>
        <v>0.16300000000000026</v>
      </c>
      <c r="O128" s="284">
        <f>(N128/G128)</f>
        <v>5.8422939068100449E-2</v>
      </c>
      <c r="P128" s="296">
        <v>0</v>
      </c>
      <c r="Q128" s="297">
        <f>(P128*G128*10)/1000</f>
        <v>0</v>
      </c>
      <c r="R128" s="297">
        <f>(P128*H128*10)/1000</f>
        <v>0</v>
      </c>
      <c r="S128" s="298">
        <f>R128-Q128</f>
        <v>0</v>
      </c>
      <c r="T128" s="297">
        <f>(P128*I128*10)/1000</f>
        <v>0</v>
      </c>
      <c r="U128" s="298">
        <f>R128-T128</f>
        <v>0</v>
      </c>
      <c r="V128" s="291" t="s">
        <v>129</v>
      </c>
      <c r="W128" s="291" t="s">
        <v>129</v>
      </c>
      <c r="Z128" s="282"/>
    </row>
    <row r="129" spans="1:29" x14ac:dyDescent="0.3">
      <c r="A129" s="27">
        <f t="shared" si="18"/>
        <v>114</v>
      </c>
      <c r="D129" s="27" t="s">
        <v>83</v>
      </c>
      <c r="F129" s="27" t="s">
        <v>78</v>
      </c>
      <c r="G129" s="56">
        <f>'[1]MFR E-13c'!F325/10</f>
        <v>3.1399999999999997</v>
      </c>
      <c r="H129" s="56">
        <f>'[1]MFR E-13c'!L325/10</f>
        <v>3.4189999999999996</v>
      </c>
      <c r="I129" s="57">
        <f>ROUND('[1]MFR E-14C'!AA207,3)</f>
        <v>3.4020000000000001</v>
      </c>
      <c r="J129" s="50" t="s">
        <v>84</v>
      </c>
      <c r="K129" s="51" t="s">
        <v>85</v>
      </c>
      <c r="L129" s="56"/>
      <c r="M129" s="60"/>
      <c r="N129" s="295">
        <f>H129-G129</f>
        <v>0.27899999999999991</v>
      </c>
      <c r="O129" s="284">
        <f>(N129/G129)</f>
        <v>8.8853503184713356E-2</v>
      </c>
      <c r="P129" s="296">
        <v>15677.736620243468</v>
      </c>
      <c r="Q129" s="297">
        <f>(P129*G129*10)/1000</f>
        <v>492.28092987564486</v>
      </c>
      <c r="R129" s="297">
        <f>(P129*H129*10)/1000</f>
        <v>536.02181504612417</v>
      </c>
      <c r="S129" s="298">
        <f>R129-Q129</f>
        <v>43.740885170479316</v>
      </c>
      <c r="T129" s="297">
        <f>(P129*I129*10)/1000</f>
        <v>533.35659982068273</v>
      </c>
      <c r="U129" s="298">
        <f>R129-T129</f>
        <v>2.6652152254414432</v>
      </c>
      <c r="V129" s="291" t="s">
        <v>132</v>
      </c>
      <c r="W129" s="291" t="s">
        <v>132</v>
      </c>
      <c r="Z129" s="282"/>
    </row>
    <row r="130" spans="1:29" x14ac:dyDescent="0.3">
      <c r="A130" s="27">
        <f t="shared" si="18"/>
        <v>115</v>
      </c>
      <c r="D130" s="27" t="s">
        <v>86</v>
      </c>
      <c r="F130" s="27" t="s">
        <v>78</v>
      </c>
      <c r="G130" s="56">
        <f>'[1]MFR E-13c'!F326/10</f>
        <v>2.2429999999999999</v>
      </c>
      <c r="H130" s="56">
        <f>'[1]MFR E-13c'!L326/10</f>
        <v>2.3579999999999997</v>
      </c>
      <c r="I130" s="57">
        <f>ROUND('[1]MFR E-14C'!AA208,3)</f>
        <v>2.3460000000000001</v>
      </c>
      <c r="J130" s="50" t="s">
        <v>84</v>
      </c>
      <c r="K130" s="51" t="s">
        <v>85</v>
      </c>
      <c r="L130" s="56"/>
      <c r="M130" s="60"/>
      <c r="N130" s="295">
        <f>H130-G130</f>
        <v>0.11499999999999977</v>
      </c>
      <c r="O130" s="284">
        <f>(N130/G130)</f>
        <v>5.1270619705751128E-2</v>
      </c>
      <c r="P130" s="296">
        <v>48600.263379756529</v>
      </c>
      <c r="Q130" s="297">
        <f>(P130*G130*10)/1000</f>
        <v>1090.1039076079389</v>
      </c>
      <c r="R130" s="297">
        <f>(P130*H130*10)/1000</f>
        <v>1145.9942104946588</v>
      </c>
      <c r="S130" s="298">
        <f>R130-Q130</f>
        <v>55.890302886719837</v>
      </c>
      <c r="T130" s="297">
        <f>(P130*I130*10)/1000</f>
        <v>1140.1621788890884</v>
      </c>
      <c r="U130" s="298">
        <f>R130-T130</f>
        <v>5.8320316055703643</v>
      </c>
      <c r="V130" s="291" t="s">
        <v>132</v>
      </c>
      <c r="W130" s="291" t="s">
        <v>132</v>
      </c>
      <c r="Z130" s="282"/>
    </row>
    <row r="131" spans="1:29" x14ac:dyDescent="0.3">
      <c r="A131" s="27">
        <f t="shared" si="18"/>
        <v>116</v>
      </c>
      <c r="D131" s="27" t="s">
        <v>87</v>
      </c>
      <c r="F131" s="27" t="s">
        <v>78</v>
      </c>
      <c r="G131" s="56">
        <f>'[1]MFR E-13c'!F327/10</f>
        <v>1.6940000000000002</v>
      </c>
      <c r="H131" s="56">
        <f>'[1]MFR E-13c'!L327/10</f>
        <v>1.7829999999999999</v>
      </c>
      <c r="I131" s="57">
        <f>ROUND('[1]MFR E-14C'!AA209,3)</f>
        <v>1.774</v>
      </c>
      <c r="J131" s="50" t="s">
        <v>84</v>
      </c>
      <c r="K131" s="51" t="s">
        <v>85</v>
      </c>
      <c r="L131" s="56"/>
      <c r="M131" s="60"/>
      <c r="N131" s="295"/>
      <c r="P131" s="296"/>
      <c r="Q131" s="297"/>
      <c r="R131" s="297"/>
      <c r="S131" s="298"/>
      <c r="T131" s="297"/>
      <c r="U131" s="298"/>
      <c r="V131" s="291"/>
      <c r="W131" s="291"/>
      <c r="Z131" s="282"/>
    </row>
    <row r="132" spans="1:29" x14ac:dyDescent="0.3">
      <c r="A132" s="27">
        <f t="shared" si="18"/>
        <v>117</v>
      </c>
      <c r="G132" s="51"/>
      <c r="H132" s="51"/>
      <c r="I132" s="66"/>
      <c r="J132" s="50"/>
      <c r="K132" s="51"/>
      <c r="L132" s="51"/>
      <c r="M132" s="52"/>
      <c r="P132" s="296"/>
      <c r="Q132" s="297"/>
      <c r="R132" s="297"/>
      <c r="T132" s="297"/>
      <c r="U132" s="283"/>
      <c r="V132" s="291"/>
      <c r="W132" s="291"/>
      <c r="Z132" s="282"/>
    </row>
    <row r="133" spans="1:29" x14ac:dyDescent="0.3">
      <c r="A133" s="27">
        <f t="shared" si="18"/>
        <v>118</v>
      </c>
      <c r="C133" s="27" t="s">
        <v>107</v>
      </c>
      <c r="G133" s="51"/>
      <c r="H133" s="51"/>
      <c r="I133" s="51"/>
      <c r="J133" s="50"/>
      <c r="K133" s="51"/>
      <c r="L133" s="51"/>
      <c r="M133" s="52"/>
      <c r="N133" s="295"/>
      <c r="P133" s="296"/>
      <c r="Q133" s="297"/>
      <c r="R133" s="297"/>
      <c r="T133" s="297"/>
      <c r="U133" s="283"/>
      <c r="V133" s="291"/>
      <c r="W133" s="291"/>
      <c r="Z133" s="282"/>
    </row>
    <row r="134" spans="1:29" x14ac:dyDescent="0.3">
      <c r="A134" s="27">
        <f t="shared" si="18"/>
        <v>119</v>
      </c>
      <c r="D134" s="27" t="s">
        <v>101</v>
      </c>
      <c r="F134" s="27" t="s">
        <v>61</v>
      </c>
      <c r="G134" s="62">
        <v>0.01</v>
      </c>
      <c r="H134" s="62">
        <v>0.01</v>
      </c>
      <c r="I134" s="62"/>
      <c r="J134" s="50"/>
      <c r="K134" s="51" t="s">
        <v>108</v>
      </c>
      <c r="L134" s="51"/>
      <c r="M134" s="52"/>
      <c r="N134" s="306">
        <f>H134-G134</f>
        <v>0</v>
      </c>
      <c r="O134" s="284">
        <f>(N134/G134)</f>
        <v>0</v>
      </c>
      <c r="P134" s="296"/>
      <c r="Q134" s="297">
        <f>(P134*G134)/1000</f>
        <v>0</v>
      </c>
      <c r="R134" s="297">
        <f>(P134*H134)/1000</f>
        <v>0</v>
      </c>
      <c r="S134" s="298">
        <f>R134-Q134</f>
        <v>0</v>
      </c>
      <c r="T134" s="297">
        <f>(P134*I134)/1000</f>
        <v>0</v>
      </c>
      <c r="U134" s="298">
        <f>R134-T134</f>
        <v>0</v>
      </c>
      <c r="V134" s="291" t="s">
        <v>129</v>
      </c>
      <c r="W134" s="291" t="s">
        <v>129</v>
      </c>
      <c r="Z134" s="282"/>
    </row>
    <row r="135" spans="1:29" x14ac:dyDescent="0.3">
      <c r="A135" s="27">
        <f t="shared" si="18"/>
        <v>120</v>
      </c>
      <c r="D135" s="27" t="s">
        <v>102</v>
      </c>
      <c r="F135" s="27" t="s">
        <v>61</v>
      </c>
      <c r="G135" s="62">
        <v>0.02</v>
      </c>
      <c r="H135" s="62">
        <v>0.02</v>
      </c>
      <c r="I135" s="62"/>
      <c r="J135" s="50"/>
      <c r="K135" s="51" t="s">
        <v>108</v>
      </c>
      <c r="L135" s="51"/>
      <c r="M135" s="52"/>
      <c r="N135" s="306">
        <f>H135-G135</f>
        <v>0</v>
      </c>
      <c r="O135" s="284">
        <f>(N135/G135)</f>
        <v>0</v>
      </c>
      <c r="P135" s="296"/>
      <c r="Q135" s="297">
        <f>(P135*G135)/1000</f>
        <v>0</v>
      </c>
      <c r="R135" s="297">
        <f>(P135*H135)/1000</f>
        <v>0</v>
      </c>
      <c r="S135" s="298">
        <f>R135-Q135</f>
        <v>0</v>
      </c>
      <c r="T135" s="297">
        <f>(P135*I135)/1000</f>
        <v>0</v>
      </c>
      <c r="U135" s="298">
        <f>R135-T135</f>
        <v>0</v>
      </c>
      <c r="V135" s="291" t="s">
        <v>129</v>
      </c>
      <c r="W135" s="291" t="s">
        <v>129</v>
      </c>
      <c r="Z135" s="282"/>
    </row>
    <row r="136" spans="1:29" x14ac:dyDescent="0.3">
      <c r="A136" s="27">
        <f t="shared" si="18"/>
        <v>121</v>
      </c>
      <c r="G136" s="62"/>
      <c r="H136" s="62"/>
      <c r="I136" s="62"/>
      <c r="J136" s="50"/>
      <c r="K136" s="51"/>
      <c r="L136" s="51"/>
      <c r="M136" s="52"/>
      <c r="N136" s="295"/>
      <c r="P136" s="296"/>
      <c r="Q136" s="297"/>
      <c r="R136" s="297"/>
      <c r="T136" s="297"/>
      <c r="U136" s="283"/>
      <c r="V136" s="291"/>
      <c r="W136" s="291"/>
      <c r="Z136" s="282"/>
    </row>
    <row r="137" spans="1:29" x14ac:dyDescent="0.3">
      <c r="A137" s="27">
        <f t="shared" si="18"/>
        <v>122</v>
      </c>
      <c r="C137" s="27" t="s">
        <v>109</v>
      </c>
      <c r="F137" s="27" t="s">
        <v>61</v>
      </c>
      <c r="G137" s="63">
        <f>G101</f>
        <v>9.5999999999999992E-3</v>
      </c>
      <c r="H137" s="64">
        <f>I137</f>
        <v>9.5999999999999992E-3</v>
      </c>
      <c r="I137" s="65">
        <f>I101</f>
        <v>9.5999999999999992E-3</v>
      </c>
      <c r="J137" s="42" t="s">
        <v>110</v>
      </c>
      <c r="K137" s="66" t="s">
        <v>111</v>
      </c>
      <c r="L137" s="51"/>
      <c r="M137" s="52"/>
      <c r="N137" s="307">
        <f>H137-G137</f>
        <v>0</v>
      </c>
      <c r="O137" s="284">
        <f>(N137/G137)</f>
        <v>0</v>
      </c>
      <c r="P137" s="296"/>
      <c r="Q137" s="297"/>
      <c r="R137" s="297"/>
      <c r="T137" s="297"/>
      <c r="U137" s="283"/>
      <c r="V137" s="291" t="s">
        <v>129</v>
      </c>
      <c r="W137" s="291" t="s">
        <v>129</v>
      </c>
      <c r="Z137" s="282"/>
    </row>
    <row r="138" spans="1:29" ht="14.4" thickBot="1" x14ac:dyDescent="0.35">
      <c r="B138" s="31"/>
      <c r="C138" s="31"/>
      <c r="D138" s="31"/>
      <c r="E138" s="31"/>
      <c r="F138" s="31"/>
      <c r="G138" s="52"/>
      <c r="H138" s="52"/>
      <c r="I138" s="52"/>
      <c r="J138" s="59"/>
      <c r="K138" s="52"/>
      <c r="L138" s="52"/>
      <c r="M138" s="52"/>
      <c r="N138" s="300"/>
      <c r="O138" s="301"/>
      <c r="P138" s="302"/>
      <c r="Q138" s="303">
        <f>SUM(Q104:Q137)</f>
        <v>2269.2356050328167</v>
      </c>
      <c r="R138" s="303">
        <f>SUM(R104:R137)</f>
        <v>2423.7217404902458</v>
      </c>
      <c r="S138" s="303">
        <f>SUM(S104:S137)</f>
        <v>154.48613545742938</v>
      </c>
      <c r="T138" s="303">
        <f>SUM(T104:T137)</f>
        <v>2408.0364244313168</v>
      </c>
      <c r="U138" s="303">
        <f>SUM(U104:U137)</f>
        <v>15.685316058929082</v>
      </c>
      <c r="V138" s="291"/>
      <c r="W138" s="291"/>
      <c r="Z138" s="282"/>
    </row>
    <row r="139" spans="1:29" ht="14.4" thickTop="1" x14ac:dyDescent="0.3">
      <c r="A139" s="27">
        <f>+A137+1</f>
        <v>123</v>
      </c>
      <c r="B139" s="48"/>
      <c r="G139" s="51"/>
      <c r="H139" s="51"/>
      <c r="I139" s="51"/>
      <c r="J139" s="50"/>
      <c r="K139" s="51"/>
      <c r="L139" s="51"/>
      <c r="M139" s="52"/>
      <c r="P139" s="296"/>
      <c r="Q139" s="296"/>
      <c r="R139" s="296"/>
      <c r="S139" s="296"/>
      <c r="T139" s="296"/>
      <c r="U139" s="283"/>
      <c r="V139" s="291"/>
      <c r="W139" s="291"/>
      <c r="Z139" s="282"/>
    </row>
    <row r="140" spans="1:29" x14ac:dyDescent="0.3">
      <c r="A140" s="27">
        <f t="shared" si="18"/>
        <v>124</v>
      </c>
      <c r="B140" s="48" t="s">
        <v>139</v>
      </c>
      <c r="C140" s="27" t="s">
        <v>65</v>
      </c>
      <c r="G140" s="51"/>
      <c r="H140" s="51"/>
      <c r="I140" s="51"/>
      <c r="J140" s="50"/>
      <c r="K140" s="51"/>
      <c r="L140" s="51"/>
      <c r="M140" s="52"/>
      <c r="P140" s="296"/>
      <c r="Q140" s="296"/>
      <c r="R140" s="296"/>
      <c r="T140" s="296"/>
      <c r="U140" s="283"/>
      <c r="V140" s="291"/>
      <c r="W140" s="291"/>
      <c r="Z140" s="282"/>
    </row>
    <row r="141" spans="1:29" x14ac:dyDescent="0.3">
      <c r="A141" s="27">
        <f t="shared" si="18"/>
        <v>125</v>
      </c>
      <c r="B141" s="48" t="s">
        <v>140</v>
      </c>
      <c r="D141" s="27" t="s">
        <v>99</v>
      </c>
      <c r="F141" s="27" t="s">
        <v>60</v>
      </c>
      <c r="G141" s="49">
        <f>'[1]MFR E-13c'!F368</f>
        <v>443.34</v>
      </c>
      <c r="H141" s="49">
        <f>'[1]MFR E-13c'!L368</f>
        <v>461.29</v>
      </c>
      <c r="I141" s="49">
        <f>'[1]MFR E-14E'!K53</f>
        <v>385.10825319807788</v>
      </c>
      <c r="J141" s="50" t="s">
        <v>96</v>
      </c>
      <c r="K141" s="51" t="s">
        <v>69</v>
      </c>
      <c r="L141" s="51"/>
      <c r="M141" s="52"/>
      <c r="N141" s="295">
        <f>H141-G141</f>
        <v>17.950000000000045</v>
      </c>
      <c r="O141" s="284">
        <f>(N141/G141)</f>
        <v>4.0488112960707465E-2</v>
      </c>
      <c r="P141" s="296">
        <v>936.31973453054877</v>
      </c>
      <c r="Q141" s="297">
        <f>(P141*G141)/1000</f>
        <v>415.10799110677351</v>
      </c>
      <c r="R141" s="297">
        <f>(P141*H141)/1000</f>
        <v>431.91493034159691</v>
      </c>
      <c r="S141" s="298">
        <f>R141-Q141</f>
        <v>16.806939234823403</v>
      </c>
      <c r="T141" s="297">
        <f>(P141*I141)/1000</f>
        <v>360.58445739994761</v>
      </c>
      <c r="U141" s="298">
        <f>R141-T141</f>
        <v>71.330472941649305</v>
      </c>
      <c r="V141" s="291" t="s">
        <v>141</v>
      </c>
      <c r="W141" s="291" t="s">
        <v>141</v>
      </c>
      <c r="Z141" s="282"/>
      <c r="AC141" s="27" t="b">
        <f t="shared" ref="AC141:AC143" si="23">H141&gt;=I141</f>
        <v>1</v>
      </c>
    </row>
    <row r="142" spans="1:29" x14ac:dyDescent="0.3">
      <c r="A142" s="27">
        <f t="shared" ref="A142:A205" si="24">+A141+1</f>
        <v>126</v>
      </c>
      <c r="B142" s="48"/>
      <c r="D142" s="27" t="s">
        <v>101</v>
      </c>
      <c r="F142" s="27" t="s">
        <v>60</v>
      </c>
      <c r="G142" s="49">
        <f>'[1]MFR E-13c'!F369</f>
        <v>657.83</v>
      </c>
      <c r="H142" s="49">
        <f>'[1]MFR E-13c'!L369</f>
        <v>684.46</v>
      </c>
      <c r="I142" s="49">
        <f>'[1]MFR E-14E'!K54</f>
        <v>538.27899330916057</v>
      </c>
      <c r="J142" s="50" t="s">
        <v>96</v>
      </c>
      <c r="K142" s="51" t="s">
        <v>69</v>
      </c>
      <c r="L142" s="51"/>
      <c r="M142" s="52"/>
      <c r="N142" s="295">
        <f>H142-G142</f>
        <v>26.629999999999995</v>
      </c>
      <c r="O142" s="284">
        <f>(N142/G142)</f>
        <v>4.0481583387805352E-2</v>
      </c>
      <c r="P142" s="296">
        <v>1032.3525278157329</v>
      </c>
      <c r="Q142" s="297">
        <f>(P142*G142)/1000</f>
        <v>679.1124633730235</v>
      </c>
      <c r="R142" s="297">
        <f>(P142*H142)/1000</f>
        <v>706.60401118875654</v>
      </c>
      <c r="S142" s="298">
        <f>R142-Q142</f>
        <v>27.491547815733043</v>
      </c>
      <c r="T142" s="297">
        <f>(P142*I142)/1000</f>
        <v>555.69367941281996</v>
      </c>
      <c r="U142" s="298">
        <f>R142-T142</f>
        <v>150.91033177593658</v>
      </c>
      <c r="V142" s="291" t="s">
        <v>141</v>
      </c>
      <c r="W142" s="291" t="s">
        <v>141</v>
      </c>
      <c r="Z142" s="282"/>
      <c r="AC142" s="27" t="b">
        <f t="shared" si="23"/>
        <v>1</v>
      </c>
    </row>
    <row r="143" spans="1:29" x14ac:dyDescent="0.3">
      <c r="A143" s="27">
        <f t="shared" si="24"/>
        <v>127</v>
      </c>
      <c r="D143" s="27" t="s">
        <v>102</v>
      </c>
      <c r="F143" s="27" t="s">
        <v>60</v>
      </c>
      <c r="G143" s="49">
        <f>'[1]MFR E-13c'!F370</f>
        <v>1573.77</v>
      </c>
      <c r="H143" s="49">
        <f>'[1]MFR E-13c'!L370</f>
        <v>1637.49</v>
      </c>
      <c r="I143" s="49">
        <f>'[1]MFR E-14E'!K55</f>
        <v>734.29093054736359</v>
      </c>
      <c r="J143" s="50" t="s">
        <v>96</v>
      </c>
      <c r="K143" s="51" t="s">
        <v>69</v>
      </c>
      <c r="L143" s="51"/>
      <c r="M143" s="52"/>
      <c r="N143" s="295">
        <f>H143-G143</f>
        <v>63.720000000000027</v>
      </c>
      <c r="O143" s="284">
        <f>(N143/G143)</f>
        <v>4.0488762652738347E-2</v>
      </c>
      <c r="P143" s="296">
        <v>72.024594963888333</v>
      </c>
      <c r="Q143" s="297">
        <f>(P143*G143)/1000</f>
        <v>113.35014681631853</v>
      </c>
      <c r="R143" s="297">
        <f>(P143*H143)/1000</f>
        <v>117.93955400741751</v>
      </c>
      <c r="S143" s="298">
        <f>R143-Q143</f>
        <v>4.5894071910989851</v>
      </c>
      <c r="T143" s="297">
        <f>(P143*I143)/1000</f>
        <v>52.887006858330516</v>
      </c>
      <c r="U143" s="298">
        <f>R143-T143</f>
        <v>65.05254714908699</v>
      </c>
      <c r="V143" s="291" t="s">
        <v>141</v>
      </c>
      <c r="W143" s="291" t="s">
        <v>141</v>
      </c>
      <c r="Z143" s="282"/>
      <c r="AC143" s="27" t="b">
        <f t="shared" si="23"/>
        <v>1</v>
      </c>
    </row>
    <row r="144" spans="1:29" x14ac:dyDescent="0.3">
      <c r="A144" s="27">
        <f t="shared" si="24"/>
        <v>128</v>
      </c>
      <c r="G144" s="49"/>
      <c r="H144" s="49"/>
      <c r="I144" s="49"/>
      <c r="J144" s="50"/>
      <c r="K144" s="51"/>
      <c r="L144" s="51"/>
      <c r="M144" s="52"/>
      <c r="P144" s="296"/>
      <c r="Q144" s="296"/>
      <c r="R144" s="296"/>
      <c r="T144" s="296"/>
      <c r="U144" s="283"/>
      <c r="V144" s="291"/>
      <c r="W144" s="291"/>
      <c r="Z144" s="282"/>
    </row>
    <row r="145" spans="1:26" x14ac:dyDescent="0.3">
      <c r="A145" s="27">
        <f t="shared" si="24"/>
        <v>129</v>
      </c>
      <c r="C145" s="27" t="s">
        <v>142</v>
      </c>
      <c r="G145" s="49"/>
      <c r="H145" s="49"/>
      <c r="I145" s="49"/>
      <c r="J145" s="50"/>
      <c r="K145" s="51"/>
      <c r="L145" s="51"/>
      <c r="M145" s="52"/>
      <c r="P145" s="296"/>
      <c r="Q145" s="296"/>
      <c r="R145" s="296"/>
      <c r="T145" s="296"/>
      <c r="U145" s="283"/>
      <c r="V145" s="291"/>
      <c r="W145" s="291"/>
      <c r="Z145" s="282"/>
    </row>
    <row r="146" spans="1:26" x14ac:dyDescent="0.3">
      <c r="A146" s="27">
        <f t="shared" si="24"/>
        <v>130</v>
      </c>
      <c r="D146" s="27" t="s">
        <v>67</v>
      </c>
      <c r="F146" s="27" t="s">
        <v>119</v>
      </c>
      <c r="G146" s="49">
        <f>'[1]MFR E-13c'!F379</f>
        <v>12.71</v>
      </c>
      <c r="H146" s="49">
        <f>'[1]MFR E-13c'!L379</f>
        <v>13.42</v>
      </c>
      <c r="I146" s="49">
        <f>'[1]MFR E-6b'!U73</f>
        <v>15.773866454862395</v>
      </c>
      <c r="J146" s="50" t="s">
        <v>113</v>
      </c>
      <c r="K146" s="51" t="s">
        <v>69</v>
      </c>
      <c r="L146" s="51"/>
      <c r="M146" s="52"/>
      <c r="N146" s="295">
        <f>H146-G146</f>
        <v>0.70999999999999908</v>
      </c>
      <c r="O146" s="284">
        <f>(N146/G146)</f>
        <v>5.586152635719898E-2</v>
      </c>
      <c r="P146" s="296">
        <v>759330.74305971235</v>
      </c>
      <c r="Q146" s="297">
        <f>(P146*G146)/1000</f>
        <v>9651.0937442889444</v>
      </c>
      <c r="R146" s="297">
        <f>(P146*H146)/1000</f>
        <v>10190.21857186134</v>
      </c>
      <c r="S146" s="298">
        <f>R146-Q146</f>
        <v>539.12482757239559</v>
      </c>
      <c r="T146" s="297">
        <f>(P146*I146)/1000</f>
        <v>11977.581736095333</v>
      </c>
      <c r="U146" s="298">
        <f>R146-T146</f>
        <v>-1787.3631642339933</v>
      </c>
      <c r="V146" s="291" t="s">
        <v>141</v>
      </c>
      <c r="W146" s="291" t="s">
        <v>141</v>
      </c>
      <c r="Z146" s="282"/>
    </row>
    <row r="147" spans="1:26" x14ac:dyDescent="0.3">
      <c r="A147" s="27">
        <f t="shared" si="24"/>
        <v>131</v>
      </c>
      <c r="D147" s="27" t="s">
        <v>71</v>
      </c>
      <c r="G147" s="49"/>
      <c r="H147" s="49"/>
      <c r="I147" s="49"/>
      <c r="J147" s="50"/>
      <c r="K147" s="51"/>
      <c r="L147" s="51"/>
      <c r="M147" s="52"/>
      <c r="P147" s="296"/>
      <c r="Q147" s="296"/>
      <c r="R147" s="296"/>
      <c r="T147" s="296"/>
      <c r="U147" s="283"/>
      <c r="V147" s="291"/>
      <c r="W147" s="291"/>
      <c r="Z147" s="282"/>
    </row>
    <row r="148" spans="1:26" x14ac:dyDescent="0.3">
      <c r="A148" s="27">
        <f t="shared" si="24"/>
        <v>132</v>
      </c>
      <c r="D148" s="54" t="s">
        <v>120</v>
      </c>
      <c r="F148" s="27" t="s">
        <v>119</v>
      </c>
      <c r="G148" s="49">
        <f>'[1]MFR E-13c'!F387</f>
        <v>1.96</v>
      </c>
      <c r="H148" s="49">
        <f>'[1]MFR E-13c'!L387</f>
        <v>2.09</v>
      </c>
      <c r="I148" s="58">
        <f>ROUND('[1]MFR E-14C'!M279,2)</f>
        <v>2.1</v>
      </c>
      <c r="J148" s="50" t="s">
        <v>84</v>
      </c>
      <c r="K148" s="51" t="s">
        <v>85</v>
      </c>
      <c r="L148" s="51"/>
      <c r="M148" s="52"/>
      <c r="N148" s="295">
        <f>H148-G148</f>
        <v>0.12999999999999989</v>
      </c>
      <c r="O148" s="284">
        <f>(N148/G148)</f>
        <v>6.6326530612244847E-2</v>
      </c>
      <c r="P148" s="296">
        <v>4977852.4117269311</v>
      </c>
      <c r="Q148" s="297">
        <f>(P148*G148)/1000</f>
        <v>9756.5907269847849</v>
      </c>
      <c r="R148" s="297">
        <f>(P148*H148)/1000</f>
        <v>10403.711540509285</v>
      </c>
      <c r="S148" s="298">
        <f>R148-Q148</f>
        <v>647.12081352449968</v>
      </c>
      <c r="T148" s="297">
        <f>(P148*I148)/1000</f>
        <v>10453.490064626556</v>
      </c>
      <c r="U148" s="298">
        <f>R148-T148</f>
        <v>-49.778524117271445</v>
      </c>
      <c r="V148" s="291" t="s">
        <v>143</v>
      </c>
      <c r="W148" s="291" t="s">
        <v>143</v>
      </c>
      <c r="Z148" s="282"/>
    </row>
    <row r="149" spans="1:26" x14ac:dyDescent="0.3">
      <c r="A149" s="27">
        <f t="shared" si="24"/>
        <v>133</v>
      </c>
      <c r="D149" s="54" t="s">
        <v>121</v>
      </c>
      <c r="F149" s="27" t="s">
        <v>119</v>
      </c>
      <c r="G149" s="49">
        <f>'[1]MFR E-13c'!F385</f>
        <v>2.86</v>
      </c>
      <c r="H149" s="49">
        <f>'[1]MFR E-13c'!L385</f>
        <v>2.98</v>
      </c>
      <c r="I149" s="58">
        <f>ROUND('[1]MFR E-14C'!M277,2)</f>
        <v>3</v>
      </c>
      <c r="J149" s="50" t="s">
        <v>84</v>
      </c>
      <c r="K149" s="51" t="s">
        <v>85</v>
      </c>
      <c r="L149" s="51"/>
      <c r="M149" s="52"/>
      <c r="N149" s="295">
        <f>H149-G149</f>
        <v>0.12000000000000011</v>
      </c>
      <c r="O149" s="284">
        <f>(N149/G149)</f>
        <v>4.1958041958041994E-2</v>
      </c>
      <c r="P149" s="296">
        <v>4769350.1410258049</v>
      </c>
      <c r="Q149" s="297">
        <f>(P149*G149)/1000</f>
        <v>13640.341403333801</v>
      </c>
      <c r="R149" s="297">
        <f>(P149*H149)/1000</f>
        <v>14212.663420256898</v>
      </c>
      <c r="S149" s="298">
        <f>R149-Q149</f>
        <v>572.32201692309718</v>
      </c>
      <c r="T149" s="297">
        <f>(P149*I149)/1000</f>
        <v>14308.050423077415</v>
      </c>
      <c r="U149" s="298">
        <f>R149-T149</f>
        <v>-95.3870028205165</v>
      </c>
      <c r="V149" s="291" t="s">
        <v>143</v>
      </c>
      <c r="W149" s="291" t="s">
        <v>143</v>
      </c>
      <c r="Z149" s="282"/>
    </row>
    <row r="150" spans="1:26" x14ac:dyDescent="0.3">
      <c r="A150" s="27">
        <f t="shared" si="24"/>
        <v>134</v>
      </c>
      <c r="D150" s="54" t="s">
        <v>122</v>
      </c>
      <c r="F150" s="27" t="s">
        <v>119</v>
      </c>
      <c r="G150" s="49">
        <f>'[1]MFR E-13c'!F386</f>
        <v>5.52</v>
      </c>
      <c r="H150" s="49">
        <f>'[1]MFR E-13c'!L386</f>
        <v>5.75</v>
      </c>
      <c r="I150" s="58">
        <f>ROUND('[1]MFR E-14C'!M278,2)</f>
        <v>5.78</v>
      </c>
      <c r="J150" s="50" t="s">
        <v>84</v>
      </c>
      <c r="K150" s="51" t="s">
        <v>85</v>
      </c>
      <c r="L150" s="51"/>
      <c r="M150" s="52"/>
      <c r="N150" s="295"/>
      <c r="P150" s="296"/>
      <c r="Q150" s="297"/>
      <c r="R150" s="297"/>
      <c r="S150" s="298"/>
      <c r="T150" s="297"/>
      <c r="U150" s="298"/>
      <c r="V150" s="291"/>
      <c r="W150" s="291"/>
      <c r="Z150" s="282"/>
    </row>
    <row r="151" spans="1:26" x14ac:dyDescent="0.3">
      <c r="A151" s="27">
        <f t="shared" si="24"/>
        <v>135</v>
      </c>
      <c r="D151" s="54"/>
      <c r="G151" s="49"/>
      <c r="H151" s="49"/>
      <c r="I151" s="49"/>
      <c r="J151" s="50"/>
      <c r="K151" s="51"/>
      <c r="L151" s="51"/>
      <c r="M151" s="52"/>
      <c r="N151" s="295"/>
      <c r="P151" s="296"/>
      <c r="Q151" s="297"/>
      <c r="R151" s="297"/>
      <c r="S151" s="298"/>
      <c r="T151" s="297"/>
      <c r="U151" s="298"/>
      <c r="V151" s="291"/>
      <c r="W151" s="291"/>
      <c r="Z151" s="282"/>
    </row>
    <row r="152" spans="1:26" x14ac:dyDescent="0.3">
      <c r="A152" s="27">
        <f t="shared" si="24"/>
        <v>136</v>
      </c>
      <c r="D152" s="27" t="s">
        <v>144</v>
      </c>
      <c r="G152" s="49"/>
      <c r="H152" s="49"/>
      <c r="I152" s="49"/>
      <c r="J152" s="50"/>
      <c r="K152" s="51"/>
      <c r="L152" s="51"/>
      <c r="M152" s="52"/>
      <c r="P152" s="296"/>
      <c r="Q152" s="296"/>
      <c r="R152" s="296"/>
      <c r="T152" s="296"/>
      <c r="U152" s="283"/>
      <c r="V152" s="291"/>
      <c r="W152" s="291"/>
      <c r="Z152" s="282"/>
    </row>
    <row r="153" spans="1:26" x14ac:dyDescent="0.3">
      <c r="A153" s="27">
        <f t="shared" si="24"/>
        <v>137</v>
      </c>
      <c r="D153" s="54" t="s">
        <v>145</v>
      </c>
      <c r="F153" s="27" t="s">
        <v>119</v>
      </c>
      <c r="G153" s="49">
        <v>4.62</v>
      </c>
      <c r="H153" s="49">
        <f>I153</f>
        <v>4.62</v>
      </c>
      <c r="I153" s="58">
        <v>4.62</v>
      </c>
      <c r="J153" s="50"/>
      <c r="K153" s="51" t="s">
        <v>135</v>
      </c>
      <c r="L153" s="51"/>
      <c r="M153" s="52"/>
      <c r="N153" s="295">
        <f>H153-G153</f>
        <v>0</v>
      </c>
      <c r="O153" s="284">
        <f>(N153/G153)</f>
        <v>0</v>
      </c>
      <c r="P153" s="296"/>
      <c r="Q153" s="313" t="s">
        <v>136</v>
      </c>
      <c r="R153" s="313" t="s">
        <v>136</v>
      </c>
      <c r="T153" s="313" t="s">
        <v>136</v>
      </c>
      <c r="U153" s="283"/>
      <c r="V153" s="291" t="s">
        <v>141</v>
      </c>
      <c r="W153" s="291" t="s">
        <v>141</v>
      </c>
      <c r="Z153" s="282"/>
    </row>
    <row r="154" spans="1:26" x14ac:dyDescent="0.3">
      <c r="A154" s="27">
        <f t="shared" si="24"/>
        <v>138</v>
      </c>
      <c r="D154" s="27" t="s">
        <v>123</v>
      </c>
      <c r="G154" s="49"/>
      <c r="H154" s="49"/>
      <c r="I154" s="49"/>
      <c r="J154" s="50"/>
      <c r="K154" s="51"/>
      <c r="L154" s="51"/>
      <c r="M154" s="52"/>
      <c r="P154" s="296"/>
      <c r="Q154" s="296"/>
      <c r="R154" s="296"/>
      <c r="T154" s="296"/>
      <c r="U154" s="283"/>
      <c r="V154" s="291"/>
      <c r="W154" s="291"/>
      <c r="Z154" s="282"/>
    </row>
    <row r="155" spans="1:26" x14ac:dyDescent="0.3">
      <c r="A155" s="27">
        <f t="shared" si="24"/>
        <v>139</v>
      </c>
      <c r="D155" s="54" t="s">
        <v>101</v>
      </c>
      <c r="F155" s="27" t="s">
        <v>119</v>
      </c>
      <c r="G155" s="49">
        <f>G121</f>
        <v>1.34</v>
      </c>
      <c r="H155" s="49">
        <f>I155</f>
        <v>1.36</v>
      </c>
      <c r="I155" s="58">
        <f>I121</f>
        <v>1.36</v>
      </c>
      <c r="J155" s="50" t="s">
        <v>124</v>
      </c>
      <c r="K155" s="51" t="s">
        <v>106</v>
      </c>
      <c r="L155" s="51"/>
      <c r="M155" s="52"/>
      <c r="N155" s="295">
        <f>H155-G155</f>
        <v>2.0000000000000018E-2</v>
      </c>
      <c r="O155" s="284">
        <f>(N155/G155)</f>
        <v>1.492537313432837E-2</v>
      </c>
      <c r="P155" s="296">
        <v>-2944748.5861526635</v>
      </c>
      <c r="Q155" s="297">
        <f>(P155*G155)/1000</f>
        <v>-3945.963105444569</v>
      </c>
      <c r="R155" s="297">
        <f>(P155*H155)/1000</f>
        <v>-4004.8580771676229</v>
      </c>
      <c r="S155" s="298">
        <f>R155-Q155</f>
        <v>-58.894971723053914</v>
      </c>
      <c r="T155" s="297">
        <f>(P155*I155)/1000</f>
        <v>-4004.8580771676229</v>
      </c>
      <c r="U155" s="298">
        <f>R155-T155</f>
        <v>0</v>
      </c>
      <c r="V155" s="291" t="s">
        <v>141</v>
      </c>
      <c r="W155" s="291" t="s">
        <v>141</v>
      </c>
      <c r="Z155" s="282"/>
    </row>
    <row r="156" spans="1:26" x14ac:dyDescent="0.3">
      <c r="A156" s="27">
        <f t="shared" si="24"/>
        <v>140</v>
      </c>
      <c r="D156" s="54" t="s">
        <v>125</v>
      </c>
      <c r="F156" s="27" t="s">
        <v>119</v>
      </c>
      <c r="G156" s="49">
        <f t="shared" ref="G156:G157" si="25">G122</f>
        <v>6.47</v>
      </c>
      <c r="H156" s="49">
        <f t="shared" ref="H156:H157" si="26">I156</f>
        <v>6.64</v>
      </c>
      <c r="I156" s="58">
        <f t="shared" ref="I156:I157" si="27">I122</f>
        <v>6.64</v>
      </c>
      <c r="J156" s="50" t="s">
        <v>124</v>
      </c>
      <c r="K156" s="51" t="s">
        <v>106</v>
      </c>
      <c r="L156" s="51"/>
      <c r="M156" s="52"/>
      <c r="N156" s="295">
        <f>H156-G156</f>
        <v>0.16999999999999993</v>
      </c>
      <c r="O156" s="284">
        <f>(N156/G156)</f>
        <v>2.6275115919629048E-2</v>
      </c>
      <c r="P156" s="296">
        <v>-1952363.4690865481</v>
      </c>
      <c r="Q156" s="297">
        <f>(P156*G156)/1000</f>
        <v>-12631.791644989966</v>
      </c>
      <c r="R156" s="297">
        <f>(P156*H156)/1000</f>
        <v>-12963.693434734678</v>
      </c>
      <c r="S156" s="298">
        <f>R156-Q156</f>
        <v>-331.901789744712</v>
      </c>
      <c r="T156" s="297">
        <f>(P156*I156)/1000</f>
        <v>-12963.693434734678</v>
      </c>
      <c r="U156" s="298">
        <f>R156-T156</f>
        <v>0</v>
      </c>
      <c r="V156" s="291" t="s">
        <v>141</v>
      </c>
      <c r="W156" s="291" t="s">
        <v>141</v>
      </c>
      <c r="Z156" s="282"/>
    </row>
    <row r="157" spans="1:26" x14ac:dyDescent="0.3">
      <c r="A157" s="27">
        <f t="shared" si="24"/>
        <v>141</v>
      </c>
      <c r="D157" s="54" t="s">
        <v>126</v>
      </c>
      <c r="F157" s="27" t="s">
        <v>119</v>
      </c>
      <c r="G157" s="49">
        <f t="shared" si="25"/>
        <v>9.0399999999999991</v>
      </c>
      <c r="H157" s="49">
        <f t="shared" si="26"/>
        <v>9.24</v>
      </c>
      <c r="I157" s="58">
        <f t="shared" si="27"/>
        <v>9.24</v>
      </c>
      <c r="J157" s="50" t="s">
        <v>124</v>
      </c>
      <c r="K157" s="51" t="s">
        <v>106</v>
      </c>
      <c r="L157" s="51"/>
      <c r="M157" s="52"/>
      <c r="N157" s="295"/>
      <c r="P157" s="296"/>
      <c r="Q157" s="297"/>
      <c r="R157" s="297"/>
      <c r="S157" s="298"/>
      <c r="T157" s="297"/>
      <c r="U157" s="298"/>
      <c r="V157" s="291"/>
      <c r="W157" s="291"/>
      <c r="Z157" s="282"/>
    </row>
    <row r="158" spans="1:26" x14ac:dyDescent="0.3">
      <c r="A158" s="27">
        <f t="shared" si="24"/>
        <v>142</v>
      </c>
      <c r="D158" s="27" t="s">
        <v>104</v>
      </c>
      <c r="F158" s="27" t="s">
        <v>119</v>
      </c>
      <c r="G158" s="58">
        <v>2.06</v>
      </c>
      <c r="H158" s="58">
        <f>H125</f>
        <v>2.12</v>
      </c>
      <c r="I158" s="58">
        <f>'[1]MFR E-14G'!I22</f>
        <v>2.12</v>
      </c>
      <c r="J158" s="50" t="s">
        <v>105</v>
      </c>
      <c r="K158" s="51" t="s">
        <v>106</v>
      </c>
      <c r="L158" s="51"/>
      <c r="M158" s="52"/>
      <c r="N158" s="295">
        <f>H158-G158</f>
        <v>6.0000000000000053E-2</v>
      </c>
      <c r="O158" s="284">
        <f>(N158/G158)</f>
        <v>2.9126213592233035E-2</v>
      </c>
      <c r="P158" s="296"/>
      <c r="Q158" s="296"/>
      <c r="R158" s="296"/>
      <c r="T158" s="296"/>
      <c r="U158" s="283"/>
      <c r="V158" s="291" t="s">
        <v>141</v>
      </c>
      <c r="W158" s="291" t="s">
        <v>141</v>
      </c>
      <c r="Z158" s="282"/>
    </row>
    <row r="159" spans="1:26" x14ac:dyDescent="0.3">
      <c r="A159" s="27">
        <f t="shared" si="24"/>
        <v>143</v>
      </c>
      <c r="G159" s="51"/>
      <c r="H159" s="51"/>
      <c r="I159" s="51"/>
      <c r="J159" s="50"/>
      <c r="K159" s="51"/>
      <c r="L159" s="51"/>
      <c r="M159" s="52"/>
      <c r="P159" s="296"/>
      <c r="Q159" s="296"/>
      <c r="R159" s="296"/>
      <c r="T159" s="296"/>
      <c r="U159" s="283"/>
      <c r="V159" s="291"/>
      <c r="W159" s="291"/>
      <c r="Z159" s="282"/>
    </row>
    <row r="160" spans="1:26" x14ac:dyDescent="0.3">
      <c r="A160" s="27">
        <f t="shared" si="24"/>
        <v>144</v>
      </c>
      <c r="C160" s="27" t="s">
        <v>75</v>
      </c>
      <c r="G160" s="51"/>
      <c r="H160" s="51"/>
      <c r="I160" s="51"/>
      <c r="J160" s="50"/>
      <c r="K160" s="51"/>
      <c r="L160" s="51"/>
      <c r="M160" s="52"/>
      <c r="P160" s="296"/>
      <c r="Q160" s="296"/>
      <c r="R160" s="296"/>
      <c r="T160" s="296"/>
      <c r="U160" s="283"/>
      <c r="V160" s="291"/>
      <c r="W160" s="291"/>
      <c r="Z160" s="282"/>
    </row>
    <row r="161" spans="1:29" x14ac:dyDescent="0.3">
      <c r="A161" s="27">
        <f t="shared" si="24"/>
        <v>145</v>
      </c>
      <c r="D161" s="27" t="s">
        <v>67</v>
      </c>
      <c r="F161" s="27" t="s">
        <v>78</v>
      </c>
      <c r="G161" s="56">
        <f>'[1]MFR E-13c'!F420/10</f>
        <v>1.8120000000000001</v>
      </c>
      <c r="H161" s="56">
        <f>'[1]MFR E-13c'!L420/10</f>
        <v>1.9039999999999999</v>
      </c>
      <c r="I161" s="56">
        <f>SUM('[1]MFR E-6b'!U59,'[1]MFR E-6b'!U66)/10</f>
        <v>5.6670616274782732</v>
      </c>
      <c r="J161" s="50" t="s">
        <v>113</v>
      </c>
      <c r="K161" s="56" t="s">
        <v>69</v>
      </c>
      <c r="L161" s="56"/>
      <c r="M161" s="60"/>
      <c r="N161" s="295">
        <f>H161-G161</f>
        <v>9.199999999999986E-2</v>
      </c>
      <c r="O161" s="284">
        <f>(N161/G161)</f>
        <v>5.0772626931567248E-2</v>
      </c>
      <c r="P161" s="296">
        <v>215765.09689558548</v>
      </c>
      <c r="Q161" s="297">
        <f>(P161*G161*10)/1000</f>
        <v>3909.663555748009</v>
      </c>
      <c r="R161" s="297">
        <f>(P161*H161*10)/1000</f>
        <v>4108.1674448919475</v>
      </c>
      <c r="S161" s="298">
        <f>R161-Q161</f>
        <v>198.50388914393852</v>
      </c>
      <c r="T161" s="297">
        <f>(P161*I161*10)/1000</f>
        <v>12227.54101166104</v>
      </c>
      <c r="U161" s="298">
        <f>R161-T161</f>
        <v>-8119.3735667690926</v>
      </c>
      <c r="V161" s="291" t="s">
        <v>141</v>
      </c>
      <c r="W161" s="291" t="s">
        <v>141</v>
      </c>
      <c r="Z161" s="282"/>
    </row>
    <row r="162" spans="1:29" x14ac:dyDescent="0.3">
      <c r="A162" s="27">
        <f t="shared" si="24"/>
        <v>146</v>
      </c>
      <c r="D162" s="27" t="s">
        <v>83</v>
      </c>
      <c r="F162" s="27" t="s">
        <v>78</v>
      </c>
      <c r="G162" s="56">
        <f>'[1]MFR E-13c'!F425/10</f>
        <v>2.9050000000000002</v>
      </c>
      <c r="H162" s="56">
        <f>'[1]MFR E-13c'!L425/10</f>
        <v>3.1440000000000001</v>
      </c>
      <c r="I162" s="57">
        <f>ROUND('[1]MFR E-14C'!AA265,3)</f>
        <v>3.1469999999999998</v>
      </c>
      <c r="J162" s="50" t="s">
        <v>84</v>
      </c>
      <c r="K162" s="51" t="s">
        <v>85</v>
      </c>
      <c r="L162" s="56"/>
      <c r="M162" s="60"/>
      <c r="N162" s="295">
        <f>H162-G162</f>
        <v>0.23899999999999988</v>
      </c>
      <c r="O162" s="284">
        <f>(N162/G162)</f>
        <v>8.2271944922547288E-2</v>
      </c>
      <c r="P162" s="296">
        <v>541223.63194336905</v>
      </c>
      <c r="Q162" s="297">
        <f>(P162*G162*10)/1000</f>
        <v>15722.546507954874</v>
      </c>
      <c r="R162" s="297">
        <f>(P162*H162*10)/1000</f>
        <v>17016.070988299522</v>
      </c>
      <c r="S162" s="298">
        <f>R162-Q162</f>
        <v>1293.5244803446476</v>
      </c>
      <c r="T162" s="297">
        <f>(P162*I162*10)/1000</f>
        <v>17032.307697257824</v>
      </c>
      <c r="U162" s="298">
        <f>R162-T162</f>
        <v>-16.236708958302188</v>
      </c>
      <c r="V162" s="291" t="s">
        <v>143</v>
      </c>
      <c r="W162" s="291" t="s">
        <v>143</v>
      </c>
      <c r="Z162" s="282"/>
    </row>
    <row r="163" spans="1:29" x14ac:dyDescent="0.3">
      <c r="A163" s="27">
        <f t="shared" si="24"/>
        <v>147</v>
      </c>
      <c r="D163" s="27" t="s">
        <v>86</v>
      </c>
      <c r="F163" s="27" t="s">
        <v>78</v>
      </c>
      <c r="G163" s="56">
        <f>'[1]MFR E-13c'!F426/10</f>
        <v>2.0750000000000002</v>
      </c>
      <c r="H163" s="56">
        <f>'[1]MFR E-13c'!L426/10</f>
        <v>2.169</v>
      </c>
      <c r="I163" s="57">
        <f>ROUND('[1]MFR E-14C'!AA266,3)</f>
        <v>2.1709999999999998</v>
      </c>
      <c r="J163" s="50" t="s">
        <v>84</v>
      </c>
      <c r="K163" s="51" t="s">
        <v>85</v>
      </c>
      <c r="L163" s="56"/>
      <c r="M163" s="60"/>
      <c r="N163" s="295">
        <f>H163-G163</f>
        <v>9.3999999999999861E-2</v>
      </c>
      <c r="O163" s="284">
        <f>(N163/G163)</f>
        <v>4.530120481927704E-2</v>
      </c>
      <c r="P163" s="296">
        <v>1607911.8711610455</v>
      </c>
      <c r="Q163" s="297">
        <f>(P163*G163*10)/1000</f>
        <v>33364.171326591699</v>
      </c>
      <c r="R163" s="297">
        <f>(P163*H163*10)/1000</f>
        <v>34875.60848548307</v>
      </c>
      <c r="S163" s="298">
        <f>R163-Q163</f>
        <v>1511.4371588913709</v>
      </c>
      <c r="T163" s="297">
        <f>(P163*I163*10)/1000</f>
        <v>34907.766722906301</v>
      </c>
      <c r="U163" s="298">
        <f>R163-T163</f>
        <v>-32.158237423231185</v>
      </c>
      <c r="V163" s="291" t="s">
        <v>143</v>
      </c>
      <c r="W163" s="291" t="s">
        <v>143</v>
      </c>
      <c r="Z163" s="282"/>
    </row>
    <row r="164" spans="1:29" x14ac:dyDescent="0.3">
      <c r="A164" s="27">
        <f t="shared" si="24"/>
        <v>148</v>
      </c>
      <c r="D164" s="27" t="s">
        <v>87</v>
      </c>
      <c r="F164" s="27" t="s">
        <v>78</v>
      </c>
      <c r="G164" s="56">
        <f>'[1]MFR E-13c'!F427/10</f>
        <v>1.579</v>
      </c>
      <c r="H164" s="56">
        <f>'[1]MFR E-13c'!L427/10</f>
        <v>1.653</v>
      </c>
      <c r="I164" s="57">
        <f>ROUND('[1]MFR E-14C'!AA267,3)</f>
        <v>1.655</v>
      </c>
      <c r="J164" s="50" t="s">
        <v>84</v>
      </c>
      <c r="K164" s="51" t="s">
        <v>85</v>
      </c>
      <c r="L164" s="56"/>
      <c r="M164" s="60"/>
      <c r="N164" s="295"/>
      <c r="P164" s="296"/>
      <c r="Q164" s="297"/>
      <c r="R164" s="297"/>
      <c r="S164" s="298"/>
      <c r="T164" s="297"/>
      <c r="U164" s="298"/>
      <c r="V164" s="291"/>
      <c r="W164" s="291"/>
      <c r="Z164" s="282"/>
    </row>
    <row r="165" spans="1:29" x14ac:dyDescent="0.3">
      <c r="A165" s="27">
        <f t="shared" si="24"/>
        <v>149</v>
      </c>
      <c r="G165" s="51"/>
      <c r="H165" s="51"/>
      <c r="I165" s="51"/>
      <c r="J165" s="50"/>
      <c r="K165" s="51"/>
      <c r="L165" s="51"/>
      <c r="M165" s="52"/>
      <c r="P165" s="296"/>
      <c r="Q165" s="296"/>
      <c r="R165" s="296"/>
      <c r="T165" s="296"/>
      <c r="U165" s="283"/>
      <c r="V165" s="291"/>
      <c r="W165" s="291"/>
      <c r="Z165" s="282"/>
    </row>
    <row r="166" spans="1:29" x14ac:dyDescent="0.3">
      <c r="A166" s="27">
        <f t="shared" si="24"/>
        <v>150</v>
      </c>
      <c r="C166" s="27" t="s">
        <v>107</v>
      </c>
      <c r="G166" s="51"/>
      <c r="H166" s="51"/>
      <c r="I166" s="51"/>
      <c r="J166" s="50"/>
      <c r="K166" s="51"/>
      <c r="L166" s="51"/>
      <c r="M166" s="52"/>
      <c r="P166" s="296"/>
      <c r="Q166" s="296"/>
      <c r="R166" s="296"/>
      <c r="T166" s="296"/>
      <c r="U166" s="283"/>
      <c r="V166" s="291"/>
      <c r="W166" s="291"/>
      <c r="Z166" s="282"/>
    </row>
    <row r="167" spans="1:29" x14ac:dyDescent="0.3">
      <c r="A167" s="27">
        <f t="shared" si="24"/>
        <v>151</v>
      </c>
      <c r="D167" s="27" t="s">
        <v>101</v>
      </c>
      <c r="F167" s="27" t="s">
        <v>61</v>
      </c>
      <c r="G167" s="62">
        <v>0.01</v>
      </c>
      <c r="H167" s="62">
        <v>0.01</v>
      </c>
      <c r="I167" s="62"/>
      <c r="J167" s="50"/>
      <c r="K167" s="51" t="s">
        <v>108</v>
      </c>
      <c r="L167" s="51"/>
      <c r="M167" s="52"/>
      <c r="N167" s="306">
        <f>H167-G167</f>
        <v>0</v>
      </c>
      <c r="O167" s="284">
        <f>(N167/G167)</f>
        <v>0</v>
      </c>
      <c r="P167" s="296"/>
      <c r="Q167" s="297">
        <f>(P167*G167)/1000</f>
        <v>0</v>
      </c>
      <c r="R167" s="297">
        <f>(P167*H167)/1000</f>
        <v>0</v>
      </c>
      <c r="S167" s="298">
        <f>R167-Q167</f>
        <v>0</v>
      </c>
      <c r="T167" s="297">
        <f>(P167*I167)/1000</f>
        <v>0</v>
      </c>
      <c r="U167" s="298">
        <f>R167-T167</f>
        <v>0</v>
      </c>
      <c r="V167" s="291" t="s">
        <v>141</v>
      </c>
      <c r="W167" s="291" t="s">
        <v>141</v>
      </c>
      <c r="Z167" s="282"/>
    </row>
    <row r="168" spans="1:29" x14ac:dyDescent="0.3">
      <c r="A168" s="27">
        <f t="shared" si="24"/>
        <v>152</v>
      </c>
      <c r="D168" s="27" t="s">
        <v>102</v>
      </c>
      <c r="F168" s="27" t="s">
        <v>61</v>
      </c>
      <c r="G168" s="62">
        <v>0.02</v>
      </c>
      <c r="H168" s="62">
        <v>0.02</v>
      </c>
      <c r="I168" s="62"/>
      <c r="J168" s="50"/>
      <c r="K168" s="51" t="s">
        <v>108</v>
      </c>
      <c r="L168" s="51"/>
      <c r="M168" s="52"/>
      <c r="N168" s="306">
        <f>H168-G168</f>
        <v>0</v>
      </c>
      <c r="O168" s="284">
        <f>(N168/G168)</f>
        <v>0</v>
      </c>
      <c r="P168" s="296"/>
      <c r="Q168" s="297">
        <f>(P168*G168)/1000</f>
        <v>0</v>
      </c>
      <c r="R168" s="297">
        <f>(P168*H168)/1000</f>
        <v>0</v>
      </c>
      <c r="S168" s="298">
        <f>R168-Q168</f>
        <v>0</v>
      </c>
      <c r="T168" s="297">
        <f>(P168*I168)/1000</f>
        <v>0</v>
      </c>
      <c r="U168" s="298">
        <f>R168-T168</f>
        <v>0</v>
      </c>
      <c r="V168" s="291" t="s">
        <v>141</v>
      </c>
      <c r="W168" s="291" t="s">
        <v>141</v>
      </c>
      <c r="Z168" s="282"/>
    </row>
    <row r="169" spans="1:29" x14ac:dyDescent="0.3">
      <c r="A169" s="27">
        <f t="shared" si="24"/>
        <v>153</v>
      </c>
      <c r="G169" s="62"/>
      <c r="H169" s="62"/>
      <c r="I169" s="62"/>
      <c r="J169" s="50"/>
      <c r="K169" s="51"/>
      <c r="L169" s="51"/>
      <c r="M169" s="52"/>
      <c r="N169" s="295"/>
      <c r="P169" s="296"/>
      <c r="Q169" s="296"/>
      <c r="R169" s="296"/>
      <c r="T169" s="296"/>
      <c r="U169" s="283"/>
      <c r="V169" s="291"/>
      <c r="W169" s="291"/>
      <c r="Z169" s="282"/>
    </row>
    <row r="170" spans="1:29" x14ac:dyDescent="0.3">
      <c r="A170" s="27">
        <f t="shared" si="24"/>
        <v>154</v>
      </c>
      <c r="C170" s="27" t="s">
        <v>109</v>
      </c>
      <c r="F170" s="27" t="s">
        <v>61</v>
      </c>
      <c r="G170" s="63">
        <f>G101</f>
        <v>9.5999999999999992E-3</v>
      </c>
      <c r="H170" s="64">
        <f>I170</f>
        <v>9.5999999999999992E-3</v>
      </c>
      <c r="I170" s="65">
        <f>I101</f>
        <v>9.5999999999999992E-3</v>
      </c>
      <c r="J170" s="42" t="s">
        <v>110</v>
      </c>
      <c r="K170" s="66" t="s">
        <v>111</v>
      </c>
      <c r="L170" s="51"/>
      <c r="M170" s="52"/>
      <c r="N170" s="307">
        <f>H170-G170</f>
        <v>0</v>
      </c>
      <c r="O170" s="284">
        <f>(N170/G170)</f>
        <v>0</v>
      </c>
      <c r="P170" s="296"/>
      <c r="Q170" s="296"/>
      <c r="R170" s="296"/>
      <c r="T170" s="296"/>
      <c r="U170" s="283"/>
      <c r="V170" s="291" t="s">
        <v>141</v>
      </c>
      <c r="W170" s="291" t="s">
        <v>141</v>
      </c>
      <c r="Z170" s="282"/>
    </row>
    <row r="171" spans="1:29" ht="14.4" thickBot="1" x14ac:dyDescent="0.35">
      <c r="B171" s="31"/>
      <c r="C171" s="31"/>
      <c r="D171" s="31"/>
      <c r="E171" s="31"/>
      <c r="F171" s="31"/>
      <c r="G171" s="52"/>
      <c r="H171" s="52"/>
      <c r="I171" s="52"/>
      <c r="J171" s="59"/>
      <c r="K171" s="52"/>
      <c r="L171" s="52"/>
      <c r="M171" s="52"/>
      <c r="N171" s="300"/>
      <c r="O171" s="301"/>
      <c r="P171" s="302"/>
      <c r="Q171" s="303">
        <f>SUM(Q139:Q170)</f>
        <v>70674.223115763685</v>
      </c>
      <c r="R171" s="303">
        <f>SUM(R139:R170)</f>
        <v>75094.347434937532</v>
      </c>
      <c r="S171" s="303">
        <f>SUM(S139:S170)</f>
        <v>4420.1243191738395</v>
      </c>
      <c r="T171" s="303">
        <f>SUM(T139:T170)</f>
        <v>84907.351287393278</v>
      </c>
      <c r="U171" s="303">
        <f>SUM(U139:U170)</f>
        <v>-9813.0038524557349</v>
      </c>
      <c r="V171" s="291"/>
      <c r="W171" s="291"/>
      <c r="Z171" s="282"/>
    </row>
    <row r="172" spans="1:29" ht="14.4" thickTop="1" x14ac:dyDescent="0.3">
      <c r="A172" s="27">
        <f>+A170+1</f>
        <v>155</v>
      </c>
      <c r="B172" s="48"/>
      <c r="G172" s="51"/>
      <c r="H172" s="51"/>
      <c r="I172" s="51"/>
      <c r="J172" s="50"/>
      <c r="K172" s="51"/>
      <c r="L172" s="51"/>
      <c r="M172" s="52"/>
      <c r="P172" s="296"/>
      <c r="Q172" s="296"/>
      <c r="R172" s="296"/>
      <c r="S172" s="304" t="s">
        <v>91</v>
      </c>
      <c r="T172" s="305">
        <v>0</v>
      </c>
      <c r="U172" s="283"/>
      <c r="V172" s="291"/>
      <c r="W172" s="291"/>
      <c r="Z172" s="282"/>
    </row>
    <row r="173" spans="1:29" x14ac:dyDescent="0.3">
      <c r="A173" s="27">
        <f t="shared" si="24"/>
        <v>156</v>
      </c>
      <c r="B173" s="48" t="s">
        <v>146</v>
      </c>
      <c r="C173" s="27" t="s">
        <v>65</v>
      </c>
      <c r="G173" s="51"/>
      <c r="H173" s="51"/>
      <c r="I173" s="51"/>
      <c r="J173" s="50"/>
      <c r="K173" s="51"/>
      <c r="L173" s="51"/>
      <c r="M173" s="52"/>
      <c r="P173" s="296"/>
      <c r="Q173" s="296"/>
      <c r="R173" s="296"/>
      <c r="T173" s="296"/>
      <c r="U173" s="283"/>
      <c r="V173" s="291"/>
      <c r="W173" s="291"/>
      <c r="Z173" s="282"/>
    </row>
    <row r="174" spans="1:29" x14ac:dyDescent="0.3">
      <c r="A174" s="27">
        <f t="shared" si="24"/>
        <v>157</v>
      </c>
      <c r="D174" s="27" t="s">
        <v>67</v>
      </c>
      <c r="G174" s="51"/>
      <c r="H174" s="51"/>
      <c r="I174" s="51"/>
      <c r="J174" s="50"/>
      <c r="K174" s="51"/>
      <c r="L174" s="51"/>
      <c r="M174" s="52"/>
      <c r="P174" s="296"/>
      <c r="Q174" s="296"/>
      <c r="R174" s="296"/>
      <c r="T174" s="296"/>
      <c r="U174" s="283"/>
      <c r="V174" s="291"/>
      <c r="W174" s="291"/>
      <c r="Z174" s="282"/>
    </row>
    <row r="175" spans="1:29" x14ac:dyDescent="0.3">
      <c r="A175" s="27">
        <f t="shared" si="24"/>
        <v>158</v>
      </c>
      <c r="D175" s="54" t="s">
        <v>95</v>
      </c>
      <c r="F175" s="27" t="s">
        <v>60</v>
      </c>
      <c r="G175" s="49">
        <f>'[1]MFR E-13c'!F467</f>
        <v>2.27</v>
      </c>
      <c r="H175" s="49">
        <f>'[1]MFR E-13c'!L467</f>
        <v>2.39</v>
      </c>
      <c r="I175" s="49"/>
      <c r="J175" s="50"/>
      <c r="K175" s="51" t="s">
        <v>69</v>
      </c>
      <c r="L175" s="51"/>
      <c r="M175" s="52"/>
      <c r="N175" s="295">
        <f>H175-G175</f>
        <v>0.12000000000000011</v>
      </c>
      <c r="O175" s="284">
        <f>(N175/G175)</f>
        <v>5.2863436123348068E-2</v>
      </c>
      <c r="P175" s="296">
        <v>759338.53267315903</v>
      </c>
      <c r="Q175" s="297">
        <f>(P175*G175)/1000</f>
        <v>1723.6984691680709</v>
      </c>
      <c r="R175" s="297">
        <f>(P175*H175)/1000</f>
        <v>1814.8190930888502</v>
      </c>
      <c r="S175" s="298">
        <f>R175-Q175</f>
        <v>91.120623920779281</v>
      </c>
      <c r="T175" s="297">
        <f>(P175*I175)/1000</f>
        <v>0</v>
      </c>
      <c r="U175" s="298">
        <f>R175-T175</f>
        <v>1814.8190930888502</v>
      </c>
      <c r="V175" s="291" t="s">
        <v>146</v>
      </c>
      <c r="W175" s="291" t="s">
        <v>146</v>
      </c>
      <c r="Z175" s="282"/>
      <c r="AC175" s="27" t="b">
        <f t="shared" ref="AC175:AC176" si="28">H175&gt;=I175</f>
        <v>1</v>
      </c>
    </row>
    <row r="176" spans="1:29" x14ac:dyDescent="0.3">
      <c r="A176" s="27">
        <f t="shared" si="24"/>
        <v>159</v>
      </c>
      <c r="D176" s="54" t="s">
        <v>114</v>
      </c>
      <c r="F176" s="27" t="s">
        <v>60</v>
      </c>
      <c r="G176" s="49">
        <f>'[1]MFR E-13c'!F468</f>
        <v>6.59</v>
      </c>
      <c r="H176" s="49">
        <f>'[1]MFR E-13c'!L468</f>
        <v>7.13</v>
      </c>
      <c r="I176" s="49"/>
      <c r="J176" s="50"/>
      <c r="K176" s="51" t="s">
        <v>69</v>
      </c>
      <c r="L176" s="51"/>
      <c r="M176" s="52"/>
      <c r="N176" s="295">
        <f>H176-G176</f>
        <v>0.54</v>
      </c>
      <c r="O176" s="284">
        <f>(N176/G176)</f>
        <v>8.1942336874051599E-2</v>
      </c>
      <c r="P176" s="296">
        <v>13133.290380574794</v>
      </c>
      <c r="Q176" s="297">
        <f>(P176*G176)/1000</f>
        <v>86.548383607987887</v>
      </c>
      <c r="R176" s="297">
        <f>(P176*H176)/1000</f>
        <v>93.640360413498271</v>
      </c>
      <c r="S176" s="298">
        <f>R176-Q176</f>
        <v>7.0919768055103845</v>
      </c>
      <c r="T176" s="297">
        <f>(P176*I176)/1000</f>
        <v>0</v>
      </c>
      <c r="U176" s="298">
        <f>R176-T176</f>
        <v>93.640360413498271</v>
      </c>
      <c r="V176" s="291" t="s">
        <v>146</v>
      </c>
      <c r="W176" s="291" t="s">
        <v>146</v>
      </c>
      <c r="Z176" s="282"/>
      <c r="AC176" s="27" t="b">
        <f t="shared" si="28"/>
        <v>1</v>
      </c>
    </row>
    <row r="177" spans="1:29" x14ac:dyDescent="0.3">
      <c r="A177" s="27">
        <f t="shared" si="24"/>
        <v>160</v>
      </c>
      <c r="G177" s="51"/>
      <c r="H177" s="51"/>
      <c r="I177" s="51"/>
      <c r="J177" s="50"/>
      <c r="K177" s="51"/>
      <c r="L177" s="51"/>
      <c r="M177" s="52"/>
      <c r="P177" s="296"/>
      <c r="Q177" s="296"/>
      <c r="R177" s="296"/>
      <c r="T177" s="296"/>
      <c r="U177" s="283"/>
      <c r="V177" s="291"/>
      <c r="W177" s="291"/>
      <c r="Z177" s="282"/>
    </row>
    <row r="178" spans="1:29" x14ac:dyDescent="0.3">
      <c r="A178" s="27">
        <f t="shared" si="24"/>
        <v>161</v>
      </c>
      <c r="C178" s="27" t="s">
        <v>75</v>
      </c>
      <c r="G178" s="51"/>
      <c r="H178" s="51"/>
      <c r="I178" s="51"/>
      <c r="J178" s="50"/>
      <c r="K178" s="51"/>
      <c r="L178" s="51"/>
      <c r="M178" s="52"/>
      <c r="P178" s="296"/>
      <c r="Q178" s="296"/>
      <c r="R178" s="296"/>
      <c r="T178" s="296"/>
      <c r="U178" s="283"/>
      <c r="V178" s="291"/>
      <c r="W178" s="291"/>
      <c r="Z178" s="282"/>
    </row>
    <row r="179" spans="1:29" x14ac:dyDescent="0.3">
      <c r="A179" s="27">
        <f t="shared" si="24"/>
        <v>162</v>
      </c>
      <c r="D179" s="27" t="s">
        <v>67</v>
      </c>
      <c r="F179" s="27" t="s">
        <v>78</v>
      </c>
      <c r="G179" s="56">
        <f>'[1]MFR E-13c'!F473/10</f>
        <v>4.0220000000000002</v>
      </c>
      <c r="H179" s="56">
        <f>'[1]MFR E-13c'!L473/10</f>
        <v>4.2389999999999999</v>
      </c>
      <c r="I179" s="56"/>
      <c r="J179" s="61"/>
      <c r="K179" s="51" t="s">
        <v>69</v>
      </c>
      <c r="L179" s="56"/>
      <c r="M179" s="60"/>
      <c r="N179" s="295">
        <f>H179-G179</f>
        <v>0.21699999999999964</v>
      </c>
      <c r="O179" s="284">
        <f>(N179/G179)</f>
        <v>5.395325708602676E-2</v>
      </c>
      <c r="P179" s="296">
        <v>333817</v>
      </c>
      <c r="Q179" s="297">
        <f>(P179*G179*10)/1000</f>
        <v>13426.119740000002</v>
      </c>
      <c r="R179" s="297">
        <f>(P179*H179*10)/1000</f>
        <v>14150.502630000001</v>
      </c>
      <c r="S179" s="298">
        <f>R179-Q179</f>
        <v>724.38288999999895</v>
      </c>
      <c r="T179" s="297">
        <f>(P179*I179*10)/1000</f>
        <v>0</v>
      </c>
      <c r="U179" s="298">
        <f>R179-T179</f>
        <v>14150.502630000001</v>
      </c>
      <c r="V179" s="291" t="s">
        <v>146</v>
      </c>
      <c r="W179" s="291" t="s">
        <v>146</v>
      </c>
      <c r="Z179" s="282"/>
    </row>
    <row r="180" spans="1:29" x14ac:dyDescent="0.3">
      <c r="A180" s="27">
        <f t="shared" si="24"/>
        <v>163</v>
      </c>
      <c r="M180" s="31"/>
      <c r="P180" s="296"/>
      <c r="Q180" s="297"/>
      <c r="R180" s="297"/>
      <c r="T180" s="297"/>
      <c r="U180" s="283"/>
      <c r="V180" s="291"/>
      <c r="W180" s="291"/>
      <c r="Z180" s="282"/>
    </row>
    <row r="181" spans="1:29" x14ac:dyDescent="0.3">
      <c r="A181" s="27">
        <f t="shared" si="24"/>
        <v>164</v>
      </c>
      <c r="C181" s="27" t="s">
        <v>147</v>
      </c>
      <c r="F181" s="27" t="s">
        <v>61</v>
      </c>
      <c r="G181" s="32">
        <v>1.14E-2</v>
      </c>
      <c r="H181" s="32">
        <f>I181</f>
        <v>1.14E-2</v>
      </c>
      <c r="I181" s="65">
        <v>1.14E-2</v>
      </c>
      <c r="J181" s="42" t="s">
        <v>148</v>
      </c>
      <c r="K181" s="66" t="s">
        <v>111</v>
      </c>
      <c r="M181" s="31"/>
      <c r="N181" s="307">
        <f>H181-G181</f>
        <v>0</v>
      </c>
      <c r="O181" s="284">
        <f>(N181/G181)</f>
        <v>0</v>
      </c>
      <c r="P181" s="296"/>
      <c r="Q181" s="297"/>
      <c r="R181" s="297"/>
      <c r="T181" s="297"/>
      <c r="U181" s="283"/>
      <c r="V181" s="291" t="s">
        <v>146</v>
      </c>
      <c r="W181" s="291" t="s">
        <v>146</v>
      </c>
      <c r="Z181" s="282"/>
    </row>
    <row r="182" spans="1:29" x14ac:dyDescent="0.3">
      <c r="A182" s="27">
        <f t="shared" si="24"/>
        <v>165</v>
      </c>
      <c r="C182" s="27" t="s">
        <v>149</v>
      </c>
      <c r="F182" s="27" t="s">
        <v>61</v>
      </c>
      <c r="G182" s="32">
        <v>9.5999999999999992E-3</v>
      </c>
      <c r="H182" s="32">
        <f>I182</f>
        <v>9.5999999999999992E-3</v>
      </c>
      <c r="I182" s="65">
        <v>9.5999999999999992E-3</v>
      </c>
      <c r="J182" s="42" t="s">
        <v>110</v>
      </c>
      <c r="K182" s="66" t="s">
        <v>111</v>
      </c>
      <c r="M182" s="31"/>
      <c r="N182" s="307">
        <f>H182-G182</f>
        <v>0</v>
      </c>
      <c r="O182" s="284">
        <f>(N182/G182)</f>
        <v>0</v>
      </c>
      <c r="P182" s="296"/>
      <c r="Q182" s="296"/>
      <c r="R182" s="296"/>
      <c r="T182" s="296"/>
      <c r="U182" s="283"/>
      <c r="V182" s="291" t="s">
        <v>146</v>
      </c>
      <c r="W182" s="291" t="s">
        <v>146</v>
      </c>
      <c r="Z182" s="282"/>
    </row>
    <row r="183" spans="1:29" ht="14.4" thickBot="1" x14ac:dyDescent="0.35">
      <c r="B183" s="31"/>
      <c r="C183" s="31"/>
      <c r="D183" s="31"/>
      <c r="E183" s="31"/>
      <c r="F183" s="31"/>
      <c r="G183" s="31"/>
      <c r="H183" s="31"/>
      <c r="I183" s="31"/>
      <c r="J183" s="44"/>
      <c r="K183" s="31"/>
      <c r="L183" s="31"/>
      <c r="M183" s="31"/>
      <c r="N183" s="300"/>
      <c r="O183" s="301"/>
      <c r="P183" s="302"/>
      <c r="Q183" s="303">
        <f>SUM(Q173:Q182)</f>
        <v>15236.366592776061</v>
      </c>
      <c r="R183" s="303">
        <f>SUM(R173:R182)</f>
        <v>16058.962083502349</v>
      </c>
      <c r="S183" s="303">
        <f>SUM(S173:S182)</f>
        <v>822.59549072628863</v>
      </c>
      <c r="T183" s="303">
        <f>SUM(T173:T182)</f>
        <v>0</v>
      </c>
      <c r="U183" s="303">
        <f>SUM(U173:U182)</f>
        <v>16058.962083502349</v>
      </c>
      <c r="V183" s="291"/>
      <c r="W183" s="291"/>
      <c r="Z183" s="282"/>
    </row>
    <row r="184" spans="1:29" ht="14.4" thickTop="1" x14ac:dyDescent="0.3">
      <c r="A184" s="27">
        <f>+A182+1</f>
        <v>166</v>
      </c>
      <c r="B184" s="48"/>
      <c r="M184" s="31"/>
      <c r="P184" s="296"/>
      <c r="Q184" s="296"/>
      <c r="R184" s="296"/>
      <c r="S184" s="304" t="s">
        <v>91</v>
      </c>
      <c r="T184" s="305">
        <v>0</v>
      </c>
      <c r="U184" s="283"/>
      <c r="V184" s="291"/>
      <c r="W184" s="291"/>
      <c r="Z184" s="282"/>
    </row>
    <row r="185" spans="1:29" x14ac:dyDescent="0.3">
      <c r="A185" s="27">
        <f t="shared" si="24"/>
        <v>167</v>
      </c>
      <c r="B185" s="48" t="s">
        <v>150</v>
      </c>
      <c r="C185" s="27" t="s">
        <v>65</v>
      </c>
      <c r="M185" s="31"/>
      <c r="P185" s="296"/>
      <c r="Q185" s="296"/>
      <c r="R185" s="296"/>
      <c r="T185" s="296"/>
      <c r="U185" s="283"/>
      <c r="V185" s="291"/>
      <c r="W185" s="291"/>
      <c r="Z185" s="282"/>
    </row>
    <row r="186" spans="1:29" x14ac:dyDescent="0.3">
      <c r="A186" s="27">
        <f t="shared" si="24"/>
        <v>168</v>
      </c>
      <c r="D186" s="27" t="s">
        <v>99</v>
      </c>
      <c r="F186" s="27" t="s">
        <v>60</v>
      </c>
      <c r="G186" s="49">
        <v>191.74</v>
      </c>
      <c r="H186" s="49">
        <f>G186*(1+'[1]Exhibit MJC-2 - Old E-8a'!V24)</f>
        <v>194.14345899363278</v>
      </c>
      <c r="I186" s="49">
        <f>'[1]MFR E-14D2'!$I$20</f>
        <v>106.63268826917395</v>
      </c>
      <c r="J186" s="50" t="s">
        <v>151</v>
      </c>
      <c r="K186" s="51" t="s">
        <v>152</v>
      </c>
      <c r="L186" s="51"/>
      <c r="M186" s="52"/>
      <c r="N186" s="295">
        <f>H186-G186</f>
        <v>2.4034589936327677</v>
      </c>
      <c r="O186" s="284">
        <f>(N186/G186)</f>
        <v>1.253499005754025E-2</v>
      </c>
      <c r="P186" s="296"/>
      <c r="Q186" s="297">
        <f>(P186*G186)/1000</f>
        <v>0</v>
      </c>
      <c r="R186" s="297">
        <f>(P186*H186)/1000</f>
        <v>0</v>
      </c>
      <c r="S186" s="298">
        <f>R186-Q186</f>
        <v>0</v>
      </c>
      <c r="T186" s="297">
        <f>(P186*I186)/1000</f>
        <v>0</v>
      </c>
      <c r="U186" s="298">
        <f>R186-T186</f>
        <v>0</v>
      </c>
      <c r="V186" s="291" t="s">
        <v>150</v>
      </c>
      <c r="W186" s="291" t="s">
        <v>150</v>
      </c>
      <c r="Z186" s="282"/>
      <c r="AC186" s="27" t="b">
        <f t="shared" ref="AC186:AC189" si="29">H186&gt;=I186</f>
        <v>1</v>
      </c>
    </row>
    <row r="187" spans="1:29" x14ac:dyDescent="0.3">
      <c r="A187" s="27">
        <f t="shared" si="24"/>
        <v>169</v>
      </c>
      <c r="D187" s="27" t="s">
        <v>101</v>
      </c>
      <c r="F187" s="27" t="s">
        <v>60</v>
      </c>
      <c r="G187" s="49">
        <f>'[1]MFR E-13c'!F502</f>
        <v>440.95</v>
      </c>
      <c r="H187" s="49">
        <f>'[1]MFR E-13c'!L502</f>
        <v>445.5</v>
      </c>
      <c r="I187" s="49">
        <f>'[1]MFR E-14D2'!$I$21</f>
        <v>259.80342838025661</v>
      </c>
      <c r="J187" s="50" t="s">
        <v>151</v>
      </c>
      <c r="K187" s="51" t="s">
        <v>69</v>
      </c>
      <c r="L187" s="51"/>
      <c r="M187" s="52"/>
      <c r="N187" s="295">
        <f>H187-G187</f>
        <v>4.5500000000000114</v>
      </c>
      <c r="O187" s="284">
        <f>(N187/G187)</f>
        <v>1.0318630230184854E-2</v>
      </c>
      <c r="P187" s="296">
        <v>47.709869931140041</v>
      </c>
      <c r="Q187" s="297">
        <f>(P187*G187)/1000</f>
        <v>21.037667146136201</v>
      </c>
      <c r="R187" s="297">
        <f>(P187*H187)/1000</f>
        <v>21.254747054322888</v>
      </c>
      <c r="S187" s="298">
        <f>R187-Q187</f>
        <v>0.21707990818668677</v>
      </c>
      <c r="T187" s="297">
        <f>(P187*I187)/1000</f>
        <v>12.395187775686299</v>
      </c>
      <c r="U187" s="298">
        <f>R187-T187</f>
        <v>8.8595592786365884</v>
      </c>
      <c r="V187" s="291" t="s">
        <v>150</v>
      </c>
      <c r="W187" s="291" t="s">
        <v>150</v>
      </c>
      <c r="Z187" s="282"/>
      <c r="AC187" s="27" t="b">
        <f t="shared" si="29"/>
        <v>1</v>
      </c>
    </row>
    <row r="188" spans="1:29" x14ac:dyDescent="0.3">
      <c r="A188" s="27">
        <f t="shared" si="24"/>
        <v>170</v>
      </c>
      <c r="D188" s="27" t="s">
        <v>102</v>
      </c>
      <c r="F188" s="27" t="s">
        <v>60</v>
      </c>
      <c r="G188" s="49">
        <f>'[1]MFR E-13c'!F503</f>
        <v>1519.27</v>
      </c>
      <c r="H188" s="49">
        <f>'[1]MFR E-13c'!L503</f>
        <v>1534.94</v>
      </c>
      <c r="I188" s="49">
        <f>'[1]MFR E-14D2'!$I$22</f>
        <v>455.81536561845974</v>
      </c>
      <c r="J188" s="50" t="s">
        <v>151</v>
      </c>
      <c r="K188" s="51" t="s">
        <v>69</v>
      </c>
      <c r="L188" s="51"/>
      <c r="M188" s="52"/>
      <c r="N188" s="295">
        <f>H188-G188</f>
        <v>15.670000000000073</v>
      </c>
      <c r="O188" s="284">
        <f>(N188/G188)</f>
        <v>1.0314164039308399E-2</v>
      </c>
      <c r="P188" s="296">
        <v>11.564804896710045</v>
      </c>
      <c r="Q188" s="297">
        <f>(P188*G188)/1000</f>
        <v>17.570061135424673</v>
      </c>
      <c r="R188" s="297">
        <f>(P188*H188)/1000</f>
        <v>17.751281628156118</v>
      </c>
      <c r="S188" s="298">
        <f>R188-Q188</f>
        <v>0.18122049273144469</v>
      </c>
      <c r="T188" s="297">
        <f>(P188*I188)/1000</f>
        <v>5.2714157723000428</v>
      </c>
      <c r="U188" s="298">
        <f>R188-T188</f>
        <v>12.479865855856076</v>
      </c>
      <c r="V188" s="291" t="s">
        <v>150</v>
      </c>
      <c r="W188" s="291" t="s">
        <v>150</v>
      </c>
      <c r="Z188" s="282"/>
      <c r="AC188" s="27" t="b">
        <f t="shared" si="29"/>
        <v>1</v>
      </c>
    </row>
    <row r="189" spans="1:29" x14ac:dyDescent="0.3">
      <c r="A189" s="27">
        <f t="shared" si="24"/>
        <v>171</v>
      </c>
      <c r="D189" s="27" t="s">
        <v>153</v>
      </c>
      <c r="F189" s="27" t="s">
        <v>60</v>
      </c>
      <c r="G189" s="49">
        <f>'[1]MFR E-13c'!F504</f>
        <v>146.87</v>
      </c>
      <c r="H189" s="49">
        <f>'[1]MFR E-13c'!L504</f>
        <v>147.72999999999999</v>
      </c>
      <c r="I189" s="49"/>
      <c r="J189" s="50"/>
      <c r="K189" s="51" t="s">
        <v>69</v>
      </c>
      <c r="L189" s="51"/>
      <c r="M189" s="52"/>
      <c r="N189" s="295">
        <f>H189-G189</f>
        <v>0.85999999999998522</v>
      </c>
      <c r="O189" s="284">
        <f>(N189/G189)</f>
        <v>5.8555184857355842E-3</v>
      </c>
      <c r="P189" s="296">
        <v>60</v>
      </c>
      <c r="Q189" s="297">
        <f>(P189*G189)/1000</f>
        <v>8.8122000000000007</v>
      </c>
      <c r="R189" s="297">
        <f>(P189*H189)/1000</f>
        <v>8.8637999999999995</v>
      </c>
      <c r="S189" s="298">
        <f>R189-Q189</f>
        <v>5.1599999999998758E-2</v>
      </c>
      <c r="T189" s="297">
        <f>(P189*I189)/1000</f>
        <v>0</v>
      </c>
      <c r="U189" s="298">
        <f>R189-T189</f>
        <v>8.8637999999999995</v>
      </c>
      <c r="V189" s="291" t="s">
        <v>150</v>
      </c>
      <c r="W189" s="291" t="s">
        <v>150</v>
      </c>
      <c r="Z189" s="282"/>
      <c r="AC189" s="27" t="b">
        <f t="shared" si="29"/>
        <v>1</v>
      </c>
    </row>
    <row r="190" spans="1:29" x14ac:dyDescent="0.3">
      <c r="A190" s="27">
        <f t="shared" si="24"/>
        <v>172</v>
      </c>
      <c r="G190" s="56"/>
      <c r="H190" s="56"/>
      <c r="I190" s="56"/>
      <c r="J190" s="50"/>
      <c r="K190" s="51"/>
      <c r="L190" s="51"/>
      <c r="M190" s="52"/>
      <c r="P190" s="296"/>
      <c r="Q190" s="296"/>
      <c r="R190" s="296"/>
      <c r="T190" s="296"/>
      <c r="U190" s="283"/>
      <c r="V190" s="291"/>
      <c r="W190" s="291"/>
      <c r="Z190" s="282"/>
    </row>
    <row r="191" spans="1:29" x14ac:dyDescent="0.3">
      <c r="A191" s="27">
        <f t="shared" si="24"/>
        <v>173</v>
      </c>
      <c r="C191" s="68" t="s">
        <v>75</v>
      </c>
      <c r="D191" s="68"/>
      <c r="F191" s="27" t="s">
        <v>78</v>
      </c>
      <c r="G191" s="56">
        <f>'[1]MFR E-13c'!F523/10</f>
        <v>1.4650000000000001</v>
      </c>
      <c r="H191" s="56">
        <f>'[1]MFR E-13c'!L523/10</f>
        <v>1.4730000000000001</v>
      </c>
      <c r="I191" s="56">
        <f>'[1]MFR E-14D2'!$I$30/10</f>
        <v>0.65700000000000003</v>
      </c>
      <c r="J191" s="50" t="s">
        <v>151</v>
      </c>
      <c r="K191" s="51" t="s">
        <v>69</v>
      </c>
      <c r="L191" s="56"/>
      <c r="M191" s="60"/>
      <c r="N191" s="295">
        <f>H191-G191</f>
        <v>8.0000000000000071E-3</v>
      </c>
      <c r="O191" s="284">
        <f>(N191/G191)</f>
        <v>5.4607508532423252E-3</v>
      </c>
      <c r="P191" s="296">
        <v>44893.099999999991</v>
      </c>
      <c r="Q191" s="297">
        <f>(P191*G191*10)/1000</f>
        <v>657.68391500000007</v>
      </c>
      <c r="R191" s="297">
        <f>(P191*H191*10)/1000</f>
        <v>661.27536299999986</v>
      </c>
      <c r="S191" s="298">
        <f>R191-Q191</f>
        <v>3.5914479999997866</v>
      </c>
      <c r="T191" s="297">
        <f>(P191*I191*10)/1000</f>
        <v>294.94766699999997</v>
      </c>
      <c r="U191" s="298">
        <f>R191-T191</f>
        <v>366.32769599999989</v>
      </c>
      <c r="V191" s="291" t="s">
        <v>150</v>
      </c>
      <c r="W191" s="291" t="s">
        <v>150</v>
      </c>
      <c r="Z191" s="282"/>
    </row>
    <row r="192" spans="1:29" x14ac:dyDescent="0.3">
      <c r="A192" s="27">
        <f t="shared" si="24"/>
        <v>174</v>
      </c>
      <c r="C192" s="69"/>
      <c r="D192" s="68"/>
      <c r="G192" s="51"/>
      <c r="H192" s="51"/>
      <c r="I192" s="51"/>
      <c r="J192" s="50"/>
      <c r="K192" s="51"/>
      <c r="L192" s="51"/>
      <c r="M192" s="52"/>
      <c r="P192" s="296"/>
      <c r="Q192" s="296"/>
      <c r="R192" s="296"/>
      <c r="T192" s="296"/>
      <c r="U192" s="283"/>
      <c r="V192" s="291"/>
      <c r="W192" s="291"/>
      <c r="Z192" s="282"/>
    </row>
    <row r="193" spans="1:26" x14ac:dyDescent="0.3">
      <c r="A193" s="27">
        <f t="shared" si="24"/>
        <v>175</v>
      </c>
      <c r="C193" s="68" t="s">
        <v>154</v>
      </c>
      <c r="D193" s="68"/>
      <c r="G193" s="51"/>
      <c r="H193" s="51"/>
      <c r="I193" s="51"/>
      <c r="J193" s="50"/>
      <c r="K193" s="51"/>
      <c r="L193" s="51"/>
      <c r="M193" s="52"/>
      <c r="P193" s="296"/>
      <c r="Q193" s="296"/>
      <c r="R193" s="296"/>
      <c r="T193" s="296"/>
      <c r="U193" s="283"/>
      <c r="V193" s="291"/>
      <c r="W193" s="291"/>
      <c r="Z193" s="282"/>
    </row>
    <row r="194" spans="1:26" x14ac:dyDescent="0.3">
      <c r="A194" s="27">
        <f t="shared" si="24"/>
        <v>176</v>
      </c>
      <c r="D194" s="68" t="s">
        <v>155</v>
      </c>
      <c r="F194" s="27" t="s">
        <v>119</v>
      </c>
      <c r="G194" s="49">
        <f>'[1]MFR E-13c'!F509</f>
        <v>3.53</v>
      </c>
      <c r="H194" s="49">
        <f>'[1]MFR E-13c'!L509</f>
        <v>3.59</v>
      </c>
      <c r="I194" s="49">
        <f>'[1]MFR E-14D2'!$I$34</f>
        <v>6.69</v>
      </c>
      <c r="J194" s="50" t="s">
        <v>151</v>
      </c>
      <c r="K194" s="51" t="s">
        <v>69</v>
      </c>
      <c r="L194" s="51"/>
      <c r="M194" s="52"/>
      <c r="N194" s="295">
        <f>H194-G194</f>
        <v>6.0000000000000053E-2</v>
      </c>
      <c r="O194" s="284">
        <f>(N194/G194)</f>
        <v>1.6997167138810214E-2</v>
      </c>
      <c r="P194" s="296">
        <v>74532</v>
      </c>
      <c r="Q194" s="297">
        <f>(P194*G194)/1000</f>
        <v>263.09795999999994</v>
      </c>
      <c r="R194" s="297">
        <f>(P194*H194)/1000</f>
        <v>267.56988000000001</v>
      </c>
      <c r="S194" s="298">
        <f>R194-Q194</f>
        <v>4.4719200000000683</v>
      </c>
      <c r="T194" s="297">
        <f>(P194*I194)/1000</f>
        <v>498.61908</v>
      </c>
      <c r="U194" s="298">
        <f>R194-T194</f>
        <v>-231.04919999999998</v>
      </c>
      <c r="V194" s="291" t="s">
        <v>150</v>
      </c>
      <c r="W194" s="291" t="s">
        <v>150</v>
      </c>
      <c r="Z194" s="282"/>
    </row>
    <row r="195" spans="1:26" x14ac:dyDescent="0.3">
      <c r="A195" s="27">
        <f t="shared" si="24"/>
        <v>177</v>
      </c>
      <c r="C195" s="68"/>
      <c r="G195" s="51"/>
      <c r="H195" s="51"/>
      <c r="I195" s="51"/>
      <c r="J195" s="50"/>
      <c r="K195" s="51"/>
      <c r="L195" s="51"/>
      <c r="M195" s="52"/>
      <c r="P195" s="296"/>
      <c r="Q195" s="296"/>
      <c r="R195" s="296"/>
      <c r="T195" s="296"/>
      <c r="U195" s="283"/>
      <c r="V195" s="291"/>
      <c r="W195" s="291"/>
      <c r="Z195" s="282"/>
    </row>
    <row r="196" spans="1:26" x14ac:dyDescent="0.3">
      <c r="A196" s="27">
        <f t="shared" si="24"/>
        <v>178</v>
      </c>
      <c r="C196" s="68" t="s">
        <v>156</v>
      </c>
      <c r="D196" s="68"/>
      <c r="G196" s="51"/>
      <c r="H196" s="51"/>
      <c r="I196" s="51"/>
      <c r="J196" s="50"/>
      <c r="K196" s="51"/>
      <c r="L196" s="51"/>
      <c r="M196" s="52"/>
      <c r="P196" s="296"/>
      <c r="Q196" s="296"/>
      <c r="R196" s="296"/>
      <c r="T196" s="296"/>
      <c r="U196" s="283"/>
      <c r="V196" s="291"/>
      <c r="W196" s="291"/>
      <c r="Z196" s="282"/>
    </row>
    <row r="197" spans="1:26" x14ac:dyDescent="0.3">
      <c r="A197" s="27">
        <f t="shared" si="24"/>
        <v>179</v>
      </c>
      <c r="C197" s="68"/>
      <c r="D197" s="68" t="s">
        <v>157</v>
      </c>
      <c r="G197" s="51"/>
      <c r="H197" s="51"/>
      <c r="I197" s="51"/>
      <c r="J197" s="50"/>
      <c r="K197" s="51"/>
      <c r="L197" s="51"/>
      <c r="M197" s="52"/>
      <c r="P197" s="296"/>
      <c r="Q197" s="296"/>
      <c r="R197" s="296"/>
      <c r="T197" s="296"/>
      <c r="U197" s="283"/>
      <c r="V197" s="291"/>
      <c r="W197" s="291"/>
      <c r="Z197" s="282"/>
    </row>
    <row r="198" spans="1:26" x14ac:dyDescent="0.3">
      <c r="A198" s="27">
        <f t="shared" si="24"/>
        <v>180</v>
      </c>
      <c r="C198" s="68"/>
      <c r="D198" s="68" t="s">
        <v>158</v>
      </c>
      <c r="G198" s="51"/>
      <c r="H198" s="51"/>
      <c r="I198" s="51"/>
      <c r="J198" s="50"/>
      <c r="K198" s="51"/>
      <c r="L198" s="51"/>
      <c r="M198" s="52"/>
      <c r="P198" s="296"/>
      <c r="Q198" s="296"/>
      <c r="R198" s="296"/>
      <c r="T198" s="296"/>
      <c r="U198" s="283"/>
      <c r="V198" s="291"/>
      <c r="W198" s="291"/>
      <c r="Z198" s="282"/>
    </row>
    <row r="199" spans="1:26" x14ac:dyDescent="0.3">
      <c r="A199" s="27">
        <f t="shared" si="24"/>
        <v>181</v>
      </c>
      <c r="C199" s="68"/>
      <c r="D199" s="70" t="s">
        <v>155</v>
      </c>
      <c r="F199" s="27" t="s">
        <v>119</v>
      </c>
      <c r="G199" s="71">
        <f>'[1]MFR E-13c'!F514</f>
        <v>2.0059999999999998</v>
      </c>
      <c r="H199" s="71">
        <f>'[1]MFR E-13c'!L514</f>
        <v>2.0270000000000001</v>
      </c>
      <c r="I199" s="71">
        <f>'[1]MFR E-14D2'!$I$41</f>
        <v>2.2770000000000001</v>
      </c>
      <c r="J199" s="50" t="s">
        <v>151</v>
      </c>
      <c r="K199" s="51" t="s">
        <v>69</v>
      </c>
      <c r="L199" s="51"/>
      <c r="M199" s="52"/>
      <c r="N199" s="295">
        <f>H199-G199</f>
        <v>2.1000000000000352E-2</v>
      </c>
      <c r="O199" s="284">
        <f>(N199/G199)</f>
        <v>1.0468594217348132E-2</v>
      </c>
      <c r="P199" s="296">
        <v>583907.91899999999</v>
      </c>
      <c r="Q199" s="297">
        <f>(P199*G199)/1000</f>
        <v>1171.3192855139998</v>
      </c>
      <c r="R199" s="297">
        <f>(P199*H199)/1000</f>
        <v>1183.5813518130001</v>
      </c>
      <c r="S199" s="298">
        <f>R199-Q199</f>
        <v>12.262066299000253</v>
      </c>
      <c r="T199" s="297">
        <f>(P199*I199)/1000</f>
        <v>1329.5583315630001</v>
      </c>
      <c r="U199" s="298">
        <f>R199-T199</f>
        <v>-145.97697975000005</v>
      </c>
      <c r="V199" s="291" t="s">
        <v>150</v>
      </c>
      <c r="W199" s="291" t="s">
        <v>150</v>
      </c>
      <c r="Z199" s="282"/>
    </row>
    <row r="200" spans="1:26" x14ac:dyDescent="0.3">
      <c r="A200" s="27">
        <f t="shared" si="24"/>
        <v>182</v>
      </c>
      <c r="D200" s="68" t="s">
        <v>159</v>
      </c>
      <c r="F200" s="27" t="s">
        <v>119</v>
      </c>
      <c r="G200" s="71">
        <f>'[1]MFR E-13c'!F515</f>
        <v>0.95499999999999996</v>
      </c>
      <c r="H200" s="71">
        <f>'[1]MFR E-13c'!L515</f>
        <v>0.96499999999999997</v>
      </c>
      <c r="I200" s="71">
        <f>'[1]MFR E-14D2'!$I$44</f>
        <v>1.0840000000000001</v>
      </c>
      <c r="J200" s="50" t="s">
        <v>151</v>
      </c>
      <c r="K200" s="51" t="s">
        <v>69</v>
      </c>
      <c r="L200" s="51"/>
      <c r="M200" s="52"/>
      <c r="N200" s="295">
        <f>H200-G200</f>
        <v>1.0000000000000009E-2</v>
      </c>
      <c r="O200" s="284">
        <f>(N200/G200)</f>
        <v>1.0471204188481685E-2</v>
      </c>
      <c r="P200" s="296">
        <v>1104686.7299274281</v>
      </c>
      <c r="Q200" s="297">
        <f>(P200*G200)/1000</f>
        <v>1054.9758270806938</v>
      </c>
      <c r="R200" s="297">
        <f>(P200*H200)/1000</f>
        <v>1066.022694379968</v>
      </c>
      <c r="S200" s="298">
        <f>R200-Q200</f>
        <v>11.046867299274254</v>
      </c>
      <c r="T200" s="297">
        <f>(P200*I200)/1000</f>
        <v>1197.4804152413321</v>
      </c>
      <c r="U200" s="298">
        <f>R200-T200</f>
        <v>-131.45772086136412</v>
      </c>
      <c r="V200" s="291" t="s">
        <v>150</v>
      </c>
      <c r="W200" s="291" t="s">
        <v>150</v>
      </c>
      <c r="Z200" s="282"/>
    </row>
    <row r="201" spans="1:26" x14ac:dyDescent="0.3">
      <c r="A201" s="27">
        <f t="shared" si="24"/>
        <v>183</v>
      </c>
      <c r="G201" s="51"/>
      <c r="H201" s="51"/>
      <c r="I201" s="51"/>
      <c r="J201" s="50"/>
      <c r="K201" s="51"/>
      <c r="L201" s="51"/>
      <c r="M201" s="52"/>
      <c r="P201" s="296"/>
      <c r="Q201" s="296"/>
      <c r="R201" s="296"/>
      <c r="T201" s="296"/>
      <c r="U201" s="283"/>
      <c r="V201" s="291"/>
      <c r="W201" s="291"/>
      <c r="Z201" s="282"/>
    </row>
    <row r="202" spans="1:26" x14ac:dyDescent="0.3">
      <c r="A202" s="27">
        <f t="shared" si="24"/>
        <v>184</v>
      </c>
      <c r="D202" s="27" t="s">
        <v>123</v>
      </c>
      <c r="J202" s="50"/>
      <c r="K202" s="51"/>
      <c r="L202" s="51"/>
      <c r="M202" s="52"/>
      <c r="P202" s="296"/>
      <c r="Q202" s="296"/>
      <c r="R202" s="296"/>
      <c r="T202" s="296"/>
      <c r="U202" s="283"/>
      <c r="V202" s="291"/>
      <c r="W202" s="291"/>
      <c r="Z202" s="282"/>
    </row>
    <row r="203" spans="1:26" x14ac:dyDescent="0.3">
      <c r="A203" s="27">
        <f t="shared" si="24"/>
        <v>185</v>
      </c>
      <c r="D203" s="54" t="s">
        <v>101</v>
      </c>
      <c r="F203" s="27" t="s">
        <v>119</v>
      </c>
      <c r="G203" s="49">
        <f>G155</f>
        <v>1.34</v>
      </c>
      <c r="H203" s="49">
        <f>I203</f>
        <v>1.36</v>
      </c>
      <c r="I203" s="58">
        <f>I155</f>
        <v>1.36</v>
      </c>
      <c r="J203" s="50" t="s">
        <v>124</v>
      </c>
      <c r="K203" s="51" t="s">
        <v>106</v>
      </c>
      <c r="L203" s="51"/>
      <c r="M203" s="52"/>
      <c r="N203" s="295">
        <f>H203-G203</f>
        <v>2.0000000000000018E-2</v>
      </c>
      <c r="O203" s="284">
        <f>(N203/G203)</f>
        <v>1.492537313432837E-2</v>
      </c>
      <c r="P203" s="296">
        <v>0</v>
      </c>
      <c r="Q203" s="297">
        <f>(P203*G203)/1000</f>
        <v>0</v>
      </c>
      <c r="R203" s="297">
        <f>(P203*H203)/1000</f>
        <v>0</v>
      </c>
      <c r="S203" s="298">
        <f>R203-Q203</f>
        <v>0</v>
      </c>
      <c r="T203" s="297">
        <f>(P203*I203)/1000</f>
        <v>0</v>
      </c>
      <c r="U203" s="298">
        <f>R203-T203</f>
        <v>0</v>
      </c>
      <c r="V203" s="291" t="s">
        <v>150</v>
      </c>
      <c r="W203" s="291" t="s">
        <v>150</v>
      </c>
      <c r="Z203" s="282"/>
    </row>
    <row r="204" spans="1:26" x14ac:dyDescent="0.3">
      <c r="A204" s="27">
        <f t="shared" si="24"/>
        <v>186</v>
      </c>
      <c r="D204" s="54" t="s">
        <v>125</v>
      </c>
      <c r="F204" s="27" t="s">
        <v>119</v>
      </c>
      <c r="G204" s="49">
        <f t="shared" ref="G204:G205" si="30">G156</f>
        <v>6.47</v>
      </c>
      <c r="H204" s="49">
        <f t="shared" ref="H204:H205" si="31">I204</f>
        <v>6.64</v>
      </c>
      <c r="I204" s="58">
        <f t="shared" ref="I204:I205" si="32">I156</f>
        <v>6.64</v>
      </c>
      <c r="J204" s="50" t="s">
        <v>124</v>
      </c>
      <c r="K204" s="51" t="s">
        <v>106</v>
      </c>
      <c r="L204" s="51"/>
      <c r="M204" s="52"/>
      <c r="P204" s="296"/>
      <c r="Q204" s="314" t="s">
        <v>136</v>
      </c>
      <c r="R204" s="314" t="s">
        <v>136</v>
      </c>
      <c r="T204" s="314" t="s">
        <v>136</v>
      </c>
      <c r="U204" s="283"/>
      <c r="V204" s="291"/>
      <c r="W204" s="291"/>
      <c r="Z204" s="282"/>
    </row>
    <row r="205" spans="1:26" x14ac:dyDescent="0.3">
      <c r="A205" s="27">
        <f t="shared" si="24"/>
        <v>187</v>
      </c>
      <c r="D205" s="54" t="s">
        <v>126</v>
      </c>
      <c r="F205" s="27" t="s">
        <v>119</v>
      </c>
      <c r="G205" s="49">
        <f t="shared" si="30"/>
        <v>9.0399999999999991</v>
      </c>
      <c r="H205" s="49">
        <f t="shared" si="31"/>
        <v>9.24</v>
      </c>
      <c r="I205" s="58">
        <f t="shared" si="32"/>
        <v>9.24</v>
      </c>
      <c r="J205" s="50" t="s">
        <v>124</v>
      </c>
      <c r="K205" s="51" t="s">
        <v>106</v>
      </c>
      <c r="L205" s="51"/>
      <c r="M205" s="52"/>
      <c r="P205" s="296"/>
      <c r="Q205" s="314"/>
      <c r="R205" s="314"/>
      <c r="T205" s="314"/>
      <c r="U205" s="283"/>
      <c r="V205" s="291"/>
      <c r="W205" s="291"/>
      <c r="Z205" s="282"/>
    </row>
    <row r="206" spans="1:26" x14ac:dyDescent="0.3">
      <c r="A206" s="27">
        <f t="shared" ref="A206:A269" si="33">+A205+1</f>
        <v>188</v>
      </c>
      <c r="D206" s="27" t="s">
        <v>104</v>
      </c>
      <c r="F206" s="27" t="s">
        <v>119</v>
      </c>
      <c r="G206" s="51">
        <f>G89</f>
        <v>2.64</v>
      </c>
      <c r="H206" s="51">
        <f>I206</f>
        <v>2.71</v>
      </c>
      <c r="I206" s="51">
        <f>'[1]MFR E-14G'!G22</f>
        <v>2.71</v>
      </c>
      <c r="J206" s="50" t="s">
        <v>105</v>
      </c>
      <c r="K206" s="51" t="s">
        <v>106</v>
      </c>
      <c r="L206" s="51"/>
      <c r="M206" s="52"/>
      <c r="N206" s="295">
        <f>H206-G206</f>
        <v>6.999999999999984E-2</v>
      </c>
      <c r="O206" s="284">
        <f>(N206/G206)</f>
        <v>2.6515151515151453E-2</v>
      </c>
      <c r="P206" s="296"/>
      <c r="Q206" s="296"/>
      <c r="R206" s="296"/>
      <c r="T206" s="296"/>
      <c r="U206" s="283"/>
      <c r="V206" s="291" t="s">
        <v>150</v>
      </c>
      <c r="W206" s="291" t="s">
        <v>150</v>
      </c>
      <c r="Z206" s="282"/>
    </row>
    <row r="207" spans="1:26" x14ac:dyDescent="0.3">
      <c r="A207" s="27">
        <f t="shared" si="33"/>
        <v>189</v>
      </c>
      <c r="G207" s="51"/>
      <c r="H207" s="51"/>
      <c r="I207" s="51"/>
      <c r="J207" s="50"/>
      <c r="K207" s="51"/>
      <c r="L207" s="51"/>
      <c r="M207" s="52"/>
      <c r="N207" s="295"/>
      <c r="P207" s="296"/>
      <c r="Q207" s="296"/>
      <c r="R207" s="296"/>
      <c r="T207" s="296"/>
      <c r="U207" s="283"/>
      <c r="V207" s="291"/>
      <c r="W207" s="291"/>
      <c r="Z207" s="282"/>
    </row>
    <row r="208" spans="1:26" x14ac:dyDescent="0.3">
      <c r="A208" s="27">
        <f t="shared" si="33"/>
        <v>190</v>
      </c>
      <c r="C208" s="27" t="s">
        <v>107</v>
      </c>
      <c r="G208" s="51"/>
      <c r="H208" s="51"/>
      <c r="I208" s="51"/>
      <c r="J208" s="50"/>
      <c r="K208" s="51"/>
      <c r="L208" s="51"/>
      <c r="M208" s="52"/>
      <c r="P208" s="296"/>
      <c r="Q208" s="296"/>
      <c r="R208" s="296"/>
      <c r="T208" s="296"/>
      <c r="U208" s="283"/>
      <c r="V208" s="291"/>
      <c r="W208" s="291"/>
      <c r="Z208" s="282"/>
    </row>
    <row r="209" spans="1:29" x14ac:dyDescent="0.3">
      <c r="A209" s="27">
        <f t="shared" si="33"/>
        <v>191</v>
      </c>
      <c r="D209" s="27" t="s">
        <v>101</v>
      </c>
      <c r="F209" s="27" t="s">
        <v>61</v>
      </c>
      <c r="G209" s="62">
        <v>0.01</v>
      </c>
      <c r="H209" s="62">
        <v>0.01</v>
      </c>
      <c r="I209" s="62"/>
      <c r="J209" s="50"/>
      <c r="K209" s="51" t="s">
        <v>69</v>
      </c>
      <c r="L209" s="51"/>
      <c r="M209" s="52"/>
      <c r="N209" s="306">
        <f>H209-G209</f>
        <v>0</v>
      </c>
      <c r="O209" s="284">
        <f>(N209/G209)</f>
        <v>0</v>
      </c>
      <c r="P209" s="296"/>
      <c r="Q209" s="297">
        <f>(P209*G209)/1000</f>
        <v>0</v>
      </c>
      <c r="R209" s="297">
        <f>(P209*H209)/1000</f>
        <v>0</v>
      </c>
      <c r="S209" s="298">
        <f>R209-Q209</f>
        <v>0</v>
      </c>
      <c r="T209" s="297">
        <f>(P209*I209)/1000</f>
        <v>0</v>
      </c>
      <c r="U209" s="298">
        <f>R209-T209</f>
        <v>0</v>
      </c>
      <c r="V209" s="291" t="s">
        <v>150</v>
      </c>
      <c r="W209" s="291" t="s">
        <v>150</v>
      </c>
      <c r="Z209" s="282"/>
    </row>
    <row r="210" spans="1:29" x14ac:dyDescent="0.3">
      <c r="A210" s="27">
        <f t="shared" si="33"/>
        <v>192</v>
      </c>
      <c r="D210" s="27" t="s">
        <v>102</v>
      </c>
      <c r="F210" s="27" t="s">
        <v>61</v>
      </c>
      <c r="G210" s="62">
        <v>0.02</v>
      </c>
      <c r="H210" s="62">
        <v>0.02</v>
      </c>
      <c r="I210" s="62"/>
      <c r="J210" s="50"/>
      <c r="K210" s="51" t="s">
        <v>69</v>
      </c>
      <c r="L210" s="51"/>
      <c r="M210" s="52"/>
      <c r="N210" s="306">
        <f>H210-G210</f>
        <v>0</v>
      </c>
      <c r="O210" s="284">
        <f>(N210/G210)</f>
        <v>0</v>
      </c>
      <c r="P210" s="296"/>
      <c r="Q210" s="297">
        <f>(P210*G210)/1000</f>
        <v>0</v>
      </c>
      <c r="R210" s="297">
        <f>(P210*H210)/1000</f>
        <v>0</v>
      </c>
      <c r="S210" s="298">
        <f>R210-Q210</f>
        <v>0</v>
      </c>
      <c r="T210" s="297">
        <f>(P210*I210)/1000</f>
        <v>0</v>
      </c>
      <c r="U210" s="298">
        <f>R210-T210</f>
        <v>0</v>
      </c>
      <c r="V210" s="291" t="s">
        <v>150</v>
      </c>
      <c r="W210" s="291" t="s">
        <v>150</v>
      </c>
      <c r="Z210" s="282"/>
    </row>
    <row r="211" spans="1:29" x14ac:dyDescent="0.3">
      <c r="A211" s="27">
        <f t="shared" si="33"/>
        <v>193</v>
      </c>
      <c r="G211" s="62"/>
      <c r="H211" s="62"/>
      <c r="I211" s="62"/>
      <c r="J211" s="50"/>
      <c r="K211" s="51"/>
      <c r="L211" s="51"/>
      <c r="M211" s="52"/>
      <c r="N211" s="306"/>
      <c r="P211" s="296"/>
      <c r="Q211" s="297"/>
      <c r="R211" s="297"/>
      <c r="S211" s="298"/>
      <c r="T211" s="297"/>
      <c r="U211" s="298"/>
      <c r="V211" s="291"/>
      <c r="W211" s="291"/>
      <c r="Z211" s="282"/>
    </row>
    <row r="212" spans="1:29" x14ac:dyDescent="0.3">
      <c r="A212" s="27">
        <f t="shared" si="33"/>
        <v>194</v>
      </c>
      <c r="C212" s="27" t="s">
        <v>109</v>
      </c>
      <c r="F212" s="27" t="s">
        <v>61</v>
      </c>
      <c r="G212" s="63">
        <f>G101</f>
        <v>9.5999999999999992E-3</v>
      </c>
      <c r="H212" s="64">
        <f>I212</f>
        <v>9.5999999999999992E-3</v>
      </c>
      <c r="I212" s="65">
        <f>I101</f>
        <v>9.5999999999999992E-3</v>
      </c>
      <c r="J212" s="42" t="s">
        <v>110</v>
      </c>
      <c r="K212" s="66" t="s">
        <v>111</v>
      </c>
      <c r="L212" s="51"/>
      <c r="M212" s="52"/>
      <c r="N212" s="295"/>
      <c r="P212" s="296"/>
      <c r="Q212" s="296"/>
      <c r="R212" s="296"/>
      <c r="T212" s="296"/>
      <c r="U212" s="283"/>
      <c r="V212" s="291"/>
      <c r="W212" s="291"/>
      <c r="Z212" s="282"/>
    </row>
    <row r="213" spans="1:29" ht="14.4" thickBot="1" x14ac:dyDescent="0.35">
      <c r="B213" s="31"/>
      <c r="C213" s="31"/>
      <c r="D213" s="31"/>
      <c r="E213" s="31"/>
      <c r="F213" s="31"/>
      <c r="G213" s="52"/>
      <c r="H213" s="52"/>
      <c r="I213" s="52"/>
      <c r="J213" s="59"/>
      <c r="K213" s="52"/>
      <c r="L213" s="52"/>
      <c r="M213" s="52"/>
      <c r="N213" s="300"/>
      <c r="O213" s="301"/>
      <c r="P213" s="302"/>
      <c r="Q213" s="303">
        <f>SUM(Q184:Q212)</f>
        <v>3194.4969158762547</v>
      </c>
      <c r="R213" s="303">
        <f>SUM(R184:R212)</f>
        <v>3226.3191178754469</v>
      </c>
      <c r="S213" s="303">
        <f>SUM(S184:S212)</f>
        <v>31.822201999192494</v>
      </c>
      <c r="T213" s="303">
        <f>SUM(T184:T212)</f>
        <v>3338.2720973523187</v>
      </c>
      <c r="U213" s="303">
        <f>SUM(U184:U212)</f>
        <v>-111.95297947687163</v>
      </c>
      <c r="V213" s="291"/>
      <c r="W213" s="291"/>
      <c r="Z213" s="282"/>
    </row>
    <row r="214" spans="1:29" ht="14.4" thickTop="1" x14ac:dyDescent="0.3">
      <c r="A214" s="27">
        <f>+A212+1</f>
        <v>195</v>
      </c>
      <c r="B214" s="48"/>
      <c r="M214" s="31"/>
      <c r="P214" s="296"/>
      <c r="Q214" s="296"/>
      <c r="R214" s="296"/>
      <c r="S214" s="296"/>
      <c r="T214" s="296"/>
      <c r="U214" s="283"/>
      <c r="V214" s="291"/>
      <c r="W214" s="291"/>
      <c r="Z214" s="282"/>
    </row>
    <row r="215" spans="1:29" x14ac:dyDescent="0.3">
      <c r="A215" s="27">
        <f t="shared" si="33"/>
        <v>196</v>
      </c>
      <c r="B215" s="48" t="s">
        <v>160</v>
      </c>
      <c r="C215" s="27" t="s">
        <v>65</v>
      </c>
      <c r="M215" s="31"/>
      <c r="P215" s="296"/>
      <c r="Q215" s="296"/>
      <c r="R215" s="296"/>
      <c r="T215" s="296"/>
      <c r="U215" s="283"/>
      <c r="V215" s="291"/>
      <c r="W215" s="291"/>
      <c r="Z215" s="282"/>
    </row>
    <row r="216" spans="1:29" x14ac:dyDescent="0.3">
      <c r="A216" s="27">
        <f t="shared" si="33"/>
        <v>197</v>
      </c>
      <c r="D216" s="27" t="s">
        <v>99</v>
      </c>
      <c r="F216" s="27" t="s">
        <v>60</v>
      </c>
      <c r="G216" s="49">
        <v>491.86</v>
      </c>
      <c r="H216" s="49">
        <f>G216*(1+'[1]Exhibit MJC-2 - Old E-8a'!V27)</f>
        <v>517.96510809904726</v>
      </c>
      <c r="I216" s="49">
        <f>'[1]MFR E-14D2'!I25</f>
        <v>385.10825319807788</v>
      </c>
      <c r="J216" s="50" t="s">
        <v>151</v>
      </c>
      <c r="K216" s="51" t="s">
        <v>152</v>
      </c>
      <c r="L216" s="51"/>
      <c r="M216" s="52"/>
      <c r="N216" s="295">
        <f>H216-G216</f>
        <v>26.105108099047243</v>
      </c>
      <c r="O216" s="284">
        <f>(N216/G216)</f>
        <v>5.3074265236138826E-2</v>
      </c>
      <c r="P216" s="296"/>
      <c r="Q216" s="296"/>
      <c r="R216" s="296"/>
      <c r="T216" s="296"/>
      <c r="U216" s="283"/>
      <c r="V216" s="291" t="s">
        <v>160</v>
      </c>
      <c r="W216" s="291" t="s">
        <v>160</v>
      </c>
      <c r="Z216" s="282"/>
      <c r="AC216" s="27" t="b">
        <f t="shared" ref="AC216:AC219" si="34">H216&gt;=I216</f>
        <v>1</v>
      </c>
    </row>
    <row r="217" spans="1:29" x14ac:dyDescent="0.3">
      <c r="A217" s="27">
        <f t="shared" si="33"/>
        <v>198</v>
      </c>
      <c r="D217" s="27" t="s">
        <v>101</v>
      </c>
      <c r="F217" s="27" t="s">
        <v>60</v>
      </c>
      <c r="G217" s="49">
        <f>'[1]MFR E-13c'!F554</f>
        <v>684.44</v>
      </c>
      <c r="H217" s="49">
        <f>'[1]MFR E-13c'!L554</f>
        <v>711.31</v>
      </c>
      <c r="I217" s="49">
        <f>'[1]MFR E-14D2'!I26</f>
        <v>538.27899330916057</v>
      </c>
      <c r="J217" s="50" t="s">
        <v>151</v>
      </c>
      <c r="K217" s="51" t="s">
        <v>69</v>
      </c>
      <c r="L217" s="51"/>
      <c r="M217" s="52"/>
      <c r="N217" s="295">
        <f>H217-G217</f>
        <v>26.869999999999891</v>
      </c>
      <c r="O217" s="284">
        <f>(N217/G217)</f>
        <v>3.925837180760898E-2</v>
      </c>
      <c r="P217" s="296">
        <v>23.538461538461522</v>
      </c>
      <c r="Q217" s="297">
        <f>(P217*G217)/1000</f>
        <v>16.110664615384604</v>
      </c>
      <c r="R217" s="297">
        <f>(P217*H217)/1000</f>
        <v>16.743143076923065</v>
      </c>
      <c r="S217" s="298">
        <f>R217-Q217</f>
        <v>0.63247846153846154</v>
      </c>
      <c r="T217" s="297">
        <f>(P217*I217)/1000</f>
        <v>12.670259380969462</v>
      </c>
      <c r="U217" s="298">
        <f>R217-T217</f>
        <v>4.0728836959536032</v>
      </c>
      <c r="V217" s="291" t="s">
        <v>160</v>
      </c>
      <c r="W217" s="291" t="s">
        <v>160</v>
      </c>
      <c r="Z217" s="282"/>
      <c r="AC217" s="27" t="b">
        <f t="shared" si="34"/>
        <v>1</v>
      </c>
    </row>
    <row r="218" spans="1:29" x14ac:dyDescent="0.3">
      <c r="A218" s="27">
        <f t="shared" si="33"/>
        <v>199</v>
      </c>
      <c r="D218" s="27" t="s">
        <v>102</v>
      </c>
      <c r="F218" s="27" t="s">
        <v>60</v>
      </c>
      <c r="G218" s="49">
        <f>'[1]MFR E-13c'!F555</f>
        <v>1583.59</v>
      </c>
      <c r="H218" s="49">
        <f>'[1]MFR E-13c'!L555</f>
        <v>1645.75</v>
      </c>
      <c r="I218" s="49">
        <f>'[1]MFR E-14D2'!I27</f>
        <v>734.29093054736359</v>
      </c>
      <c r="J218" s="50" t="s">
        <v>151</v>
      </c>
      <c r="K218" s="51" t="s">
        <v>69</v>
      </c>
      <c r="L218" s="51"/>
      <c r="M218" s="52"/>
      <c r="N218" s="295">
        <f>H218-G218</f>
        <v>62.160000000000082</v>
      </c>
      <c r="O218" s="284">
        <f>(N218/G218)</f>
        <v>3.9252584317910622E-2</v>
      </c>
      <c r="P218" s="296">
        <v>11.769230769230761</v>
      </c>
      <c r="Q218" s="297">
        <f>(P218*G218)/1000</f>
        <v>18.637636153846138</v>
      </c>
      <c r="R218" s="297">
        <f>(P218*H218)/1000</f>
        <v>19.369211538461524</v>
      </c>
      <c r="S218" s="298">
        <f>R218-Q218</f>
        <v>0.73157538461538607</v>
      </c>
      <c r="T218" s="297">
        <f>(P218*I218)/1000</f>
        <v>8.6420394133651186</v>
      </c>
      <c r="U218" s="298">
        <f>R218-T218</f>
        <v>10.727172125096406</v>
      </c>
      <c r="V218" s="291" t="s">
        <v>160</v>
      </c>
      <c r="W218" s="291" t="s">
        <v>160</v>
      </c>
      <c r="Z218" s="282"/>
      <c r="AC218" s="27" t="b">
        <f t="shared" si="34"/>
        <v>1</v>
      </c>
    </row>
    <row r="219" spans="1:29" x14ac:dyDescent="0.3">
      <c r="A219" s="27">
        <f t="shared" si="33"/>
        <v>200</v>
      </c>
      <c r="D219" s="27" t="s">
        <v>153</v>
      </c>
      <c r="F219" s="27" t="s">
        <v>60</v>
      </c>
      <c r="G219" s="49">
        <v>460.22</v>
      </c>
      <c r="H219" s="49">
        <f>G219*(1+'[1]Exhibit MJC-2 - Old E-8a'!V27)</f>
        <v>484.64583834697589</v>
      </c>
      <c r="I219" s="49"/>
      <c r="J219" s="50"/>
      <c r="K219" s="51" t="s">
        <v>152</v>
      </c>
      <c r="L219" s="51"/>
      <c r="M219" s="52"/>
      <c r="N219" s="295">
        <f>H219-G219</f>
        <v>24.425838346975866</v>
      </c>
      <c r="O219" s="284">
        <f>(N219/G219)</f>
        <v>5.3074265236138944E-2</v>
      </c>
      <c r="P219" s="296">
        <v>0</v>
      </c>
      <c r="Q219" s="297">
        <f>(P219*G219)/1000</f>
        <v>0</v>
      </c>
      <c r="R219" s="297">
        <f>(P219*H219)/1000</f>
        <v>0</v>
      </c>
      <c r="S219" s="298">
        <f>R219-Q219</f>
        <v>0</v>
      </c>
      <c r="T219" s="297">
        <f>(P219*I219)/1000</f>
        <v>0</v>
      </c>
      <c r="U219" s="298">
        <f>R219-T219</f>
        <v>0</v>
      </c>
      <c r="V219" s="291" t="s">
        <v>160</v>
      </c>
      <c r="W219" s="291" t="s">
        <v>160</v>
      </c>
      <c r="Z219" s="282"/>
      <c r="AC219" s="27" t="b">
        <f t="shared" si="34"/>
        <v>1</v>
      </c>
    </row>
    <row r="220" spans="1:29" x14ac:dyDescent="0.3">
      <c r="A220" s="27">
        <f t="shared" si="33"/>
        <v>201</v>
      </c>
      <c r="G220" s="56"/>
      <c r="H220" s="56"/>
      <c r="I220" s="56"/>
      <c r="J220" s="50"/>
      <c r="K220" s="51"/>
      <c r="L220" s="51"/>
      <c r="M220" s="52"/>
      <c r="P220" s="296"/>
      <c r="Q220" s="296"/>
      <c r="R220" s="296"/>
      <c r="T220" s="296"/>
      <c r="U220" s="283"/>
      <c r="V220" s="291"/>
      <c r="W220" s="291"/>
      <c r="Z220" s="282"/>
    </row>
    <row r="221" spans="1:29" x14ac:dyDescent="0.3">
      <c r="A221" s="27">
        <f t="shared" si="33"/>
        <v>202</v>
      </c>
      <c r="C221" s="68" t="s">
        <v>75</v>
      </c>
      <c r="D221" s="68"/>
      <c r="F221" s="27" t="s">
        <v>78</v>
      </c>
      <c r="G221" s="56">
        <f>'[1]MFR E-13c'!F575/10</f>
        <v>1.7190000000000001</v>
      </c>
      <c r="H221" s="56">
        <f>'[1]MFR E-13c'!L575/10</f>
        <v>1.7920000000000003</v>
      </c>
      <c r="I221" s="56">
        <f>'[1]MFR E-14D2'!$I$30/10</f>
        <v>0.65700000000000003</v>
      </c>
      <c r="J221" s="50" t="s">
        <v>151</v>
      </c>
      <c r="K221" s="51" t="s">
        <v>69</v>
      </c>
      <c r="L221" s="56"/>
      <c r="M221" s="60"/>
      <c r="N221" s="295">
        <f>H221-G221</f>
        <v>7.3000000000000176E-2</v>
      </c>
      <c r="O221" s="284">
        <f>(N221/G221)</f>
        <v>4.2466550319953562E-2</v>
      </c>
      <c r="P221" s="296">
        <v>67357.5</v>
      </c>
      <c r="Q221" s="297">
        <f>(P221*G221*10)/1000</f>
        <v>1157.875425</v>
      </c>
      <c r="R221" s="297">
        <f>(P221*H221*10)/1000</f>
        <v>1207.0464000000002</v>
      </c>
      <c r="S221" s="298">
        <f>R221-Q221</f>
        <v>49.170975000000226</v>
      </c>
      <c r="T221" s="297">
        <f>(P221*I221*10)/1000</f>
        <v>442.53877500000004</v>
      </c>
      <c r="U221" s="298">
        <f>R221-T221</f>
        <v>764.50762500000019</v>
      </c>
      <c r="V221" s="291" t="s">
        <v>160</v>
      </c>
      <c r="W221" s="291" t="s">
        <v>160</v>
      </c>
      <c r="Z221" s="282"/>
    </row>
    <row r="222" spans="1:29" x14ac:dyDescent="0.3">
      <c r="A222" s="27">
        <f t="shared" si="33"/>
        <v>203</v>
      </c>
      <c r="C222" s="69"/>
      <c r="D222" s="68"/>
      <c r="G222" s="51"/>
      <c r="H222" s="51"/>
      <c r="I222" s="51"/>
      <c r="J222" s="50"/>
      <c r="K222" s="51"/>
      <c r="L222" s="51"/>
      <c r="M222" s="52"/>
      <c r="P222" s="296"/>
      <c r="Q222" s="296"/>
      <c r="R222" s="296"/>
      <c r="T222" s="296"/>
      <c r="U222" s="283"/>
      <c r="V222" s="291"/>
      <c r="W222" s="291"/>
      <c r="Z222" s="282"/>
    </row>
    <row r="223" spans="1:29" x14ac:dyDescent="0.3">
      <c r="A223" s="27">
        <f t="shared" si="33"/>
        <v>204</v>
      </c>
      <c r="C223" s="68" t="s">
        <v>154</v>
      </c>
      <c r="D223" s="68"/>
      <c r="G223" s="51"/>
      <c r="H223" s="51"/>
      <c r="I223" s="51"/>
      <c r="J223" s="50"/>
      <c r="K223" s="51"/>
      <c r="L223" s="51"/>
      <c r="M223" s="52"/>
      <c r="P223" s="296"/>
      <c r="Q223" s="296"/>
      <c r="R223" s="296"/>
      <c r="T223" s="296"/>
      <c r="U223" s="283"/>
      <c r="V223" s="291"/>
      <c r="W223" s="291"/>
      <c r="Z223" s="282"/>
    </row>
    <row r="224" spans="1:29" x14ac:dyDescent="0.3">
      <c r="A224" s="27">
        <f t="shared" si="33"/>
        <v>205</v>
      </c>
      <c r="D224" s="68" t="s">
        <v>155</v>
      </c>
      <c r="F224" s="27" t="s">
        <v>119</v>
      </c>
      <c r="G224" s="49">
        <f>'[1]MFR E-13c'!F560</f>
        <v>3.57</v>
      </c>
      <c r="H224" s="49">
        <f>'[1]MFR E-13c'!L560</f>
        <v>3.75</v>
      </c>
      <c r="I224" s="49">
        <f>'[1]MFR E-14D2'!$I$34</f>
        <v>6.69</v>
      </c>
      <c r="J224" s="50" t="s">
        <v>151</v>
      </c>
      <c r="K224" s="51" t="s">
        <v>69</v>
      </c>
      <c r="L224" s="51"/>
      <c r="M224" s="52"/>
      <c r="N224" s="295">
        <f>H224-G224</f>
        <v>0.18000000000000016</v>
      </c>
      <c r="O224" s="284">
        <f>(N224/G224)</f>
        <v>5.0420168067226941E-2</v>
      </c>
      <c r="P224" s="296">
        <v>114000</v>
      </c>
      <c r="Q224" s="297">
        <f>(P224*G224)/1000</f>
        <v>406.98</v>
      </c>
      <c r="R224" s="297">
        <f>(P224*H224)/1000</f>
        <v>427.5</v>
      </c>
      <c r="S224" s="298">
        <f>R224-Q224</f>
        <v>20.519999999999982</v>
      </c>
      <c r="T224" s="297">
        <f>(P224*I224)/1000</f>
        <v>762.66</v>
      </c>
      <c r="U224" s="298">
        <f>R224-T224</f>
        <v>-335.15999999999997</v>
      </c>
      <c r="V224" s="291" t="s">
        <v>160</v>
      </c>
      <c r="W224" s="291" t="s">
        <v>160</v>
      </c>
      <c r="Z224" s="282"/>
    </row>
    <row r="225" spans="1:26" x14ac:dyDescent="0.3">
      <c r="A225" s="27">
        <f t="shared" si="33"/>
        <v>206</v>
      </c>
      <c r="C225" s="68"/>
      <c r="G225" s="51"/>
      <c r="H225" s="51"/>
      <c r="I225" s="51"/>
      <c r="J225" s="50"/>
      <c r="K225" s="51"/>
      <c r="L225" s="51"/>
      <c r="M225" s="52"/>
      <c r="N225" s="295"/>
      <c r="P225" s="296"/>
      <c r="Q225" s="296"/>
      <c r="R225" s="296"/>
      <c r="T225" s="296"/>
      <c r="U225" s="283"/>
      <c r="V225" s="291"/>
      <c r="W225" s="291"/>
      <c r="Z225" s="282"/>
    </row>
    <row r="226" spans="1:26" x14ac:dyDescent="0.3">
      <c r="A226" s="27">
        <f t="shared" si="33"/>
        <v>207</v>
      </c>
      <c r="C226" s="68" t="s">
        <v>156</v>
      </c>
      <c r="D226" s="68"/>
      <c r="G226" s="51"/>
      <c r="H226" s="51"/>
      <c r="I226" s="51"/>
      <c r="J226" s="50"/>
      <c r="K226" s="51"/>
      <c r="L226" s="51"/>
      <c r="M226" s="52"/>
      <c r="P226" s="296"/>
      <c r="Q226" s="296"/>
      <c r="R226" s="296"/>
      <c r="T226" s="296"/>
      <c r="U226" s="283"/>
      <c r="V226" s="291"/>
      <c r="W226" s="291"/>
      <c r="Z226" s="282"/>
    </row>
    <row r="227" spans="1:26" x14ac:dyDescent="0.3">
      <c r="A227" s="27">
        <f t="shared" si="33"/>
        <v>208</v>
      </c>
      <c r="C227" s="68"/>
      <c r="D227" s="68" t="s">
        <v>157</v>
      </c>
      <c r="G227" s="51"/>
      <c r="H227" s="51"/>
      <c r="I227" s="51"/>
      <c r="J227" s="50"/>
      <c r="L227" s="51"/>
      <c r="M227" s="52"/>
      <c r="P227" s="296"/>
      <c r="Q227" s="296"/>
      <c r="R227" s="296"/>
      <c r="T227" s="296"/>
      <c r="U227" s="283"/>
      <c r="V227" s="291"/>
      <c r="W227" s="291"/>
      <c r="Z227" s="282"/>
    </row>
    <row r="228" spans="1:26" x14ac:dyDescent="0.3">
      <c r="A228" s="27">
        <f t="shared" si="33"/>
        <v>209</v>
      </c>
      <c r="C228" s="68"/>
      <c r="D228" s="68" t="s">
        <v>158</v>
      </c>
      <c r="G228" s="51"/>
      <c r="H228" s="51"/>
      <c r="I228" s="51"/>
      <c r="J228" s="50"/>
      <c r="K228" s="51"/>
      <c r="L228" s="51"/>
      <c r="M228" s="52"/>
      <c r="P228" s="296"/>
      <c r="Q228" s="296"/>
      <c r="R228" s="296"/>
      <c r="T228" s="296"/>
      <c r="U228" s="283"/>
      <c r="V228" s="291"/>
      <c r="W228" s="291"/>
      <c r="Z228" s="282"/>
    </row>
    <row r="229" spans="1:26" x14ac:dyDescent="0.3">
      <c r="A229" s="27">
        <f t="shared" si="33"/>
        <v>210</v>
      </c>
      <c r="C229" s="68"/>
      <c r="D229" s="70" t="s">
        <v>155</v>
      </c>
      <c r="F229" s="27" t="s">
        <v>119</v>
      </c>
      <c r="G229" s="71">
        <f>'[1]MFR E-13c'!F566</f>
        <v>2.0339999999999998</v>
      </c>
      <c r="H229" s="71">
        <f>'[1]MFR E-13c'!L566</f>
        <v>2.1389999999999998</v>
      </c>
      <c r="I229" s="71">
        <f>'[1]MFR E-14D2'!$I$41</f>
        <v>2.2770000000000001</v>
      </c>
      <c r="J229" s="50" t="s">
        <v>151</v>
      </c>
      <c r="K229" s="51" t="s">
        <v>69</v>
      </c>
      <c r="L229" s="51"/>
      <c r="M229" s="52"/>
      <c r="N229" s="295">
        <f>H229-G229</f>
        <v>0.10499999999999998</v>
      </c>
      <c r="O229" s="284">
        <f>(N229/G229)</f>
        <v>5.1622418879056046E-2</v>
      </c>
      <c r="P229" s="296">
        <v>643560.93599999987</v>
      </c>
      <c r="Q229" s="297">
        <f>(P229*G229)/1000</f>
        <v>1309.0029438239997</v>
      </c>
      <c r="R229" s="297">
        <f>(P229*H229)/1000</f>
        <v>1376.5768421039995</v>
      </c>
      <c r="S229" s="298">
        <f>R229-Q229</f>
        <v>67.573898279999867</v>
      </c>
      <c r="T229" s="297">
        <f>(P229*I229)/1000</f>
        <v>1465.3882512719999</v>
      </c>
      <c r="U229" s="298">
        <f>R229-T229</f>
        <v>-88.811409168000409</v>
      </c>
      <c r="V229" s="291" t="s">
        <v>160</v>
      </c>
      <c r="W229" s="291" t="s">
        <v>160</v>
      </c>
      <c r="Z229" s="282"/>
    </row>
    <row r="230" spans="1:26" x14ac:dyDescent="0.3">
      <c r="A230" s="27">
        <f t="shared" si="33"/>
        <v>211</v>
      </c>
      <c r="D230" s="68" t="s">
        <v>159</v>
      </c>
      <c r="F230" s="27" t="s">
        <v>119</v>
      </c>
      <c r="G230" s="71">
        <f>'[1]MFR E-13c'!F567</f>
        <v>0.96799999999999997</v>
      </c>
      <c r="H230" s="71">
        <f>'[1]MFR E-13c'!L567</f>
        <v>1.018</v>
      </c>
      <c r="I230" s="71">
        <f>'[1]MFR E-14D2'!$I$44</f>
        <v>1.0840000000000001</v>
      </c>
      <c r="J230" s="50" t="s">
        <v>151</v>
      </c>
      <c r="K230" s="51" t="s">
        <v>69</v>
      </c>
      <c r="L230" s="51"/>
      <c r="M230" s="52"/>
      <c r="N230" s="295">
        <f>H230-G230</f>
        <v>5.0000000000000044E-2</v>
      </c>
      <c r="O230" s="284">
        <f>(N230/G230)</f>
        <v>5.1652892561983521E-2</v>
      </c>
      <c r="P230" s="296">
        <v>1761820.1407062972</v>
      </c>
      <c r="Q230" s="297">
        <f>(P230*G230)/1000</f>
        <v>1705.4418962036957</v>
      </c>
      <c r="R230" s="297">
        <f>(P230*H230)/1000</f>
        <v>1793.5329032390107</v>
      </c>
      <c r="S230" s="298">
        <f>R230-Q230</f>
        <v>88.091007035314988</v>
      </c>
      <c r="T230" s="297">
        <f>(P230*I230)/1000</f>
        <v>1909.8130325256263</v>
      </c>
      <c r="U230" s="298">
        <f>R230-T230</f>
        <v>-116.28012928661565</v>
      </c>
      <c r="V230" s="291" t="s">
        <v>160</v>
      </c>
      <c r="W230" s="291" t="s">
        <v>160</v>
      </c>
      <c r="Z230" s="282"/>
    </row>
    <row r="231" spans="1:26" x14ac:dyDescent="0.3">
      <c r="A231" s="27">
        <f t="shared" si="33"/>
        <v>212</v>
      </c>
      <c r="G231" s="51"/>
      <c r="H231" s="51"/>
      <c r="I231" s="51"/>
      <c r="J231" s="50"/>
      <c r="K231" s="51"/>
      <c r="L231" s="51"/>
      <c r="M231" s="52"/>
      <c r="P231" s="296"/>
      <c r="Q231" s="296"/>
      <c r="R231" s="296"/>
      <c r="T231" s="296"/>
      <c r="U231" s="283"/>
      <c r="V231" s="291"/>
      <c r="W231" s="291"/>
      <c r="Z231" s="282"/>
    </row>
    <row r="232" spans="1:26" x14ac:dyDescent="0.3">
      <c r="A232" s="27">
        <f t="shared" si="33"/>
        <v>213</v>
      </c>
      <c r="C232" s="27" t="s">
        <v>161</v>
      </c>
      <c r="J232" s="50"/>
      <c r="L232" s="51"/>
      <c r="M232" s="52"/>
      <c r="P232" s="296"/>
      <c r="Q232" s="296"/>
      <c r="R232" s="296"/>
      <c r="T232" s="296"/>
      <c r="U232" s="283"/>
      <c r="V232" s="291"/>
      <c r="W232" s="291"/>
      <c r="Z232" s="282"/>
    </row>
    <row r="233" spans="1:26" x14ac:dyDescent="0.3">
      <c r="A233" s="27">
        <f t="shared" si="33"/>
        <v>214</v>
      </c>
      <c r="D233" s="68" t="s">
        <v>162</v>
      </c>
      <c r="F233" s="27" t="s">
        <v>119</v>
      </c>
      <c r="G233" s="71">
        <v>0.46200000000000002</v>
      </c>
      <c r="H233" s="71">
        <f>I233</f>
        <v>0.46200000000000002</v>
      </c>
      <c r="I233" s="254">
        <f>'[1]MFR E-14D2'!I55</f>
        <v>0.46200000000000002</v>
      </c>
      <c r="J233" s="42" t="s">
        <v>151</v>
      </c>
      <c r="K233" s="51" t="s">
        <v>135</v>
      </c>
      <c r="M233" s="31"/>
      <c r="N233" s="315">
        <f>H233-G233</f>
        <v>0</v>
      </c>
      <c r="O233" s="284">
        <f>(N233/G233)</f>
        <v>0</v>
      </c>
      <c r="P233" s="296"/>
      <c r="Q233" s="297">
        <f>(P233*G233)/1000</f>
        <v>0</v>
      </c>
      <c r="R233" s="297">
        <f>(P233*H233)/1000</f>
        <v>0</v>
      </c>
      <c r="S233" s="298">
        <f>R233-Q233</f>
        <v>0</v>
      </c>
      <c r="T233" s="297">
        <f>(P233*I233)/1000</f>
        <v>0</v>
      </c>
      <c r="U233" s="298">
        <f>R233-T233</f>
        <v>0</v>
      </c>
      <c r="V233" s="291" t="s">
        <v>160</v>
      </c>
      <c r="W233" s="291" t="s">
        <v>160</v>
      </c>
      <c r="Z233" s="282"/>
    </row>
    <row r="234" spans="1:26" x14ac:dyDescent="0.3">
      <c r="A234" s="27">
        <f t="shared" si="33"/>
        <v>215</v>
      </c>
      <c r="D234" s="68" t="s">
        <v>163</v>
      </c>
      <c r="F234" s="27" t="s">
        <v>119</v>
      </c>
      <c r="G234" s="71">
        <v>0.22</v>
      </c>
      <c r="H234" s="71">
        <f>I234</f>
        <v>0.22</v>
      </c>
      <c r="I234" s="254">
        <f>'[1]MFR E-14D2'!I57</f>
        <v>0.22</v>
      </c>
      <c r="J234" s="42" t="s">
        <v>151</v>
      </c>
      <c r="K234" s="51" t="s">
        <v>135</v>
      </c>
      <c r="M234" s="31"/>
      <c r="N234" s="315">
        <f>H234-G234</f>
        <v>0</v>
      </c>
      <c r="O234" s="284">
        <f>(N234/G234)</f>
        <v>0</v>
      </c>
      <c r="P234" s="296"/>
      <c r="Q234" s="297">
        <f>(P234*G234)/1000</f>
        <v>0</v>
      </c>
      <c r="R234" s="297">
        <f>(P234*H234)/1000</f>
        <v>0</v>
      </c>
      <c r="S234" s="298">
        <f>R234-Q234</f>
        <v>0</v>
      </c>
      <c r="T234" s="297">
        <f>(P234*I234)/1000</f>
        <v>0</v>
      </c>
      <c r="U234" s="298">
        <f>R234-T234</f>
        <v>0</v>
      </c>
      <c r="V234" s="291" t="s">
        <v>160</v>
      </c>
      <c r="W234" s="291" t="s">
        <v>160</v>
      </c>
      <c r="Z234" s="282"/>
    </row>
    <row r="235" spans="1:26" x14ac:dyDescent="0.3">
      <c r="A235" s="27">
        <f t="shared" si="33"/>
        <v>216</v>
      </c>
      <c r="M235" s="31"/>
      <c r="P235" s="296"/>
      <c r="Q235" s="296"/>
      <c r="R235" s="296"/>
      <c r="T235" s="296"/>
      <c r="U235" s="283"/>
      <c r="V235" s="291"/>
      <c r="W235" s="291"/>
      <c r="Z235" s="282"/>
    </row>
    <row r="236" spans="1:26" x14ac:dyDescent="0.3">
      <c r="A236" s="27">
        <f t="shared" si="33"/>
        <v>217</v>
      </c>
      <c r="D236" s="27" t="s">
        <v>123</v>
      </c>
      <c r="M236" s="31"/>
      <c r="P236" s="296"/>
      <c r="Q236" s="296"/>
      <c r="R236" s="296"/>
      <c r="T236" s="296"/>
      <c r="U236" s="283"/>
      <c r="V236" s="291"/>
      <c r="W236" s="291"/>
      <c r="Z236" s="282"/>
    </row>
    <row r="237" spans="1:26" x14ac:dyDescent="0.3">
      <c r="A237" s="27">
        <f t="shared" si="33"/>
        <v>218</v>
      </c>
      <c r="D237" s="54" t="s">
        <v>101</v>
      </c>
      <c r="F237" s="27" t="s">
        <v>119</v>
      </c>
      <c r="G237" s="49">
        <f>G203</f>
        <v>1.34</v>
      </c>
      <c r="H237" s="49">
        <f>I237</f>
        <v>1.36</v>
      </c>
      <c r="I237" s="58">
        <f>I203</f>
        <v>1.36</v>
      </c>
      <c r="J237" s="50" t="s">
        <v>124</v>
      </c>
      <c r="K237" s="51" t="s">
        <v>106</v>
      </c>
      <c r="M237" s="31"/>
      <c r="N237" s="308">
        <f>H237-G237</f>
        <v>2.0000000000000018E-2</v>
      </c>
      <c r="O237" s="284">
        <f>(N237/G237)</f>
        <v>1.492537313432837E-2</v>
      </c>
      <c r="P237" s="296">
        <v>0</v>
      </c>
      <c r="Q237" s="297">
        <f>(P237*G237)/1000</f>
        <v>0</v>
      </c>
      <c r="R237" s="297">
        <f>(P237*H237)/1000</f>
        <v>0</v>
      </c>
      <c r="S237" s="298">
        <f>R237-Q237</f>
        <v>0</v>
      </c>
      <c r="T237" s="297">
        <f>(P237*I237)/1000</f>
        <v>0</v>
      </c>
      <c r="U237" s="298">
        <f>R237-T237</f>
        <v>0</v>
      </c>
      <c r="V237" s="291" t="s">
        <v>160</v>
      </c>
      <c r="W237" s="291" t="s">
        <v>160</v>
      </c>
      <c r="Z237" s="282"/>
    </row>
    <row r="238" spans="1:26" x14ac:dyDescent="0.3">
      <c r="A238" s="27">
        <f t="shared" si="33"/>
        <v>219</v>
      </c>
      <c r="D238" s="54" t="s">
        <v>125</v>
      </c>
      <c r="F238" s="27" t="s">
        <v>119</v>
      </c>
      <c r="G238" s="49">
        <f t="shared" ref="G238:G239" si="35">G204</f>
        <v>6.47</v>
      </c>
      <c r="H238" s="49">
        <f t="shared" ref="H238:H239" si="36">I238</f>
        <v>6.64</v>
      </c>
      <c r="I238" s="58">
        <f t="shared" ref="I238:I239" si="37">I204</f>
        <v>6.64</v>
      </c>
      <c r="J238" s="50" t="s">
        <v>124</v>
      </c>
      <c r="K238" s="51" t="s">
        <v>106</v>
      </c>
      <c r="L238" s="51"/>
      <c r="M238" s="52"/>
      <c r="P238" s="296"/>
      <c r="Q238" s="313"/>
      <c r="R238" s="313"/>
      <c r="T238" s="313"/>
      <c r="U238" s="283"/>
      <c r="V238" s="291" t="s">
        <v>160</v>
      </c>
      <c r="W238" s="291" t="s">
        <v>160</v>
      </c>
      <c r="Z238" s="282"/>
    </row>
    <row r="239" spans="1:26" x14ac:dyDescent="0.3">
      <c r="A239" s="27">
        <f t="shared" si="33"/>
        <v>220</v>
      </c>
      <c r="D239" s="54" t="s">
        <v>126</v>
      </c>
      <c r="F239" s="27" t="s">
        <v>119</v>
      </c>
      <c r="G239" s="49">
        <f t="shared" si="35"/>
        <v>9.0399999999999991</v>
      </c>
      <c r="H239" s="49">
        <f t="shared" si="36"/>
        <v>9.24</v>
      </c>
      <c r="I239" s="58">
        <f t="shared" si="37"/>
        <v>9.24</v>
      </c>
      <c r="J239" s="50" t="s">
        <v>124</v>
      </c>
      <c r="K239" s="51" t="s">
        <v>106</v>
      </c>
      <c r="L239" s="51"/>
      <c r="M239" s="52"/>
      <c r="P239" s="296"/>
      <c r="Q239" s="313"/>
      <c r="R239" s="313"/>
      <c r="T239" s="313"/>
      <c r="U239" s="283"/>
      <c r="V239" s="291"/>
      <c r="W239" s="291"/>
      <c r="Z239" s="282"/>
    </row>
    <row r="240" spans="1:26" x14ac:dyDescent="0.3">
      <c r="A240" s="27">
        <f t="shared" si="33"/>
        <v>221</v>
      </c>
      <c r="D240" s="27" t="s">
        <v>104</v>
      </c>
      <c r="F240" s="27" t="s">
        <v>119</v>
      </c>
      <c r="G240" s="49">
        <f>G158</f>
        <v>2.06</v>
      </c>
      <c r="H240" s="49">
        <f>I240</f>
        <v>2.12</v>
      </c>
      <c r="I240" s="49">
        <f>'[1]MFR E-14G'!I22</f>
        <v>2.12</v>
      </c>
      <c r="J240" s="50" t="s">
        <v>105</v>
      </c>
      <c r="K240" s="51" t="s">
        <v>106</v>
      </c>
      <c r="M240" s="31"/>
      <c r="N240" s="308">
        <f>H240-G240</f>
        <v>6.0000000000000053E-2</v>
      </c>
      <c r="O240" s="284">
        <f>(N240/G240)</f>
        <v>2.9126213592233035E-2</v>
      </c>
      <c r="P240" s="296"/>
      <c r="Q240" s="296"/>
      <c r="R240" s="296"/>
      <c r="T240" s="296"/>
      <c r="U240" s="283"/>
      <c r="V240" s="291" t="s">
        <v>160</v>
      </c>
      <c r="W240" s="291" t="s">
        <v>160</v>
      </c>
      <c r="Z240" s="282"/>
    </row>
    <row r="241" spans="1:29" x14ac:dyDescent="0.3">
      <c r="A241" s="27">
        <f t="shared" si="33"/>
        <v>222</v>
      </c>
      <c r="G241" s="55"/>
      <c r="H241" s="55"/>
      <c r="I241" s="55"/>
      <c r="M241" s="31"/>
      <c r="N241" s="295"/>
      <c r="P241" s="296"/>
      <c r="Q241" s="296"/>
      <c r="R241" s="296"/>
      <c r="T241" s="296"/>
      <c r="U241" s="283"/>
      <c r="V241" s="291"/>
      <c r="W241" s="291"/>
      <c r="Z241" s="282"/>
    </row>
    <row r="242" spans="1:29" x14ac:dyDescent="0.3">
      <c r="A242" s="27">
        <f t="shared" si="33"/>
        <v>223</v>
      </c>
      <c r="C242" s="27" t="s">
        <v>107</v>
      </c>
      <c r="G242" s="51"/>
      <c r="H242" s="51"/>
      <c r="I242" s="51"/>
      <c r="J242" s="50"/>
      <c r="K242" s="51"/>
      <c r="L242" s="51"/>
      <c r="M242" s="52"/>
      <c r="P242" s="296"/>
      <c r="Q242" s="296"/>
      <c r="R242" s="296"/>
      <c r="T242" s="296"/>
      <c r="U242" s="283"/>
      <c r="V242" s="291"/>
      <c r="W242" s="291"/>
      <c r="Z242" s="282"/>
    </row>
    <row r="243" spans="1:29" x14ac:dyDescent="0.3">
      <c r="A243" s="27">
        <f t="shared" si="33"/>
        <v>224</v>
      </c>
      <c r="D243" s="27" t="s">
        <v>101</v>
      </c>
      <c r="F243" s="27" t="s">
        <v>61</v>
      </c>
      <c r="G243" s="62">
        <v>0.01</v>
      </c>
      <c r="H243" s="62">
        <v>0.01</v>
      </c>
      <c r="I243" s="62"/>
      <c r="J243" s="50"/>
      <c r="K243" s="51"/>
      <c r="L243" s="51"/>
      <c r="M243" s="52"/>
      <c r="N243" s="306">
        <f>H243-G243</f>
        <v>0</v>
      </c>
      <c r="O243" s="284">
        <f>(N243/G243)</f>
        <v>0</v>
      </c>
      <c r="P243" s="296"/>
      <c r="Q243" s="297">
        <f>(P243*G243)/1000</f>
        <v>0</v>
      </c>
      <c r="R243" s="297">
        <f>(P243*H243)/1000</f>
        <v>0</v>
      </c>
      <c r="S243" s="298">
        <f>R243-Q243</f>
        <v>0</v>
      </c>
      <c r="T243" s="297">
        <f>(P243*I243)/1000</f>
        <v>0</v>
      </c>
      <c r="U243" s="298">
        <f>R243-T243</f>
        <v>0</v>
      </c>
      <c r="V243" s="291" t="s">
        <v>160</v>
      </c>
      <c r="W243" s="291" t="s">
        <v>160</v>
      </c>
      <c r="Z243" s="282"/>
    </row>
    <row r="244" spans="1:29" x14ac:dyDescent="0.3">
      <c r="A244" s="27">
        <f t="shared" si="33"/>
        <v>225</v>
      </c>
      <c r="D244" s="27" t="s">
        <v>102</v>
      </c>
      <c r="F244" s="27" t="s">
        <v>61</v>
      </c>
      <c r="G244" s="62">
        <v>0.02</v>
      </c>
      <c r="H244" s="62">
        <v>0.02</v>
      </c>
      <c r="I244" s="62"/>
      <c r="J244" s="50"/>
      <c r="K244" s="51"/>
      <c r="L244" s="51"/>
      <c r="M244" s="52"/>
      <c r="N244" s="306">
        <f>H244-G244</f>
        <v>0</v>
      </c>
      <c r="O244" s="284">
        <f>(N244/G244)</f>
        <v>0</v>
      </c>
      <c r="P244" s="296"/>
      <c r="Q244" s="297">
        <f>(P244*G244)/1000</f>
        <v>0</v>
      </c>
      <c r="R244" s="297">
        <f>(P244*H244)/1000</f>
        <v>0</v>
      </c>
      <c r="S244" s="298">
        <f>R244-Q244</f>
        <v>0</v>
      </c>
      <c r="T244" s="297">
        <f>(P244*I244)/1000</f>
        <v>0</v>
      </c>
      <c r="U244" s="298">
        <f>R244-T244</f>
        <v>0</v>
      </c>
      <c r="V244" s="291" t="s">
        <v>160</v>
      </c>
      <c r="W244" s="291" t="s">
        <v>160</v>
      </c>
      <c r="Z244" s="282"/>
    </row>
    <row r="245" spans="1:29" x14ac:dyDescent="0.3">
      <c r="A245" s="27">
        <f t="shared" si="33"/>
        <v>226</v>
      </c>
      <c r="G245" s="62"/>
      <c r="H245" s="62"/>
      <c r="I245" s="62"/>
      <c r="J245" s="50"/>
      <c r="K245" s="51"/>
      <c r="L245" s="51"/>
      <c r="M245" s="52"/>
      <c r="N245" s="306"/>
      <c r="P245" s="296"/>
      <c r="Q245" s="297"/>
      <c r="R245" s="297"/>
      <c r="S245" s="298"/>
      <c r="T245" s="297"/>
      <c r="U245" s="298"/>
      <c r="V245" s="291"/>
      <c r="W245" s="291"/>
      <c r="Z245" s="282"/>
    </row>
    <row r="246" spans="1:29" x14ac:dyDescent="0.3">
      <c r="A246" s="27">
        <f t="shared" si="33"/>
        <v>227</v>
      </c>
      <c r="C246" s="27" t="s">
        <v>109</v>
      </c>
      <c r="F246" s="27" t="s">
        <v>61</v>
      </c>
      <c r="G246" s="63">
        <f>G170</f>
        <v>9.5999999999999992E-3</v>
      </c>
      <c r="H246" s="64">
        <f>I246</f>
        <v>9.5999999999999992E-3</v>
      </c>
      <c r="I246" s="65">
        <f>I170</f>
        <v>9.5999999999999992E-3</v>
      </c>
      <c r="J246" s="42" t="s">
        <v>110</v>
      </c>
      <c r="K246" s="66" t="s">
        <v>111</v>
      </c>
      <c r="M246" s="31"/>
      <c r="N246" s="295"/>
      <c r="P246" s="296"/>
      <c r="Q246" s="296"/>
      <c r="R246" s="296"/>
      <c r="T246" s="296"/>
      <c r="U246" s="283"/>
      <c r="V246" s="291"/>
      <c r="W246" s="291"/>
      <c r="Z246" s="282"/>
    </row>
    <row r="247" spans="1:29" ht="14.4" thickBot="1" x14ac:dyDescent="0.35">
      <c r="B247" s="31"/>
      <c r="C247" s="31"/>
      <c r="D247" s="31"/>
      <c r="E247" s="31"/>
      <c r="F247" s="31"/>
      <c r="G247" s="31"/>
      <c r="H247" s="31"/>
      <c r="I247" s="31"/>
      <c r="J247" s="44"/>
      <c r="K247" s="31"/>
      <c r="L247" s="31"/>
      <c r="M247" s="31"/>
      <c r="N247" s="300"/>
      <c r="O247" s="301"/>
      <c r="P247" s="302"/>
      <c r="Q247" s="303">
        <f>SUM(Q214:Q246)</f>
        <v>4614.0485657969257</v>
      </c>
      <c r="R247" s="303">
        <f>SUM(R214:R246)</f>
        <v>4840.7684999583953</v>
      </c>
      <c r="S247" s="303">
        <f>SUM(S214:S246)</f>
        <v>226.71993416146893</v>
      </c>
      <c r="T247" s="303">
        <f>SUM(T214:T246)</f>
        <v>4601.7123575919604</v>
      </c>
      <c r="U247" s="303">
        <f>SUM(U214:U246)</f>
        <v>239.05614236643419</v>
      </c>
      <c r="V247" s="291"/>
      <c r="W247" s="291"/>
      <c r="Z247" s="282"/>
    </row>
    <row r="248" spans="1:29" ht="14.4" thickTop="1" x14ac:dyDescent="0.3">
      <c r="A248" s="27">
        <f>+A246+1</f>
        <v>228</v>
      </c>
      <c r="B248" s="48"/>
      <c r="M248" s="31"/>
      <c r="P248" s="296"/>
      <c r="Q248" s="296"/>
      <c r="R248" s="296"/>
      <c r="S248" s="296"/>
      <c r="T248" s="296"/>
      <c r="U248" s="283"/>
      <c r="V248" s="291"/>
      <c r="W248" s="291"/>
      <c r="Z248" s="282"/>
    </row>
    <row r="249" spans="1:29" x14ac:dyDescent="0.3">
      <c r="A249" s="27">
        <f t="shared" si="33"/>
        <v>229</v>
      </c>
      <c r="B249" s="48" t="s">
        <v>164</v>
      </c>
      <c r="C249" s="27" t="s">
        <v>65</v>
      </c>
      <c r="M249" s="31"/>
      <c r="P249" s="296"/>
      <c r="Q249" s="296"/>
      <c r="R249" s="296"/>
      <c r="T249" s="296"/>
      <c r="U249" s="283"/>
      <c r="V249" s="291"/>
      <c r="W249" s="291"/>
      <c r="Z249" s="282"/>
    </row>
    <row r="250" spans="1:29" x14ac:dyDescent="0.3">
      <c r="A250" s="27">
        <f t="shared" si="33"/>
        <v>230</v>
      </c>
      <c r="D250" s="27" t="s">
        <v>99</v>
      </c>
      <c r="F250" s="27" t="s">
        <v>60</v>
      </c>
      <c r="G250" s="51">
        <v>163.12</v>
      </c>
      <c r="H250" s="49">
        <f>G250*(1+'[1]Exhibit MJC-2 - Old E-8a'!V27)</f>
        <v>171.77747414531899</v>
      </c>
      <c r="I250" s="49">
        <f>'[1]MFR E-14D2'!$I$20</f>
        <v>106.63268826917395</v>
      </c>
      <c r="J250" s="50" t="s">
        <v>151</v>
      </c>
      <c r="K250" s="51" t="s">
        <v>152</v>
      </c>
      <c r="L250" s="51"/>
      <c r="M250" s="52"/>
      <c r="N250" s="308">
        <f>H250-G250</f>
        <v>8.6574741453189858</v>
      </c>
      <c r="O250" s="284">
        <f>(N250/G250)</f>
        <v>5.3074265236138951E-2</v>
      </c>
      <c r="P250" s="296"/>
      <c r="Q250" s="297">
        <f>(P250*G250)/1000</f>
        <v>0</v>
      </c>
      <c r="R250" s="297">
        <f>(P250*H250)/1000</f>
        <v>0</v>
      </c>
      <c r="S250" s="298">
        <f>R250-Q250</f>
        <v>0</v>
      </c>
      <c r="T250" s="297">
        <f>(P250*I250)/1000</f>
        <v>0</v>
      </c>
      <c r="U250" s="298">
        <f>R250-T250</f>
        <v>0</v>
      </c>
      <c r="V250" s="291" t="s">
        <v>164</v>
      </c>
      <c r="W250" s="291" t="s">
        <v>164</v>
      </c>
      <c r="Z250" s="282"/>
      <c r="AC250" s="27" t="b">
        <f t="shared" ref="AC250:AC253" si="38">H250&gt;=I250</f>
        <v>1</v>
      </c>
    </row>
    <row r="251" spans="1:29" x14ac:dyDescent="0.3">
      <c r="A251" s="27">
        <f t="shared" si="33"/>
        <v>231</v>
      </c>
      <c r="D251" s="27" t="s">
        <v>101</v>
      </c>
      <c r="F251" s="27" t="s">
        <v>60</v>
      </c>
      <c r="G251" s="51">
        <f>'[1]MFR E-13c'!F605</f>
        <v>440.95</v>
      </c>
      <c r="H251" s="51">
        <f>'[1]MFR E-13c'!L605</f>
        <v>445.5</v>
      </c>
      <c r="I251" s="49">
        <f>'[1]MFR E-14D2'!$I$21</f>
        <v>259.80342838025661</v>
      </c>
      <c r="J251" s="50" t="s">
        <v>151</v>
      </c>
      <c r="K251" s="51" t="s">
        <v>69</v>
      </c>
      <c r="L251" s="51"/>
      <c r="M251" s="52"/>
      <c r="N251" s="308">
        <f>H251-G251</f>
        <v>4.5500000000000114</v>
      </c>
      <c r="O251" s="284">
        <f>(N251/G251)</f>
        <v>1.0318630230184854E-2</v>
      </c>
      <c r="P251" s="296">
        <v>0</v>
      </c>
      <c r="Q251" s="297">
        <f>(P251*G251)/1000</f>
        <v>0</v>
      </c>
      <c r="R251" s="297">
        <f>(P251*H251)/1000</f>
        <v>0</v>
      </c>
      <c r="S251" s="298">
        <f>R251-Q251</f>
        <v>0</v>
      </c>
      <c r="T251" s="297">
        <f>(P251*I251)/1000</f>
        <v>0</v>
      </c>
      <c r="U251" s="298">
        <f>R251-T251</f>
        <v>0</v>
      </c>
      <c r="V251" s="291" t="s">
        <v>164</v>
      </c>
      <c r="W251" s="291" t="s">
        <v>164</v>
      </c>
      <c r="Z251" s="282"/>
      <c r="AC251" s="27" t="b">
        <f t="shared" si="38"/>
        <v>1</v>
      </c>
    </row>
    <row r="252" spans="1:29" x14ac:dyDescent="0.3">
      <c r="A252" s="27">
        <f t="shared" si="33"/>
        <v>232</v>
      </c>
      <c r="D252" s="27" t="s">
        <v>102</v>
      </c>
      <c r="F252" s="27" t="s">
        <v>60</v>
      </c>
      <c r="G252" s="51">
        <f>'[1]MFR E-13c'!F607</f>
        <v>1519.26</v>
      </c>
      <c r="H252" s="51">
        <f>'[1]MFR E-13c'!L607</f>
        <v>1534.95</v>
      </c>
      <c r="I252" s="49">
        <f>'[1]MFR E-14D2'!$I$22</f>
        <v>455.81536561845974</v>
      </c>
      <c r="J252" s="50" t="s">
        <v>151</v>
      </c>
      <c r="K252" s="51" t="s">
        <v>69</v>
      </c>
      <c r="L252" s="51"/>
      <c r="M252" s="52"/>
      <c r="N252" s="308">
        <f>H252-G252</f>
        <v>15.690000000000055</v>
      </c>
      <c r="O252" s="284">
        <f>(N252/G252)</f>
        <v>1.0327396232376324E-2</v>
      </c>
      <c r="P252" s="296">
        <v>0</v>
      </c>
      <c r="Q252" s="297">
        <f>(P252*G252)/1000</f>
        <v>0</v>
      </c>
      <c r="R252" s="297">
        <f>(P252*H252)/1000</f>
        <v>0</v>
      </c>
      <c r="S252" s="298">
        <f>R252-Q252</f>
        <v>0</v>
      </c>
      <c r="T252" s="297">
        <f>(P252*I252)/1000</f>
        <v>0</v>
      </c>
      <c r="U252" s="298">
        <f>R252-T252</f>
        <v>0</v>
      </c>
      <c r="V252" s="291" t="s">
        <v>164</v>
      </c>
      <c r="W252" s="291" t="s">
        <v>164</v>
      </c>
      <c r="Z252" s="282"/>
      <c r="AC252" s="27" t="b">
        <f t="shared" si="38"/>
        <v>1</v>
      </c>
    </row>
    <row r="253" spans="1:29" x14ac:dyDescent="0.3">
      <c r="A253" s="27">
        <f t="shared" si="33"/>
        <v>233</v>
      </c>
      <c r="D253" s="27" t="s">
        <v>153</v>
      </c>
      <c r="F253" s="27" t="s">
        <v>60</v>
      </c>
      <c r="G253" s="51">
        <f>'[1]MFR E-13c'!F606</f>
        <v>146.87</v>
      </c>
      <c r="H253" s="51">
        <f>'[1]MFR E-13c'!L606</f>
        <v>147.72999999999999</v>
      </c>
      <c r="I253" s="49"/>
      <c r="J253" s="50"/>
      <c r="K253" s="51" t="s">
        <v>69</v>
      </c>
      <c r="L253" s="51"/>
      <c r="M253" s="52"/>
      <c r="N253" s="308">
        <f>H253-G253</f>
        <v>0.85999999999998522</v>
      </c>
      <c r="O253" s="284">
        <f>(N253/G253)</f>
        <v>5.8555184857355842E-3</v>
      </c>
      <c r="P253" s="296">
        <v>12.099999999999996</v>
      </c>
      <c r="Q253" s="297">
        <f>(P253*G253)/1000</f>
        <v>1.7771269999999995</v>
      </c>
      <c r="R253" s="297">
        <f>(P253*H253)/1000</f>
        <v>1.7875329999999992</v>
      </c>
      <c r="S253" s="298">
        <f>R253-Q253</f>
        <v>1.0405999999999693E-2</v>
      </c>
      <c r="T253" s="297">
        <f>(P253*I253)/1000</f>
        <v>0</v>
      </c>
      <c r="U253" s="298">
        <f>R253-T253</f>
        <v>1.7875329999999992</v>
      </c>
      <c r="V253" s="291" t="s">
        <v>164</v>
      </c>
      <c r="W253" s="291" t="s">
        <v>164</v>
      </c>
      <c r="Z253" s="282"/>
      <c r="AC253" s="27" t="b">
        <f t="shared" si="38"/>
        <v>1</v>
      </c>
    </row>
    <row r="254" spans="1:29" x14ac:dyDescent="0.3">
      <c r="A254" s="27">
        <f t="shared" si="33"/>
        <v>234</v>
      </c>
      <c r="G254" s="51"/>
      <c r="H254" s="51"/>
      <c r="I254" s="56"/>
      <c r="J254" s="50"/>
      <c r="K254" s="51"/>
      <c r="L254" s="51"/>
      <c r="M254" s="52"/>
      <c r="P254" s="296"/>
      <c r="Q254" s="296"/>
      <c r="R254" s="296"/>
      <c r="T254" s="296"/>
      <c r="U254" s="283"/>
      <c r="V254" s="291"/>
      <c r="W254" s="291"/>
      <c r="Z254" s="282"/>
    </row>
    <row r="255" spans="1:29" x14ac:dyDescent="0.3">
      <c r="A255" s="27">
        <f t="shared" si="33"/>
        <v>235</v>
      </c>
      <c r="C255" s="68" t="s">
        <v>75</v>
      </c>
      <c r="D255" s="68"/>
      <c r="F255" s="27" t="s">
        <v>78</v>
      </c>
      <c r="G255" s="56">
        <f>'[1]MFR E-13c'!F626/10</f>
        <v>1.831</v>
      </c>
      <c r="H255" s="56">
        <f>'[1]MFR E-13c'!L626/10</f>
        <v>1.9239999999999999</v>
      </c>
      <c r="I255" s="56">
        <f>'[1]MFR E-14D2'!$I$30/10</f>
        <v>0.65700000000000003</v>
      </c>
      <c r="J255" s="50" t="s">
        <v>151</v>
      </c>
      <c r="K255" s="51" t="s">
        <v>69</v>
      </c>
      <c r="L255" s="56"/>
      <c r="M255" s="60"/>
      <c r="N255" s="295">
        <f>H255-G255</f>
        <v>9.2999999999999972E-2</v>
      </c>
      <c r="O255" s="284">
        <f>(N255/G255)</f>
        <v>5.0791916985253947E-2</v>
      </c>
      <c r="P255" s="296">
        <v>72451.900000000009</v>
      </c>
      <c r="Q255" s="297">
        <f>(P255*G255*10)/1000</f>
        <v>1326.5942889999999</v>
      </c>
      <c r="R255" s="297">
        <f>(P255*H255*10)/1000</f>
        <v>1393.9745560000001</v>
      </c>
      <c r="S255" s="298">
        <f>R255-Q255</f>
        <v>67.380267000000231</v>
      </c>
      <c r="T255" s="297">
        <f>(P255*I255*10)/1000</f>
        <v>476.00898300000006</v>
      </c>
      <c r="U255" s="298">
        <f>R255-T255</f>
        <v>917.96557300000006</v>
      </c>
      <c r="V255" s="291" t="s">
        <v>164</v>
      </c>
      <c r="W255" s="291" t="s">
        <v>164</v>
      </c>
      <c r="Z255" s="282"/>
    </row>
    <row r="256" spans="1:29" x14ac:dyDescent="0.3">
      <c r="A256" s="27">
        <f t="shared" si="33"/>
        <v>236</v>
      </c>
      <c r="C256" s="69"/>
      <c r="D256" s="68"/>
      <c r="G256" s="51"/>
      <c r="H256" s="51"/>
      <c r="I256" s="51"/>
      <c r="J256" s="50"/>
      <c r="K256" s="51"/>
      <c r="L256" s="51"/>
      <c r="M256" s="52"/>
      <c r="P256" s="296"/>
      <c r="Q256" s="296"/>
      <c r="R256" s="296"/>
      <c r="T256" s="296"/>
      <c r="U256" s="283"/>
      <c r="V256" s="291"/>
      <c r="W256" s="291"/>
      <c r="Z256" s="282"/>
    </row>
    <row r="257" spans="1:26" x14ac:dyDescent="0.3">
      <c r="A257" s="27">
        <f t="shared" si="33"/>
        <v>237</v>
      </c>
      <c r="C257" s="68" t="s">
        <v>154</v>
      </c>
      <c r="D257" s="68"/>
      <c r="G257" s="51"/>
      <c r="H257" s="51"/>
      <c r="I257" s="51"/>
      <c r="J257" s="50"/>
      <c r="K257" s="51"/>
      <c r="L257" s="51"/>
      <c r="M257" s="52"/>
      <c r="P257" s="296"/>
      <c r="Q257" s="296"/>
      <c r="R257" s="296"/>
      <c r="T257" s="296"/>
      <c r="U257" s="283"/>
      <c r="V257" s="291"/>
      <c r="W257" s="291"/>
      <c r="Z257" s="282"/>
    </row>
    <row r="258" spans="1:26" x14ac:dyDescent="0.3">
      <c r="A258" s="27">
        <f t="shared" si="33"/>
        <v>238</v>
      </c>
      <c r="D258" s="68" t="s">
        <v>155</v>
      </c>
      <c r="F258" s="27" t="s">
        <v>119</v>
      </c>
      <c r="G258" s="51">
        <f>'[1]MFR E-13c'!F612</f>
        <v>3.57</v>
      </c>
      <c r="H258" s="51">
        <f>'[1]MFR E-13c'!L612</f>
        <v>3.75</v>
      </c>
      <c r="I258" s="51">
        <f>'[1]MFR E-14D2'!$I$34</f>
        <v>6.69</v>
      </c>
      <c r="J258" s="50" t="s">
        <v>151</v>
      </c>
      <c r="K258" s="51" t="s">
        <v>69</v>
      </c>
      <c r="L258" s="51"/>
      <c r="M258" s="52"/>
      <c r="N258" s="308">
        <f>H258-G258</f>
        <v>0.18000000000000016</v>
      </c>
      <c r="O258" s="284">
        <f>(N258/G258)</f>
        <v>5.0420168067226941E-2</v>
      </c>
      <c r="P258" s="296">
        <v>266652</v>
      </c>
      <c r="Q258" s="297">
        <f>(P258*G258)/1000</f>
        <v>951.94763999999998</v>
      </c>
      <c r="R258" s="297">
        <f>(P258*H258)/1000</f>
        <v>999.94500000000005</v>
      </c>
      <c r="S258" s="298">
        <f>R258-Q258</f>
        <v>47.997360000000072</v>
      </c>
      <c r="T258" s="297">
        <f>(P258*I258)/1000</f>
        <v>1783.9018800000001</v>
      </c>
      <c r="U258" s="298">
        <f>R258-T258</f>
        <v>-783.95688000000007</v>
      </c>
      <c r="V258" s="291" t="s">
        <v>164</v>
      </c>
      <c r="W258" s="291" t="s">
        <v>164</v>
      </c>
      <c r="Z258" s="282"/>
    </row>
    <row r="259" spans="1:26" x14ac:dyDescent="0.3">
      <c r="A259" s="27">
        <f t="shared" si="33"/>
        <v>239</v>
      </c>
      <c r="C259" s="68"/>
      <c r="G259" s="51"/>
      <c r="H259" s="51"/>
      <c r="I259" s="51"/>
      <c r="J259" s="50"/>
      <c r="K259" s="51"/>
      <c r="L259" s="51"/>
      <c r="M259" s="52"/>
      <c r="P259" s="296"/>
      <c r="Q259" s="296"/>
      <c r="R259" s="296"/>
      <c r="T259" s="296"/>
      <c r="U259" s="283"/>
      <c r="V259" s="291"/>
      <c r="W259" s="291"/>
      <c r="Z259" s="282"/>
    </row>
    <row r="260" spans="1:26" x14ac:dyDescent="0.3">
      <c r="A260" s="27">
        <f t="shared" si="33"/>
        <v>240</v>
      </c>
      <c r="C260" s="68" t="s">
        <v>156</v>
      </c>
      <c r="D260" s="68"/>
      <c r="G260" s="51"/>
      <c r="H260" s="51"/>
      <c r="I260" s="51"/>
      <c r="J260" s="50"/>
      <c r="K260" s="51"/>
      <c r="L260" s="51"/>
      <c r="M260" s="52"/>
      <c r="P260" s="296"/>
      <c r="Q260" s="296"/>
      <c r="R260" s="296"/>
      <c r="T260" s="296"/>
      <c r="U260" s="283"/>
      <c r="V260" s="291"/>
      <c r="W260" s="291"/>
      <c r="Z260" s="282"/>
    </row>
    <row r="261" spans="1:26" x14ac:dyDescent="0.3">
      <c r="A261" s="27">
        <f t="shared" si="33"/>
        <v>241</v>
      </c>
      <c r="C261" s="68"/>
      <c r="D261" s="68" t="s">
        <v>157</v>
      </c>
      <c r="G261" s="51"/>
      <c r="H261" s="51"/>
      <c r="I261" s="51"/>
      <c r="J261" s="50"/>
      <c r="K261" s="51"/>
      <c r="L261" s="51"/>
      <c r="M261" s="52"/>
      <c r="P261" s="296"/>
      <c r="Q261" s="296"/>
      <c r="R261" s="296"/>
      <c r="T261" s="296"/>
      <c r="U261" s="283"/>
      <c r="V261" s="291"/>
      <c r="W261" s="291"/>
      <c r="Z261" s="282"/>
    </row>
    <row r="262" spans="1:26" x14ac:dyDescent="0.3">
      <c r="A262" s="27">
        <f t="shared" si="33"/>
        <v>242</v>
      </c>
      <c r="C262" s="68"/>
      <c r="D262" s="68" t="s">
        <v>158</v>
      </c>
      <c r="G262" s="51"/>
      <c r="H262" s="51"/>
      <c r="I262" s="51"/>
      <c r="J262" s="50"/>
      <c r="K262" s="51"/>
      <c r="L262" s="51"/>
      <c r="M262" s="52"/>
      <c r="P262" s="296"/>
      <c r="Q262" s="296"/>
      <c r="R262" s="296"/>
      <c r="T262" s="296"/>
      <c r="U262" s="283"/>
      <c r="V262" s="291"/>
      <c r="W262" s="291"/>
      <c r="Z262" s="282"/>
    </row>
    <row r="263" spans="1:26" x14ac:dyDescent="0.3">
      <c r="A263" s="27">
        <f t="shared" si="33"/>
        <v>243</v>
      </c>
      <c r="C263" s="68"/>
      <c r="D263" s="70" t="s">
        <v>155</v>
      </c>
      <c r="F263" s="27" t="s">
        <v>119</v>
      </c>
      <c r="G263" s="71">
        <f>'[1]MFR E-13c'!F617</f>
        <v>2.0339999999999998</v>
      </c>
      <c r="H263" s="71">
        <f>'[1]MFR E-13c'!L617</f>
        <v>2.1389999999999998</v>
      </c>
      <c r="I263" s="71">
        <f>'[1]MFR E-14D2'!$I$41</f>
        <v>2.2770000000000001</v>
      </c>
      <c r="J263" s="50" t="s">
        <v>151</v>
      </c>
      <c r="K263" s="51" t="s">
        <v>69</v>
      </c>
      <c r="L263" s="51"/>
      <c r="M263" s="52"/>
      <c r="N263" s="315">
        <f>H263-G263</f>
        <v>0.10499999999999998</v>
      </c>
      <c r="O263" s="284">
        <f>(N263/G263)</f>
        <v>5.1622418879056046E-2</v>
      </c>
      <c r="P263" s="296">
        <v>0</v>
      </c>
      <c r="Q263" s="297">
        <f>(P263*G263)/1000</f>
        <v>0</v>
      </c>
      <c r="R263" s="297">
        <f>(P263*H263)/1000</f>
        <v>0</v>
      </c>
      <c r="S263" s="298">
        <f>R263-Q263</f>
        <v>0</v>
      </c>
      <c r="T263" s="297">
        <f>(P263*I263)/1000</f>
        <v>0</v>
      </c>
      <c r="U263" s="298">
        <f>R263-T263</f>
        <v>0</v>
      </c>
      <c r="V263" s="291" t="s">
        <v>164</v>
      </c>
      <c r="W263" s="291" t="s">
        <v>164</v>
      </c>
      <c r="Z263" s="282"/>
    </row>
    <row r="264" spans="1:26" x14ac:dyDescent="0.3">
      <c r="A264" s="27">
        <f t="shared" si="33"/>
        <v>244</v>
      </c>
      <c r="D264" s="68" t="s">
        <v>159</v>
      </c>
      <c r="F264" s="27" t="s">
        <v>119</v>
      </c>
      <c r="G264" s="71">
        <f>'[1]MFR E-13c'!F618</f>
        <v>0.96799999999999997</v>
      </c>
      <c r="H264" s="71">
        <f>'[1]MFR E-13c'!L618</f>
        <v>1.018</v>
      </c>
      <c r="I264" s="71">
        <f>'[1]MFR E-14D2'!$I$44</f>
        <v>1.0840000000000001</v>
      </c>
      <c r="J264" s="50" t="s">
        <v>151</v>
      </c>
      <c r="K264" s="51" t="s">
        <v>69</v>
      </c>
      <c r="L264" s="51"/>
      <c r="M264" s="52"/>
      <c r="N264" s="315">
        <f>H264-G264</f>
        <v>5.0000000000000044E-2</v>
      </c>
      <c r="O264" s="284">
        <f>(N264/G264)</f>
        <v>5.1652892561983521E-2</v>
      </c>
      <c r="P264" s="296">
        <v>2035653.2099715918</v>
      </c>
      <c r="Q264" s="297">
        <f>(P264*G264)/1000</f>
        <v>1970.5123072525009</v>
      </c>
      <c r="R264" s="297">
        <f>(P264*H264)/1000</f>
        <v>2072.2949677510805</v>
      </c>
      <c r="S264" s="298">
        <f>R264-Q264</f>
        <v>101.78266049857962</v>
      </c>
      <c r="T264" s="297">
        <f>(P264*I264)/1000</f>
        <v>2206.6480796092055</v>
      </c>
      <c r="U264" s="298">
        <f>R264-T264</f>
        <v>-134.35311185812498</v>
      </c>
      <c r="V264" s="291" t="s">
        <v>164</v>
      </c>
      <c r="W264" s="291" t="s">
        <v>164</v>
      </c>
      <c r="Z264" s="282"/>
    </row>
    <row r="265" spans="1:26" x14ac:dyDescent="0.3">
      <c r="A265" s="27">
        <f t="shared" si="33"/>
        <v>245</v>
      </c>
      <c r="G265" s="71"/>
      <c r="H265" s="71"/>
      <c r="I265" s="51"/>
      <c r="J265" s="50"/>
      <c r="K265" s="51"/>
      <c r="L265" s="51"/>
      <c r="M265" s="52"/>
      <c r="P265" s="296"/>
      <c r="Q265" s="296"/>
      <c r="R265" s="296"/>
      <c r="T265" s="296"/>
      <c r="U265" s="283"/>
      <c r="V265" s="291"/>
      <c r="W265" s="291"/>
      <c r="Z265" s="282"/>
    </row>
    <row r="266" spans="1:26" x14ac:dyDescent="0.3">
      <c r="A266" s="27">
        <f t="shared" si="33"/>
        <v>246</v>
      </c>
      <c r="C266" s="27" t="s">
        <v>165</v>
      </c>
      <c r="G266" s="71"/>
      <c r="H266" s="71"/>
      <c r="I266" s="51"/>
      <c r="J266" s="50"/>
      <c r="K266" s="51"/>
      <c r="L266" s="51"/>
      <c r="M266" s="52"/>
      <c r="P266" s="296"/>
      <c r="Q266" s="296"/>
      <c r="R266" s="296"/>
      <c r="T266" s="296"/>
      <c r="U266" s="283"/>
      <c r="V266" s="291"/>
      <c r="W266" s="291"/>
      <c r="Z266" s="282"/>
    </row>
    <row r="267" spans="1:26" x14ac:dyDescent="0.3">
      <c r="A267" s="27">
        <f t="shared" si="33"/>
        <v>247</v>
      </c>
      <c r="D267" s="68" t="s">
        <v>162</v>
      </c>
      <c r="F267" s="27" t="s">
        <v>119</v>
      </c>
      <c r="G267" s="71">
        <v>0.58199999999999996</v>
      </c>
      <c r="H267" s="71">
        <f>I267</f>
        <v>0.58199999999999996</v>
      </c>
      <c r="I267" s="254">
        <f>'[1]MFR E-14D2'!I50</f>
        <v>0.58199999999999996</v>
      </c>
      <c r="J267" s="42" t="s">
        <v>151</v>
      </c>
      <c r="K267" s="51" t="s">
        <v>135</v>
      </c>
      <c r="M267" s="31"/>
      <c r="N267" s="315">
        <f>H267-G267</f>
        <v>0</v>
      </c>
      <c r="O267" s="284">
        <f>(N267/G267)</f>
        <v>0</v>
      </c>
      <c r="P267" s="296"/>
      <c r="Q267" s="296"/>
      <c r="R267" s="296"/>
      <c r="S267" s="298">
        <f>R267-Q267</f>
        <v>0</v>
      </c>
      <c r="T267" s="296"/>
      <c r="U267" s="298">
        <f>R267-T267</f>
        <v>0</v>
      </c>
      <c r="V267" s="291" t="s">
        <v>164</v>
      </c>
      <c r="W267" s="291" t="s">
        <v>164</v>
      </c>
      <c r="Z267" s="282"/>
    </row>
    <row r="268" spans="1:26" x14ac:dyDescent="0.3">
      <c r="A268" s="27">
        <f t="shared" si="33"/>
        <v>248</v>
      </c>
      <c r="D268" s="68" t="s">
        <v>163</v>
      </c>
      <c r="F268" s="27" t="s">
        <v>119</v>
      </c>
      <c r="G268" s="71">
        <v>0.27700000000000002</v>
      </c>
      <c r="H268" s="71">
        <f>I268</f>
        <v>0.27700000000000002</v>
      </c>
      <c r="I268" s="254">
        <f>'[1]MFR E-14D2'!I52</f>
        <v>0.27700000000000002</v>
      </c>
      <c r="J268" s="42" t="s">
        <v>151</v>
      </c>
      <c r="K268" s="51" t="s">
        <v>135</v>
      </c>
      <c r="M268" s="31"/>
      <c r="N268" s="315">
        <f>H268-G268</f>
        <v>0</v>
      </c>
      <c r="O268" s="284">
        <f>(N268/G268)</f>
        <v>0</v>
      </c>
      <c r="P268" s="296"/>
      <c r="Q268" s="296"/>
      <c r="R268" s="296"/>
      <c r="S268" s="298">
        <f>R268-Q268</f>
        <v>0</v>
      </c>
      <c r="T268" s="296"/>
      <c r="U268" s="298">
        <f>R268-T268</f>
        <v>0</v>
      </c>
      <c r="V268" s="291" t="s">
        <v>164</v>
      </c>
      <c r="W268" s="291" t="s">
        <v>164</v>
      </c>
      <c r="Z268" s="282"/>
    </row>
    <row r="269" spans="1:26" x14ac:dyDescent="0.3">
      <c r="A269" s="27">
        <f t="shared" si="33"/>
        <v>249</v>
      </c>
      <c r="M269" s="31"/>
      <c r="P269" s="296"/>
      <c r="Q269" s="296"/>
      <c r="R269" s="296"/>
      <c r="T269" s="296"/>
      <c r="U269" s="283"/>
      <c r="V269" s="291"/>
      <c r="W269" s="291"/>
      <c r="Z269" s="282"/>
    </row>
    <row r="270" spans="1:26" x14ac:dyDescent="0.3">
      <c r="A270" s="27">
        <f t="shared" ref="A270:A295" si="39">+A269+1</f>
        <v>250</v>
      </c>
      <c r="D270" s="27" t="s">
        <v>123</v>
      </c>
      <c r="M270" s="31"/>
      <c r="P270" s="296"/>
      <c r="Q270" s="296"/>
      <c r="R270" s="296"/>
      <c r="T270" s="296"/>
      <c r="U270" s="283"/>
      <c r="V270" s="291"/>
      <c r="W270" s="291"/>
      <c r="Z270" s="282"/>
    </row>
    <row r="271" spans="1:26" x14ac:dyDescent="0.3">
      <c r="A271" s="27">
        <f t="shared" si="39"/>
        <v>251</v>
      </c>
      <c r="D271" s="54" t="s">
        <v>101</v>
      </c>
      <c r="F271" s="27" t="s">
        <v>119</v>
      </c>
      <c r="G271" s="49">
        <f>G237</f>
        <v>1.34</v>
      </c>
      <c r="H271" s="49">
        <f>I271</f>
        <v>1.36</v>
      </c>
      <c r="I271" s="58">
        <f>I237</f>
        <v>1.36</v>
      </c>
      <c r="J271" s="50" t="s">
        <v>124</v>
      </c>
      <c r="K271" s="51" t="s">
        <v>106</v>
      </c>
      <c r="M271" s="31"/>
      <c r="N271" s="315">
        <f>H271-G271</f>
        <v>2.0000000000000018E-2</v>
      </c>
      <c r="O271" s="284">
        <f>(N271/G271)</f>
        <v>1.492537313432837E-2</v>
      </c>
      <c r="P271" s="296">
        <v>0</v>
      </c>
      <c r="Q271" s="297">
        <f>(P271*G271)/1000</f>
        <v>0</v>
      </c>
      <c r="R271" s="297">
        <f>(P271*H271)/1000</f>
        <v>0</v>
      </c>
      <c r="S271" s="298">
        <f>R271-Q271</f>
        <v>0</v>
      </c>
      <c r="T271" s="297">
        <f>(P271*I271)/1000</f>
        <v>0</v>
      </c>
      <c r="U271" s="298">
        <f>R271-T271</f>
        <v>0</v>
      </c>
      <c r="V271" s="291" t="s">
        <v>164</v>
      </c>
      <c r="W271" s="291" t="s">
        <v>164</v>
      </c>
      <c r="Z271" s="282"/>
    </row>
    <row r="272" spans="1:26" x14ac:dyDescent="0.3">
      <c r="A272" s="27">
        <f t="shared" si="39"/>
        <v>252</v>
      </c>
      <c r="D272" s="54" t="s">
        <v>125</v>
      </c>
      <c r="F272" s="27" t="s">
        <v>119</v>
      </c>
      <c r="G272" s="49">
        <f t="shared" ref="G272:G273" si="40">G238</f>
        <v>6.47</v>
      </c>
      <c r="H272" s="49">
        <f t="shared" ref="H272:H273" si="41">I272</f>
        <v>6.64</v>
      </c>
      <c r="I272" s="58">
        <f t="shared" ref="I272:I273" si="42">I238</f>
        <v>6.64</v>
      </c>
      <c r="J272" s="50" t="s">
        <v>124</v>
      </c>
      <c r="K272" s="51" t="s">
        <v>106</v>
      </c>
      <c r="L272" s="51"/>
      <c r="M272" s="52"/>
      <c r="P272" s="296"/>
      <c r="Q272" s="313"/>
      <c r="R272" s="313"/>
      <c r="T272" s="313"/>
      <c r="U272" s="283"/>
      <c r="V272" s="291"/>
      <c r="W272" s="291"/>
      <c r="Z272" s="282"/>
    </row>
    <row r="273" spans="1:26" x14ac:dyDescent="0.3">
      <c r="A273" s="27">
        <f t="shared" si="39"/>
        <v>253</v>
      </c>
      <c r="D273" s="54" t="s">
        <v>126</v>
      </c>
      <c r="F273" s="27" t="s">
        <v>119</v>
      </c>
      <c r="G273" s="49">
        <f t="shared" si="40"/>
        <v>9.0399999999999991</v>
      </c>
      <c r="H273" s="49">
        <f t="shared" si="41"/>
        <v>9.24</v>
      </c>
      <c r="I273" s="58">
        <f t="shared" si="42"/>
        <v>9.24</v>
      </c>
      <c r="J273" s="50" t="s">
        <v>124</v>
      </c>
      <c r="K273" s="51" t="s">
        <v>106</v>
      </c>
      <c r="L273" s="51"/>
      <c r="M273" s="52"/>
      <c r="P273" s="296"/>
      <c r="Q273" s="313"/>
      <c r="R273" s="313"/>
      <c r="T273" s="313"/>
      <c r="U273" s="283"/>
      <c r="V273" s="291"/>
      <c r="W273" s="291"/>
      <c r="Z273" s="282"/>
    </row>
    <row r="274" spans="1:26" x14ac:dyDescent="0.3">
      <c r="A274" s="27">
        <f t="shared" si="39"/>
        <v>254</v>
      </c>
      <c r="D274" s="27" t="s">
        <v>104</v>
      </c>
      <c r="F274" s="27" t="s">
        <v>119</v>
      </c>
      <c r="G274" s="49">
        <f>G125</f>
        <v>2.06</v>
      </c>
      <c r="H274" s="49">
        <f>I274</f>
        <v>2.12</v>
      </c>
      <c r="I274" s="49">
        <f>'[1]MFR E-14G'!I22</f>
        <v>2.12</v>
      </c>
      <c r="J274" s="50" t="s">
        <v>105</v>
      </c>
      <c r="K274" s="51" t="s">
        <v>106</v>
      </c>
      <c r="M274" s="31"/>
      <c r="N274" s="308">
        <f>H274-G274</f>
        <v>6.0000000000000053E-2</v>
      </c>
      <c r="O274" s="284">
        <f>(N274/G274)</f>
        <v>2.9126213592233035E-2</v>
      </c>
      <c r="P274" s="296"/>
      <c r="Q274" s="296"/>
      <c r="R274" s="296"/>
      <c r="T274" s="296"/>
      <c r="U274" s="283"/>
      <c r="V274" s="291" t="s">
        <v>164</v>
      </c>
      <c r="W274" s="291" t="s">
        <v>164</v>
      </c>
      <c r="Z274" s="282"/>
    </row>
    <row r="275" spans="1:26" x14ac:dyDescent="0.3">
      <c r="A275" s="27">
        <f t="shared" si="39"/>
        <v>255</v>
      </c>
      <c r="G275" s="55"/>
      <c r="H275" s="55"/>
      <c r="I275" s="55"/>
      <c r="M275" s="31"/>
      <c r="N275" s="295"/>
      <c r="P275" s="296"/>
      <c r="Q275" s="296"/>
      <c r="R275" s="296"/>
      <c r="T275" s="296"/>
      <c r="U275" s="283"/>
      <c r="V275" s="291"/>
      <c r="W275" s="291"/>
      <c r="Z275" s="282"/>
    </row>
    <row r="276" spans="1:26" x14ac:dyDescent="0.3">
      <c r="A276" s="27">
        <f t="shared" si="39"/>
        <v>256</v>
      </c>
      <c r="C276" s="27" t="s">
        <v>107</v>
      </c>
      <c r="G276" s="51"/>
      <c r="H276" s="51"/>
      <c r="I276" s="51"/>
      <c r="J276" s="50"/>
      <c r="K276" s="51"/>
      <c r="L276" s="51"/>
      <c r="M276" s="52"/>
      <c r="P276" s="296"/>
      <c r="Q276" s="296"/>
      <c r="R276" s="296"/>
      <c r="T276" s="296"/>
      <c r="U276" s="283"/>
      <c r="V276" s="291"/>
      <c r="W276" s="291"/>
      <c r="Z276" s="282"/>
    </row>
    <row r="277" spans="1:26" x14ac:dyDescent="0.3">
      <c r="A277" s="27">
        <f t="shared" si="39"/>
        <v>257</v>
      </c>
      <c r="D277" s="27" t="s">
        <v>101</v>
      </c>
      <c r="F277" s="27" t="s">
        <v>61</v>
      </c>
      <c r="G277" s="62">
        <v>0.01</v>
      </c>
      <c r="H277" s="62">
        <v>0.01</v>
      </c>
      <c r="I277" s="62"/>
      <c r="J277" s="50"/>
      <c r="K277" s="51"/>
      <c r="L277" s="51"/>
      <c r="M277" s="52"/>
      <c r="N277" s="306">
        <f>H277-G277</f>
        <v>0</v>
      </c>
      <c r="O277" s="284">
        <f>(N277/G277)</f>
        <v>0</v>
      </c>
      <c r="P277" s="296"/>
      <c r="Q277" s="297">
        <f>(P277*G277)/1000</f>
        <v>0</v>
      </c>
      <c r="R277" s="297">
        <f>(P277*H277)/1000</f>
        <v>0</v>
      </c>
      <c r="S277" s="298">
        <f>R277-Q277</f>
        <v>0</v>
      </c>
      <c r="T277" s="297">
        <f>(P277*I277)/1000</f>
        <v>0</v>
      </c>
      <c r="U277" s="298">
        <f>R277-T277</f>
        <v>0</v>
      </c>
      <c r="V277" s="291" t="s">
        <v>164</v>
      </c>
      <c r="W277" s="291" t="s">
        <v>164</v>
      </c>
      <c r="Z277" s="282"/>
    </row>
    <row r="278" spans="1:26" x14ac:dyDescent="0.3">
      <c r="A278" s="27">
        <f t="shared" si="39"/>
        <v>258</v>
      </c>
      <c r="D278" s="27" t="s">
        <v>102</v>
      </c>
      <c r="F278" s="27" t="s">
        <v>61</v>
      </c>
      <c r="G278" s="62">
        <v>0.02</v>
      </c>
      <c r="H278" s="62">
        <v>0.02</v>
      </c>
      <c r="I278" s="62"/>
      <c r="J278" s="50"/>
      <c r="K278" s="51"/>
      <c r="L278" s="51"/>
      <c r="M278" s="52"/>
      <c r="N278" s="306">
        <f>H278-G278</f>
        <v>0</v>
      </c>
      <c r="O278" s="284">
        <f>(N278/G278)</f>
        <v>0</v>
      </c>
      <c r="P278" s="296"/>
      <c r="Q278" s="297">
        <f>(P278*G278)/1000</f>
        <v>0</v>
      </c>
      <c r="R278" s="297">
        <f>(P278*H278)/1000</f>
        <v>0</v>
      </c>
      <c r="S278" s="298">
        <f>R278-Q278</f>
        <v>0</v>
      </c>
      <c r="T278" s="297">
        <f>(P278*I278)/1000</f>
        <v>0</v>
      </c>
      <c r="U278" s="298">
        <f>R278-T278</f>
        <v>0</v>
      </c>
      <c r="V278" s="291" t="s">
        <v>164</v>
      </c>
      <c r="W278" s="291" t="s">
        <v>164</v>
      </c>
      <c r="Z278" s="282"/>
    </row>
    <row r="279" spans="1:26" x14ac:dyDescent="0.3">
      <c r="A279" s="27">
        <f t="shared" si="39"/>
        <v>259</v>
      </c>
      <c r="G279" s="62"/>
      <c r="H279" s="62"/>
      <c r="I279" s="62"/>
      <c r="J279" s="50"/>
      <c r="K279" s="51"/>
      <c r="L279" s="51"/>
      <c r="M279" s="52"/>
      <c r="N279" s="306"/>
      <c r="P279" s="296"/>
      <c r="Q279" s="297"/>
      <c r="R279" s="297"/>
      <c r="S279" s="298"/>
      <c r="T279" s="297"/>
      <c r="U279" s="298"/>
      <c r="V279" s="291"/>
      <c r="W279" s="291"/>
      <c r="Z279" s="282"/>
    </row>
    <row r="280" spans="1:26" x14ac:dyDescent="0.3">
      <c r="A280" s="27">
        <f t="shared" si="39"/>
        <v>260</v>
      </c>
      <c r="C280" s="27" t="s">
        <v>109</v>
      </c>
      <c r="F280" s="27" t="s">
        <v>61</v>
      </c>
      <c r="G280" s="63">
        <f>G137</f>
        <v>9.5999999999999992E-3</v>
      </c>
      <c r="H280" s="64">
        <f>I280</f>
        <v>9.5999999999999992E-3</v>
      </c>
      <c r="I280" s="65">
        <f>I137</f>
        <v>9.5999999999999992E-3</v>
      </c>
      <c r="J280" s="42" t="s">
        <v>110</v>
      </c>
      <c r="K280" s="66" t="s">
        <v>111</v>
      </c>
      <c r="L280" s="51"/>
      <c r="M280" s="52"/>
      <c r="N280" s="295"/>
      <c r="P280" s="296"/>
      <c r="Q280" s="296"/>
      <c r="R280" s="296"/>
      <c r="T280" s="296"/>
      <c r="U280" s="283"/>
      <c r="V280" s="291"/>
      <c r="W280" s="291"/>
      <c r="Z280" s="282"/>
    </row>
    <row r="281" spans="1:26" ht="14.4" thickBot="1" x14ac:dyDescent="0.35">
      <c r="B281" s="31"/>
      <c r="C281" s="31"/>
      <c r="D281" s="31"/>
      <c r="E281" s="31"/>
      <c r="F281" s="31"/>
      <c r="G281" s="31"/>
      <c r="H281" s="31"/>
      <c r="I281" s="31"/>
      <c r="J281" s="44"/>
      <c r="K281" s="31"/>
      <c r="L281" s="31"/>
      <c r="M281" s="31"/>
      <c r="N281" s="300"/>
      <c r="O281" s="301"/>
      <c r="P281" s="302"/>
      <c r="Q281" s="303">
        <f>SUM(Q248:Q280)</f>
        <v>4250.8313632525005</v>
      </c>
      <c r="R281" s="303">
        <f>SUM(R248:R280)</f>
        <v>4468.0020567510801</v>
      </c>
      <c r="S281" s="303">
        <f>SUM(S248:S280)</f>
        <v>217.17069349857991</v>
      </c>
      <c r="T281" s="303">
        <f>SUM(T248:T280)</f>
        <v>4466.5589426092056</v>
      </c>
      <c r="U281" s="303">
        <f>SUM(U248:U280)</f>
        <v>1.4431141418750713</v>
      </c>
      <c r="V281" s="291"/>
      <c r="W281" s="291"/>
      <c r="Z281" s="282"/>
    </row>
    <row r="282" spans="1:26" ht="14.4" thickTop="1" x14ac:dyDescent="0.3">
      <c r="A282" s="27">
        <f>A280+1</f>
        <v>261</v>
      </c>
      <c r="B282" s="48"/>
      <c r="C282" s="74"/>
      <c r="D282" s="74"/>
      <c r="E282" s="74"/>
      <c r="G282" s="49"/>
      <c r="H282" s="49"/>
      <c r="I282" s="49"/>
      <c r="J282" s="50"/>
      <c r="K282" s="51"/>
      <c r="L282" s="51"/>
      <c r="M282" s="52"/>
      <c r="N282" s="295"/>
      <c r="P282" s="296"/>
      <c r="Q282" s="296"/>
      <c r="R282" s="296"/>
      <c r="T282" s="296"/>
      <c r="U282" s="283"/>
      <c r="V282" s="291"/>
      <c r="W282" s="291"/>
      <c r="Z282" s="282"/>
    </row>
    <row r="283" spans="1:26" x14ac:dyDescent="0.3">
      <c r="A283" s="27">
        <f t="shared" si="39"/>
        <v>262</v>
      </c>
      <c r="B283" s="48" t="s">
        <v>166</v>
      </c>
      <c r="C283" s="74" t="s">
        <v>167</v>
      </c>
      <c r="D283" s="74"/>
      <c r="E283" s="74"/>
      <c r="F283" s="27" t="s">
        <v>60</v>
      </c>
      <c r="G283" s="49">
        <v>58</v>
      </c>
      <c r="H283" s="49">
        <v>58</v>
      </c>
      <c r="I283" s="49">
        <v>145.13</v>
      </c>
      <c r="J283" s="50" t="s">
        <v>168</v>
      </c>
      <c r="K283" s="51" t="s">
        <v>169</v>
      </c>
      <c r="L283" s="51"/>
      <c r="M283" s="52"/>
      <c r="N283" s="295">
        <f t="shared" ref="N283:N287" si="43">H283-G283</f>
        <v>0</v>
      </c>
      <c r="O283" s="284">
        <f t="shared" ref="O283:O287" si="44">(N283/G283)</f>
        <v>0</v>
      </c>
      <c r="P283" s="296"/>
      <c r="R283" s="283"/>
      <c r="T283" s="283"/>
      <c r="U283" s="283"/>
      <c r="V283" s="291"/>
      <c r="W283" s="291"/>
      <c r="Z283" s="282"/>
    </row>
    <row r="284" spans="1:26" x14ac:dyDescent="0.3">
      <c r="A284" s="27">
        <f t="shared" si="39"/>
        <v>263</v>
      </c>
      <c r="C284" s="74" t="s">
        <v>170</v>
      </c>
      <c r="D284" s="74"/>
      <c r="E284" s="74"/>
      <c r="F284" s="27" t="s">
        <v>60</v>
      </c>
      <c r="G284" s="49">
        <v>12</v>
      </c>
      <c r="H284" s="49">
        <v>12</v>
      </c>
      <c r="I284" s="49">
        <v>6.06</v>
      </c>
      <c r="J284" s="50" t="s">
        <v>168</v>
      </c>
      <c r="K284" s="51" t="s">
        <v>169</v>
      </c>
      <c r="L284" s="51"/>
      <c r="M284" s="52"/>
      <c r="N284" s="295">
        <f t="shared" si="43"/>
        <v>0</v>
      </c>
      <c r="O284" s="284">
        <f t="shared" si="44"/>
        <v>0</v>
      </c>
      <c r="P284" s="296"/>
      <c r="Q284" s="296"/>
      <c r="R284" s="296"/>
      <c r="T284" s="296"/>
      <c r="U284" s="283"/>
      <c r="V284" s="291"/>
      <c r="W284" s="291"/>
      <c r="Z284" s="282"/>
    </row>
    <row r="285" spans="1:26" x14ac:dyDescent="0.3">
      <c r="A285" s="27">
        <f t="shared" si="39"/>
        <v>264</v>
      </c>
      <c r="C285" s="74" t="s">
        <v>171</v>
      </c>
      <c r="D285" s="74"/>
      <c r="E285" s="74"/>
      <c r="F285" s="27" t="s">
        <v>60</v>
      </c>
      <c r="G285" s="49">
        <v>12</v>
      </c>
      <c r="H285" s="49">
        <v>12</v>
      </c>
      <c r="I285" s="49">
        <v>6.06</v>
      </c>
      <c r="J285" s="50" t="s">
        <v>168</v>
      </c>
      <c r="K285" s="51" t="s">
        <v>169</v>
      </c>
      <c r="L285" s="51"/>
      <c r="M285" s="52"/>
      <c r="N285" s="295">
        <f t="shared" si="43"/>
        <v>0</v>
      </c>
      <c r="O285" s="284">
        <f t="shared" si="44"/>
        <v>0</v>
      </c>
      <c r="P285" s="296"/>
      <c r="Q285" s="296"/>
      <c r="R285" s="296"/>
      <c r="T285" s="296"/>
      <c r="U285" s="283"/>
      <c r="V285" s="291"/>
      <c r="W285" s="291"/>
      <c r="Z285" s="282"/>
    </row>
    <row r="286" spans="1:26" x14ac:dyDescent="0.3">
      <c r="A286" s="27">
        <f t="shared" si="39"/>
        <v>265</v>
      </c>
      <c r="C286" s="74" t="s">
        <v>172</v>
      </c>
      <c r="D286" s="74"/>
      <c r="E286" s="74"/>
      <c r="F286" s="27" t="s">
        <v>60</v>
      </c>
      <c r="G286" s="49">
        <v>4</v>
      </c>
      <c r="H286" s="49">
        <v>4</v>
      </c>
      <c r="I286" s="49">
        <v>3.79</v>
      </c>
      <c r="J286" s="50" t="s">
        <v>168</v>
      </c>
      <c r="K286" s="51" t="s">
        <v>169</v>
      </c>
      <c r="L286" s="51"/>
      <c r="M286" s="52"/>
      <c r="N286" s="295">
        <f t="shared" si="43"/>
        <v>0</v>
      </c>
      <c r="O286" s="284">
        <f t="shared" si="44"/>
        <v>0</v>
      </c>
      <c r="P286" s="296"/>
      <c r="R286" s="283"/>
      <c r="T286" s="283"/>
      <c r="U286" s="283"/>
      <c r="V286" s="291"/>
      <c r="W286" s="291"/>
      <c r="Z286" s="282"/>
    </row>
    <row r="287" spans="1:26" x14ac:dyDescent="0.3">
      <c r="A287" s="27">
        <f t="shared" si="39"/>
        <v>266</v>
      </c>
      <c r="C287" s="74" t="s">
        <v>173</v>
      </c>
      <c r="D287" s="74"/>
      <c r="E287" s="74"/>
      <c r="F287" s="27" t="s">
        <v>60</v>
      </c>
      <c r="G287" s="49">
        <v>200</v>
      </c>
      <c r="H287" s="49">
        <v>200</v>
      </c>
      <c r="I287" s="49">
        <v>98.91</v>
      </c>
      <c r="J287" s="50" t="s">
        <v>168</v>
      </c>
      <c r="K287" s="51" t="s">
        <v>169</v>
      </c>
      <c r="L287" s="51"/>
      <c r="M287" s="52"/>
      <c r="N287" s="295">
        <f t="shared" si="43"/>
        <v>0</v>
      </c>
      <c r="O287" s="284">
        <f t="shared" si="44"/>
        <v>0</v>
      </c>
      <c r="Q287" s="285"/>
      <c r="U287" s="283"/>
      <c r="V287" s="294"/>
      <c r="W287" s="294"/>
      <c r="Z287" s="282"/>
    </row>
    <row r="288" spans="1:26" x14ac:dyDescent="0.3">
      <c r="A288" s="27">
        <f t="shared" si="39"/>
        <v>267</v>
      </c>
      <c r="C288" s="74" t="s">
        <v>174</v>
      </c>
      <c r="D288" s="74"/>
      <c r="E288" s="74"/>
      <c r="F288" s="74"/>
      <c r="G288" s="75"/>
      <c r="H288" s="75"/>
      <c r="I288" s="75"/>
      <c r="J288" s="50"/>
      <c r="K288" s="51"/>
      <c r="L288" s="51"/>
      <c r="M288" s="52"/>
      <c r="N288" s="295"/>
      <c r="Q288" s="285"/>
      <c r="U288" s="283"/>
      <c r="V288" s="294"/>
      <c r="W288" s="294"/>
      <c r="Z288" s="282"/>
    </row>
    <row r="289" spans="1:26" x14ac:dyDescent="0.3">
      <c r="A289" s="27">
        <f t="shared" si="39"/>
        <v>268</v>
      </c>
      <c r="C289" s="74"/>
      <c r="D289" s="74" t="s">
        <v>175</v>
      </c>
      <c r="E289" s="74"/>
      <c r="F289" s="27" t="s">
        <v>60</v>
      </c>
      <c r="G289" s="75">
        <v>5</v>
      </c>
      <c r="H289" s="75">
        <f>+G289</f>
        <v>5</v>
      </c>
      <c r="I289" s="75"/>
      <c r="J289" s="50"/>
      <c r="K289" s="51" t="s">
        <v>169</v>
      </c>
      <c r="L289" s="51"/>
      <c r="M289" s="52"/>
      <c r="N289" s="295">
        <f>H289-G289</f>
        <v>0</v>
      </c>
      <c r="O289" s="284">
        <f>(N289/G289)</f>
        <v>0</v>
      </c>
      <c r="Q289" s="285"/>
      <c r="U289" s="283"/>
      <c r="V289" s="294"/>
      <c r="W289" s="294"/>
      <c r="Z289" s="282"/>
    </row>
    <row r="290" spans="1:26" x14ac:dyDescent="0.3">
      <c r="A290" s="27">
        <f t="shared" si="39"/>
        <v>269</v>
      </c>
      <c r="C290" s="74"/>
      <c r="D290" s="74" t="s">
        <v>176</v>
      </c>
      <c r="E290" s="74"/>
      <c r="F290" s="74" t="s">
        <v>61</v>
      </c>
      <c r="G290" s="76">
        <v>1.4999999999999999E-2</v>
      </c>
      <c r="H290" s="76">
        <f>+G290</f>
        <v>1.4999999999999999E-2</v>
      </c>
      <c r="I290" s="76"/>
      <c r="J290" s="50"/>
      <c r="K290" s="51" t="s">
        <v>169</v>
      </c>
      <c r="L290" s="51"/>
      <c r="M290" s="52"/>
      <c r="N290" s="306">
        <f>H290-G290</f>
        <v>0</v>
      </c>
      <c r="O290" s="284">
        <f>(N290/G290)</f>
        <v>0</v>
      </c>
      <c r="Q290" s="285"/>
      <c r="U290" s="283"/>
      <c r="V290" s="294"/>
      <c r="W290" s="294"/>
      <c r="Z290" s="282"/>
    </row>
    <row r="291" spans="1:26" x14ac:dyDescent="0.3">
      <c r="A291" s="27">
        <f t="shared" si="39"/>
        <v>270</v>
      </c>
      <c r="C291" s="27" t="s">
        <v>177</v>
      </c>
      <c r="D291" s="74"/>
      <c r="E291" s="74"/>
      <c r="F291" s="74"/>
      <c r="G291" s="49"/>
      <c r="H291" s="49"/>
      <c r="I291" s="49"/>
      <c r="J291" s="50"/>
      <c r="K291" s="51"/>
      <c r="L291" s="51"/>
      <c r="M291" s="52"/>
      <c r="Q291" s="285"/>
      <c r="U291" s="283"/>
      <c r="V291" s="294"/>
      <c r="W291" s="294"/>
      <c r="Z291" s="282"/>
    </row>
    <row r="292" spans="1:26" x14ac:dyDescent="0.3">
      <c r="A292" s="27">
        <f t="shared" si="39"/>
        <v>271</v>
      </c>
      <c r="D292" s="27" t="s">
        <v>178</v>
      </c>
      <c r="F292" s="27" t="s">
        <v>60</v>
      </c>
      <c r="G292" s="75">
        <v>25</v>
      </c>
      <c r="H292" s="75">
        <f>+G292</f>
        <v>25</v>
      </c>
      <c r="I292" s="75"/>
      <c r="J292" s="50"/>
      <c r="K292" s="51" t="s">
        <v>179</v>
      </c>
      <c r="L292" s="51"/>
      <c r="M292" s="52"/>
      <c r="O292" s="284">
        <f>(N292/G292)</f>
        <v>0</v>
      </c>
      <c r="Q292" s="285"/>
      <c r="U292" s="283"/>
      <c r="V292" s="294"/>
      <c r="W292" s="294"/>
      <c r="Z292" s="282"/>
    </row>
    <row r="293" spans="1:26" x14ac:dyDescent="0.3">
      <c r="A293" s="27">
        <f t="shared" si="39"/>
        <v>272</v>
      </c>
      <c r="C293" s="74"/>
      <c r="D293" s="27" t="s">
        <v>180</v>
      </c>
      <c r="E293" s="74"/>
      <c r="F293" s="27" t="s">
        <v>60</v>
      </c>
      <c r="G293" s="75">
        <v>30</v>
      </c>
      <c r="H293" s="75">
        <f>+G293</f>
        <v>30</v>
      </c>
      <c r="I293" s="75"/>
      <c r="J293" s="50"/>
      <c r="K293" s="51" t="s">
        <v>179</v>
      </c>
      <c r="L293" s="51"/>
      <c r="M293" s="52"/>
      <c r="O293" s="284">
        <f>(N293/G293)</f>
        <v>0</v>
      </c>
      <c r="Q293" s="285"/>
      <c r="U293" s="283"/>
      <c r="V293" s="294"/>
      <c r="W293" s="294"/>
      <c r="Z293" s="282"/>
    </row>
    <row r="294" spans="1:26" x14ac:dyDescent="0.3">
      <c r="A294" s="27">
        <f t="shared" si="39"/>
        <v>273</v>
      </c>
      <c r="C294" s="74"/>
      <c r="D294" s="27" t="s">
        <v>181</v>
      </c>
      <c r="E294" s="74"/>
      <c r="F294" s="27" t="s">
        <v>60</v>
      </c>
      <c r="G294" s="75">
        <v>40</v>
      </c>
      <c r="H294" s="75">
        <f>+G294</f>
        <v>40</v>
      </c>
      <c r="I294" s="75"/>
      <c r="J294" s="50"/>
      <c r="K294" s="51" t="s">
        <v>179</v>
      </c>
      <c r="L294" s="51"/>
      <c r="M294" s="52"/>
      <c r="O294" s="284">
        <f>(N294/G294)</f>
        <v>0</v>
      </c>
      <c r="Q294" s="285"/>
      <c r="U294" s="283"/>
      <c r="V294" s="294"/>
      <c r="W294" s="294"/>
      <c r="Z294" s="282"/>
    </row>
    <row r="295" spans="1:26" x14ac:dyDescent="0.3">
      <c r="A295" s="27">
        <f t="shared" si="39"/>
        <v>274</v>
      </c>
      <c r="D295" s="27" t="s">
        <v>182</v>
      </c>
      <c r="F295" s="27" t="s">
        <v>60</v>
      </c>
      <c r="G295" s="75">
        <v>0.05</v>
      </c>
      <c r="H295" s="75">
        <f>+G295</f>
        <v>0.05</v>
      </c>
      <c r="I295" s="75"/>
      <c r="J295" s="50"/>
      <c r="K295" s="51" t="s">
        <v>179</v>
      </c>
      <c r="L295" s="51"/>
      <c r="M295" s="52"/>
      <c r="O295" s="284">
        <f>(N295/G295)</f>
        <v>0</v>
      </c>
      <c r="Q295" s="285"/>
      <c r="U295" s="283"/>
      <c r="V295" s="294"/>
      <c r="W295" s="294"/>
      <c r="Z295" s="282"/>
    </row>
    <row r="296" spans="1:26" x14ac:dyDescent="0.3">
      <c r="B296" s="31"/>
      <c r="C296" s="72"/>
      <c r="D296" s="72"/>
      <c r="E296" s="72"/>
      <c r="F296" s="72"/>
      <c r="G296" s="73"/>
      <c r="H296" s="73"/>
      <c r="I296" s="73"/>
      <c r="J296" s="59"/>
      <c r="K296" s="52"/>
      <c r="L296" s="52"/>
      <c r="M296" s="52"/>
      <c r="Q296" s="285"/>
      <c r="U296" s="283"/>
      <c r="V296" s="294"/>
      <c r="W296" s="294"/>
      <c r="Z296" s="282"/>
    </row>
    <row r="297" spans="1:26" x14ac:dyDescent="0.3">
      <c r="A297" s="27">
        <f>+A295+1</f>
        <v>275</v>
      </c>
      <c r="B297" s="48"/>
      <c r="C297" s="74"/>
      <c r="D297" s="74"/>
      <c r="E297" s="74"/>
      <c r="G297" s="49"/>
      <c r="H297" s="49"/>
      <c r="I297" s="49"/>
      <c r="J297" s="50"/>
      <c r="K297" s="51"/>
      <c r="L297" s="51"/>
      <c r="M297" s="52"/>
      <c r="N297" s="295"/>
      <c r="P297" s="296"/>
      <c r="Q297" s="296"/>
      <c r="R297" s="296"/>
      <c r="T297" s="296"/>
      <c r="U297" s="283"/>
      <c r="V297" s="291"/>
      <c r="W297" s="291"/>
      <c r="Z297" s="282"/>
    </row>
    <row r="298" spans="1:26" x14ac:dyDescent="0.3">
      <c r="A298" s="27">
        <f>+A297+1</f>
        <v>276</v>
      </c>
      <c r="B298" s="48" t="s">
        <v>183</v>
      </c>
      <c r="C298" s="27" t="s">
        <v>184</v>
      </c>
      <c r="F298" s="27" t="s">
        <v>60</v>
      </c>
      <c r="G298" s="49">
        <v>310</v>
      </c>
      <c r="H298" s="49">
        <v>310</v>
      </c>
      <c r="I298" s="49">
        <v>266.13</v>
      </c>
      <c r="J298" s="50" t="s">
        <v>168</v>
      </c>
      <c r="K298" s="51" t="s">
        <v>169</v>
      </c>
      <c r="L298" s="51"/>
      <c r="M298" s="52"/>
      <c r="N298" s="295">
        <f>H298-G298</f>
        <v>0</v>
      </c>
      <c r="O298" s="284">
        <f>(N298/G298)</f>
        <v>0</v>
      </c>
      <c r="Q298" s="285"/>
      <c r="U298" s="283"/>
      <c r="V298" s="294"/>
      <c r="W298" s="294"/>
      <c r="Z298" s="282"/>
    </row>
    <row r="299" spans="1:26" x14ac:dyDescent="0.3">
      <c r="B299" s="31"/>
      <c r="C299" s="31"/>
      <c r="D299" s="31"/>
      <c r="E299" s="31"/>
      <c r="F299" s="31"/>
      <c r="G299" s="73"/>
      <c r="H299" s="73"/>
      <c r="I299" s="73"/>
      <c r="J299" s="59"/>
      <c r="K299" s="52"/>
      <c r="L299" s="52"/>
      <c r="M299" s="52"/>
      <c r="Q299" s="285"/>
      <c r="V299" s="294"/>
      <c r="W299" s="294"/>
      <c r="Z299" s="282"/>
    </row>
  </sheetData>
  <pageMargins left="0.5" right="0.5" top="0.75" bottom="0.25" header="0.5" footer="0.25"/>
  <pageSetup scale="13" firstPageNumber="7" orientation="landscape" r:id="rId1"/>
  <headerFooter>
    <oddHeader xml:space="preserve">&amp;RDEF’s Response to OPC POD 1 (1-26)
Q7
Page &amp;P of &amp;N
</oddHeader>
    <oddFooter>&amp;R20240025-OPCPOD1-00004294</oddFooter>
  </headerFooter>
  <rowBreaks count="6" manualBreakCount="6">
    <brk id="55" max="11" man="1"/>
    <brk id="102" max="11" man="1"/>
    <brk id="138" max="11" man="1"/>
    <brk id="183" max="11" man="1"/>
    <brk id="247" max="11" man="1"/>
    <brk id="360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D96F-4D98-45C0-B1E7-50CB135C19FD}">
  <sheetPr>
    <tabColor theme="3" tint="0.39997558519241921"/>
    <pageSetUpPr fitToPage="1"/>
  </sheetPr>
  <dimension ref="A1:J304"/>
  <sheetViews>
    <sheetView tabSelected="1" workbookViewId="0">
      <selection activeCell="N69" sqref="N69"/>
    </sheetView>
  </sheetViews>
  <sheetFormatPr defaultColWidth="9.109375" defaultRowHeight="13.8" x14ac:dyDescent="0.3"/>
  <cols>
    <col min="1" max="1" width="5.6640625" style="78" customWidth="1"/>
    <col min="2" max="2" width="2.6640625" style="78" customWidth="1"/>
    <col min="3" max="3" width="5.6640625" style="78" customWidth="1"/>
    <col min="4" max="4" width="39.44140625" style="78" customWidth="1"/>
    <col min="5" max="5" width="8.6640625" style="78" customWidth="1"/>
    <col min="6" max="6" width="2" style="78" customWidth="1"/>
    <col min="7" max="7" width="11.6640625" style="78" customWidth="1"/>
    <col min="8" max="8" width="2" style="78" customWidth="1"/>
    <col min="9" max="9" width="13.44140625" style="78" bestFit="1" customWidth="1"/>
    <col min="10" max="10" width="12.6640625" style="78" customWidth="1"/>
    <col min="11" max="16384" width="9.109375" style="78"/>
  </cols>
  <sheetData>
    <row r="1" spans="1:10" x14ac:dyDescent="0.3">
      <c r="J1" s="30" t="s">
        <v>37</v>
      </c>
    </row>
    <row r="2" spans="1:10" x14ac:dyDescent="0.3">
      <c r="J2" s="33" t="str">
        <f>"DOCKET NO.  " &amp; +"20240025-EI"</f>
        <v>DOCKET NO.  20240025-EI</v>
      </c>
    </row>
    <row r="3" spans="1:10" x14ac:dyDescent="0.3">
      <c r="J3" s="33" t="s">
        <v>38</v>
      </c>
    </row>
    <row r="4" spans="1:10" x14ac:dyDescent="0.3">
      <c r="J4" s="30" t="s">
        <v>405</v>
      </c>
    </row>
    <row r="5" spans="1:10" x14ac:dyDescent="0.3">
      <c r="J5" s="79" t="s">
        <v>368</v>
      </c>
    </row>
    <row r="6" spans="1:10" x14ac:dyDescent="0.3">
      <c r="J6" s="37" t="s">
        <v>13</v>
      </c>
    </row>
    <row r="7" spans="1:10" x14ac:dyDescent="0.3">
      <c r="J7" s="37"/>
    </row>
    <row r="8" spans="1:10" s="83" customFormat="1" ht="15.6" x14ac:dyDescent="0.3">
      <c r="A8" s="81" t="s">
        <v>406</v>
      </c>
      <c r="B8" s="82"/>
      <c r="C8" s="82"/>
      <c r="D8" s="82"/>
      <c r="E8" s="82"/>
      <c r="F8" s="82"/>
      <c r="G8" s="82"/>
      <c r="H8" s="82"/>
      <c r="I8" s="82"/>
      <c r="J8" s="82"/>
    </row>
    <row r="9" spans="1:10" s="83" customFormat="1" ht="15.6" x14ac:dyDescent="0.3">
      <c r="A9" s="81" t="s">
        <v>407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3">
      <c r="A10" s="109"/>
    </row>
    <row r="11" spans="1:10" x14ac:dyDescent="0.3">
      <c r="A11" s="109"/>
    </row>
    <row r="12" spans="1:10" x14ac:dyDescent="0.3">
      <c r="A12" s="109"/>
    </row>
    <row r="14" spans="1:10" x14ac:dyDescent="0.3">
      <c r="A14" s="335" t="s">
        <v>54</v>
      </c>
    </row>
    <row r="15" spans="1:10" x14ac:dyDescent="0.3">
      <c r="A15" s="94">
        <v>1</v>
      </c>
      <c r="C15" s="95" t="s">
        <v>408</v>
      </c>
      <c r="E15" s="336"/>
      <c r="G15" s="91" t="s">
        <v>409</v>
      </c>
      <c r="I15" s="91" t="s">
        <v>410</v>
      </c>
    </row>
    <row r="16" spans="1:10" x14ac:dyDescent="0.3">
      <c r="A16" s="94">
        <f t="shared" ref="A16:A35" si="0">+A15+1</f>
        <v>2</v>
      </c>
      <c r="E16" s="212"/>
      <c r="G16" s="212"/>
    </row>
    <row r="17" spans="1:10" x14ac:dyDescent="0.3">
      <c r="A17" s="94">
        <f t="shared" si="0"/>
        <v>3</v>
      </c>
      <c r="C17" s="78" t="s">
        <v>411</v>
      </c>
      <c r="G17" s="245">
        <f>'[1]MFR E-6b'!K71</f>
        <v>5.4169860922885649</v>
      </c>
      <c r="I17" s="245">
        <f>'[1]MFR E-6b'!L71</f>
        <v>4.2398380302042771</v>
      </c>
    </row>
    <row r="18" spans="1:10" x14ac:dyDescent="0.3">
      <c r="A18" s="94">
        <f t="shared" si="0"/>
        <v>4</v>
      </c>
      <c r="G18" s="108"/>
      <c r="I18" s="213"/>
      <c r="J18" s="224"/>
    </row>
    <row r="19" spans="1:10" x14ac:dyDescent="0.3">
      <c r="A19" s="94">
        <f t="shared" si="0"/>
        <v>5</v>
      </c>
      <c r="C19" s="78" t="s">
        <v>412</v>
      </c>
      <c r="G19" s="106">
        <v>0.5</v>
      </c>
      <c r="I19" s="106">
        <f>+G19</f>
        <v>0.5</v>
      </c>
    </row>
    <row r="20" spans="1:10" x14ac:dyDescent="0.3">
      <c r="A20" s="94">
        <f t="shared" si="0"/>
        <v>6</v>
      </c>
      <c r="G20" s="106"/>
      <c r="I20" s="212"/>
      <c r="J20" s="187"/>
    </row>
    <row r="21" spans="1:10" ht="14.4" thickBot="1" x14ac:dyDescent="0.35">
      <c r="A21" s="94">
        <f t="shared" si="0"/>
        <v>7</v>
      </c>
      <c r="C21" s="78" t="s">
        <v>413</v>
      </c>
    </row>
    <row r="22" spans="1:10" ht="14.4" thickBot="1" x14ac:dyDescent="0.35">
      <c r="A22" s="94">
        <f t="shared" si="0"/>
        <v>8</v>
      </c>
      <c r="D22" s="78" t="s">
        <v>414</v>
      </c>
      <c r="G22" s="337">
        <f>ROUND(+G17*G19,2)</f>
        <v>2.71</v>
      </c>
      <c r="I22" s="337">
        <f>ROUND(+I17*I19,2)</f>
        <v>2.12</v>
      </c>
    </row>
    <row r="23" spans="1:10" x14ac:dyDescent="0.3">
      <c r="A23" s="94">
        <f t="shared" si="0"/>
        <v>9</v>
      </c>
    </row>
    <row r="24" spans="1:10" x14ac:dyDescent="0.3">
      <c r="A24" s="94">
        <f t="shared" si="0"/>
        <v>10</v>
      </c>
    </row>
    <row r="25" spans="1:10" x14ac:dyDescent="0.3">
      <c r="A25" s="94">
        <f t="shared" si="0"/>
        <v>11</v>
      </c>
    </row>
    <row r="26" spans="1:10" x14ac:dyDescent="0.3">
      <c r="A26" s="94">
        <f t="shared" si="0"/>
        <v>12</v>
      </c>
      <c r="C26" s="95" t="s">
        <v>415</v>
      </c>
      <c r="G26" s="91" t="s">
        <v>98</v>
      </c>
      <c r="H26" s="152"/>
      <c r="I26" s="91" t="s">
        <v>112</v>
      </c>
    </row>
    <row r="27" spans="1:10" x14ac:dyDescent="0.3">
      <c r="A27" s="94">
        <f t="shared" si="0"/>
        <v>13</v>
      </c>
    </row>
    <row r="28" spans="1:10" x14ac:dyDescent="0.3">
      <c r="A28" s="94">
        <f t="shared" si="0"/>
        <v>14</v>
      </c>
      <c r="C28" s="78" t="s">
        <v>416</v>
      </c>
      <c r="G28" s="338">
        <v>0.21110968723217588</v>
      </c>
      <c r="H28" s="339"/>
      <c r="I28" s="340">
        <v>1</v>
      </c>
    </row>
    <row r="29" spans="1:10" x14ac:dyDescent="0.3">
      <c r="A29" s="94">
        <f t="shared" si="0"/>
        <v>15</v>
      </c>
      <c r="G29" s="338"/>
      <c r="H29" s="339"/>
      <c r="I29" s="339"/>
    </row>
    <row r="30" spans="1:10" x14ac:dyDescent="0.3">
      <c r="A30" s="94">
        <f t="shared" si="0"/>
        <v>16</v>
      </c>
      <c r="C30" s="78" t="s">
        <v>417</v>
      </c>
      <c r="G30" s="187">
        <f>8760/12</f>
        <v>730</v>
      </c>
      <c r="H30" s="187"/>
      <c r="I30" s="187">
        <f>+G30</f>
        <v>730</v>
      </c>
    </row>
    <row r="31" spans="1:10" x14ac:dyDescent="0.3">
      <c r="A31" s="94">
        <f t="shared" si="0"/>
        <v>17</v>
      </c>
      <c r="G31" s="187"/>
      <c r="H31" s="187"/>
      <c r="I31" s="187"/>
    </row>
    <row r="32" spans="1:10" x14ac:dyDescent="0.3">
      <c r="A32" s="94">
        <f t="shared" si="0"/>
        <v>18</v>
      </c>
      <c r="C32" s="78" t="s">
        <v>418</v>
      </c>
      <c r="G32" s="187">
        <f>+G30*G28</f>
        <v>154.11007167948839</v>
      </c>
      <c r="H32" s="187"/>
      <c r="I32" s="187">
        <f>+I30*I28</f>
        <v>730</v>
      </c>
    </row>
    <row r="33" spans="1:9" x14ac:dyDescent="0.3">
      <c r="A33" s="94">
        <f t="shared" si="0"/>
        <v>19</v>
      </c>
      <c r="G33" s="187"/>
      <c r="H33" s="187"/>
      <c r="I33" s="187"/>
    </row>
    <row r="34" spans="1:9" ht="14.4" thickBot="1" x14ac:dyDescent="0.35">
      <c r="A34" s="94">
        <f t="shared" si="0"/>
        <v>20</v>
      </c>
      <c r="C34" s="78" t="s">
        <v>419</v>
      </c>
    </row>
    <row r="35" spans="1:9" ht="14.4" thickBot="1" x14ac:dyDescent="0.35">
      <c r="A35" s="94">
        <f t="shared" si="0"/>
        <v>21</v>
      </c>
      <c r="D35" s="78" t="s">
        <v>420</v>
      </c>
      <c r="G35" s="341">
        <f>ROUND(+G22/G32,5)</f>
        <v>1.7579999999999998E-2</v>
      </c>
      <c r="H35" s="342"/>
      <c r="I35" s="341">
        <f>ROUND(+G22/I32,5)</f>
        <v>3.7100000000000002E-3</v>
      </c>
    </row>
    <row r="36" spans="1:9" x14ac:dyDescent="0.3">
      <c r="A36" s="94"/>
    </row>
    <row r="37" spans="1:9" x14ac:dyDescent="0.3">
      <c r="A37" s="94"/>
    </row>
    <row r="38" spans="1:9" x14ac:dyDescent="0.3">
      <c r="A38" s="94"/>
    </row>
    <row r="39" spans="1:9" x14ac:dyDescent="0.3">
      <c r="A39" s="94"/>
    </row>
    <row r="304" spans="9:9" x14ac:dyDescent="0.3">
      <c r="I304" s="78" t="s">
        <v>36</v>
      </c>
    </row>
  </sheetData>
  <pageMargins left="0.5" right="0.5" top="0.75" bottom="0.25" header="0.5" footer="0.25"/>
  <pageSetup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EAD5-C758-4118-9816-38BCA77FE3B4}">
  <sheetPr>
    <tabColor theme="3" tint="0.39997558519241921"/>
    <pageSetUpPr fitToPage="1"/>
  </sheetPr>
  <dimension ref="A1:J304"/>
  <sheetViews>
    <sheetView tabSelected="1" workbookViewId="0">
      <selection activeCell="N69" sqref="N69"/>
    </sheetView>
  </sheetViews>
  <sheetFormatPr defaultColWidth="9.109375" defaultRowHeight="13.8" x14ac:dyDescent="0.3"/>
  <cols>
    <col min="1" max="1" width="5.6640625" style="78" customWidth="1"/>
    <col min="2" max="2" width="2.6640625" style="78" customWidth="1"/>
    <col min="3" max="3" width="5.6640625" style="78" customWidth="1"/>
    <col min="4" max="4" width="39.44140625" style="78" customWidth="1"/>
    <col min="5" max="5" width="8.6640625" style="78" customWidth="1"/>
    <col min="6" max="6" width="2" style="78" customWidth="1"/>
    <col min="7" max="7" width="11.6640625" style="78" customWidth="1"/>
    <col min="8" max="8" width="2" style="78" customWidth="1"/>
    <col min="9" max="9" width="13.44140625" style="78" bestFit="1" customWidth="1"/>
    <col min="10" max="10" width="12.6640625" style="78" customWidth="1"/>
    <col min="11" max="16384" width="9.109375" style="78"/>
  </cols>
  <sheetData>
    <row r="1" spans="1:10" x14ac:dyDescent="0.3">
      <c r="J1" s="30" t="s">
        <v>37</v>
      </c>
    </row>
    <row r="2" spans="1:10" x14ac:dyDescent="0.3">
      <c r="J2" s="33" t="str">
        <f>"DOCKET NO.  " &amp; +"20240025-EI"</f>
        <v>DOCKET NO.  20240025-EI</v>
      </c>
    </row>
    <row r="3" spans="1:10" x14ac:dyDescent="0.3">
      <c r="J3" s="33" t="s">
        <v>38</v>
      </c>
    </row>
    <row r="4" spans="1:10" x14ac:dyDescent="0.3">
      <c r="J4" s="30" t="s">
        <v>405</v>
      </c>
    </row>
    <row r="5" spans="1:10" x14ac:dyDescent="0.3">
      <c r="J5" s="79" t="s">
        <v>403</v>
      </c>
    </row>
    <row r="6" spans="1:10" x14ac:dyDescent="0.3">
      <c r="J6" s="37" t="s">
        <v>11</v>
      </c>
    </row>
    <row r="7" spans="1:10" x14ac:dyDescent="0.3">
      <c r="J7" s="37"/>
    </row>
    <row r="8" spans="1:10" s="83" customFormat="1" ht="15.6" x14ac:dyDescent="0.3">
      <c r="A8" s="81" t="s">
        <v>406</v>
      </c>
      <c r="B8" s="82"/>
      <c r="C8" s="82"/>
      <c r="D8" s="82"/>
      <c r="E8" s="82"/>
      <c r="F8" s="82"/>
      <c r="G8" s="82"/>
      <c r="H8" s="82"/>
      <c r="I8" s="82"/>
      <c r="J8" s="82"/>
    </row>
    <row r="9" spans="1:10" s="83" customFormat="1" ht="15.6" x14ac:dyDescent="0.3">
      <c r="A9" s="81" t="s">
        <v>407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3">
      <c r="A10" s="109"/>
    </row>
    <row r="11" spans="1:10" x14ac:dyDescent="0.3">
      <c r="A11" s="109"/>
    </row>
    <row r="12" spans="1:10" x14ac:dyDescent="0.3">
      <c r="A12" s="109"/>
    </row>
    <row r="14" spans="1:10" x14ac:dyDescent="0.3">
      <c r="A14" s="335" t="s">
        <v>54</v>
      </c>
    </row>
    <row r="15" spans="1:10" x14ac:dyDescent="0.3">
      <c r="A15" s="94">
        <v>1</v>
      </c>
      <c r="C15" s="95" t="s">
        <v>408</v>
      </c>
      <c r="E15" s="336"/>
      <c r="G15" s="91" t="s">
        <v>409</v>
      </c>
      <c r="I15" s="91" t="s">
        <v>410</v>
      </c>
    </row>
    <row r="16" spans="1:10" x14ac:dyDescent="0.3">
      <c r="A16" s="94">
        <f t="shared" ref="A16:A35" si="0">+A15+1</f>
        <v>2</v>
      </c>
      <c r="E16" s="212"/>
      <c r="G16" s="212"/>
    </row>
    <row r="17" spans="1:10" x14ac:dyDescent="0.3">
      <c r="A17" s="94">
        <f t="shared" si="0"/>
        <v>3</v>
      </c>
      <c r="C17" s="78" t="s">
        <v>411</v>
      </c>
      <c r="G17" s="245">
        <f>'[2]MFR E-6b'!K71</f>
        <v>5.27241907699905</v>
      </c>
      <c r="I17" s="245">
        <f>'[2]MFR E-6b'!L71</f>
        <v>4.1226770373783541</v>
      </c>
    </row>
    <row r="18" spans="1:10" x14ac:dyDescent="0.3">
      <c r="A18" s="94">
        <f t="shared" si="0"/>
        <v>4</v>
      </c>
      <c r="G18" s="108"/>
      <c r="I18" s="213"/>
      <c r="J18" s="224"/>
    </row>
    <row r="19" spans="1:10" x14ac:dyDescent="0.3">
      <c r="A19" s="94">
        <f t="shared" si="0"/>
        <v>5</v>
      </c>
      <c r="C19" s="78" t="s">
        <v>412</v>
      </c>
      <c r="G19" s="106">
        <v>0.5</v>
      </c>
      <c r="I19" s="106">
        <f>+G19</f>
        <v>0.5</v>
      </c>
    </row>
    <row r="20" spans="1:10" x14ac:dyDescent="0.3">
      <c r="A20" s="94">
        <f t="shared" si="0"/>
        <v>6</v>
      </c>
      <c r="G20" s="106"/>
      <c r="I20" s="212"/>
      <c r="J20" s="187"/>
    </row>
    <row r="21" spans="1:10" ht="14.4" thickBot="1" x14ac:dyDescent="0.35">
      <c r="A21" s="94">
        <f t="shared" si="0"/>
        <v>7</v>
      </c>
      <c r="C21" s="78" t="s">
        <v>413</v>
      </c>
    </row>
    <row r="22" spans="1:10" ht="14.4" thickBot="1" x14ac:dyDescent="0.35">
      <c r="A22" s="94">
        <f t="shared" si="0"/>
        <v>8</v>
      </c>
      <c r="D22" s="78" t="s">
        <v>414</v>
      </c>
      <c r="G22" s="337">
        <f>ROUND(+G17*G19,2)</f>
        <v>2.64</v>
      </c>
      <c r="I22" s="337">
        <f>ROUND(+I17*I19,2)</f>
        <v>2.06</v>
      </c>
    </row>
    <row r="23" spans="1:10" x14ac:dyDescent="0.3">
      <c r="A23" s="94">
        <f t="shared" si="0"/>
        <v>9</v>
      </c>
    </row>
    <row r="24" spans="1:10" x14ac:dyDescent="0.3">
      <c r="A24" s="94">
        <f t="shared" si="0"/>
        <v>10</v>
      </c>
    </row>
    <row r="25" spans="1:10" x14ac:dyDescent="0.3">
      <c r="A25" s="94">
        <f t="shared" si="0"/>
        <v>11</v>
      </c>
    </row>
    <row r="26" spans="1:10" x14ac:dyDescent="0.3">
      <c r="A26" s="94">
        <f t="shared" si="0"/>
        <v>12</v>
      </c>
      <c r="C26" s="95" t="s">
        <v>415</v>
      </c>
      <c r="G26" s="91" t="s">
        <v>98</v>
      </c>
      <c r="H26" s="152"/>
      <c r="I26" s="91" t="s">
        <v>112</v>
      </c>
    </row>
    <row r="27" spans="1:10" x14ac:dyDescent="0.3">
      <c r="A27" s="94">
        <f t="shared" si="0"/>
        <v>13</v>
      </c>
    </row>
    <row r="28" spans="1:10" x14ac:dyDescent="0.3">
      <c r="A28" s="94">
        <f t="shared" si="0"/>
        <v>14</v>
      </c>
      <c r="C28" s="78" t="s">
        <v>416</v>
      </c>
      <c r="G28" s="338">
        <v>0.21110968723217588</v>
      </c>
      <c r="H28" s="339"/>
      <c r="I28" s="340">
        <v>1</v>
      </c>
    </row>
    <row r="29" spans="1:10" x14ac:dyDescent="0.3">
      <c r="A29" s="94">
        <f t="shared" si="0"/>
        <v>15</v>
      </c>
      <c r="G29" s="338"/>
      <c r="H29" s="339"/>
      <c r="I29" s="339"/>
    </row>
    <row r="30" spans="1:10" x14ac:dyDescent="0.3">
      <c r="A30" s="94">
        <f t="shared" si="0"/>
        <v>16</v>
      </c>
      <c r="C30" s="78" t="s">
        <v>417</v>
      </c>
      <c r="G30" s="187">
        <f>8760/12</f>
        <v>730</v>
      </c>
      <c r="H30" s="187"/>
      <c r="I30" s="187">
        <f>+G30</f>
        <v>730</v>
      </c>
    </row>
    <row r="31" spans="1:10" x14ac:dyDescent="0.3">
      <c r="A31" s="94">
        <f t="shared" si="0"/>
        <v>17</v>
      </c>
      <c r="G31" s="187"/>
      <c r="H31" s="187"/>
      <c r="I31" s="187"/>
    </row>
    <row r="32" spans="1:10" x14ac:dyDescent="0.3">
      <c r="A32" s="94">
        <f t="shared" si="0"/>
        <v>18</v>
      </c>
      <c r="C32" s="78" t="s">
        <v>418</v>
      </c>
      <c r="G32" s="187">
        <f>+G30*G28</f>
        <v>154.11007167948839</v>
      </c>
      <c r="H32" s="187"/>
      <c r="I32" s="187">
        <f>+I30*I28</f>
        <v>730</v>
      </c>
    </row>
    <row r="33" spans="1:9" x14ac:dyDescent="0.3">
      <c r="A33" s="94">
        <f t="shared" si="0"/>
        <v>19</v>
      </c>
      <c r="G33" s="187"/>
      <c r="H33" s="187"/>
      <c r="I33" s="187"/>
    </row>
    <row r="34" spans="1:9" ht="14.4" thickBot="1" x14ac:dyDescent="0.35">
      <c r="A34" s="94">
        <f t="shared" si="0"/>
        <v>20</v>
      </c>
      <c r="C34" s="78" t="s">
        <v>419</v>
      </c>
    </row>
    <row r="35" spans="1:9" ht="14.4" thickBot="1" x14ac:dyDescent="0.35">
      <c r="A35" s="94">
        <f t="shared" si="0"/>
        <v>21</v>
      </c>
      <c r="D35" s="78" t="s">
        <v>420</v>
      </c>
      <c r="G35" s="341">
        <f>ROUND(+G22/G32,5)</f>
        <v>1.7129999999999999E-2</v>
      </c>
      <c r="H35" s="342"/>
      <c r="I35" s="341">
        <f>ROUND(+G22/I32,5)</f>
        <v>3.62E-3</v>
      </c>
    </row>
    <row r="36" spans="1:9" x14ac:dyDescent="0.3">
      <c r="A36" s="94"/>
    </row>
    <row r="37" spans="1:9" x14ac:dyDescent="0.3">
      <c r="A37" s="94"/>
    </row>
    <row r="38" spans="1:9" x14ac:dyDescent="0.3">
      <c r="A38" s="94"/>
    </row>
    <row r="39" spans="1:9" x14ac:dyDescent="0.3">
      <c r="A39" s="94"/>
    </row>
    <row r="304" spans="9:9" x14ac:dyDescent="0.3">
      <c r="I304" s="78" t="s">
        <v>36</v>
      </c>
    </row>
  </sheetData>
  <pageMargins left="0.5" right="0.5" top="0.75" bottom="0.25" header="0.5" footer="0.25"/>
  <pageSetup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C8ED-83C0-46B2-A03A-E9C91FBF7D0D}">
  <sheetPr>
    <tabColor theme="3" tint="0.39997558519241921"/>
    <pageSetUpPr fitToPage="1"/>
  </sheetPr>
  <dimension ref="A1:J304"/>
  <sheetViews>
    <sheetView tabSelected="1" workbookViewId="0">
      <selection activeCell="N69" sqref="N69"/>
    </sheetView>
  </sheetViews>
  <sheetFormatPr defaultColWidth="9.109375" defaultRowHeight="13.8" x14ac:dyDescent="0.3"/>
  <cols>
    <col min="1" max="1" width="5.6640625" style="78" customWidth="1"/>
    <col min="2" max="2" width="2.6640625" style="78" customWidth="1"/>
    <col min="3" max="3" width="5.6640625" style="78" customWidth="1"/>
    <col min="4" max="4" width="39.44140625" style="78" customWidth="1"/>
    <col min="5" max="5" width="8.6640625" style="78" customWidth="1"/>
    <col min="6" max="6" width="2" style="78" customWidth="1"/>
    <col min="7" max="7" width="11.6640625" style="78" customWidth="1"/>
    <col min="8" max="8" width="2" style="78" customWidth="1"/>
    <col min="9" max="9" width="13.44140625" style="78" bestFit="1" customWidth="1"/>
    <col min="10" max="10" width="12.6640625" style="78" customWidth="1"/>
    <col min="11" max="16384" width="9.109375" style="78"/>
  </cols>
  <sheetData>
    <row r="1" spans="1:10" x14ac:dyDescent="0.3">
      <c r="J1" s="30" t="s">
        <v>37</v>
      </c>
    </row>
    <row r="2" spans="1:10" x14ac:dyDescent="0.3">
      <c r="J2" s="33" t="str">
        <f>"DOCKET NO.  " &amp; +"20240025-EI"</f>
        <v>DOCKET NO.  20240025-EI</v>
      </c>
    </row>
    <row r="3" spans="1:10" x14ac:dyDescent="0.3">
      <c r="J3" s="33" t="s">
        <v>38</v>
      </c>
    </row>
    <row r="4" spans="1:10" x14ac:dyDescent="0.3">
      <c r="J4" s="30" t="s">
        <v>405</v>
      </c>
    </row>
    <row r="5" spans="1:10" x14ac:dyDescent="0.3">
      <c r="J5" s="79" t="s">
        <v>404</v>
      </c>
    </row>
    <row r="6" spans="1:10" x14ac:dyDescent="0.3">
      <c r="J6" s="37" t="s">
        <v>8</v>
      </c>
    </row>
    <row r="7" spans="1:10" x14ac:dyDescent="0.3">
      <c r="J7" s="37"/>
    </row>
    <row r="8" spans="1:10" s="83" customFormat="1" ht="15.6" x14ac:dyDescent="0.3">
      <c r="A8" s="81" t="s">
        <v>406</v>
      </c>
      <c r="B8" s="82"/>
      <c r="C8" s="82"/>
      <c r="D8" s="82"/>
      <c r="E8" s="82"/>
      <c r="F8" s="82"/>
      <c r="G8" s="82"/>
      <c r="H8" s="82"/>
      <c r="I8" s="82"/>
      <c r="J8" s="82"/>
    </row>
    <row r="9" spans="1:10" s="83" customFormat="1" ht="15.6" x14ac:dyDescent="0.3">
      <c r="A9" s="81" t="s">
        <v>407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3">
      <c r="A10" s="109"/>
    </row>
    <row r="11" spans="1:10" x14ac:dyDescent="0.3">
      <c r="A11" s="109"/>
    </row>
    <row r="12" spans="1:10" x14ac:dyDescent="0.3">
      <c r="A12" s="109"/>
    </row>
    <row r="14" spans="1:10" x14ac:dyDescent="0.3">
      <c r="A14" s="335" t="s">
        <v>54</v>
      </c>
    </row>
    <row r="15" spans="1:10" x14ac:dyDescent="0.3">
      <c r="A15" s="94">
        <v>1</v>
      </c>
      <c r="C15" s="95" t="s">
        <v>408</v>
      </c>
      <c r="E15" s="336"/>
      <c r="G15" s="91" t="s">
        <v>409</v>
      </c>
      <c r="I15" s="91" t="s">
        <v>410</v>
      </c>
    </row>
    <row r="16" spans="1:10" x14ac:dyDescent="0.3">
      <c r="A16" s="94">
        <f t="shared" ref="A16:A35" si="0">+A15+1</f>
        <v>2</v>
      </c>
      <c r="E16" s="212"/>
      <c r="G16" s="212"/>
    </row>
    <row r="17" spans="1:10" x14ac:dyDescent="0.3">
      <c r="A17" s="94">
        <f t="shared" si="0"/>
        <v>3</v>
      </c>
      <c r="C17" s="78" t="s">
        <v>411</v>
      </c>
      <c r="G17" s="245">
        <v>5.0128703820105702</v>
      </c>
      <c r="I17" s="245">
        <v>3.9161066265418514</v>
      </c>
    </row>
    <row r="18" spans="1:10" x14ac:dyDescent="0.3">
      <c r="A18" s="94">
        <f t="shared" si="0"/>
        <v>4</v>
      </c>
      <c r="G18" s="108"/>
      <c r="I18" s="213"/>
      <c r="J18" s="224"/>
    </row>
    <row r="19" spans="1:10" x14ac:dyDescent="0.3">
      <c r="A19" s="94">
        <f t="shared" si="0"/>
        <v>5</v>
      </c>
      <c r="C19" s="78" t="s">
        <v>412</v>
      </c>
      <c r="G19" s="106">
        <v>0.5</v>
      </c>
      <c r="I19" s="106">
        <f>+G19</f>
        <v>0.5</v>
      </c>
    </row>
    <row r="20" spans="1:10" x14ac:dyDescent="0.3">
      <c r="A20" s="94">
        <f t="shared" si="0"/>
        <v>6</v>
      </c>
      <c r="G20" s="106"/>
      <c r="I20" s="212"/>
      <c r="J20" s="187"/>
    </row>
    <row r="21" spans="1:10" ht="14.4" thickBot="1" x14ac:dyDescent="0.35">
      <c r="A21" s="94">
        <f t="shared" si="0"/>
        <v>7</v>
      </c>
      <c r="C21" s="78" t="s">
        <v>413</v>
      </c>
    </row>
    <row r="22" spans="1:10" ht="14.4" thickBot="1" x14ac:dyDescent="0.35">
      <c r="A22" s="94">
        <f t="shared" si="0"/>
        <v>8</v>
      </c>
      <c r="D22" s="78" t="s">
        <v>414</v>
      </c>
      <c r="G22" s="337">
        <f>ROUND(+G17*G19,2)</f>
        <v>2.5099999999999998</v>
      </c>
      <c r="I22" s="337">
        <f>ROUND(+I17*I19,2)</f>
        <v>1.96</v>
      </c>
    </row>
    <row r="23" spans="1:10" x14ac:dyDescent="0.3">
      <c r="A23" s="94">
        <f t="shared" si="0"/>
        <v>9</v>
      </c>
    </row>
    <row r="24" spans="1:10" x14ac:dyDescent="0.3">
      <c r="A24" s="94">
        <f t="shared" si="0"/>
        <v>10</v>
      </c>
    </row>
    <row r="25" spans="1:10" x14ac:dyDescent="0.3">
      <c r="A25" s="94">
        <f t="shared" si="0"/>
        <v>11</v>
      </c>
    </row>
    <row r="26" spans="1:10" x14ac:dyDescent="0.3">
      <c r="A26" s="94">
        <f t="shared" si="0"/>
        <v>12</v>
      </c>
      <c r="C26" s="95" t="s">
        <v>415</v>
      </c>
      <c r="G26" s="91" t="s">
        <v>98</v>
      </c>
      <c r="H26" s="152"/>
      <c r="I26" s="91" t="s">
        <v>112</v>
      </c>
    </row>
    <row r="27" spans="1:10" x14ac:dyDescent="0.3">
      <c r="A27" s="94">
        <f t="shared" si="0"/>
        <v>13</v>
      </c>
    </row>
    <row r="28" spans="1:10" x14ac:dyDescent="0.3">
      <c r="A28" s="94">
        <f t="shared" si="0"/>
        <v>14</v>
      </c>
      <c r="C28" s="78" t="s">
        <v>416</v>
      </c>
      <c r="G28" s="338">
        <v>0.21110968723217588</v>
      </c>
      <c r="H28" s="339"/>
      <c r="I28" s="340">
        <v>1</v>
      </c>
    </row>
    <row r="29" spans="1:10" x14ac:dyDescent="0.3">
      <c r="A29" s="94">
        <f t="shared" si="0"/>
        <v>15</v>
      </c>
      <c r="G29" s="338"/>
      <c r="H29" s="339"/>
      <c r="I29" s="339"/>
    </row>
    <row r="30" spans="1:10" x14ac:dyDescent="0.3">
      <c r="A30" s="94">
        <f t="shared" si="0"/>
        <v>16</v>
      </c>
      <c r="C30" s="78" t="s">
        <v>417</v>
      </c>
      <c r="G30" s="187">
        <f>8760/12</f>
        <v>730</v>
      </c>
      <c r="H30" s="187"/>
      <c r="I30" s="187">
        <f>+G30</f>
        <v>730</v>
      </c>
    </row>
    <row r="31" spans="1:10" x14ac:dyDescent="0.3">
      <c r="A31" s="94">
        <f t="shared" si="0"/>
        <v>17</v>
      </c>
      <c r="G31" s="187"/>
      <c r="H31" s="187"/>
      <c r="I31" s="187"/>
    </row>
    <row r="32" spans="1:10" x14ac:dyDescent="0.3">
      <c r="A32" s="94">
        <f t="shared" si="0"/>
        <v>18</v>
      </c>
      <c r="C32" s="78" t="s">
        <v>418</v>
      </c>
      <c r="G32" s="187">
        <f>+G30*G28</f>
        <v>154.11007167948839</v>
      </c>
      <c r="H32" s="187"/>
      <c r="I32" s="187">
        <f>+I30*I28</f>
        <v>730</v>
      </c>
    </row>
    <row r="33" spans="1:9" x14ac:dyDescent="0.3">
      <c r="A33" s="94">
        <f t="shared" si="0"/>
        <v>19</v>
      </c>
      <c r="G33" s="187"/>
      <c r="H33" s="187"/>
      <c r="I33" s="187"/>
    </row>
    <row r="34" spans="1:9" ht="14.4" thickBot="1" x14ac:dyDescent="0.35">
      <c r="A34" s="94">
        <f t="shared" si="0"/>
        <v>20</v>
      </c>
      <c r="C34" s="78" t="s">
        <v>419</v>
      </c>
    </row>
    <row r="35" spans="1:9" ht="14.4" thickBot="1" x14ac:dyDescent="0.35">
      <c r="A35" s="94">
        <f t="shared" si="0"/>
        <v>21</v>
      </c>
      <c r="D35" s="78" t="s">
        <v>420</v>
      </c>
      <c r="G35" s="341">
        <f>ROUND(+G22/G32,5)</f>
        <v>1.6289999999999999E-2</v>
      </c>
      <c r="H35" s="342"/>
      <c r="I35" s="341">
        <f>ROUND(+G22/I32,5)</f>
        <v>3.4399999999999999E-3</v>
      </c>
    </row>
    <row r="36" spans="1:9" x14ac:dyDescent="0.3">
      <c r="A36" s="94"/>
    </row>
    <row r="37" spans="1:9" x14ac:dyDescent="0.3">
      <c r="A37" s="94"/>
    </row>
    <row r="38" spans="1:9" x14ac:dyDescent="0.3">
      <c r="A38" s="94"/>
    </row>
    <row r="39" spans="1:9" x14ac:dyDescent="0.3">
      <c r="A39" s="94"/>
    </row>
    <row r="304" spans="9:9" x14ac:dyDescent="0.3">
      <c r="I304" s="78" t="s">
        <v>36</v>
      </c>
    </row>
  </sheetData>
  <pageMargins left="0.5" right="0.5" top="0.75" bottom="0.25" header="0.5" footer="0.25"/>
  <pageSetup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14ED-524C-4C20-A657-39B7512932AB}">
  <sheetPr>
    <tabColor theme="4" tint="-0.249977111117893"/>
    <pageSetUpPr fitToPage="1"/>
  </sheetPr>
  <dimension ref="A1:DW27"/>
  <sheetViews>
    <sheetView tabSelected="1" workbookViewId="0">
      <selection activeCell="N69" sqref="N69"/>
    </sheetView>
  </sheetViews>
  <sheetFormatPr defaultColWidth="11.44140625" defaultRowHeight="15.6" x14ac:dyDescent="0.3"/>
  <cols>
    <col min="1" max="1" width="1.33203125" style="148" customWidth="1"/>
    <col min="2" max="2" width="5.6640625" style="346" customWidth="1"/>
    <col min="3" max="3" width="36.33203125" style="346" customWidth="1"/>
    <col min="4" max="4" width="8.6640625" style="346" customWidth="1"/>
    <col min="5" max="5" width="38.5546875" style="346" customWidth="1"/>
    <col min="6" max="6" width="26.44140625" style="346" customWidth="1"/>
    <col min="7" max="7" width="17.33203125" style="346" customWidth="1"/>
    <col min="8" max="10" width="11.44140625" style="346"/>
    <col min="11" max="11" width="1.33203125" style="148" customWidth="1"/>
    <col min="12" max="16384" width="11.44140625" style="346"/>
  </cols>
  <sheetData>
    <row r="1" spans="1:127" s="344" customFormat="1" ht="18" x14ac:dyDescent="0.35">
      <c r="A1" s="343"/>
      <c r="B1" s="379"/>
      <c r="C1" s="379"/>
      <c r="D1" s="379"/>
      <c r="E1" s="379"/>
      <c r="F1" s="379"/>
      <c r="G1" s="379"/>
      <c r="H1" s="256"/>
      <c r="I1" s="256"/>
      <c r="J1" s="256"/>
      <c r="K1" s="343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343"/>
      <c r="X1" s="24">
        <v>2022</v>
      </c>
      <c r="Y1" s="183"/>
      <c r="Z1" s="183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343"/>
      <c r="AX1" s="24">
        <v>2023</v>
      </c>
      <c r="AY1" s="183"/>
      <c r="AZ1" s="183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343"/>
      <c r="BX1" s="24">
        <v>2024</v>
      </c>
      <c r="BY1" s="183"/>
      <c r="BZ1" s="183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343"/>
      <c r="CX1" s="24">
        <v>2025</v>
      </c>
      <c r="CY1" s="183"/>
      <c r="CZ1" s="183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343"/>
    </row>
    <row r="2" spans="1:127" x14ac:dyDescent="0.3">
      <c r="A2" s="345"/>
      <c r="K2" s="345"/>
    </row>
    <row r="3" spans="1:127" x14ac:dyDescent="0.3">
      <c r="A3" s="345"/>
      <c r="G3" s="347" t="s">
        <v>37</v>
      </c>
      <c r="K3" s="345"/>
    </row>
    <row r="4" spans="1:127" x14ac:dyDescent="0.3">
      <c r="A4" s="345"/>
      <c r="G4" s="33" t="str">
        <f>"DOCKET NO.  " &amp; +"20240025-EI"</f>
        <v>DOCKET NO.  20240025-EI</v>
      </c>
      <c r="K4" s="345"/>
    </row>
    <row r="5" spans="1:127" x14ac:dyDescent="0.3">
      <c r="A5" s="345"/>
      <c r="G5" s="348" t="s">
        <v>38</v>
      </c>
      <c r="K5" s="345"/>
    </row>
    <row r="6" spans="1:127" x14ac:dyDescent="0.3">
      <c r="A6" s="345"/>
      <c r="G6" s="347" t="s">
        <v>421</v>
      </c>
      <c r="K6" s="345"/>
    </row>
    <row r="7" spans="1:127" x14ac:dyDescent="0.3">
      <c r="A7" s="345"/>
      <c r="G7" s="349" t="s">
        <v>368</v>
      </c>
      <c r="K7" s="345"/>
    </row>
    <row r="8" spans="1:127" x14ac:dyDescent="0.3">
      <c r="A8" s="345"/>
      <c r="B8" s="380" t="s">
        <v>422</v>
      </c>
      <c r="C8" s="380"/>
      <c r="D8" s="380"/>
      <c r="E8" s="380"/>
      <c r="F8" s="380"/>
      <c r="G8" s="350"/>
      <c r="H8" s="351"/>
      <c r="I8" s="82"/>
      <c r="K8" s="345"/>
    </row>
    <row r="9" spans="1:127" x14ac:dyDescent="0.3">
      <c r="A9" s="345"/>
      <c r="C9" s="352"/>
      <c r="D9" s="353"/>
      <c r="E9" s="354"/>
      <c r="F9" s="352"/>
      <c r="G9" s="355"/>
      <c r="K9" s="345"/>
    </row>
    <row r="10" spans="1:127" x14ac:dyDescent="0.3">
      <c r="A10" s="356"/>
      <c r="C10" s="357" t="s">
        <v>56</v>
      </c>
      <c r="D10" s="357">
        <v>2027</v>
      </c>
      <c r="E10" s="357" t="s">
        <v>423</v>
      </c>
      <c r="F10" s="357" t="s">
        <v>424</v>
      </c>
      <c r="G10" s="355"/>
      <c r="K10" s="356"/>
    </row>
    <row r="11" spans="1:127" x14ac:dyDescent="0.3">
      <c r="A11" s="356"/>
      <c r="C11" s="358" t="s">
        <v>65</v>
      </c>
      <c r="D11" s="359">
        <v>15.45</v>
      </c>
      <c r="E11" s="358" t="s">
        <v>425</v>
      </c>
      <c r="F11" s="358" t="s">
        <v>426</v>
      </c>
      <c r="K11" s="356"/>
    </row>
    <row r="12" spans="1:127" x14ac:dyDescent="0.3">
      <c r="A12" s="345"/>
      <c r="C12" s="358" t="s">
        <v>427</v>
      </c>
      <c r="D12" s="360">
        <v>1.9826497210983867</v>
      </c>
      <c r="E12" s="358" t="s">
        <v>428</v>
      </c>
      <c r="F12" s="358" t="s">
        <v>429</v>
      </c>
      <c r="K12" s="345"/>
    </row>
    <row r="13" spans="1:127" x14ac:dyDescent="0.3">
      <c r="A13" s="345"/>
      <c r="C13" s="358" t="s">
        <v>430</v>
      </c>
      <c r="D13" s="360">
        <v>1.4546410546509314</v>
      </c>
      <c r="E13" s="358" t="s">
        <v>431</v>
      </c>
      <c r="F13" s="358" t="s">
        <v>432</v>
      </c>
      <c r="K13" s="345"/>
    </row>
    <row r="14" spans="1:127" x14ac:dyDescent="0.3">
      <c r="A14" s="345"/>
      <c r="C14" s="358" t="s">
        <v>433</v>
      </c>
      <c r="D14" s="360">
        <v>1.1613035458535934</v>
      </c>
      <c r="E14" s="358" t="s">
        <v>434</v>
      </c>
      <c r="F14" s="358" t="s">
        <v>435</v>
      </c>
      <c r="K14" s="345"/>
    </row>
    <row r="15" spans="1:127" x14ac:dyDescent="0.3">
      <c r="A15" s="345"/>
      <c r="C15" s="358" t="s">
        <v>436</v>
      </c>
      <c r="D15" s="359">
        <v>18.309999999999999</v>
      </c>
      <c r="E15" s="358" t="s">
        <v>437</v>
      </c>
      <c r="F15" s="358" t="s">
        <v>438</v>
      </c>
      <c r="K15" s="345"/>
    </row>
    <row r="16" spans="1:127" x14ac:dyDescent="0.3">
      <c r="A16" s="345"/>
      <c r="C16" s="358" t="s">
        <v>439</v>
      </c>
      <c r="D16" s="359">
        <v>7.04</v>
      </c>
      <c r="E16" s="358" t="s">
        <v>440</v>
      </c>
      <c r="F16" s="358" t="s">
        <v>441</v>
      </c>
      <c r="K16" s="345"/>
    </row>
    <row r="17" spans="1:11" x14ac:dyDescent="0.3">
      <c r="A17" s="345"/>
      <c r="C17" s="358" t="s">
        <v>442</v>
      </c>
      <c r="D17" s="359">
        <v>1.35</v>
      </c>
      <c r="E17" s="358" t="s">
        <v>443</v>
      </c>
      <c r="F17" s="358" t="s">
        <v>444</v>
      </c>
      <c r="K17" s="345"/>
    </row>
    <row r="18" spans="1:11" x14ac:dyDescent="0.3">
      <c r="A18" s="345"/>
      <c r="C18" s="361"/>
      <c r="D18" s="361"/>
      <c r="K18" s="345"/>
    </row>
    <row r="19" spans="1:11" x14ac:dyDescent="0.3">
      <c r="A19" s="345"/>
      <c r="C19" s="381" t="s">
        <v>445</v>
      </c>
      <c r="D19" s="381"/>
      <c r="E19" s="381"/>
      <c r="F19" s="381"/>
      <c r="K19" s="345"/>
    </row>
    <row r="20" spans="1:11" x14ac:dyDescent="0.3">
      <c r="A20" s="345"/>
      <c r="C20" s="381"/>
      <c r="D20" s="381"/>
      <c r="E20" s="381"/>
      <c r="F20" s="381"/>
      <c r="K20" s="345"/>
    </row>
    <row r="21" spans="1:11" x14ac:dyDescent="0.3">
      <c r="A21" s="345"/>
      <c r="C21" s="361"/>
      <c r="D21" s="361"/>
      <c r="K21" s="345"/>
    </row>
    <row r="22" spans="1:11" x14ac:dyDescent="0.3">
      <c r="A22" s="345"/>
      <c r="K22" s="345"/>
    </row>
    <row r="23" spans="1:11" x14ac:dyDescent="0.3">
      <c r="A23" s="345"/>
      <c r="K23" s="345"/>
    </row>
    <row r="24" spans="1:11" ht="26.4" customHeight="1" x14ac:dyDescent="0.3">
      <c r="A24" s="345"/>
      <c r="K24" s="345"/>
    </row>
    <row r="25" spans="1:11" x14ac:dyDescent="0.3">
      <c r="A25" s="345"/>
      <c r="K25" s="345"/>
    </row>
    <row r="26" spans="1:11" x14ac:dyDescent="0.3">
      <c r="A26" s="345"/>
      <c r="K26" s="345"/>
    </row>
    <row r="27" spans="1:11" x14ac:dyDescent="0.3">
      <c r="A27" s="345"/>
      <c r="K27" s="345"/>
    </row>
  </sheetData>
  <mergeCells count="3">
    <mergeCell ref="B1:G1"/>
    <mergeCell ref="B8:F8"/>
    <mergeCell ref="C19:F20"/>
  </mergeCells>
  <pageMargins left="0.5" right="0.5" top="0.75" bottom="0.25" header="0.5" footer="0.25"/>
  <pageSetup scale="96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5825-C6AA-42A4-9F1C-9D9780B6260A}">
  <sheetPr>
    <tabColor theme="4" tint="-0.249977111117893"/>
    <pageSetUpPr fitToPage="1"/>
  </sheetPr>
  <dimension ref="A1:DW27"/>
  <sheetViews>
    <sheetView tabSelected="1" workbookViewId="0">
      <selection activeCell="N69" sqref="N69"/>
    </sheetView>
  </sheetViews>
  <sheetFormatPr defaultColWidth="11.44140625" defaultRowHeight="15.6" x14ac:dyDescent="0.3"/>
  <cols>
    <col min="1" max="1" width="1.33203125" style="148" customWidth="1"/>
    <col min="2" max="2" width="5.6640625" style="346" customWidth="1"/>
    <col min="3" max="3" width="36.33203125" style="346" customWidth="1"/>
    <col min="4" max="4" width="8.6640625" style="346" customWidth="1"/>
    <col min="5" max="5" width="38.5546875" style="346" customWidth="1"/>
    <col min="6" max="6" width="26.44140625" style="346" customWidth="1"/>
    <col min="7" max="7" width="17.33203125" style="346" customWidth="1"/>
    <col min="8" max="10" width="11.44140625" style="346"/>
    <col min="11" max="11" width="1.33203125" style="148" customWidth="1"/>
    <col min="12" max="16384" width="11.44140625" style="346"/>
  </cols>
  <sheetData>
    <row r="1" spans="1:127" s="344" customFormat="1" ht="18" x14ac:dyDescent="0.35">
      <c r="A1" s="343"/>
      <c r="B1" s="379"/>
      <c r="C1" s="379"/>
      <c r="D1" s="379"/>
      <c r="E1" s="379"/>
      <c r="F1" s="379"/>
      <c r="G1" s="379"/>
      <c r="H1" s="256"/>
      <c r="I1" s="256"/>
      <c r="J1" s="256"/>
      <c r="K1" s="343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343"/>
      <c r="X1" s="24">
        <v>2022</v>
      </c>
      <c r="Y1" s="183"/>
      <c r="Z1" s="183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343"/>
      <c r="AX1" s="24">
        <v>2023</v>
      </c>
      <c r="AY1" s="183"/>
      <c r="AZ1" s="183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343"/>
      <c r="BX1" s="24">
        <v>2024</v>
      </c>
      <c r="BY1" s="183"/>
      <c r="BZ1" s="183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343"/>
      <c r="CX1" s="24">
        <v>2025</v>
      </c>
      <c r="CY1" s="183"/>
      <c r="CZ1" s="183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343"/>
    </row>
    <row r="2" spans="1:127" x14ac:dyDescent="0.3">
      <c r="A2" s="345"/>
      <c r="K2" s="345"/>
    </row>
    <row r="3" spans="1:127" x14ac:dyDescent="0.3">
      <c r="A3" s="345"/>
      <c r="G3" s="347" t="s">
        <v>37</v>
      </c>
      <c r="K3" s="345"/>
    </row>
    <row r="4" spans="1:127" x14ac:dyDescent="0.3">
      <c r="A4" s="345"/>
      <c r="G4" s="33" t="str">
        <f>"DOCKET NO.  " &amp; +"20240025-EI"</f>
        <v>DOCKET NO.  20240025-EI</v>
      </c>
      <c r="K4" s="345"/>
    </row>
    <row r="5" spans="1:127" x14ac:dyDescent="0.3">
      <c r="A5" s="345"/>
      <c r="G5" s="348" t="s">
        <v>38</v>
      </c>
      <c r="K5" s="345"/>
    </row>
    <row r="6" spans="1:127" x14ac:dyDescent="0.3">
      <c r="A6" s="345"/>
      <c r="G6" s="347" t="s">
        <v>421</v>
      </c>
      <c r="K6" s="345"/>
    </row>
    <row r="7" spans="1:127" x14ac:dyDescent="0.3">
      <c r="A7" s="345"/>
      <c r="G7" s="349" t="s">
        <v>403</v>
      </c>
      <c r="K7" s="345"/>
    </row>
    <row r="8" spans="1:127" x14ac:dyDescent="0.3">
      <c r="A8" s="345"/>
      <c r="B8" s="380" t="s">
        <v>422</v>
      </c>
      <c r="C8" s="380"/>
      <c r="D8" s="380"/>
      <c r="E8" s="380"/>
      <c r="F8" s="380"/>
      <c r="G8" s="350"/>
      <c r="H8" s="351"/>
      <c r="I8" s="82"/>
      <c r="K8" s="345"/>
    </row>
    <row r="9" spans="1:127" x14ac:dyDescent="0.3">
      <c r="A9" s="345"/>
      <c r="C9" s="352"/>
      <c r="D9" s="353"/>
      <c r="E9" s="354"/>
      <c r="F9" s="352"/>
      <c r="G9" s="355"/>
      <c r="K9" s="345"/>
    </row>
    <row r="10" spans="1:127" x14ac:dyDescent="0.3">
      <c r="A10" s="356"/>
      <c r="C10" s="357" t="s">
        <v>56</v>
      </c>
      <c r="D10" s="357">
        <v>2026</v>
      </c>
      <c r="E10" s="357" t="s">
        <v>423</v>
      </c>
      <c r="F10" s="357" t="s">
        <v>424</v>
      </c>
      <c r="G10" s="355"/>
      <c r="K10" s="356"/>
    </row>
    <row r="11" spans="1:127" x14ac:dyDescent="0.3">
      <c r="A11" s="356"/>
      <c r="C11" s="358" t="s">
        <v>65</v>
      </c>
      <c r="D11" s="359">
        <v>15.13</v>
      </c>
      <c r="E11" s="358" t="s">
        <v>425</v>
      </c>
      <c r="F11" s="358" t="s">
        <v>426</v>
      </c>
      <c r="K11" s="356"/>
    </row>
    <row r="12" spans="1:127" x14ac:dyDescent="0.3">
      <c r="A12" s="345"/>
      <c r="C12" s="358" t="s">
        <v>427</v>
      </c>
      <c r="D12" s="363">
        <v>1.931</v>
      </c>
      <c r="E12" s="358" t="s">
        <v>428</v>
      </c>
      <c r="F12" s="358" t="s">
        <v>429</v>
      </c>
      <c r="K12" s="345"/>
    </row>
    <row r="13" spans="1:127" x14ac:dyDescent="0.3">
      <c r="A13" s="345"/>
      <c r="C13" s="358" t="s">
        <v>430</v>
      </c>
      <c r="D13" s="363">
        <v>1.4159999999999999</v>
      </c>
      <c r="E13" s="358" t="s">
        <v>431</v>
      </c>
      <c r="F13" s="358" t="s">
        <v>432</v>
      </c>
      <c r="K13" s="345"/>
    </row>
    <row r="14" spans="1:127" x14ac:dyDescent="0.3">
      <c r="A14" s="345"/>
      <c r="C14" s="358" t="s">
        <v>433</v>
      </c>
      <c r="D14" s="363">
        <v>1.131</v>
      </c>
      <c r="E14" s="358" t="s">
        <v>434</v>
      </c>
      <c r="F14" s="358" t="s">
        <v>435</v>
      </c>
      <c r="K14" s="345"/>
    </row>
    <row r="15" spans="1:127" x14ac:dyDescent="0.3">
      <c r="A15" s="345"/>
      <c r="C15" s="358" t="s">
        <v>436</v>
      </c>
      <c r="D15" s="364">
        <v>17.649999999999999</v>
      </c>
      <c r="E15" s="358" t="s">
        <v>437</v>
      </c>
      <c r="F15" s="358" t="s">
        <v>438</v>
      </c>
      <c r="K15" s="345"/>
    </row>
    <row r="16" spans="1:127" x14ac:dyDescent="0.3">
      <c r="A16" s="345"/>
      <c r="C16" s="358" t="s">
        <v>439</v>
      </c>
      <c r="D16" s="364">
        <v>6.63</v>
      </c>
      <c r="E16" s="358" t="s">
        <v>440</v>
      </c>
      <c r="F16" s="358" t="s">
        <v>441</v>
      </c>
      <c r="K16" s="345"/>
    </row>
    <row r="17" spans="1:11" x14ac:dyDescent="0.3">
      <c r="A17" s="345"/>
      <c r="C17" s="358" t="s">
        <v>442</v>
      </c>
      <c r="D17" s="364">
        <v>1.28</v>
      </c>
      <c r="E17" s="358" t="s">
        <v>443</v>
      </c>
      <c r="F17" s="358" t="s">
        <v>444</v>
      </c>
      <c r="K17" s="345"/>
    </row>
    <row r="18" spans="1:11" x14ac:dyDescent="0.3">
      <c r="A18" s="345"/>
      <c r="C18" s="361"/>
      <c r="D18" s="361"/>
      <c r="K18" s="345"/>
    </row>
    <row r="19" spans="1:11" x14ac:dyDescent="0.3">
      <c r="A19" s="345"/>
      <c r="C19" s="381" t="s">
        <v>445</v>
      </c>
      <c r="D19" s="381"/>
      <c r="E19" s="381"/>
      <c r="F19" s="381"/>
      <c r="K19" s="345"/>
    </row>
    <row r="20" spans="1:11" x14ac:dyDescent="0.3">
      <c r="A20" s="345"/>
      <c r="C20" s="381"/>
      <c r="D20" s="381"/>
      <c r="E20" s="381"/>
      <c r="F20" s="381"/>
      <c r="K20" s="345"/>
    </row>
    <row r="21" spans="1:11" x14ac:dyDescent="0.3">
      <c r="A21" s="345"/>
      <c r="C21" s="361"/>
      <c r="D21" s="361"/>
      <c r="K21" s="345"/>
    </row>
    <row r="22" spans="1:11" x14ac:dyDescent="0.3">
      <c r="A22" s="345"/>
      <c r="K22" s="345"/>
    </row>
    <row r="23" spans="1:11" x14ac:dyDescent="0.3">
      <c r="A23" s="345"/>
      <c r="K23" s="345"/>
    </row>
    <row r="24" spans="1:11" ht="26.4" customHeight="1" x14ac:dyDescent="0.3">
      <c r="A24" s="345"/>
      <c r="K24" s="345"/>
    </row>
    <row r="25" spans="1:11" x14ac:dyDescent="0.3">
      <c r="A25" s="345"/>
      <c r="K25" s="345"/>
    </row>
    <row r="26" spans="1:11" x14ac:dyDescent="0.3">
      <c r="A26" s="345"/>
      <c r="K26" s="345"/>
    </row>
    <row r="27" spans="1:11" x14ac:dyDescent="0.3">
      <c r="A27" s="345"/>
      <c r="K27" s="345"/>
    </row>
  </sheetData>
  <mergeCells count="3">
    <mergeCell ref="B1:G1"/>
    <mergeCell ref="B8:F8"/>
    <mergeCell ref="C19:F20"/>
  </mergeCells>
  <pageMargins left="0.5" right="0.5" top="0.75" bottom="0.25" header="0.5" footer="0.25"/>
  <pageSetup scale="96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F320-BE6B-4C22-AE1C-BE27BB017FAA}">
  <sheetPr>
    <tabColor theme="4" tint="-0.249977111117893"/>
    <pageSetUpPr fitToPage="1"/>
  </sheetPr>
  <dimension ref="A1:DW27"/>
  <sheetViews>
    <sheetView tabSelected="1" workbookViewId="0">
      <selection activeCell="N69" sqref="N69"/>
    </sheetView>
  </sheetViews>
  <sheetFormatPr defaultColWidth="11.44140625" defaultRowHeight="15.6" x14ac:dyDescent="0.3"/>
  <cols>
    <col min="1" max="1" width="1.33203125" style="148" customWidth="1"/>
    <col min="2" max="2" width="5.6640625" style="346" customWidth="1"/>
    <col min="3" max="3" width="36.33203125" style="346" customWidth="1"/>
    <col min="4" max="4" width="8.6640625" style="346" customWidth="1"/>
    <col min="5" max="5" width="38.5546875" style="346" customWidth="1"/>
    <col min="6" max="6" width="26.44140625" style="346" customWidth="1"/>
    <col min="7" max="7" width="17.33203125" style="346" customWidth="1"/>
    <col min="8" max="10" width="11.44140625" style="346"/>
    <col min="11" max="11" width="1.33203125" style="148" customWidth="1"/>
    <col min="12" max="16384" width="11.44140625" style="346"/>
  </cols>
  <sheetData>
    <row r="1" spans="1:127" s="344" customFormat="1" ht="18" x14ac:dyDescent="0.35">
      <c r="A1" s="343"/>
      <c r="B1" s="379"/>
      <c r="C1" s="379"/>
      <c r="D1" s="379"/>
      <c r="E1" s="379"/>
      <c r="F1" s="379"/>
      <c r="G1" s="379"/>
      <c r="H1" s="256"/>
      <c r="I1" s="256"/>
      <c r="J1" s="256"/>
      <c r="K1" s="343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343"/>
      <c r="X1" s="24">
        <v>2022</v>
      </c>
      <c r="Y1" s="183"/>
      <c r="Z1" s="183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343"/>
      <c r="AX1" s="24">
        <v>2023</v>
      </c>
      <c r="AY1" s="183"/>
      <c r="AZ1" s="183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343"/>
      <c r="BX1" s="24">
        <v>2024</v>
      </c>
      <c r="BY1" s="183"/>
      <c r="BZ1" s="183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343"/>
      <c r="CX1" s="24">
        <v>2025</v>
      </c>
      <c r="CY1" s="183"/>
      <c r="CZ1" s="183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343"/>
    </row>
    <row r="2" spans="1:127" x14ac:dyDescent="0.3">
      <c r="A2" s="345"/>
      <c r="K2" s="345"/>
    </row>
    <row r="3" spans="1:127" x14ac:dyDescent="0.3">
      <c r="A3" s="345"/>
      <c r="G3" s="347" t="s">
        <v>37</v>
      </c>
      <c r="K3" s="345"/>
    </row>
    <row r="4" spans="1:127" x14ac:dyDescent="0.3">
      <c r="A4" s="345"/>
      <c r="G4" s="33" t="str">
        <f>"DOCKET NO.  " &amp; +"20240025-EI"</f>
        <v>DOCKET NO.  20240025-EI</v>
      </c>
      <c r="K4" s="345"/>
    </row>
    <row r="5" spans="1:127" x14ac:dyDescent="0.3">
      <c r="A5" s="345"/>
      <c r="G5" s="348" t="s">
        <v>38</v>
      </c>
      <c r="K5" s="345"/>
    </row>
    <row r="6" spans="1:127" x14ac:dyDescent="0.3">
      <c r="A6" s="345"/>
      <c r="G6" s="347" t="s">
        <v>421</v>
      </c>
      <c r="K6" s="345"/>
    </row>
    <row r="7" spans="1:127" x14ac:dyDescent="0.3">
      <c r="A7" s="345"/>
      <c r="G7" s="349" t="s">
        <v>404</v>
      </c>
      <c r="K7" s="345"/>
    </row>
    <row r="8" spans="1:127" x14ac:dyDescent="0.3">
      <c r="A8" s="345"/>
      <c r="B8" s="380" t="s">
        <v>422</v>
      </c>
      <c r="C8" s="380"/>
      <c r="D8" s="380"/>
      <c r="E8" s="380"/>
      <c r="F8" s="380"/>
      <c r="G8" s="350"/>
      <c r="H8" s="351"/>
      <c r="I8" s="82"/>
      <c r="K8" s="345"/>
    </row>
    <row r="9" spans="1:127" x14ac:dyDescent="0.3">
      <c r="A9" s="345"/>
      <c r="C9" s="352"/>
      <c r="D9" s="353"/>
      <c r="E9" s="354"/>
      <c r="F9" s="352"/>
      <c r="G9" s="355"/>
      <c r="K9" s="345"/>
    </row>
    <row r="10" spans="1:127" x14ac:dyDescent="0.3">
      <c r="A10" s="356"/>
      <c r="C10" s="357" t="s">
        <v>56</v>
      </c>
      <c r="D10" s="357">
        <v>2025</v>
      </c>
      <c r="E10" s="357" t="s">
        <v>423</v>
      </c>
      <c r="F10" s="357" t="s">
        <v>424</v>
      </c>
      <c r="G10" s="355"/>
      <c r="K10" s="356"/>
    </row>
    <row r="11" spans="1:127" x14ac:dyDescent="0.3">
      <c r="A11" s="356"/>
      <c r="C11" s="358" t="s">
        <v>65</v>
      </c>
      <c r="D11" s="359">
        <v>14.86</v>
      </c>
      <c r="E11" s="358" t="s">
        <v>425</v>
      </c>
      <c r="F11" s="358" t="s">
        <v>426</v>
      </c>
      <c r="K11" s="356"/>
    </row>
    <row r="12" spans="1:127" x14ac:dyDescent="0.3">
      <c r="A12" s="345"/>
      <c r="C12" s="358" t="s">
        <v>427</v>
      </c>
      <c r="D12" s="360">
        <v>2.13</v>
      </c>
      <c r="E12" s="358" t="s">
        <v>428</v>
      </c>
      <c r="F12" s="358" t="s">
        <v>429</v>
      </c>
      <c r="K12" s="345"/>
    </row>
    <row r="13" spans="1:127" x14ac:dyDescent="0.3">
      <c r="A13" s="345"/>
      <c r="C13" s="358" t="s">
        <v>430</v>
      </c>
      <c r="D13" s="360">
        <v>1.391</v>
      </c>
      <c r="E13" s="358" t="s">
        <v>431</v>
      </c>
      <c r="F13" s="358" t="s">
        <v>432</v>
      </c>
      <c r="K13" s="345"/>
    </row>
    <row r="14" spans="1:127" x14ac:dyDescent="0.3">
      <c r="A14" s="345"/>
      <c r="C14" s="358" t="s">
        <v>433</v>
      </c>
      <c r="D14" s="360">
        <v>1.0369999999999999</v>
      </c>
      <c r="E14" s="358" t="s">
        <v>434</v>
      </c>
      <c r="F14" s="358" t="s">
        <v>435</v>
      </c>
      <c r="K14" s="345"/>
    </row>
    <row r="15" spans="1:127" x14ac:dyDescent="0.3">
      <c r="A15" s="345"/>
      <c r="C15" s="358" t="s">
        <v>436</v>
      </c>
      <c r="D15" s="359">
        <v>17.079999999999998</v>
      </c>
      <c r="E15" s="358" t="s">
        <v>437</v>
      </c>
      <c r="F15" s="358" t="s">
        <v>438</v>
      </c>
      <c r="K15" s="345"/>
    </row>
    <row r="16" spans="1:127" x14ac:dyDescent="0.3">
      <c r="A16" s="345"/>
      <c r="C16" s="358" t="s">
        <v>439</v>
      </c>
      <c r="D16" s="359">
        <v>6.35</v>
      </c>
      <c r="E16" s="358" t="s">
        <v>440</v>
      </c>
      <c r="F16" s="358" t="s">
        <v>441</v>
      </c>
      <c r="K16" s="345"/>
    </row>
    <row r="17" spans="1:11" x14ac:dyDescent="0.3">
      <c r="A17" s="345"/>
      <c r="C17" s="358" t="s">
        <v>442</v>
      </c>
      <c r="D17" s="359">
        <v>1.25</v>
      </c>
      <c r="E17" s="358" t="s">
        <v>443</v>
      </c>
      <c r="F17" s="358" t="s">
        <v>444</v>
      </c>
      <c r="K17" s="345"/>
    </row>
    <row r="18" spans="1:11" x14ac:dyDescent="0.3">
      <c r="A18" s="345"/>
      <c r="C18" s="361"/>
      <c r="D18" s="361"/>
      <c r="K18" s="345"/>
    </row>
    <row r="19" spans="1:11" x14ac:dyDescent="0.3">
      <c r="A19" s="345"/>
      <c r="C19" s="381" t="s">
        <v>445</v>
      </c>
      <c r="D19" s="381"/>
      <c r="E19" s="381"/>
      <c r="F19" s="381"/>
      <c r="K19" s="345"/>
    </row>
    <row r="20" spans="1:11" x14ac:dyDescent="0.3">
      <c r="A20" s="345"/>
      <c r="C20" s="381"/>
      <c r="D20" s="381"/>
      <c r="E20" s="381"/>
      <c r="F20" s="381"/>
      <c r="K20" s="345"/>
    </row>
    <row r="21" spans="1:11" x14ac:dyDescent="0.3">
      <c r="A21" s="345"/>
      <c r="C21" s="361"/>
      <c r="D21" s="361"/>
      <c r="K21" s="345"/>
    </row>
    <row r="22" spans="1:11" x14ac:dyDescent="0.3">
      <c r="A22" s="345"/>
      <c r="K22" s="345"/>
    </row>
    <row r="23" spans="1:11" x14ac:dyDescent="0.3">
      <c r="A23" s="345"/>
      <c r="K23" s="345"/>
    </row>
    <row r="24" spans="1:11" ht="26.4" customHeight="1" x14ac:dyDescent="0.3">
      <c r="A24" s="345"/>
      <c r="K24" s="345"/>
    </row>
    <row r="25" spans="1:11" x14ac:dyDescent="0.3">
      <c r="A25" s="345"/>
      <c r="K25" s="345"/>
    </row>
    <row r="26" spans="1:11" x14ac:dyDescent="0.3">
      <c r="A26" s="345"/>
      <c r="K26" s="345"/>
    </row>
    <row r="27" spans="1:11" x14ac:dyDescent="0.3">
      <c r="A27" s="345"/>
      <c r="K27" s="345"/>
    </row>
  </sheetData>
  <mergeCells count="3">
    <mergeCell ref="B1:G1"/>
    <mergeCell ref="B8:F8"/>
    <mergeCell ref="C19:F20"/>
  </mergeCells>
  <pageMargins left="0.5" right="0.5" top="0.75" bottom="0.25" header="0.5" footer="0.25"/>
  <pageSetup scale="96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C34A-DF96-4F2D-9764-3A9BB46AC29A}">
  <sheetPr>
    <tabColor theme="5" tint="-0.499984740745262"/>
    <pageSetUpPr fitToPage="1"/>
  </sheetPr>
  <dimension ref="A1:AC299"/>
  <sheetViews>
    <sheetView tabSelected="1" view="pageBreakPreview" zoomScaleNormal="100" zoomScaleSheetLayoutView="100" workbookViewId="0">
      <selection activeCell="N69" sqref="N69"/>
    </sheetView>
  </sheetViews>
  <sheetFormatPr defaultColWidth="11.44140625" defaultRowHeight="13.8" x14ac:dyDescent="0.3"/>
  <cols>
    <col min="1" max="1" width="5" style="27" customWidth="1"/>
    <col min="2" max="2" width="10.109375" style="27" customWidth="1"/>
    <col min="3" max="4" width="3" style="27" customWidth="1"/>
    <col min="5" max="5" width="42.109375" style="27" customWidth="1"/>
    <col min="6" max="6" width="6.44140625" style="27" customWidth="1"/>
    <col min="7" max="7" width="10.44140625" style="27" customWidth="1"/>
    <col min="8" max="9" width="12.44140625" style="27" bestFit="1" customWidth="1"/>
    <col min="10" max="10" width="11.6640625" style="42" customWidth="1"/>
    <col min="11" max="11" width="66" style="27" bestFit="1" customWidth="1"/>
    <col min="12" max="12" width="8.88671875" style="27" customWidth="1"/>
    <col min="13" max="13" width="0.6640625" style="27" customWidth="1"/>
    <col min="14" max="14" width="10" style="283" hidden="1" customWidth="1"/>
    <col min="15" max="15" width="10.6640625" style="284" hidden="1" customWidth="1"/>
    <col min="16" max="17" width="11.5546875" style="283" hidden="1" customWidth="1"/>
    <col min="18" max="18" width="11.5546875" style="285" hidden="1" customWidth="1"/>
    <col min="19" max="19" width="11.5546875" style="283" hidden="1" customWidth="1"/>
    <col min="20" max="21" width="11.5546875" style="285" hidden="1" customWidth="1"/>
    <col min="22" max="23" width="0" style="27" hidden="1" customWidth="1"/>
    <col min="24" max="24" width="3.33203125" style="27" hidden="1" customWidth="1"/>
    <col min="25" max="26" width="1" style="27" hidden="1" customWidth="1"/>
    <col min="27" max="29" width="0" style="27" hidden="1" customWidth="1"/>
    <col min="30" max="16384" width="11.44140625" style="27"/>
  </cols>
  <sheetData>
    <row r="1" spans="1:29" ht="18" x14ac:dyDescent="0.35">
      <c r="A1" s="24">
        <v>2026</v>
      </c>
      <c r="B1" s="25"/>
      <c r="C1" s="25"/>
      <c r="D1" s="26"/>
      <c r="E1" s="26"/>
      <c r="F1" s="26"/>
      <c r="G1" s="26"/>
      <c r="H1" s="26"/>
      <c r="I1" s="26"/>
      <c r="J1" s="26"/>
      <c r="K1" s="25"/>
      <c r="L1" s="25"/>
      <c r="M1" s="25"/>
      <c r="N1" s="280"/>
      <c r="O1" s="281"/>
      <c r="P1" s="280"/>
      <c r="Q1" s="280"/>
      <c r="R1" s="280"/>
      <c r="S1" s="280"/>
      <c r="T1" s="280"/>
      <c r="U1" s="280"/>
      <c r="V1" s="25"/>
      <c r="W1" s="25"/>
      <c r="X1" s="25"/>
      <c r="Y1" s="25"/>
      <c r="Z1" s="282"/>
    </row>
    <row r="2" spans="1:29" x14ac:dyDescent="0.3">
      <c r="A2" s="28"/>
      <c r="B2" s="28"/>
      <c r="C2" s="28"/>
      <c r="D2" s="28"/>
      <c r="E2" s="28"/>
      <c r="F2" s="28"/>
      <c r="J2" s="29"/>
      <c r="L2" s="30" t="s">
        <v>37</v>
      </c>
      <c r="M2" s="31"/>
      <c r="Z2" s="282"/>
    </row>
    <row r="3" spans="1:29" x14ac:dyDescent="0.3">
      <c r="A3" s="28"/>
      <c r="B3" s="28"/>
      <c r="C3" s="28"/>
      <c r="D3" s="28"/>
      <c r="E3" s="28"/>
      <c r="F3" s="28"/>
      <c r="G3" s="32"/>
      <c r="H3" s="32"/>
      <c r="I3" s="32"/>
      <c r="J3" s="29"/>
      <c r="L3" s="33" t="str">
        <f>"DOCKET NO.  " &amp; +"20240025-EI"</f>
        <v>DOCKET NO.  20240025-EI</v>
      </c>
      <c r="M3" s="31"/>
      <c r="Z3" s="282"/>
    </row>
    <row r="4" spans="1:29" x14ac:dyDescent="0.3">
      <c r="A4" s="28"/>
      <c r="B4" s="28"/>
      <c r="C4" s="28"/>
      <c r="D4" s="28"/>
      <c r="E4" s="28"/>
      <c r="F4" s="28"/>
      <c r="G4" s="32"/>
      <c r="H4" s="32"/>
      <c r="I4" s="32"/>
      <c r="J4" s="29"/>
      <c r="L4" s="33" t="s">
        <v>38</v>
      </c>
      <c r="M4" s="31"/>
      <c r="Z4" s="282"/>
    </row>
    <row r="5" spans="1:29" x14ac:dyDescent="0.3">
      <c r="A5" s="28"/>
      <c r="B5" s="28"/>
      <c r="C5" s="28"/>
      <c r="D5" s="28"/>
      <c r="E5" s="28"/>
      <c r="F5" s="28"/>
      <c r="G5" s="32"/>
      <c r="H5" s="32"/>
      <c r="I5" s="32"/>
      <c r="J5" s="29"/>
      <c r="L5" s="30" t="s">
        <v>39</v>
      </c>
      <c r="M5" s="31"/>
      <c r="Z5" s="282"/>
    </row>
    <row r="6" spans="1:29" x14ac:dyDescent="0.3">
      <c r="B6" s="34"/>
      <c r="C6" s="35"/>
      <c r="D6" s="35"/>
      <c r="G6" s="35"/>
      <c r="H6" s="35"/>
      <c r="I6" s="35"/>
      <c r="J6" s="36"/>
      <c r="K6" s="79"/>
      <c r="L6" s="37" t="s">
        <v>11</v>
      </c>
      <c r="M6" s="31"/>
      <c r="N6" s="286"/>
      <c r="O6" s="287"/>
      <c r="Z6" s="282"/>
    </row>
    <row r="7" spans="1:29" x14ac:dyDescent="0.3">
      <c r="A7" s="38" t="s">
        <v>40</v>
      </c>
      <c r="B7" s="38"/>
      <c r="C7" s="39"/>
      <c r="D7" s="39"/>
      <c r="E7" s="40"/>
      <c r="F7" s="40"/>
      <c r="G7" s="39"/>
      <c r="H7" s="39"/>
      <c r="I7" s="39"/>
      <c r="J7" s="40"/>
      <c r="K7" s="40"/>
      <c r="L7" s="40"/>
      <c r="M7" s="31"/>
      <c r="N7" s="286"/>
      <c r="O7" s="287"/>
      <c r="Z7" s="282"/>
    </row>
    <row r="8" spans="1:29" ht="3.75" customHeight="1" x14ac:dyDescent="0.3">
      <c r="G8" s="41"/>
      <c r="H8" s="41"/>
      <c r="I8" s="41"/>
      <c r="M8" s="31"/>
      <c r="N8" s="286"/>
      <c r="O8" s="287"/>
      <c r="Z8" s="282"/>
    </row>
    <row r="9" spans="1:29" x14ac:dyDescent="0.3">
      <c r="G9" s="43">
        <v>46023</v>
      </c>
      <c r="H9" s="43">
        <v>46023</v>
      </c>
      <c r="I9" s="43"/>
      <c r="M9" s="31"/>
      <c r="S9" s="288" t="s">
        <v>41</v>
      </c>
      <c r="U9" s="289" t="s">
        <v>42</v>
      </c>
      <c r="Z9" s="282"/>
    </row>
    <row r="10" spans="1:29" x14ac:dyDescent="0.3">
      <c r="B10" s="42" t="s">
        <v>43</v>
      </c>
      <c r="G10" s="42" t="s">
        <v>44</v>
      </c>
      <c r="H10" s="42" t="s">
        <v>45</v>
      </c>
      <c r="I10" s="42" t="s">
        <v>46</v>
      </c>
      <c r="J10" s="42" t="s">
        <v>47</v>
      </c>
      <c r="K10" s="42"/>
      <c r="L10" s="42"/>
      <c r="M10" s="44"/>
      <c r="N10" s="288" t="s">
        <v>48</v>
      </c>
      <c r="O10" s="288" t="s">
        <v>48</v>
      </c>
      <c r="Q10" s="290" t="s">
        <v>49</v>
      </c>
      <c r="R10" s="290" t="s">
        <v>50</v>
      </c>
      <c r="S10" s="290" t="s">
        <v>51</v>
      </c>
      <c r="T10" s="290" t="s">
        <v>52</v>
      </c>
      <c r="U10" s="290" t="s">
        <v>51</v>
      </c>
      <c r="V10" s="291" t="s">
        <v>53</v>
      </c>
      <c r="W10" s="291" t="s">
        <v>53</v>
      </c>
      <c r="Z10" s="282"/>
    </row>
    <row r="11" spans="1:29" x14ac:dyDescent="0.3">
      <c r="A11" s="45" t="s">
        <v>54</v>
      </c>
      <c r="B11" s="46" t="s">
        <v>55</v>
      </c>
      <c r="C11" s="40" t="s">
        <v>56</v>
      </c>
      <c r="D11" s="40"/>
      <c r="E11" s="40"/>
      <c r="F11" s="45"/>
      <c r="G11" s="46" t="s">
        <v>43</v>
      </c>
      <c r="H11" s="46" t="s">
        <v>43</v>
      </c>
      <c r="I11" s="46" t="s">
        <v>57</v>
      </c>
      <c r="J11" s="46" t="s">
        <v>58</v>
      </c>
      <c r="K11" s="46" t="s">
        <v>59</v>
      </c>
      <c r="L11" s="46"/>
      <c r="M11" s="47"/>
      <c r="N11" s="292" t="s">
        <v>60</v>
      </c>
      <c r="O11" s="293" t="s">
        <v>61</v>
      </c>
      <c r="P11" s="292" t="s">
        <v>62</v>
      </c>
      <c r="Q11" s="292" t="s">
        <v>60</v>
      </c>
      <c r="R11" s="292" t="s">
        <v>60</v>
      </c>
      <c r="S11" s="292" t="s">
        <v>60</v>
      </c>
      <c r="T11" s="292" t="s">
        <v>60</v>
      </c>
      <c r="U11" s="292" t="s">
        <v>60</v>
      </c>
      <c r="V11" s="291" t="s">
        <v>63</v>
      </c>
      <c r="W11" s="291" t="s">
        <v>63</v>
      </c>
      <c r="Z11" s="282"/>
    </row>
    <row r="12" spans="1:29" x14ac:dyDescent="0.3">
      <c r="A12" s="27">
        <v>1</v>
      </c>
      <c r="B12" s="48" t="s">
        <v>64</v>
      </c>
      <c r="C12" s="27" t="s">
        <v>65</v>
      </c>
      <c r="G12" s="49"/>
      <c r="H12" s="49"/>
      <c r="I12" s="49"/>
      <c r="J12" s="50"/>
      <c r="K12" s="51"/>
      <c r="L12" s="51"/>
      <c r="M12" s="52"/>
      <c r="V12" s="294"/>
      <c r="W12" s="294"/>
      <c r="Z12" s="282"/>
    </row>
    <row r="13" spans="1:29" x14ac:dyDescent="0.3">
      <c r="A13" s="27">
        <f>+A12+1</f>
        <v>2</v>
      </c>
      <c r="B13" s="48" t="s">
        <v>66</v>
      </c>
      <c r="D13" s="27" t="s">
        <v>67</v>
      </c>
      <c r="F13" s="27" t="s">
        <v>60</v>
      </c>
      <c r="G13" s="49">
        <f>'[2]MFR E-13c'!F17</f>
        <v>14.86</v>
      </c>
      <c r="H13" s="49">
        <f>'[2]MFR E-13c'!L17</f>
        <v>15.13</v>
      </c>
      <c r="I13" s="49">
        <f>'[2]MFR E-14B'!G31</f>
        <v>13.95</v>
      </c>
      <c r="J13" s="50" t="s">
        <v>68</v>
      </c>
      <c r="K13" s="51" t="s">
        <v>69</v>
      </c>
      <c r="L13" s="51"/>
      <c r="M13" s="52"/>
      <c r="N13" s="295">
        <f>H13-G13</f>
        <v>0.27000000000000135</v>
      </c>
      <c r="O13" s="284">
        <f>(N13/G13)</f>
        <v>1.8169582772543835E-2</v>
      </c>
      <c r="P13" s="296">
        <f>'[2]MFR E-13c'!J17</f>
        <v>21694045.352867588</v>
      </c>
      <c r="Q13" s="297">
        <f>(P13*G13)/1000</f>
        <v>322373.51394361234</v>
      </c>
      <c r="R13" s="297">
        <f>(P13*H13)/1000</f>
        <v>328230.90618888667</v>
      </c>
      <c r="S13" s="298">
        <f>R13-Q13</f>
        <v>5857.3922452743282</v>
      </c>
      <c r="T13" s="297">
        <f>(P13*I13)/1000</f>
        <v>302631.93267250282</v>
      </c>
      <c r="U13" s="298">
        <f>R13-T13</f>
        <v>25598.973516383849</v>
      </c>
      <c r="V13" s="299" t="s">
        <v>64</v>
      </c>
      <c r="W13" s="299" t="s">
        <v>64</v>
      </c>
      <c r="Z13" s="282"/>
      <c r="AC13" s="27" t="b">
        <f>H13&gt;=I13</f>
        <v>1</v>
      </c>
    </row>
    <row r="14" spans="1:29" x14ac:dyDescent="0.3">
      <c r="A14" s="27">
        <f t="shared" ref="A14:A77" si="0">+A13+1</f>
        <v>3</v>
      </c>
      <c r="B14" s="48" t="s">
        <v>70</v>
      </c>
      <c r="D14" s="27" t="s">
        <v>71</v>
      </c>
      <c r="G14" s="49"/>
      <c r="H14" s="49"/>
      <c r="I14" s="49"/>
      <c r="J14" s="50"/>
      <c r="K14" s="51"/>
      <c r="L14" s="51"/>
      <c r="M14" s="52"/>
      <c r="P14" s="296"/>
      <c r="Q14" s="297"/>
      <c r="R14" s="297"/>
      <c r="T14" s="297"/>
      <c r="U14" s="283"/>
      <c r="V14" s="294"/>
      <c r="W14" s="294"/>
      <c r="Z14" s="282"/>
    </row>
    <row r="15" spans="1:29" x14ac:dyDescent="0.3">
      <c r="A15" s="27">
        <f t="shared" si="0"/>
        <v>4</v>
      </c>
      <c r="B15" s="53" t="s">
        <v>72</v>
      </c>
      <c r="D15" s="54" t="s">
        <v>73</v>
      </c>
      <c r="F15" s="27" t="s">
        <v>60</v>
      </c>
      <c r="G15" s="49">
        <f>'[2]MFR E-13c'!F19</f>
        <v>14.86</v>
      </c>
      <c r="H15" s="49">
        <f>'[2]MFR E-13c'!L19</f>
        <v>15.13</v>
      </c>
      <c r="I15" s="49">
        <f>I13</f>
        <v>13.95</v>
      </c>
      <c r="J15" s="50" t="s">
        <v>68</v>
      </c>
      <c r="K15" s="51" t="s">
        <v>74</v>
      </c>
      <c r="L15" s="51"/>
      <c r="M15" s="52"/>
      <c r="N15" s="295">
        <f>H15-G15</f>
        <v>0.27000000000000135</v>
      </c>
      <c r="O15" s="284">
        <f>(N15/G15)</f>
        <v>1.8169582772543835E-2</v>
      </c>
      <c r="P15" s="296">
        <f>'[2]MFR E-13c'!J19</f>
        <v>2332.4394039326739</v>
      </c>
      <c r="Q15" s="297">
        <f>(P15*G15)/1000</f>
        <v>34.660049542439531</v>
      </c>
      <c r="R15" s="297">
        <f>(P15*H15)/1000</f>
        <v>35.289808181501357</v>
      </c>
      <c r="S15" s="298">
        <f>R15-Q15</f>
        <v>0.62975863906182639</v>
      </c>
      <c r="T15" s="297">
        <f>(P15*I15)/1000</f>
        <v>32.5375296848608</v>
      </c>
      <c r="U15" s="298">
        <f>R15-T15</f>
        <v>2.7522784966405567</v>
      </c>
      <c r="V15" s="294" t="s">
        <v>66</v>
      </c>
      <c r="W15" s="294" t="s">
        <v>66</v>
      </c>
      <c r="Z15" s="282"/>
      <c r="AC15" s="27" t="b">
        <f>H15&gt;=I15</f>
        <v>1</v>
      </c>
    </row>
    <row r="16" spans="1:29" x14ac:dyDescent="0.3">
      <c r="A16" s="27">
        <f t="shared" si="0"/>
        <v>5</v>
      </c>
      <c r="G16" s="55"/>
      <c r="H16" s="55"/>
      <c r="I16" s="55"/>
      <c r="J16" s="50"/>
      <c r="K16" s="51"/>
      <c r="L16" s="51"/>
      <c r="M16" s="52"/>
      <c r="P16" s="296"/>
      <c r="Q16" s="297"/>
      <c r="R16" s="297"/>
      <c r="T16" s="297"/>
      <c r="U16" s="283"/>
      <c r="V16" s="294"/>
      <c r="W16" s="294"/>
      <c r="Z16" s="282"/>
    </row>
    <row r="17" spans="1:26" x14ac:dyDescent="0.3">
      <c r="A17" s="27">
        <f t="shared" si="0"/>
        <v>6</v>
      </c>
      <c r="C17" s="27" t="s">
        <v>75</v>
      </c>
      <c r="G17" s="51"/>
      <c r="H17" s="51"/>
      <c r="I17" s="51"/>
      <c r="J17" s="50"/>
      <c r="K17" s="51"/>
      <c r="L17" s="51"/>
      <c r="M17" s="52"/>
      <c r="P17" s="296"/>
      <c r="Q17" s="297"/>
      <c r="R17" s="297"/>
      <c r="T17" s="297"/>
      <c r="U17" s="283"/>
      <c r="V17" s="294"/>
      <c r="W17" s="294"/>
      <c r="Z17" s="282"/>
    </row>
    <row r="18" spans="1:26" x14ac:dyDescent="0.3">
      <c r="A18" s="27">
        <f t="shared" si="0"/>
        <v>7</v>
      </c>
      <c r="D18" s="27" t="s">
        <v>76</v>
      </c>
      <c r="G18" s="56"/>
      <c r="H18" s="56"/>
      <c r="I18" s="56"/>
      <c r="J18" s="56"/>
      <c r="L18" s="51"/>
      <c r="M18" s="52"/>
      <c r="P18" s="296"/>
      <c r="Q18" s="297"/>
      <c r="R18" s="297"/>
      <c r="T18" s="297"/>
      <c r="U18" s="298"/>
      <c r="V18" s="294"/>
      <c r="W18" s="294"/>
      <c r="Z18" s="282"/>
    </row>
    <row r="19" spans="1:26" x14ac:dyDescent="0.3">
      <c r="A19" s="27">
        <f t="shared" si="0"/>
        <v>8</v>
      </c>
      <c r="D19" s="54" t="s">
        <v>77</v>
      </c>
      <c r="F19" s="27" t="s">
        <v>78</v>
      </c>
      <c r="G19" s="56">
        <f>'[2]MFR E-13c'!F26/10</f>
        <v>8.8670000000000009</v>
      </c>
      <c r="H19" s="56">
        <f>'[2]MFR E-13c'!L26/10</f>
        <v>9.0849999999999991</v>
      </c>
      <c r="I19" s="56">
        <f>'[2]MFR E-14B'!G50</f>
        <v>10.563000000000001</v>
      </c>
      <c r="J19" s="50" t="s">
        <v>68</v>
      </c>
      <c r="K19" s="51" t="s">
        <v>79</v>
      </c>
      <c r="L19" s="51"/>
      <c r="M19" s="52"/>
      <c r="N19" s="295">
        <f t="shared" ref="N19:N25" si="1">H19-G19</f>
        <v>0.2179999999999982</v>
      </c>
      <c r="O19" s="284">
        <f t="shared" ref="O19:O25" si="2">(N19/G19)</f>
        <v>2.4585541896920964E-2</v>
      </c>
      <c r="P19" s="296">
        <f>'[2]MFR E-13c'!J26</f>
        <v>3393198.353816377</v>
      </c>
      <c r="Q19" s="297">
        <f t="shared" ref="Q19:Q25" si="3">(+P19*G19*10)/1000</f>
        <v>300874.8980328982</v>
      </c>
      <c r="R19" s="297">
        <f t="shared" ref="R19:R25" si="4">(+P19*H19*10)/1000</f>
        <v>308272.07044421782</v>
      </c>
      <c r="S19" s="298">
        <f t="shared" ref="S19:S25" si="5">R19-Q19</f>
        <v>7397.1724113196251</v>
      </c>
      <c r="T19" s="297">
        <f t="shared" ref="T19:T25" si="6">(P19*I19*10)/1000</f>
        <v>358423.54211362393</v>
      </c>
      <c r="U19" s="298">
        <f t="shared" ref="U19:U25" si="7">R19-T19</f>
        <v>-50151.471669406106</v>
      </c>
      <c r="V19" s="299" t="s">
        <v>64</v>
      </c>
      <c r="W19" s="299" t="s">
        <v>64</v>
      </c>
      <c r="Z19" s="282"/>
    </row>
    <row r="20" spans="1:26" x14ac:dyDescent="0.3">
      <c r="A20" s="27">
        <f t="shared" si="0"/>
        <v>9</v>
      </c>
      <c r="D20" s="54" t="s">
        <v>80</v>
      </c>
      <c r="F20" s="27" t="s">
        <v>78</v>
      </c>
      <c r="G20" s="56">
        <f>'[2]MFR E-13c'!F27/10</f>
        <v>10.308</v>
      </c>
      <c r="H20" s="56">
        <f>'[2]MFR E-13c'!L27/10</f>
        <v>10.531000000000001</v>
      </c>
      <c r="I20" s="56">
        <f>'[2]MFR E-14B'!G51</f>
        <v>12.051</v>
      </c>
      <c r="J20" s="50" t="s">
        <v>68</v>
      </c>
      <c r="K20" s="51" t="s">
        <v>79</v>
      </c>
      <c r="L20" s="51"/>
      <c r="M20" s="52"/>
      <c r="N20" s="295">
        <f t="shared" si="1"/>
        <v>0.22300000000000075</v>
      </c>
      <c r="O20" s="284">
        <f t="shared" si="2"/>
        <v>2.1633682576639578E-2</v>
      </c>
      <c r="P20" s="296">
        <f>'[2]MFR E-13c'!J27</f>
        <v>889668.85931853601</v>
      </c>
      <c r="Q20" s="297">
        <f t="shared" si="3"/>
        <v>91707.066018554702</v>
      </c>
      <c r="R20" s="297">
        <f t="shared" si="4"/>
        <v>93691.027574835025</v>
      </c>
      <c r="S20" s="298">
        <f t="shared" si="5"/>
        <v>1983.9615562803228</v>
      </c>
      <c r="T20" s="297">
        <f t="shared" si="6"/>
        <v>107213.99423647678</v>
      </c>
      <c r="U20" s="298">
        <f t="shared" si="7"/>
        <v>-13522.966661641753</v>
      </c>
      <c r="V20" s="299" t="s">
        <v>64</v>
      </c>
      <c r="W20" s="299" t="s">
        <v>64</v>
      </c>
      <c r="Z20" s="282"/>
    </row>
    <row r="21" spans="1:26" x14ac:dyDescent="0.3">
      <c r="A21" s="27">
        <f t="shared" si="0"/>
        <v>10</v>
      </c>
      <c r="D21" s="54" t="s">
        <v>81</v>
      </c>
      <c r="F21" s="27" t="s">
        <v>78</v>
      </c>
      <c r="G21" s="56">
        <f>'[2]MFR E-13c'!F31/10</f>
        <v>8.4480000000000004</v>
      </c>
      <c r="H21" s="56">
        <f>'[2]MFR E-13c'!L31/10</f>
        <v>8.7029999999999994</v>
      </c>
      <c r="I21" s="56">
        <f>'[2]MFR E-14B'!G52</f>
        <v>8.7409999999999997</v>
      </c>
      <c r="J21" s="50" t="s">
        <v>68</v>
      </c>
      <c r="K21" s="51" t="s">
        <v>79</v>
      </c>
      <c r="L21" s="51"/>
      <c r="M21" s="52"/>
      <c r="N21" s="295">
        <f t="shared" si="1"/>
        <v>0.25499999999999901</v>
      </c>
      <c r="O21" s="284">
        <f t="shared" si="2"/>
        <v>3.018465909090897E-2</v>
      </c>
      <c r="P21" s="296">
        <f>'[2]MFR E-13c'!J31</f>
        <v>11553136.912141375</v>
      </c>
      <c r="Q21" s="297">
        <f t="shared" si="3"/>
        <v>976009.00633770344</v>
      </c>
      <c r="R21" s="297">
        <f t="shared" si="4"/>
        <v>1005469.5054636638</v>
      </c>
      <c r="S21" s="298">
        <f t="shared" si="5"/>
        <v>29460.499125960399</v>
      </c>
      <c r="T21" s="297">
        <f t="shared" si="6"/>
        <v>1009859.6974902776</v>
      </c>
      <c r="U21" s="298">
        <f t="shared" si="7"/>
        <v>-4390.1920266137458</v>
      </c>
      <c r="V21" s="299" t="s">
        <v>64</v>
      </c>
      <c r="W21" s="299" t="s">
        <v>64</v>
      </c>
      <c r="Z21" s="282"/>
    </row>
    <row r="22" spans="1:26" x14ac:dyDescent="0.3">
      <c r="A22" s="27">
        <f t="shared" si="0"/>
        <v>11</v>
      </c>
      <c r="D22" s="54" t="s">
        <v>82</v>
      </c>
      <c r="F22" s="27" t="s">
        <v>78</v>
      </c>
      <c r="G22" s="56">
        <f>'[2]MFR E-13c'!F32/10</f>
        <v>9.1560000000000006</v>
      </c>
      <c r="H22" s="56">
        <f>'[2]MFR E-13c'!L32/10</f>
        <v>9.4030000000000005</v>
      </c>
      <c r="I22" s="56">
        <f>'[2]MFR E-14B'!G53</f>
        <v>9.44</v>
      </c>
      <c r="J22" s="50" t="s">
        <v>68</v>
      </c>
      <c r="K22" s="51" t="s">
        <v>79</v>
      </c>
      <c r="L22" s="51"/>
      <c r="M22" s="52"/>
      <c r="N22" s="295">
        <f t="shared" si="1"/>
        <v>0.24699999999999989</v>
      </c>
      <c r="O22" s="284">
        <f t="shared" si="2"/>
        <v>2.697684578418522E-2</v>
      </c>
      <c r="P22" s="296">
        <f>'[2]MFR E-13c'!J32</f>
        <v>4980915.7878168188</v>
      </c>
      <c r="Q22" s="297">
        <f t="shared" si="3"/>
        <v>456052.64953250793</v>
      </c>
      <c r="R22" s="297">
        <f t="shared" si="4"/>
        <v>468355.51152841555</v>
      </c>
      <c r="S22" s="298">
        <f t="shared" si="5"/>
        <v>12302.861995907617</v>
      </c>
      <c r="T22" s="297">
        <f t="shared" si="6"/>
        <v>470198.45036990766</v>
      </c>
      <c r="U22" s="298">
        <f t="shared" si="7"/>
        <v>-1842.9388414921123</v>
      </c>
      <c r="V22" s="299" t="s">
        <v>64</v>
      </c>
      <c r="W22" s="299" t="s">
        <v>64</v>
      </c>
      <c r="Z22" s="282"/>
    </row>
    <row r="23" spans="1:26" x14ac:dyDescent="0.3">
      <c r="A23" s="27">
        <f t="shared" si="0"/>
        <v>12</v>
      </c>
      <c r="D23" s="27" t="s">
        <v>83</v>
      </c>
      <c r="F23" s="27" t="s">
        <v>78</v>
      </c>
      <c r="G23" s="56">
        <f>'[2]MFR E-13c'!F37/10</f>
        <v>11.91</v>
      </c>
      <c r="H23" s="56">
        <f>'[2]MFR E-13c'!L37/10</f>
        <v>12.584999999999999</v>
      </c>
      <c r="I23" s="57">
        <f>ROUND('[2]MFR E-14C'!AA45,3)</f>
        <v>14.414999999999999</v>
      </c>
      <c r="J23" s="50" t="s">
        <v>84</v>
      </c>
      <c r="K23" s="51" t="s">
        <v>85</v>
      </c>
      <c r="L23" s="51"/>
      <c r="M23" s="52"/>
      <c r="N23" s="295">
        <f t="shared" si="1"/>
        <v>0.67499999999999893</v>
      </c>
      <c r="O23" s="284">
        <f t="shared" si="2"/>
        <v>5.6675062972292099E-2</v>
      </c>
      <c r="P23" s="296">
        <f>'[2]MFR E-13c'!J37</f>
        <v>329.67553653305612</v>
      </c>
      <c r="Q23" s="297">
        <f t="shared" si="3"/>
        <v>39.264356401086978</v>
      </c>
      <c r="R23" s="297">
        <f t="shared" si="4"/>
        <v>41.489666272685106</v>
      </c>
      <c r="S23" s="298">
        <f t="shared" si="5"/>
        <v>2.2253098715981281</v>
      </c>
      <c r="T23" s="297">
        <f t="shared" si="6"/>
        <v>47.522728591240039</v>
      </c>
      <c r="U23" s="298">
        <f t="shared" si="7"/>
        <v>-6.0330623185549328</v>
      </c>
      <c r="V23" s="291" t="s">
        <v>66</v>
      </c>
      <c r="W23" s="291" t="s">
        <v>66</v>
      </c>
      <c r="Z23" s="282"/>
    </row>
    <row r="24" spans="1:26" x14ac:dyDescent="0.3">
      <c r="A24" s="27">
        <f t="shared" si="0"/>
        <v>13</v>
      </c>
      <c r="D24" s="27" t="s">
        <v>86</v>
      </c>
      <c r="F24" s="27" t="s">
        <v>78</v>
      </c>
      <c r="G24" s="56">
        <f>'[2]MFR E-13c'!F38/10</f>
        <v>8.8219999999999992</v>
      </c>
      <c r="H24" s="56">
        <f>'[2]MFR E-13c'!L38/10</f>
        <v>8.9890000000000008</v>
      </c>
      <c r="I24" s="57">
        <f>ROUND('[2]MFR E-14C'!AA46,3)</f>
        <v>10.295999999999999</v>
      </c>
      <c r="J24" s="50" t="s">
        <v>84</v>
      </c>
      <c r="K24" s="51" t="s">
        <v>85</v>
      </c>
      <c r="L24" s="51"/>
      <c r="M24" s="52"/>
      <c r="N24" s="295">
        <f t="shared" si="1"/>
        <v>0.16700000000000159</v>
      </c>
      <c r="O24" s="284">
        <f t="shared" si="2"/>
        <v>1.8929947857628839E-2</v>
      </c>
      <c r="P24" s="296">
        <f>'[2]MFR E-13c'!J38</f>
        <v>2247.6389455353169</v>
      </c>
      <c r="Q24" s="297">
        <f t="shared" si="3"/>
        <v>198.28670777512565</v>
      </c>
      <c r="R24" s="297">
        <f t="shared" si="4"/>
        <v>202.04026481416963</v>
      </c>
      <c r="S24" s="298">
        <f t="shared" si="5"/>
        <v>3.753557039043983</v>
      </c>
      <c r="T24" s="297">
        <f t="shared" si="6"/>
        <v>231.41690583231622</v>
      </c>
      <c r="U24" s="298">
        <f t="shared" si="7"/>
        <v>-29.376641018146586</v>
      </c>
      <c r="V24" s="291" t="s">
        <v>66</v>
      </c>
      <c r="W24" s="291" t="s">
        <v>66</v>
      </c>
      <c r="Z24" s="282"/>
    </row>
    <row r="25" spans="1:26" x14ac:dyDescent="0.3">
      <c r="A25" s="27">
        <f t="shared" si="0"/>
        <v>14</v>
      </c>
      <c r="D25" s="27" t="s">
        <v>87</v>
      </c>
      <c r="F25" s="27" t="s">
        <v>78</v>
      </c>
      <c r="G25" s="56">
        <f>'[2]MFR E-13c'!F39/10</f>
        <v>5.3520000000000003</v>
      </c>
      <c r="H25" s="56">
        <f>'[2]MFR E-13c'!L39/10</f>
        <v>5.4799999999999995</v>
      </c>
      <c r="I25" s="57">
        <f>ROUND('[2]MFR E-14C'!AA47,3)</f>
        <v>6.2770000000000001</v>
      </c>
      <c r="J25" s="50" t="s">
        <v>84</v>
      </c>
      <c r="K25" s="51" t="s">
        <v>85</v>
      </c>
      <c r="L25" s="51"/>
      <c r="M25" s="52"/>
      <c r="N25" s="295">
        <f t="shared" si="1"/>
        <v>0.12799999999999923</v>
      </c>
      <c r="O25" s="284">
        <f t="shared" si="2"/>
        <v>2.3916292974588794E-2</v>
      </c>
      <c r="P25" s="296">
        <f>'[2]MFR E-13c'!J39</f>
        <v>723.39855424550785</v>
      </c>
      <c r="Q25" s="297">
        <f t="shared" si="3"/>
        <v>38.716290623219585</v>
      </c>
      <c r="R25" s="297">
        <f t="shared" si="4"/>
        <v>39.642240772653828</v>
      </c>
      <c r="S25" s="298">
        <f t="shared" si="5"/>
        <v>0.92595014943424303</v>
      </c>
      <c r="T25" s="297">
        <f t="shared" si="6"/>
        <v>45.407727249990529</v>
      </c>
      <c r="U25" s="298">
        <f t="shared" si="7"/>
        <v>-5.7654864773367009</v>
      </c>
      <c r="V25" s="291" t="s">
        <v>66</v>
      </c>
      <c r="W25" s="291" t="s">
        <v>66</v>
      </c>
      <c r="Z25" s="282"/>
    </row>
    <row r="26" spans="1:26" x14ac:dyDescent="0.3">
      <c r="A26" s="27">
        <f t="shared" si="0"/>
        <v>15</v>
      </c>
      <c r="G26" s="56"/>
      <c r="H26" s="56"/>
      <c r="I26" s="57"/>
      <c r="J26" s="50"/>
      <c r="K26" s="51"/>
      <c r="L26" s="51"/>
      <c r="M26" s="52"/>
      <c r="N26" s="295"/>
      <c r="P26" s="296"/>
      <c r="Q26" s="297"/>
      <c r="R26" s="297"/>
      <c r="S26" s="298"/>
      <c r="T26" s="297"/>
      <c r="U26" s="298"/>
      <c r="V26" s="291"/>
      <c r="W26" s="291"/>
      <c r="Z26" s="282"/>
    </row>
    <row r="27" spans="1:26" x14ac:dyDescent="0.3">
      <c r="A27" s="27">
        <f t="shared" si="0"/>
        <v>16</v>
      </c>
      <c r="C27" s="27" t="s">
        <v>88</v>
      </c>
      <c r="F27" s="27" t="s">
        <v>60</v>
      </c>
      <c r="G27" s="49">
        <v>7.5</v>
      </c>
      <c r="H27" s="58">
        <v>7.5</v>
      </c>
      <c r="I27" s="49">
        <f>'[2]EV Off-Pk'!B22</f>
        <v>7.4874374999999986</v>
      </c>
      <c r="J27" s="50" t="s">
        <v>89</v>
      </c>
      <c r="K27" s="51" t="s">
        <v>90</v>
      </c>
      <c r="L27" s="51"/>
      <c r="M27" s="52"/>
      <c r="N27" s="295"/>
      <c r="P27" s="296"/>
      <c r="Q27" s="297"/>
      <c r="R27" s="297"/>
      <c r="S27" s="298"/>
      <c r="T27" s="297"/>
      <c r="U27" s="298"/>
      <c r="V27" s="291"/>
      <c r="W27" s="291"/>
      <c r="Z27" s="282"/>
    </row>
    <row r="28" spans="1:26" x14ac:dyDescent="0.3">
      <c r="A28" s="27">
        <f t="shared" si="0"/>
        <v>17</v>
      </c>
      <c r="G28" s="56"/>
      <c r="H28" s="56"/>
      <c r="I28" s="56"/>
      <c r="J28" s="50"/>
      <c r="K28" s="51"/>
      <c r="L28" s="51"/>
      <c r="M28" s="52"/>
      <c r="N28" s="295"/>
      <c r="P28" s="296"/>
      <c r="Q28" s="296"/>
      <c r="R28" s="296"/>
      <c r="T28" s="296"/>
      <c r="U28" s="283"/>
      <c r="V28" s="291"/>
      <c r="W28" s="291"/>
      <c r="Z28" s="282"/>
    </row>
    <row r="29" spans="1:26" ht="14.4" thickBot="1" x14ac:dyDescent="0.35">
      <c r="B29" s="31"/>
      <c r="C29" s="31"/>
      <c r="D29" s="31"/>
      <c r="E29" s="31"/>
      <c r="F29" s="31"/>
      <c r="G29" s="52"/>
      <c r="H29" s="52"/>
      <c r="I29" s="52"/>
      <c r="J29" s="59"/>
      <c r="K29" s="52"/>
      <c r="L29" s="52"/>
      <c r="M29" s="52"/>
      <c r="N29" s="300"/>
      <c r="O29" s="301"/>
      <c r="P29" s="302"/>
      <c r="Q29" s="303">
        <f>SUM(Q12:Q28)</f>
        <v>2147328.061269619</v>
      </c>
      <c r="R29" s="303">
        <f>SUM(R12:R28)</f>
        <v>2204337.4831800601</v>
      </c>
      <c r="S29" s="303">
        <f>SUM(S12:S28)</f>
        <v>57009.421910441422</v>
      </c>
      <c r="T29" s="303">
        <f>SUM(T12:T28)</f>
        <v>2248684.5017741472</v>
      </c>
      <c r="U29" s="303">
        <f>SUM(U12:U28)</f>
        <v>-44347.018594087269</v>
      </c>
      <c r="V29" s="291"/>
      <c r="W29" s="291"/>
      <c r="Z29" s="282"/>
    </row>
    <row r="30" spans="1:26" ht="14.4" thickTop="1" x14ac:dyDescent="0.3">
      <c r="A30" s="27">
        <f>+A28+1</f>
        <v>18</v>
      </c>
      <c r="B30" s="48"/>
      <c r="G30" s="51"/>
      <c r="H30" s="51"/>
      <c r="I30" s="51"/>
      <c r="J30" s="50"/>
      <c r="K30" s="51"/>
      <c r="L30" s="51"/>
      <c r="M30" s="52"/>
      <c r="P30" s="296"/>
      <c r="Q30" s="296"/>
      <c r="R30" s="296"/>
      <c r="S30" s="304" t="s">
        <v>91</v>
      </c>
      <c r="T30" s="305">
        <v>0</v>
      </c>
      <c r="U30" s="283"/>
      <c r="V30" s="291"/>
      <c r="W30" s="291"/>
      <c r="Z30" s="282"/>
    </row>
    <row r="31" spans="1:26" x14ac:dyDescent="0.3">
      <c r="A31" s="27">
        <f t="shared" si="0"/>
        <v>19</v>
      </c>
      <c r="B31" s="48" t="s">
        <v>92</v>
      </c>
      <c r="C31" s="27" t="s">
        <v>65</v>
      </c>
      <c r="G31" s="51"/>
      <c r="H31" s="51"/>
      <c r="I31" s="51"/>
      <c r="J31" s="50"/>
      <c r="K31" s="51"/>
      <c r="L31" s="51"/>
      <c r="M31" s="52"/>
      <c r="P31" s="296"/>
      <c r="Q31" s="296"/>
      <c r="R31" s="296"/>
      <c r="T31" s="296" t="s">
        <v>93</v>
      </c>
      <c r="U31" s="283"/>
      <c r="V31" s="291"/>
      <c r="W31" s="291"/>
      <c r="Z31" s="282"/>
    </row>
    <row r="32" spans="1:26" x14ac:dyDescent="0.3">
      <c r="A32" s="27">
        <f t="shared" si="0"/>
        <v>20</v>
      </c>
      <c r="B32" s="48" t="s">
        <v>94</v>
      </c>
      <c r="D32" s="27" t="s">
        <v>67</v>
      </c>
      <c r="G32" s="51"/>
      <c r="H32" s="51"/>
      <c r="I32" s="51"/>
      <c r="J32" s="50"/>
      <c r="K32" s="51"/>
      <c r="L32" s="51"/>
      <c r="M32" s="52"/>
      <c r="P32" s="296"/>
      <c r="Q32" s="296"/>
      <c r="R32" s="296"/>
      <c r="T32" s="296"/>
      <c r="U32" s="283"/>
      <c r="V32" s="291"/>
      <c r="W32" s="291"/>
      <c r="Z32" s="282"/>
    </row>
    <row r="33" spans="1:29" x14ac:dyDescent="0.3">
      <c r="A33" s="27">
        <f t="shared" si="0"/>
        <v>21</v>
      </c>
      <c r="D33" s="54" t="s">
        <v>95</v>
      </c>
      <c r="F33" s="27" t="s">
        <v>60</v>
      </c>
      <c r="G33" s="49">
        <f>'[2]MFR E-13c'!F72</f>
        <v>10.56</v>
      </c>
      <c r="H33" s="49">
        <f>'[2]MFR E-13c'!L72</f>
        <v>10.66</v>
      </c>
      <c r="I33" s="49">
        <f>'[2]MFR E-14E'!I48</f>
        <v>10.662680800418332</v>
      </c>
      <c r="J33" s="50" t="s">
        <v>96</v>
      </c>
      <c r="K33" s="51" t="s">
        <v>97</v>
      </c>
      <c r="L33" s="51"/>
      <c r="M33" s="52"/>
      <c r="N33" s="295">
        <f>H33-G33</f>
        <v>9.9999999999999645E-2</v>
      </c>
      <c r="O33" s="284">
        <f>(N33/G33)</f>
        <v>9.4696969696969353E-3</v>
      </c>
      <c r="P33" s="296">
        <v>5029.440529544815</v>
      </c>
      <c r="Q33" s="297">
        <f>(+P33*G33)/1000</f>
        <v>53.110891991993249</v>
      </c>
      <c r="R33" s="297">
        <f>(+P33*H33)/1000</f>
        <v>53.613836044947725</v>
      </c>
      <c r="S33" s="298">
        <f>R33-Q33</f>
        <v>0.50294405295447575</v>
      </c>
      <c r="T33" s="297">
        <f>(+P33*I33)/1000</f>
        <v>53.62731897122331</v>
      </c>
      <c r="U33" s="298">
        <f>R33-T33</f>
        <v>-1.3482926275585783E-2</v>
      </c>
      <c r="V33" s="291" t="s">
        <v>98</v>
      </c>
      <c r="W33" s="291" t="s">
        <v>98</v>
      </c>
      <c r="Z33" s="282"/>
      <c r="AC33" s="27" t="b">
        <f t="shared" ref="AC33:AC36" si="8">H33&gt;=I33</f>
        <v>0</v>
      </c>
    </row>
    <row r="34" spans="1:29" x14ac:dyDescent="0.3">
      <c r="A34" s="27">
        <f t="shared" si="0"/>
        <v>22</v>
      </c>
      <c r="D34" s="54" t="s">
        <v>99</v>
      </c>
      <c r="F34" s="27" t="s">
        <v>60</v>
      </c>
      <c r="G34" s="49">
        <f>'[2]MFR E-13c'!F73</f>
        <v>16.16</v>
      </c>
      <c r="H34" s="49">
        <f>'[2]MFR E-13c'!L73</f>
        <v>16.64</v>
      </c>
      <c r="I34" s="49">
        <f>'[2]MFR E-14E'!I53</f>
        <v>15.202680800418332</v>
      </c>
      <c r="J34" s="50" t="s">
        <v>96</v>
      </c>
      <c r="K34" s="51" t="s">
        <v>100</v>
      </c>
      <c r="L34" s="51"/>
      <c r="M34" s="52"/>
      <c r="N34" s="295">
        <f>H34-G34</f>
        <v>0.48000000000000043</v>
      </c>
      <c r="O34" s="284">
        <f>(N34/G34)</f>
        <v>2.9702970297029729E-2</v>
      </c>
      <c r="P34" s="296">
        <v>1599802.6233321449</v>
      </c>
      <c r="Q34" s="297">
        <f>(+P34*G34)/1000</f>
        <v>25852.810393047464</v>
      </c>
      <c r="R34" s="297">
        <f>(+P34*H34)/1000</f>
        <v>26620.715652246894</v>
      </c>
      <c r="S34" s="298">
        <f>R34-Q34</f>
        <v>767.90525919942957</v>
      </c>
      <c r="T34" s="297">
        <f>(+P34*I34)/1000</f>
        <v>24321.288626190479</v>
      </c>
      <c r="U34" s="298">
        <f>R34-T34</f>
        <v>2299.4270260564153</v>
      </c>
      <c r="V34" s="291" t="s">
        <v>98</v>
      </c>
      <c r="W34" s="291" t="s">
        <v>98</v>
      </c>
      <c r="Z34" s="282"/>
      <c r="AC34" s="27" t="b">
        <f t="shared" si="8"/>
        <v>1</v>
      </c>
    </row>
    <row r="35" spans="1:29" x14ac:dyDescent="0.3">
      <c r="A35" s="27">
        <f t="shared" si="0"/>
        <v>23</v>
      </c>
      <c r="D35" s="54" t="s">
        <v>101</v>
      </c>
      <c r="F35" s="27" t="s">
        <v>60</v>
      </c>
      <c r="G35" s="49">
        <f>'[2]MFR E-13c'!F74</f>
        <v>204.3</v>
      </c>
      <c r="H35" s="49">
        <f>'[2]MFR E-13c'!L74</f>
        <v>210.34</v>
      </c>
      <c r="I35" s="49">
        <f>'[2]MFR E-14E'!I54</f>
        <v>81.020548842579146</v>
      </c>
      <c r="J35" s="50" t="s">
        <v>96</v>
      </c>
      <c r="K35" s="51" t="s">
        <v>100</v>
      </c>
      <c r="L35" s="51"/>
      <c r="M35" s="52"/>
      <c r="N35" s="295">
        <f>H35-G35</f>
        <v>6.039999999999992</v>
      </c>
      <c r="O35" s="284">
        <f>(N35/G35)</f>
        <v>2.9564366128242741E-2</v>
      </c>
      <c r="P35" s="296">
        <v>416.06077373363422</v>
      </c>
      <c r="Q35" s="297">
        <f>(+P35*G35)/1000</f>
        <v>85.001216073781464</v>
      </c>
      <c r="R35" s="297">
        <f>(+P35*H35)/1000</f>
        <v>87.514223147132626</v>
      </c>
      <c r="S35" s="298">
        <f>R35-Q35</f>
        <v>2.5130070733511616</v>
      </c>
      <c r="T35" s="297">
        <f>(+P35*I35)/1000</f>
        <v>33.70947223976718</v>
      </c>
      <c r="U35" s="298">
        <f>R35-T35</f>
        <v>53.804750907365445</v>
      </c>
      <c r="V35" s="291" t="s">
        <v>98</v>
      </c>
      <c r="W35" s="291" t="s">
        <v>98</v>
      </c>
      <c r="Z35" s="282"/>
      <c r="AC35" s="27" t="b">
        <f t="shared" si="8"/>
        <v>1</v>
      </c>
    </row>
    <row r="36" spans="1:29" x14ac:dyDescent="0.3">
      <c r="A36" s="27">
        <f t="shared" si="0"/>
        <v>24</v>
      </c>
      <c r="D36" s="54" t="s">
        <v>102</v>
      </c>
      <c r="F36" s="27" t="s">
        <v>60</v>
      </c>
      <c r="G36" s="49">
        <f>'[2]MFR E-13c'!F75</f>
        <v>1007.76</v>
      </c>
      <c r="H36" s="49">
        <f>'[2]MFR E-13c'!L75</f>
        <v>1037.56</v>
      </c>
      <c r="I36" s="49">
        <f>'[2]MFR E-14E'!I55</f>
        <v>447.69333082770089</v>
      </c>
      <c r="J36" s="50" t="s">
        <v>96</v>
      </c>
      <c r="K36" s="51" t="s">
        <v>100</v>
      </c>
      <c r="L36" s="51"/>
      <c r="M36" s="52"/>
      <c r="N36" s="295">
        <f>H36-G36</f>
        <v>29.799999999999955</v>
      </c>
      <c r="O36" s="284">
        <f>(N36/G36)</f>
        <v>2.9570532666507852E-2</v>
      </c>
      <c r="P36" s="296">
        <v>0</v>
      </c>
      <c r="Q36" s="297">
        <f>(+P36*G36)/1000</f>
        <v>0</v>
      </c>
      <c r="R36" s="297">
        <f>(+P36*H36)/1000</f>
        <v>0</v>
      </c>
      <c r="S36" s="298">
        <f>R36-Q36</f>
        <v>0</v>
      </c>
      <c r="T36" s="297">
        <f>(+P36*I36)/1000</f>
        <v>0</v>
      </c>
      <c r="U36" s="298">
        <f>R36-T36</f>
        <v>0</v>
      </c>
      <c r="V36" s="291" t="s">
        <v>98</v>
      </c>
      <c r="W36" s="291" t="s">
        <v>98</v>
      </c>
      <c r="Z36" s="282"/>
      <c r="AC36" s="27" t="b">
        <f t="shared" si="8"/>
        <v>1</v>
      </c>
    </row>
    <row r="37" spans="1:29" x14ac:dyDescent="0.3">
      <c r="A37" s="27">
        <f t="shared" si="0"/>
        <v>25</v>
      </c>
      <c r="D37" s="27" t="s">
        <v>71</v>
      </c>
      <c r="G37" s="49"/>
      <c r="H37" s="49"/>
      <c r="I37" s="49"/>
      <c r="J37" s="50"/>
      <c r="K37" s="51"/>
      <c r="L37" s="51"/>
      <c r="M37" s="52"/>
      <c r="P37" s="296"/>
      <c r="Q37" s="297"/>
      <c r="R37" s="297"/>
      <c r="T37" s="297"/>
      <c r="U37" s="283"/>
      <c r="V37" s="291"/>
      <c r="W37" s="291"/>
      <c r="Z37" s="282"/>
    </row>
    <row r="38" spans="1:29" x14ac:dyDescent="0.3">
      <c r="A38" s="27">
        <f t="shared" si="0"/>
        <v>26</v>
      </c>
      <c r="D38" s="54" t="s">
        <v>99</v>
      </c>
      <c r="F38" s="27" t="s">
        <v>60</v>
      </c>
      <c r="G38" s="49">
        <f>G34</f>
        <v>16.16</v>
      </c>
      <c r="H38" s="49">
        <f>'[2]MFR E-13c'!L77</f>
        <v>16.64</v>
      </c>
      <c r="I38" s="49">
        <f>I34</f>
        <v>15.202680800418332</v>
      </c>
      <c r="J38" s="50" t="s">
        <v>96</v>
      </c>
      <c r="K38" s="51" t="s">
        <v>103</v>
      </c>
      <c r="L38" s="51"/>
      <c r="M38" s="52"/>
      <c r="N38" s="295">
        <f>H38-G38</f>
        <v>0.48000000000000043</v>
      </c>
      <c r="O38" s="284">
        <f>(N38/G38)</f>
        <v>2.9702970297029729E-2</v>
      </c>
      <c r="P38" s="296">
        <v>15492.382362368073</v>
      </c>
      <c r="Q38" s="297">
        <f>(+P38*G38)/1000</f>
        <v>250.35689897586806</v>
      </c>
      <c r="R38" s="297">
        <f>(+P38*H38)/1000</f>
        <v>257.79324250980477</v>
      </c>
      <c r="S38" s="298">
        <f>R38-Q38</f>
        <v>7.4363435339367072</v>
      </c>
      <c r="T38" s="297">
        <f>(+P38*I38)/1000</f>
        <v>235.52574389311269</v>
      </c>
      <c r="U38" s="298">
        <f>R38-T38</f>
        <v>22.26749861669208</v>
      </c>
      <c r="V38" s="291" t="s">
        <v>94</v>
      </c>
      <c r="W38" s="291" t="s">
        <v>94</v>
      </c>
      <c r="Z38" s="282"/>
    </row>
    <row r="39" spans="1:29" x14ac:dyDescent="0.3">
      <c r="A39" s="27">
        <f t="shared" si="0"/>
        <v>27</v>
      </c>
      <c r="D39" s="54" t="s">
        <v>101</v>
      </c>
      <c r="F39" s="27" t="s">
        <v>60</v>
      </c>
      <c r="G39" s="49">
        <f>G35</f>
        <v>204.3</v>
      </c>
      <c r="H39" s="49">
        <f>'[2]MFR E-13c'!L78</f>
        <v>210.34</v>
      </c>
      <c r="I39" s="49">
        <f>I35</f>
        <v>81.020548842579146</v>
      </c>
      <c r="J39" s="50" t="s">
        <v>96</v>
      </c>
      <c r="K39" s="51" t="s">
        <v>103</v>
      </c>
      <c r="L39" s="51"/>
      <c r="M39" s="52"/>
      <c r="N39" s="295">
        <f>H39-G39</f>
        <v>6.039999999999992</v>
      </c>
      <c r="O39" s="284">
        <f>(N39/G39)</f>
        <v>2.9564366128242741E-2</v>
      </c>
      <c r="P39" s="296">
        <v>0</v>
      </c>
      <c r="Q39" s="297">
        <f>(+P39*G39)/1000</f>
        <v>0</v>
      </c>
      <c r="R39" s="297">
        <f>(+P39*H39)/1000</f>
        <v>0</v>
      </c>
      <c r="S39" s="298">
        <f>R39-Q39</f>
        <v>0</v>
      </c>
      <c r="T39" s="297">
        <f>(+P39*I39)/1000</f>
        <v>0</v>
      </c>
      <c r="U39" s="298">
        <f>R39-T39</f>
        <v>0</v>
      </c>
      <c r="V39" s="291" t="s">
        <v>94</v>
      </c>
      <c r="W39" s="291" t="s">
        <v>94</v>
      </c>
      <c r="Z39" s="282"/>
    </row>
    <row r="40" spans="1:29" x14ac:dyDescent="0.3">
      <c r="A40" s="27">
        <f t="shared" si="0"/>
        <v>28</v>
      </c>
      <c r="D40" s="54" t="s">
        <v>102</v>
      </c>
      <c r="F40" s="27" t="s">
        <v>60</v>
      </c>
      <c r="G40" s="49">
        <f>G36</f>
        <v>1007.76</v>
      </c>
      <c r="H40" s="49">
        <f>'[2]MFR E-13c'!L79</f>
        <v>1037.56</v>
      </c>
      <c r="I40" s="49">
        <f>I36</f>
        <v>447.69333082770089</v>
      </c>
      <c r="J40" s="50" t="s">
        <v>96</v>
      </c>
      <c r="K40" s="51" t="s">
        <v>103</v>
      </c>
      <c r="L40" s="51"/>
      <c r="M40" s="52"/>
      <c r="N40" s="295">
        <f>H40-G40</f>
        <v>29.799999999999955</v>
      </c>
      <c r="O40" s="284">
        <f>(N40/G40)</f>
        <v>2.9570532666507852E-2</v>
      </c>
      <c r="P40" s="296">
        <v>0</v>
      </c>
      <c r="Q40" s="297">
        <f>(+P40*G40)/1000</f>
        <v>0</v>
      </c>
      <c r="R40" s="297">
        <f>(+P40*H40)/1000</f>
        <v>0</v>
      </c>
      <c r="S40" s="298">
        <f>R40-Q40</f>
        <v>0</v>
      </c>
      <c r="T40" s="297">
        <f>(+P40*I40)/1000</f>
        <v>0</v>
      </c>
      <c r="U40" s="298">
        <f>R40-T40</f>
        <v>0</v>
      </c>
      <c r="V40" s="291" t="s">
        <v>94</v>
      </c>
      <c r="W40" s="291" t="s">
        <v>94</v>
      </c>
      <c r="Z40" s="282"/>
    </row>
    <row r="41" spans="1:29" x14ac:dyDescent="0.3">
      <c r="A41" s="27">
        <f t="shared" si="0"/>
        <v>29</v>
      </c>
      <c r="G41" s="51"/>
      <c r="H41" s="51"/>
      <c r="I41" s="51"/>
      <c r="J41" s="50"/>
      <c r="K41" s="51"/>
      <c r="L41" s="51"/>
      <c r="M41" s="52"/>
      <c r="P41" s="296"/>
      <c r="Q41" s="297"/>
      <c r="R41" s="297"/>
      <c r="T41" s="297"/>
      <c r="U41" s="283"/>
      <c r="V41" s="291"/>
      <c r="W41" s="291"/>
      <c r="Z41" s="282"/>
    </row>
    <row r="42" spans="1:29" x14ac:dyDescent="0.3">
      <c r="A42" s="27">
        <f t="shared" si="0"/>
        <v>30</v>
      </c>
      <c r="C42" s="27" t="s">
        <v>75</v>
      </c>
      <c r="G42" s="51"/>
      <c r="H42" s="51"/>
      <c r="I42" s="51"/>
      <c r="J42" s="50"/>
      <c r="K42" s="51"/>
      <c r="L42" s="51"/>
      <c r="M42" s="52"/>
      <c r="P42" s="296"/>
      <c r="Q42" s="297"/>
      <c r="R42" s="297"/>
      <c r="T42" s="297"/>
      <c r="U42" s="283"/>
      <c r="V42" s="291"/>
      <c r="W42" s="291"/>
      <c r="Z42" s="282"/>
    </row>
    <row r="43" spans="1:29" x14ac:dyDescent="0.3">
      <c r="A43" s="27">
        <f t="shared" si="0"/>
        <v>31</v>
      </c>
      <c r="D43" s="27" t="s">
        <v>67</v>
      </c>
      <c r="F43" s="27" t="s">
        <v>78</v>
      </c>
      <c r="G43" s="56">
        <f>'[2]MFR E-13c'!F84/10</f>
        <v>7.4</v>
      </c>
      <c r="H43" s="56">
        <f>'[2]MFR E-13c'!L84/10</f>
        <v>7.6390000000000002</v>
      </c>
      <c r="I43" s="56">
        <f>'[2]MFR E-14B'!H39</f>
        <v>8.1620367766047988</v>
      </c>
      <c r="J43" s="50" t="s">
        <v>68</v>
      </c>
      <c r="K43" s="51" t="s">
        <v>69</v>
      </c>
      <c r="L43" s="56"/>
      <c r="M43" s="60"/>
      <c r="N43" s="295">
        <f>H43-G43</f>
        <v>0.23899999999999988</v>
      </c>
      <c r="O43" s="284">
        <f>(N43/G43)</f>
        <v>3.229729729729728E-2</v>
      </c>
      <c r="P43" s="296">
        <v>1821747.0640758092</v>
      </c>
      <c r="Q43" s="297">
        <f>(+P43*G43*10)/1000</f>
        <v>134809.28274160987</v>
      </c>
      <c r="R43" s="297">
        <f>(+P43*H43*10)/1000</f>
        <v>139163.25822475107</v>
      </c>
      <c r="S43" s="298">
        <f>R43-Q43</f>
        <v>4353.9754831411992</v>
      </c>
      <c r="T43" s="297">
        <f>(+P43*I43*10)/1000</f>
        <v>148691.66534658574</v>
      </c>
      <c r="U43" s="298">
        <f>R43-T43</f>
        <v>-9528.4071218346653</v>
      </c>
      <c r="V43" s="291" t="s">
        <v>98</v>
      </c>
      <c r="W43" s="291" t="s">
        <v>98</v>
      </c>
      <c r="Z43" s="282"/>
    </row>
    <row r="44" spans="1:29" x14ac:dyDescent="0.3">
      <c r="A44" s="27">
        <f t="shared" si="0"/>
        <v>32</v>
      </c>
      <c r="D44" s="27" t="s">
        <v>83</v>
      </c>
      <c r="F44" s="27" t="s">
        <v>78</v>
      </c>
      <c r="G44" s="56">
        <f>'[2]MFR E-13c'!F89/10</f>
        <v>9.9860000000000007</v>
      </c>
      <c r="H44" s="56">
        <f>'[2]MFR E-13c'!L89/10</f>
        <v>10.834999999999999</v>
      </c>
      <c r="I44" s="57">
        <f>ROUND('[2]MFR E-14C'!AA96,3)</f>
        <v>11.772</v>
      </c>
      <c r="J44" s="50" t="s">
        <v>84</v>
      </c>
      <c r="K44" s="51" t="s">
        <v>85</v>
      </c>
      <c r="L44" s="56"/>
      <c r="M44" s="60"/>
      <c r="N44" s="295">
        <f>H44-G44</f>
        <v>0.84899999999999842</v>
      </c>
      <c r="O44" s="284">
        <f>(N44/G44)</f>
        <v>8.501902663729205E-2</v>
      </c>
      <c r="P44" s="296">
        <v>29367.944181914649</v>
      </c>
      <c r="Q44" s="297">
        <f>(+P44*G44*10)/1000</f>
        <v>2932.6829060059972</v>
      </c>
      <c r="R44" s="297">
        <f>(+P44*H44*10)/1000</f>
        <v>3182.0167521104518</v>
      </c>
      <c r="S44" s="298">
        <f>R44-Q44</f>
        <v>249.33384610445455</v>
      </c>
      <c r="T44" s="297">
        <f>(+P44*I44*10)/1000</f>
        <v>3457.1943890949924</v>
      </c>
      <c r="U44" s="298">
        <f>R44-T44</f>
        <v>-275.17763698454064</v>
      </c>
      <c r="V44" s="291" t="s">
        <v>94</v>
      </c>
      <c r="W44" s="291" t="s">
        <v>94</v>
      </c>
      <c r="Z44" s="282"/>
    </row>
    <row r="45" spans="1:29" x14ac:dyDescent="0.3">
      <c r="A45" s="27">
        <f t="shared" si="0"/>
        <v>33</v>
      </c>
      <c r="D45" s="27" t="s">
        <v>86</v>
      </c>
      <c r="F45" s="27" t="s">
        <v>78</v>
      </c>
      <c r="G45" s="56">
        <f>'[2]MFR E-13c'!F90/10</f>
        <v>8.5779999999999994</v>
      </c>
      <c r="H45" s="56">
        <f>'[2]MFR E-13c'!L90/10</f>
        <v>8.5779999999999994</v>
      </c>
      <c r="I45" s="57">
        <f>ROUND('[2]MFR E-14C'!AA97,3)</f>
        <v>8.4079999999999995</v>
      </c>
      <c r="J45" s="50" t="s">
        <v>84</v>
      </c>
      <c r="K45" s="51" t="s">
        <v>85</v>
      </c>
      <c r="L45" s="56"/>
      <c r="M45" s="60"/>
      <c r="N45" s="295">
        <f>H45-G45</f>
        <v>0</v>
      </c>
      <c r="O45" s="284">
        <f>(N45/G45)</f>
        <v>0</v>
      </c>
      <c r="P45" s="296">
        <v>94002.391742275766</v>
      </c>
      <c r="Q45" s="297">
        <f>(+P45*G45*10)/1000</f>
        <v>8063.5251636524144</v>
      </c>
      <c r="R45" s="297">
        <f>(+P45*H45*10)/1000</f>
        <v>8063.5251636524144</v>
      </c>
      <c r="S45" s="298">
        <f>R45-Q45</f>
        <v>0</v>
      </c>
      <c r="T45" s="297">
        <f>(+P45*I45*10)/1000</f>
        <v>7903.7210976905462</v>
      </c>
      <c r="U45" s="298">
        <f>R45-T45</f>
        <v>159.80406596186822</v>
      </c>
      <c r="V45" s="291" t="s">
        <v>94</v>
      </c>
      <c r="W45" s="291" t="s">
        <v>94</v>
      </c>
      <c r="Z45" s="282"/>
    </row>
    <row r="46" spans="1:29" x14ac:dyDescent="0.3">
      <c r="A46" s="27">
        <f t="shared" si="0"/>
        <v>34</v>
      </c>
      <c r="D46" s="27" t="s">
        <v>87</v>
      </c>
      <c r="F46" s="27" t="s">
        <v>78</v>
      </c>
      <c r="G46" s="56">
        <f>'[2]MFR E-13c'!F91/10</f>
        <v>4.88</v>
      </c>
      <c r="H46" s="56">
        <f>'[2]MFR E-13c'!L91/10</f>
        <v>5.077</v>
      </c>
      <c r="I46" s="57">
        <f>ROUND('[2]MFR E-14C'!AA98,3)</f>
        <v>5.516</v>
      </c>
      <c r="J46" s="50" t="s">
        <v>84</v>
      </c>
      <c r="K46" s="51" t="s">
        <v>85</v>
      </c>
      <c r="L46" s="56"/>
      <c r="M46" s="60"/>
      <c r="N46" s="295"/>
      <c r="P46" s="296"/>
      <c r="Q46" s="297"/>
      <c r="R46" s="297"/>
      <c r="S46" s="298"/>
      <c r="T46" s="297"/>
      <c r="U46" s="298"/>
      <c r="V46" s="291"/>
      <c r="W46" s="291"/>
      <c r="Z46" s="282"/>
    </row>
    <row r="47" spans="1:29" x14ac:dyDescent="0.3">
      <c r="A47" s="27">
        <f t="shared" si="0"/>
        <v>35</v>
      </c>
      <c r="G47" s="56"/>
      <c r="H47" s="56"/>
      <c r="I47" s="56"/>
      <c r="J47" s="61"/>
      <c r="K47" s="56"/>
      <c r="L47" s="56"/>
      <c r="M47" s="60"/>
      <c r="N47" s="295"/>
      <c r="P47" s="296"/>
      <c r="Q47" s="297"/>
      <c r="R47" s="297"/>
      <c r="T47" s="297"/>
      <c r="U47" s="283"/>
      <c r="V47" s="291"/>
      <c r="W47" s="291"/>
      <c r="Z47" s="282"/>
    </row>
    <row r="48" spans="1:29" x14ac:dyDescent="0.3">
      <c r="A48" s="27">
        <f t="shared" si="0"/>
        <v>36</v>
      </c>
      <c r="C48" s="27" t="s">
        <v>104</v>
      </c>
      <c r="F48" s="27" t="s">
        <v>78</v>
      </c>
      <c r="G48" s="56">
        <v>1.629</v>
      </c>
      <c r="H48" s="57">
        <f>I48</f>
        <v>1.7129999999999999</v>
      </c>
      <c r="I48" s="57">
        <f>'[2]MFR E-14G'!G35*100</f>
        <v>1.7129999999999999</v>
      </c>
      <c r="J48" s="50" t="s">
        <v>105</v>
      </c>
      <c r="K48" s="51" t="s">
        <v>106</v>
      </c>
      <c r="L48" s="51"/>
      <c r="M48" s="52"/>
      <c r="N48" s="295">
        <f>H48-G48</f>
        <v>8.3999999999999853E-2</v>
      </c>
      <c r="O48" s="284">
        <f>(N48/G48)</f>
        <v>5.1565377532228271E-2</v>
      </c>
      <c r="P48" s="296"/>
      <c r="Q48" s="297">
        <f>(+P48*G48*10)/1000</f>
        <v>0</v>
      </c>
      <c r="R48" s="297">
        <f>(+P48*H48*10)/1000</f>
        <v>0</v>
      </c>
      <c r="S48" s="298">
        <f>R48-Q48</f>
        <v>0</v>
      </c>
      <c r="T48" s="297">
        <f>(+P48*I48*10)/1000</f>
        <v>0</v>
      </c>
      <c r="U48" s="298">
        <f>R48-T48</f>
        <v>0</v>
      </c>
      <c r="V48" s="291" t="s">
        <v>98</v>
      </c>
      <c r="W48" s="291" t="s">
        <v>98</v>
      </c>
      <c r="Z48" s="282"/>
    </row>
    <row r="49" spans="1:29" x14ac:dyDescent="0.3">
      <c r="A49" s="27">
        <f t="shared" si="0"/>
        <v>37</v>
      </c>
      <c r="G49" s="56"/>
      <c r="H49" s="56"/>
      <c r="I49" s="56"/>
      <c r="J49" s="50"/>
      <c r="K49" s="51"/>
      <c r="L49" s="51"/>
      <c r="M49" s="52"/>
      <c r="P49" s="296"/>
      <c r="Q49" s="297"/>
      <c r="R49" s="297"/>
      <c r="T49" s="297"/>
      <c r="U49" s="283"/>
      <c r="V49" s="291"/>
      <c r="W49" s="291"/>
      <c r="Z49" s="282"/>
    </row>
    <row r="50" spans="1:29" x14ac:dyDescent="0.3">
      <c r="A50" s="27">
        <f t="shared" si="0"/>
        <v>38</v>
      </c>
      <c r="C50" s="27" t="s">
        <v>107</v>
      </c>
      <c r="G50" s="51"/>
      <c r="H50" s="51"/>
      <c r="I50" s="51"/>
      <c r="J50" s="50"/>
      <c r="K50" s="51"/>
      <c r="L50" s="51"/>
      <c r="M50" s="52"/>
      <c r="P50" s="296"/>
      <c r="Q50" s="297"/>
      <c r="R50" s="297"/>
      <c r="T50" s="297"/>
      <c r="U50" s="283"/>
      <c r="V50" s="291"/>
      <c r="W50" s="291"/>
      <c r="Z50" s="282"/>
    </row>
    <row r="51" spans="1:29" x14ac:dyDescent="0.3">
      <c r="A51" s="27">
        <f t="shared" si="0"/>
        <v>39</v>
      </c>
      <c r="D51" s="27" t="s">
        <v>101</v>
      </c>
      <c r="F51" s="27" t="s">
        <v>61</v>
      </c>
      <c r="G51" s="62">
        <v>0.01</v>
      </c>
      <c r="H51" s="62">
        <v>0.01</v>
      </c>
      <c r="I51" s="62"/>
      <c r="J51" s="50"/>
      <c r="K51" s="51" t="s">
        <v>108</v>
      </c>
      <c r="L51" s="51"/>
      <c r="M51" s="52"/>
      <c r="N51" s="306">
        <f>H51-G51</f>
        <v>0</v>
      </c>
      <c r="O51" s="284">
        <f>(N51/G51)</f>
        <v>0</v>
      </c>
      <c r="P51" s="296"/>
      <c r="Q51" s="297">
        <f>(P51*G51)/1000</f>
        <v>0</v>
      </c>
      <c r="R51" s="297">
        <f>(P51*H51)/1000</f>
        <v>0</v>
      </c>
      <c r="S51" s="298">
        <f>R51-Q51</f>
        <v>0</v>
      </c>
      <c r="T51" s="297">
        <f>(P51*I51)/1000</f>
        <v>0</v>
      </c>
      <c r="U51" s="298">
        <f>R51-T51</f>
        <v>0</v>
      </c>
      <c r="V51" s="291" t="s">
        <v>98</v>
      </c>
      <c r="W51" s="291" t="s">
        <v>98</v>
      </c>
      <c r="Z51" s="282"/>
    </row>
    <row r="52" spans="1:29" x14ac:dyDescent="0.3">
      <c r="A52" s="27">
        <f t="shared" si="0"/>
        <v>40</v>
      </c>
      <c r="D52" s="27" t="s">
        <v>102</v>
      </c>
      <c r="F52" s="27" t="s">
        <v>61</v>
      </c>
      <c r="G52" s="62">
        <v>0.02</v>
      </c>
      <c r="H52" s="62">
        <v>0.02</v>
      </c>
      <c r="I52" s="62"/>
      <c r="J52" s="50"/>
      <c r="K52" s="51" t="s">
        <v>108</v>
      </c>
      <c r="L52" s="51"/>
      <c r="M52" s="52"/>
      <c r="N52" s="306">
        <f>H52-G52</f>
        <v>0</v>
      </c>
      <c r="O52" s="284">
        <f>(N52/G52)</f>
        <v>0</v>
      </c>
      <c r="P52" s="296"/>
      <c r="Q52" s="297">
        <f>(P52*G52)/1000</f>
        <v>0</v>
      </c>
      <c r="R52" s="297">
        <f>(P52*H52)/1000</f>
        <v>0</v>
      </c>
      <c r="S52" s="298">
        <f>R52-Q52</f>
        <v>0</v>
      </c>
      <c r="T52" s="297">
        <f>(P52*I52)/1000</f>
        <v>0</v>
      </c>
      <c r="U52" s="298">
        <f>R52-T52</f>
        <v>0</v>
      </c>
      <c r="V52" s="291" t="s">
        <v>98</v>
      </c>
      <c r="W52" s="291" t="s">
        <v>98</v>
      </c>
      <c r="Z52" s="282"/>
    </row>
    <row r="53" spans="1:29" x14ac:dyDescent="0.3">
      <c r="A53" s="27">
        <f t="shared" si="0"/>
        <v>41</v>
      </c>
      <c r="G53" s="62"/>
      <c r="H53" s="62"/>
      <c r="I53" s="62"/>
      <c r="J53" s="50"/>
      <c r="K53" s="51"/>
      <c r="L53" s="51"/>
      <c r="M53" s="52"/>
      <c r="N53" s="306"/>
      <c r="P53" s="296"/>
      <c r="Q53" s="297"/>
      <c r="R53" s="297"/>
      <c r="S53" s="298"/>
      <c r="T53" s="297"/>
      <c r="U53" s="298"/>
      <c r="V53" s="291"/>
      <c r="W53" s="291"/>
      <c r="Z53" s="282"/>
    </row>
    <row r="54" spans="1:29" x14ac:dyDescent="0.3">
      <c r="A54" s="27">
        <f t="shared" si="0"/>
        <v>42</v>
      </c>
      <c r="C54" s="27" t="s">
        <v>109</v>
      </c>
      <c r="F54" s="27" t="s">
        <v>61</v>
      </c>
      <c r="G54" s="63">
        <f>G182</f>
        <v>9.5999999999999992E-3</v>
      </c>
      <c r="H54" s="64">
        <f>I54</f>
        <v>9.5999999999999992E-3</v>
      </c>
      <c r="I54" s="65">
        <f>I182</f>
        <v>9.5999999999999992E-3</v>
      </c>
      <c r="J54" s="42" t="s">
        <v>110</v>
      </c>
      <c r="K54" s="66" t="s">
        <v>111</v>
      </c>
      <c r="L54" s="51"/>
      <c r="M54" s="52"/>
      <c r="N54" s="307">
        <f>H54-G54</f>
        <v>0</v>
      </c>
      <c r="O54" s="284">
        <f>(N54/G54)</f>
        <v>0</v>
      </c>
      <c r="P54" s="296"/>
      <c r="Q54" s="296"/>
      <c r="R54" s="296"/>
      <c r="T54" s="296"/>
      <c r="U54" s="283"/>
      <c r="V54" s="291" t="s">
        <v>98</v>
      </c>
      <c r="W54" s="291" t="s">
        <v>98</v>
      </c>
      <c r="Z54" s="282"/>
    </row>
    <row r="55" spans="1:29" ht="14.4" thickBot="1" x14ac:dyDescent="0.35">
      <c r="B55" s="31"/>
      <c r="C55" s="31"/>
      <c r="D55" s="31"/>
      <c r="E55" s="31"/>
      <c r="F55" s="31"/>
      <c r="G55" s="52"/>
      <c r="H55" s="52"/>
      <c r="I55" s="52"/>
      <c r="J55" s="59"/>
      <c r="K55" s="52"/>
      <c r="L55" s="52"/>
      <c r="M55" s="52"/>
      <c r="N55" s="300"/>
      <c r="O55" s="301"/>
      <c r="P55" s="302"/>
      <c r="Q55" s="303">
        <f>SUM(Q31:Q54)</f>
        <v>172046.77021135739</v>
      </c>
      <c r="R55" s="303">
        <f>SUM(R31:R54)</f>
        <v>177428.43709446272</v>
      </c>
      <c r="S55" s="303">
        <f>SUM(S31:S54)</f>
        <v>5381.6668831053266</v>
      </c>
      <c r="T55" s="303">
        <f>SUM(T31:T54)</f>
        <v>184696.73199466587</v>
      </c>
      <c r="U55" s="303">
        <f>SUM(U31:U54)</f>
        <v>-7268.294900203141</v>
      </c>
      <c r="V55" s="291"/>
      <c r="W55" s="291"/>
      <c r="Z55" s="282"/>
    </row>
    <row r="56" spans="1:29" ht="14.4" thickTop="1" x14ac:dyDescent="0.3">
      <c r="A56" s="27">
        <f>+A54+1</f>
        <v>43</v>
      </c>
      <c r="B56" s="48"/>
      <c r="G56" s="51"/>
      <c r="H56" s="51"/>
      <c r="I56" s="51"/>
      <c r="J56" s="50"/>
      <c r="K56" s="51"/>
      <c r="L56" s="51"/>
      <c r="M56" s="52"/>
      <c r="P56" s="296"/>
      <c r="Q56" s="296"/>
      <c r="R56" s="296"/>
      <c r="S56" s="304" t="s">
        <v>91</v>
      </c>
      <c r="T56" s="305">
        <v>0</v>
      </c>
      <c r="U56" s="283"/>
      <c r="V56" s="291"/>
      <c r="W56" s="291"/>
      <c r="Z56" s="282"/>
    </row>
    <row r="57" spans="1:29" x14ac:dyDescent="0.3">
      <c r="A57" s="27">
        <f t="shared" si="0"/>
        <v>44</v>
      </c>
      <c r="B57" s="48" t="s">
        <v>112</v>
      </c>
      <c r="C57" s="27" t="s">
        <v>65</v>
      </c>
      <c r="G57" s="51"/>
      <c r="H57" s="51"/>
      <c r="I57" s="51"/>
      <c r="J57" s="50"/>
      <c r="K57" s="51"/>
      <c r="L57" s="51"/>
      <c r="M57" s="52"/>
      <c r="P57" s="296"/>
      <c r="Q57" s="296"/>
      <c r="R57" s="296"/>
      <c r="T57" s="296"/>
      <c r="U57" s="283"/>
      <c r="V57" s="291"/>
      <c r="W57" s="291"/>
      <c r="Z57" s="282"/>
    </row>
    <row r="58" spans="1:29" x14ac:dyDescent="0.3">
      <c r="A58" s="27">
        <f t="shared" si="0"/>
        <v>45</v>
      </c>
      <c r="D58" s="27" t="s">
        <v>67</v>
      </c>
      <c r="G58" s="51"/>
      <c r="H58" s="51"/>
      <c r="I58" s="51"/>
      <c r="J58" s="50"/>
      <c r="K58" s="51"/>
      <c r="L58" s="51"/>
      <c r="M58" s="52"/>
      <c r="P58" s="296"/>
      <c r="Q58" s="296"/>
      <c r="R58" s="296"/>
      <c r="T58" s="296"/>
      <c r="U58" s="283"/>
      <c r="V58" s="291"/>
      <c r="W58" s="291"/>
      <c r="Z58" s="282"/>
    </row>
    <row r="59" spans="1:29" x14ac:dyDescent="0.3">
      <c r="A59" s="27">
        <f t="shared" si="0"/>
        <v>46</v>
      </c>
      <c r="D59" s="54" t="s">
        <v>95</v>
      </c>
      <c r="F59" s="27" t="s">
        <v>60</v>
      </c>
      <c r="G59" s="49">
        <f>'[2]MFR E-13c'!F131</f>
        <v>12.18</v>
      </c>
      <c r="H59" s="49">
        <f>'[2]MFR E-13c'!L131</f>
        <v>12.67</v>
      </c>
      <c r="I59" s="49">
        <f>SUM('[2]MFR E-6b'!J52,'[2]MFR E-6b'!J55)</f>
        <v>10.720576994802771</v>
      </c>
      <c r="J59" s="50" t="s">
        <v>113</v>
      </c>
      <c r="K59" s="51" t="s">
        <v>69</v>
      </c>
      <c r="L59" s="51"/>
      <c r="M59" s="52"/>
      <c r="N59" s="295">
        <f>H59-G59</f>
        <v>0.49000000000000021</v>
      </c>
      <c r="O59" s="284">
        <f>(N59/G59)</f>
        <v>4.0229885057471285E-2</v>
      </c>
      <c r="P59" s="296">
        <v>10797.571442115595</v>
      </c>
      <c r="Q59" s="297">
        <f>(P59*G59)/1000</f>
        <v>131.51442016496796</v>
      </c>
      <c r="R59" s="297">
        <f>(P59*H59)/1000</f>
        <v>136.80523017160459</v>
      </c>
      <c r="S59" s="298">
        <f>R59-Q59</f>
        <v>5.290810006636633</v>
      </c>
      <c r="T59" s="297">
        <f>(P59*I59)/1000</f>
        <v>115.75619600208383</v>
      </c>
      <c r="U59" s="298">
        <f>R59-T59</f>
        <v>21.049034169520766</v>
      </c>
      <c r="V59" s="291" t="s">
        <v>112</v>
      </c>
      <c r="W59" s="291" t="s">
        <v>112</v>
      </c>
      <c r="Z59" s="282"/>
      <c r="AC59" s="27" t="b">
        <f>H59&gt;=I59</f>
        <v>1</v>
      </c>
    </row>
    <row r="60" spans="1:29" x14ac:dyDescent="0.3">
      <c r="A60" s="27">
        <f t="shared" si="0"/>
        <v>47</v>
      </c>
      <c r="D60" s="54" t="s">
        <v>114</v>
      </c>
      <c r="F60" s="27" t="s">
        <v>60</v>
      </c>
      <c r="G60" s="49">
        <f>'[2]MFR E-13c'!F132</f>
        <v>21.57</v>
      </c>
      <c r="H60" s="49">
        <f>'[2]MFR E-13c'!L132</f>
        <v>22.51</v>
      </c>
      <c r="I60" s="49">
        <f>SUM('[2]MFR E-6b'!J56)</f>
        <v>14.345334376492779</v>
      </c>
      <c r="J60" s="50" t="s">
        <v>113</v>
      </c>
      <c r="K60" s="51" t="s">
        <v>69</v>
      </c>
      <c r="L60" s="51"/>
      <c r="M60" s="52"/>
      <c r="N60" s="295">
        <f>H60-G60</f>
        <v>0.94000000000000128</v>
      </c>
      <c r="O60" s="284">
        <f>(N60/G60)</f>
        <v>4.3579044969865616E-2</v>
      </c>
      <c r="P60" s="296">
        <v>169777.44269799883</v>
      </c>
      <c r="Q60" s="297">
        <f>(P60*G60)/1000</f>
        <v>3662.099438995835</v>
      </c>
      <c r="R60" s="297">
        <f>(P60*H60)/1000</f>
        <v>3821.6902351319541</v>
      </c>
      <c r="S60" s="298">
        <f>R60-Q60</f>
        <v>159.59079613611902</v>
      </c>
      <c r="T60" s="297">
        <f>(P60*I60)/1000</f>
        <v>2435.5141850886357</v>
      </c>
      <c r="U60" s="298">
        <f>R60-T60</f>
        <v>1386.1760500433184</v>
      </c>
      <c r="V60" s="291" t="s">
        <v>112</v>
      </c>
      <c r="W60" s="291" t="s">
        <v>112</v>
      </c>
      <c r="Z60" s="282"/>
      <c r="AC60" s="27" t="b">
        <f>H60&gt;=I60</f>
        <v>1</v>
      </c>
    </row>
    <row r="61" spans="1:29" x14ac:dyDescent="0.3">
      <c r="A61" s="27">
        <f t="shared" si="0"/>
        <v>48</v>
      </c>
      <c r="G61" s="51"/>
      <c r="H61" s="51"/>
      <c r="I61" s="51"/>
      <c r="J61" s="50"/>
      <c r="K61" s="51"/>
      <c r="L61" s="51"/>
      <c r="M61" s="52"/>
      <c r="P61" s="296"/>
      <c r="Q61" s="297"/>
      <c r="R61" s="297"/>
      <c r="T61" s="297"/>
      <c r="U61" s="283"/>
      <c r="V61" s="291"/>
      <c r="W61" s="291"/>
      <c r="Z61" s="282"/>
    </row>
    <row r="62" spans="1:29" x14ac:dyDescent="0.3">
      <c r="A62" s="27">
        <f t="shared" si="0"/>
        <v>49</v>
      </c>
      <c r="C62" s="27" t="s">
        <v>75</v>
      </c>
      <c r="G62" s="51"/>
      <c r="H62" s="51"/>
      <c r="I62" s="51"/>
      <c r="J62" s="50"/>
      <c r="K62" s="51"/>
      <c r="L62" s="51"/>
      <c r="M62" s="52"/>
      <c r="P62" s="296"/>
      <c r="Q62" s="297"/>
      <c r="R62" s="297"/>
      <c r="T62" s="297"/>
      <c r="U62" s="283"/>
      <c r="V62" s="291"/>
      <c r="W62" s="291"/>
      <c r="Z62" s="282"/>
    </row>
    <row r="63" spans="1:29" x14ac:dyDescent="0.3">
      <c r="A63" s="27">
        <f t="shared" si="0"/>
        <v>50</v>
      </c>
      <c r="D63" s="27" t="s">
        <v>67</v>
      </c>
      <c r="F63" s="27" t="s">
        <v>78</v>
      </c>
      <c r="G63" s="56">
        <f>'[2]MFR E-13c'!F137/10</f>
        <v>3.7369999999999997</v>
      </c>
      <c r="H63" s="56">
        <f>'[2]MFR E-13c'!L137/10</f>
        <v>3.8909999999999996</v>
      </c>
      <c r="I63" s="57">
        <f>SUM('[2]MFR E-6b'!J59,'[2]MFR E-6b'!J66)/10</f>
        <v>5.1180039086225051</v>
      </c>
      <c r="J63" s="50" t="s">
        <v>113</v>
      </c>
      <c r="K63" s="51" t="s">
        <v>69</v>
      </c>
      <c r="L63" s="56"/>
      <c r="M63" s="60"/>
      <c r="N63" s="295">
        <f>H63-G63</f>
        <v>0.15399999999999991</v>
      </c>
      <c r="O63" s="284">
        <f>(N63/G63)</f>
        <v>4.120952635804119E-2</v>
      </c>
      <c r="P63" s="296">
        <v>180592.4</v>
      </c>
      <c r="Q63" s="297">
        <f>(+P63*G63*10)/1000</f>
        <v>6748.7379879999989</v>
      </c>
      <c r="R63" s="297">
        <f>(+P63*H63*10)/1000</f>
        <v>7026.8502840000001</v>
      </c>
      <c r="S63" s="298">
        <f>R63-Q63</f>
        <v>278.11229600000115</v>
      </c>
      <c r="T63" s="297">
        <f>(+P63*I63*10)/1000</f>
        <v>9242.726090675189</v>
      </c>
      <c r="U63" s="298">
        <f>R63-T63</f>
        <v>-2215.8758066751889</v>
      </c>
      <c r="V63" s="291" t="s">
        <v>112</v>
      </c>
      <c r="W63" s="291" t="s">
        <v>112</v>
      </c>
      <c r="Z63" s="282"/>
    </row>
    <row r="64" spans="1:29" x14ac:dyDescent="0.3">
      <c r="A64" s="27">
        <f t="shared" si="0"/>
        <v>51</v>
      </c>
      <c r="G64" s="56"/>
      <c r="H64" s="56"/>
      <c r="I64" s="56"/>
      <c r="J64" s="61"/>
      <c r="K64" s="56"/>
      <c r="L64" s="56"/>
      <c r="M64" s="60"/>
      <c r="P64" s="296"/>
      <c r="Q64" s="297"/>
      <c r="R64" s="297"/>
      <c r="T64" s="297"/>
      <c r="U64" s="283"/>
      <c r="V64" s="291"/>
      <c r="W64" s="291"/>
      <c r="Z64" s="282"/>
    </row>
    <row r="65" spans="1:29" x14ac:dyDescent="0.3">
      <c r="A65" s="27">
        <f t="shared" si="0"/>
        <v>52</v>
      </c>
      <c r="C65" s="27" t="s">
        <v>104</v>
      </c>
      <c r="F65" s="27" t="s">
        <v>78</v>
      </c>
      <c r="G65" s="57">
        <v>0.34399999999999997</v>
      </c>
      <c r="H65" s="57">
        <f>I65</f>
        <v>0.36199999999999999</v>
      </c>
      <c r="I65" s="57">
        <f>'[2]MFR E-14G'!I35*100</f>
        <v>0.36199999999999999</v>
      </c>
      <c r="J65" s="50" t="s">
        <v>105</v>
      </c>
      <c r="K65" s="51" t="s">
        <v>106</v>
      </c>
      <c r="L65" s="56"/>
      <c r="M65" s="60"/>
      <c r="N65" s="295">
        <f>H65-G65</f>
        <v>1.8000000000000016E-2</v>
      </c>
      <c r="O65" s="284">
        <f>(N65/G65)</f>
        <v>5.2325581395348889E-2</v>
      </c>
      <c r="P65" s="296"/>
      <c r="Q65" s="297">
        <f>(+P65*G65*10)/1000</f>
        <v>0</v>
      </c>
      <c r="R65" s="297">
        <f>(+P65*H65*10)/1000</f>
        <v>0</v>
      </c>
      <c r="S65" s="298">
        <f>R65-Q65</f>
        <v>0</v>
      </c>
      <c r="T65" s="297">
        <f>(+P65*I65*10)/1000</f>
        <v>0</v>
      </c>
      <c r="U65" s="298">
        <f>R65-T65</f>
        <v>0</v>
      </c>
      <c r="V65" s="291" t="s">
        <v>112</v>
      </c>
      <c r="W65" s="291" t="s">
        <v>112</v>
      </c>
      <c r="Z65" s="282"/>
    </row>
    <row r="66" spans="1:29" x14ac:dyDescent="0.3">
      <c r="A66" s="27">
        <f t="shared" si="0"/>
        <v>53</v>
      </c>
      <c r="G66" s="56"/>
      <c r="H66" s="56"/>
      <c r="I66" s="56"/>
      <c r="J66" s="61"/>
      <c r="K66" s="56"/>
      <c r="L66" s="56"/>
      <c r="M66" s="60"/>
      <c r="N66" s="295"/>
      <c r="P66" s="296"/>
      <c r="Q66" s="296"/>
      <c r="R66" s="296"/>
      <c r="T66" s="296"/>
      <c r="U66" s="283"/>
      <c r="V66" s="291"/>
      <c r="W66" s="291"/>
      <c r="Z66" s="282"/>
    </row>
    <row r="67" spans="1:29" ht="14.4" thickBot="1" x14ac:dyDescent="0.35">
      <c r="B67" s="31"/>
      <c r="C67" s="31"/>
      <c r="D67" s="31"/>
      <c r="E67" s="31"/>
      <c r="F67" s="31"/>
      <c r="G67" s="52"/>
      <c r="H67" s="52"/>
      <c r="I67" s="52"/>
      <c r="J67" s="59"/>
      <c r="K67" s="52"/>
      <c r="L67" s="52"/>
      <c r="M67" s="52"/>
      <c r="N67" s="300"/>
      <c r="O67" s="301"/>
      <c r="P67" s="302"/>
      <c r="Q67" s="303">
        <f>SUM(Q57:Q66)</f>
        <v>10542.351847160802</v>
      </c>
      <c r="R67" s="303">
        <f>SUM(R57:R66)</f>
        <v>10985.345749303558</v>
      </c>
      <c r="S67" s="303">
        <f>SUM(S57:S66)</f>
        <v>442.99390214275684</v>
      </c>
      <c r="T67" s="303">
        <f>SUM(T57:T66)</f>
        <v>11793.99647176591</v>
      </c>
      <c r="U67" s="303">
        <f>SUM(U57:U66)</f>
        <v>-808.65072246234968</v>
      </c>
      <c r="V67" s="291"/>
      <c r="W67" s="291"/>
      <c r="Z67" s="282"/>
    </row>
    <row r="68" spans="1:29" ht="14.4" thickTop="1" x14ac:dyDescent="0.3">
      <c r="A68" s="27">
        <f>+A66+1</f>
        <v>54</v>
      </c>
      <c r="B68" s="48"/>
      <c r="G68" s="51"/>
      <c r="H68" s="51"/>
      <c r="I68" s="51"/>
      <c r="J68" s="50"/>
      <c r="K68" s="51"/>
      <c r="L68" s="51"/>
      <c r="M68" s="52"/>
      <c r="P68" s="296"/>
      <c r="Q68" s="296"/>
      <c r="R68" s="296"/>
      <c r="S68" s="304" t="s">
        <v>91</v>
      </c>
      <c r="T68" s="305">
        <v>0</v>
      </c>
      <c r="U68" s="283"/>
      <c r="V68" s="291"/>
      <c r="W68" s="291"/>
      <c r="Z68" s="282"/>
    </row>
    <row r="69" spans="1:29" x14ac:dyDescent="0.3">
      <c r="A69" s="27">
        <f t="shared" si="0"/>
        <v>55</v>
      </c>
      <c r="B69" s="48" t="s">
        <v>115</v>
      </c>
      <c r="C69" s="27" t="s">
        <v>65</v>
      </c>
      <c r="G69" s="51"/>
      <c r="H69" s="51"/>
      <c r="I69" s="51"/>
      <c r="J69" s="50"/>
      <c r="K69" s="51"/>
      <c r="L69" s="51"/>
      <c r="M69" s="52"/>
      <c r="P69" s="296"/>
      <c r="Q69" s="296"/>
      <c r="R69" s="296"/>
      <c r="T69" s="296"/>
      <c r="U69" s="283"/>
      <c r="V69" s="291"/>
      <c r="W69" s="291"/>
      <c r="Z69" s="282"/>
    </row>
    <row r="70" spans="1:29" x14ac:dyDescent="0.3">
      <c r="A70" s="27">
        <f t="shared" si="0"/>
        <v>56</v>
      </c>
      <c r="B70" s="48" t="s">
        <v>116</v>
      </c>
      <c r="D70" s="27" t="s">
        <v>67</v>
      </c>
      <c r="G70" s="55"/>
      <c r="H70" s="55"/>
      <c r="I70" s="55"/>
      <c r="J70" s="50"/>
      <c r="K70" s="51"/>
      <c r="L70" s="51"/>
      <c r="M70" s="52"/>
      <c r="P70" s="296"/>
      <c r="Q70" s="296"/>
      <c r="R70" s="296"/>
      <c r="T70" s="296"/>
      <c r="U70" s="283"/>
      <c r="V70" s="291"/>
      <c r="W70" s="291"/>
      <c r="Z70" s="282"/>
    </row>
    <row r="71" spans="1:29" x14ac:dyDescent="0.3">
      <c r="A71" s="27">
        <f t="shared" si="0"/>
        <v>57</v>
      </c>
      <c r="B71" s="48"/>
      <c r="D71" s="54" t="s">
        <v>99</v>
      </c>
      <c r="F71" s="27" t="s">
        <v>60</v>
      </c>
      <c r="G71" s="49">
        <f>'[2]MFR E-13c'!F165</f>
        <v>21.56</v>
      </c>
      <c r="H71" s="49">
        <f>'[2]MFR E-13c'!L165</f>
        <v>22.07</v>
      </c>
      <c r="I71" s="58">
        <f>'[2]MFR E-14E'!H53</f>
        <v>20.812713818752229</v>
      </c>
      <c r="J71" s="50" t="s">
        <v>96</v>
      </c>
      <c r="K71" s="51" t="s">
        <v>69</v>
      </c>
      <c r="L71" s="51"/>
      <c r="M71" s="52"/>
      <c r="N71" s="295">
        <f>H71-G71</f>
        <v>0.51000000000000156</v>
      </c>
      <c r="O71" s="284">
        <f>(N71/G71)</f>
        <v>2.3654916512059442E-2</v>
      </c>
      <c r="P71" s="296">
        <v>410153.35282424564</v>
      </c>
      <c r="Q71" s="297">
        <f>(P71*G71)/1000</f>
        <v>8842.9062868907367</v>
      </c>
      <c r="R71" s="297">
        <f>(P71*H71)/1000</f>
        <v>9052.0844968311012</v>
      </c>
      <c r="S71" s="298">
        <f>R71-Q71</f>
        <v>209.17820994036447</v>
      </c>
      <c r="T71" s="297">
        <f>(P71*I71)/1000</f>
        <v>8536.4043541327355</v>
      </c>
      <c r="U71" s="298">
        <f>R71-T71</f>
        <v>515.68014269836567</v>
      </c>
      <c r="V71" s="291" t="s">
        <v>115</v>
      </c>
      <c r="W71" s="291" t="s">
        <v>115</v>
      </c>
      <c r="Z71" s="282"/>
      <c r="AC71" s="27" t="b">
        <f t="shared" ref="AC71:AC73" si="9">H71&gt;=I71</f>
        <v>1</v>
      </c>
    </row>
    <row r="72" spans="1:29" x14ac:dyDescent="0.3">
      <c r="A72" s="27">
        <f t="shared" si="0"/>
        <v>58</v>
      </c>
      <c r="B72" s="48"/>
      <c r="D72" s="54" t="s">
        <v>101</v>
      </c>
      <c r="F72" s="27" t="s">
        <v>60</v>
      </c>
      <c r="G72" s="49">
        <f>'[2]MFR E-13c'!F166</f>
        <v>272.61</v>
      </c>
      <c r="H72" s="49">
        <f>'[2]MFR E-13c'!L166</f>
        <v>279.02999999999997</v>
      </c>
      <c r="I72" s="58">
        <f>'[2]MFR E-14E'!H54</f>
        <v>162.83692074602925</v>
      </c>
      <c r="J72" s="50" t="s">
        <v>96</v>
      </c>
      <c r="K72" s="51" t="s">
        <v>69</v>
      </c>
      <c r="L72" s="51"/>
      <c r="M72" s="52"/>
      <c r="N72" s="295">
        <f>H72-G72</f>
        <v>6.4199999999999591</v>
      </c>
      <c r="O72" s="284">
        <f>(N72/G72)</f>
        <v>2.3550126554418249E-2</v>
      </c>
      <c r="P72" s="296">
        <v>917.45955625931117</v>
      </c>
      <c r="Q72" s="297">
        <f>(P72*G72)/1000</f>
        <v>250.10864963185082</v>
      </c>
      <c r="R72" s="297">
        <f>(P72*H72)/1000</f>
        <v>255.99873998303556</v>
      </c>
      <c r="S72" s="298">
        <f>R72-Q72</f>
        <v>5.8900903511847389</v>
      </c>
      <c r="T72" s="297">
        <f>(P72*I72)/1000</f>
        <v>149.39628905028462</v>
      </c>
      <c r="U72" s="298">
        <f>R72-T72</f>
        <v>106.60245093275094</v>
      </c>
      <c r="V72" s="291" t="s">
        <v>115</v>
      </c>
      <c r="W72" s="291" t="s">
        <v>115</v>
      </c>
      <c r="Z72" s="282"/>
      <c r="AC72" s="27" t="b">
        <f t="shared" si="9"/>
        <v>1</v>
      </c>
    </row>
    <row r="73" spans="1:29" x14ac:dyDescent="0.3">
      <c r="A73" s="27">
        <f t="shared" si="0"/>
        <v>59</v>
      </c>
      <c r="D73" s="54" t="s">
        <v>102</v>
      </c>
      <c r="F73" s="27" t="s">
        <v>60</v>
      </c>
      <c r="G73" s="49">
        <f>'[2]MFR E-13c'!F167</f>
        <v>1344.66</v>
      </c>
      <c r="H73" s="49">
        <f>'[2]MFR E-13c'!L167</f>
        <v>1376.31</v>
      </c>
      <c r="I73" s="58">
        <f>'[2]MFR E-14E'!H55</f>
        <v>381.53010871595308</v>
      </c>
      <c r="J73" s="50" t="s">
        <v>96</v>
      </c>
      <c r="K73" s="51" t="s">
        <v>69</v>
      </c>
      <c r="L73" s="51"/>
      <c r="M73" s="52"/>
      <c r="N73" s="295">
        <f>H73-G73</f>
        <v>31.649999999999864</v>
      </c>
      <c r="O73" s="284">
        <f>(N73/G73)</f>
        <v>2.3537548525277664E-2</v>
      </c>
      <c r="P73" s="296"/>
      <c r="Q73" s="297">
        <f>(P73*G73)/1000</f>
        <v>0</v>
      </c>
      <c r="R73" s="297">
        <f>(P73*H73)/1000</f>
        <v>0</v>
      </c>
      <c r="S73" s="298">
        <f>R73-Q73</f>
        <v>0</v>
      </c>
      <c r="T73" s="297">
        <f>(P73*I73)/1000</f>
        <v>0</v>
      </c>
      <c r="U73" s="298">
        <f>R73-T73</f>
        <v>0</v>
      </c>
      <c r="V73" s="291" t="s">
        <v>115</v>
      </c>
      <c r="W73" s="291" t="s">
        <v>115</v>
      </c>
      <c r="Z73" s="282"/>
      <c r="AC73" s="27" t="b">
        <f t="shared" si="9"/>
        <v>1</v>
      </c>
    </row>
    <row r="74" spans="1:29" x14ac:dyDescent="0.3">
      <c r="A74" s="27">
        <f t="shared" si="0"/>
        <v>60</v>
      </c>
      <c r="D74" s="27" t="s">
        <v>71</v>
      </c>
      <c r="G74" s="49"/>
      <c r="H74" s="49"/>
      <c r="I74" s="49"/>
      <c r="J74" s="50"/>
      <c r="K74" s="51"/>
      <c r="L74" s="51"/>
      <c r="M74" s="52"/>
      <c r="P74" s="296"/>
      <c r="Q74" s="297"/>
      <c r="R74" s="297"/>
      <c r="T74" s="297"/>
      <c r="U74" s="283"/>
      <c r="V74" s="291"/>
      <c r="W74" s="291"/>
      <c r="Z74" s="282"/>
    </row>
    <row r="75" spans="1:29" x14ac:dyDescent="0.3">
      <c r="A75" s="27">
        <f t="shared" si="0"/>
        <v>61</v>
      </c>
      <c r="D75" s="54" t="s">
        <v>99</v>
      </c>
      <c r="F75" s="27" t="s">
        <v>60</v>
      </c>
      <c r="G75" s="49">
        <f>'[2]MFR E-13c'!F169</f>
        <v>21.56</v>
      </c>
      <c r="H75" s="49">
        <f>'[2]MFR E-13c'!L169</f>
        <v>22.07</v>
      </c>
      <c r="I75" s="58">
        <f>I71</f>
        <v>20.812713818752229</v>
      </c>
      <c r="J75" s="50" t="s">
        <v>96</v>
      </c>
      <c r="K75" s="51" t="s">
        <v>117</v>
      </c>
      <c r="L75" s="51"/>
      <c r="M75" s="52"/>
      <c r="N75" s="295">
        <f t="shared" ref="N75:N77" si="10">H75-G75</f>
        <v>0.51000000000000156</v>
      </c>
      <c r="O75" s="284">
        <f t="shared" ref="O75:O77" si="11">(N75/G75)</f>
        <v>2.3654916512059442E-2</v>
      </c>
      <c r="P75" s="296">
        <v>169731.8802606402</v>
      </c>
      <c r="Q75" s="297">
        <f t="shared" ref="Q75:Q76" si="12">(P75*G75)/1000</f>
        <v>3659.4193384194023</v>
      </c>
      <c r="R75" s="297">
        <f t="shared" ref="R75:R76" si="13">(P75*H75)/1000</f>
        <v>3745.9825973523293</v>
      </c>
      <c r="S75" s="298">
        <f t="shared" ref="S75:S76" si="14">R75-Q75</f>
        <v>86.563258932927056</v>
      </c>
      <c r="T75" s="297">
        <f t="shared" ref="T75:T76" si="15">(P75*I75)/1000</f>
        <v>3532.581049783425</v>
      </c>
      <c r="U75" s="298">
        <f t="shared" ref="U75:U76" si="16">R75-T75</f>
        <v>213.40154756890433</v>
      </c>
      <c r="V75" s="291" t="s">
        <v>116</v>
      </c>
      <c r="W75" s="291" t="s">
        <v>116</v>
      </c>
      <c r="Z75" s="282"/>
      <c r="AC75" s="27" t="b">
        <f t="shared" ref="AC75:AC77" si="17">H75&gt;=I75</f>
        <v>1</v>
      </c>
    </row>
    <row r="76" spans="1:29" x14ac:dyDescent="0.3">
      <c r="A76" s="27">
        <f t="shared" si="0"/>
        <v>62</v>
      </c>
      <c r="D76" s="54" t="s">
        <v>101</v>
      </c>
      <c r="F76" s="27" t="s">
        <v>60</v>
      </c>
      <c r="G76" s="49">
        <f>'[2]MFR E-13c'!F170</f>
        <v>272.61</v>
      </c>
      <c r="H76" s="49">
        <f>'[2]MFR E-13c'!L170</f>
        <v>279.02999999999997</v>
      </c>
      <c r="I76" s="58">
        <f>I72</f>
        <v>162.83692074602925</v>
      </c>
      <c r="J76" s="50" t="s">
        <v>96</v>
      </c>
      <c r="K76" s="51" t="s">
        <v>117</v>
      </c>
      <c r="L76" s="51"/>
      <c r="M76" s="52"/>
      <c r="N76" s="295">
        <f t="shared" si="10"/>
        <v>6.4199999999999591</v>
      </c>
      <c r="O76" s="284">
        <f t="shared" si="11"/>
        <v>2.3550126554418249E-2</v>
      </c>
      <c r="P76" s="296">
        <v>2777.5426391952201</v>
      </c>
      <c r="Q76" s="297">
        <f t="shared" si="12"/>
        <v>757.18589887100904</v>
      </c>
      <c r="R76" s="297">
        <f t="shared" si="13"/>
        <v>775.01772261464225</v>
      </c>
      <c r="S76" s="298">
        <f t="shared" si="14"/>
        <v>17.831823743633208</v>
      </c>
      <c r="T76" s="297">
        <f t="shared" si="15"/>
        <v>452.28649060734898</v>
      </c>
      <c r="U76" s="298">
        <f t="shared" si="16"/>
        <v>322.73123200729327</v>
      </c>
      <c r="V76" s="291" t="s">
        <v>116</v>
      </c>
      <c r="W76" s="291" t="s">
        <v>116</v>
      </c>
      <c r="Z76" s="282"/>
      <c r="AC76" s="27" t="b">
        <f t="shared" si="17"/>
        <v>1</v>
      </c>
    </row>
    <row r="77" spans="1:29" x14ac:dyDescent="0.3">
      <c r="A77" s="27">
        <f t="shared" si="0"/>
        <v>63</v>
      </c>
      <c r="D77" s="54" t="s">
        <v>102</v>
      </c>
      <c r="F77" s="27" t="s">
        <v>60</v>
      </c>
      <c r="G77" s="49">
        <f>'[2]MFR E-13c'!F171</f>
        <v>1344.66</v>
      </c>
      <c r="H77" s="49">
        <f>'[2]MFR E-13c'!L171</f>
        <v>1376.31</v>
      </c>
      <c r="I77" s="58">
        <f>I73</f>
        <v>381.53010871595308</v>
      </c>
      <c r="J77" s="50" t="s">
        <v>96</v>
      </c>
      <c r="K77" s="51" t="s">
        <v>117</v>
      </c>
      <c r="L77" s="51"/>
      <c r="M77" s="52"/>
      <c r="N77" s="295">
        <f t="shared" si="10"/>
        <v>31.649999999999864</v>
      </c>
      <c r="O77" s="284">
        <f t="shared" si="11"/>
        <v>2.3537548525277664E-2</v>
      </c>
      <c r="P77" s="296">
        <v>0</v>
      </c>
      <c r="Q77" s="297">
        <f>(P77*G77)/1000</f>
        <v>0</v>
      </c>
      <c r="R77" s="297">
        <f>(P77*H77)/1000</f>
        <v>0</v>
      </c>
      <c r="S77" s="298">
        <f>R77-Q77</f>
        <v>0</v>
      </c>
      <c r="T77" s="297">
        <f>(P77*I77)/1000</f>
        <v>0</v>
      </c>
      <c r="U77" s="298">
        <f>R77-T77</f>
        <v>0</v>
      </c>
      <c r="V77" s="291" t="s">
        <v>116</v>
      </c>
      <c r="W77" s="291" t="s">
        <v>116</v>
      </c>
      <c r="Z77" s="282"/>
      <c r="AC77" s="27" t="b">
        <f t="shared" si="17"/>
        <v>1</v>
      </c>
    </row>
    <row r="78" spans="1:29" x14ac:dyDescent="0.3">
      <c r="A78" s="27">
        <f t="shared" ref="A78:A141" si="18">+A77+1</f>
        <v>64</v>
      </c>
      <c r="G78" s="51"/>
      <c r="H78" s="51"/>
      <c r="I78" s="51"/>
      <c r="J78" s="50"/>
      <c r="K78" s="51"/>
      <c r="L78" s="51"/>
      <c r="M78" s="52"/>
      <c r="P78" s="296"/>
      <c r="Q78" s="297"/>
      <c r="R78" s="297"/>
      <c r="T78" s="297"/>
      <c r="U78" s="283"/>
      <c r="V78" s="291"/>
      <c r="W78" s="291"/>
      <c r="Z78" s="282"/>
    </row>
    <row r="79" spans="1:29" x14ac:dyDescent="0.3">
      <c r="A79" s="27">
        <f t="shared" si="18"/>
        <v>65</v>
      </c>
      <c r="C79" s="27" t="s">
        <v>118</v>
      </c>
      <c r="G79" s="51"/>
      <c r="H79" s="51"/>
      <c r="I79" s="51"/>
      <c r="J79" s="50"/>
      <c r="K79" s="51"/>
      <c r="L79" s="51"/>
      <c r="M79" s="52"/>
      <c r="P79" s="296"/>
      <c r="Q79" s="297"/>
      <c r="R79" s="297"/>
      <c r="T79" s="297"/>
      <c r="U79" s="283"/>
      <c r="V79" s="291"/>
      <c r="W79" s="291"/>
      <c r="Z79" s="282"/>
    </row>
    <row r="80" spans="1:29" x14ac:dyDescent="0.3">
      <c r="A80" s="27">
        <f t="shared" si="18"/>
        <v>66</v>
      </c>
      <c r="D80" s="27" t="s">
        <v>67</v>
      </c>
      <c r="F80" s="27" t="s">
        <v>119</v>
      </c>
      <c r="G80" s="49">
        <f>'[2]MFR E-13c'!F176</f>
        <v>9.3800000000000008</v>
      </c>
      <c r="H80" s="49">
        <f>'[2]MFR E-13c'!L176</f>
        <v>9.68</v>
      </c>
      <c r="I80" s="49">
        <f>'[2]MFR E-6b'!K73</f>
        <v>21.247496521915785</v>
      </c>
      <c r="J80" s="50" t="s">
        <v>113</v>
      </c>
      <c r="K80" s="51" t="s">
        <v>69</v>
      </c>
      <c r="L80" s="51"/>
      <c r="M80" s="52"/>
      <c r="N80" s="295">
        <f>H80-G80</f>
        <v>0.29999999999999893</v>
      </c>
      <c r="O80" s="284">
        <f>(N80/G80)</f>
        <v>3.1982942430703508E-2</v>
      </c>
      <c r="P80" s="296">
        <v>249397.8255275425</v>
      </c>
      <c r="Q80" s="297">
        <f>(P80*G80)/1000</f>
        <v>2339.3516034483491</v>
      </c>
      <c r="R80" s="297">
        <f>(P80*H80)/1000</f>
        <v>2414.170951106611</v>
      </c>
      <c r="S80" s="298">
        <f>R80-Q80</f>
        <v>74.819347658261904</v>
      </c>
      <c r="T80" s="297">
        <f>(P80*I80)/1000</f>
        <v>5299.0794304698193</v>
      </c>
      <c r="U80" s="298">
        <f>R80-T80</f>
        <v>-2884.9084793632082</v>
      </c>
      <c r="V80" s="291" t="s">
        <v>115</v>
      </c>
      <c r="W80" s="291" t="s">
        <v>115</v>
      </c>
      <c r="Z80" s="282"/>
    </row>
    <row r="81" spans="1:26" x14ac:dyDescent="0.3">
      <c r="A81" s="27">
        <f t="shared" si="18"/>
        <v>67</v>
      </c>
      <c r="D81" s="27" t="s">
        <v>71</v>
      </c>
      <c r="G81" s="51"/>
      <c r="H81" s="51"/>
      <c r="I81" s="51"/>
      <c r="J81" s="50"/>
      <c r="K81" s="51"/>
      <c r="L81" s="51"/>
      <c r="M81" s="52"/>
      <c r="P81" s="296"/>
      <c r="Q81" s="297"/>
      <c r="R81" s="297"/>
      <c r="T81" s="297"/>
      <c r="U81" s="283"/>
      <c r="V81" s="291"/>
      <c r="W81" s="291"/>
      <c r="Z81" s="282"/>
    </row>
    <row r="82" spans="1:26" x14ac:dyDescent="0.3">
      <c r="A82" s="27">
        <f t="shared" si="18"/>
        <v>68</v>
      </c>
      <c r="D82" s="54" t="s">
        <v>120</v>
      </c>
      <c r="F82" s="27" t="s">
        <v>119</v>
      </c>
      <c r="G82" s="49">
        <f>'[2]MFR E-13c'!F184</f>
        <v>3.2</v>
      </c>
      <c r="H82" s="49">
        <f>'[2]MFR E-13c'!L184</f>
        <v>3.32</v>
      </c>
      <c r="I82" s="58">
        <f>ROUND('[2]MFR E-14C'!M163,2)</f>
        <v>3.3</v>
      </c>
      <c r="J82" s="50" t="s">
        <v>84</v>
      </c>
      <c r="K82" s="51" t="s">
        <v>85</v>
      </c>
      <c r="L82" s="51"/>
      <c r="M82" s="52"/>
      <c r="N82" s="308">
        <f>H82-G82</f>
        <v>0.11999999999999966</v>
      </c>
      <c r="O82" s="284">
        <f>(N82/G82)</f>
        <v>3.7499999999999895E-2</v>
      </c>
      <c r="P82" s="296">
        <v>19998627.430895977</v>
      </c>
      <c r="Q82" s="297">
        <f>(P82*G82)/1000</f>
        <v>63995.607778867125</v>
      </c>
      <c r="R82" s="297">
        <f>(P82*H82)/1000</f>
        <v>66395.443070574634</v>
      </c>
      <c r="S82" s="298">
        <f>R82-Q82</f>
        <v>2399.8352917075099</v>
      </c>
      <c r="T82" s="297">
        <f>(P82*I82)/1000</f>
        <v>65995.470521956726</v>
      </c>
      <c r="U82" s="298">
        <f>R82-T82</f>
        <v>399.97254861790861</v>
      </c>
      <c r="V82" s="291" t="s">
        <v>116</v>
      </c>
      <c r="W82" s="291" t="s">
        <v>116</v>
      </c>
      <c r="Z82" s="282"/>
    </row>
    <row r="83" spans="1:26" x14ac:dyDescent="0.3">
      <c r="A83" s="27">
        <f t="shared" si="18"/>
        <v>69</v>
      </c>
      <c r="D83" s="54" t="s">
        <v>121</v>
      </c>
      <c r="F83" s="27" t="s">
        <v>119</v>
      </c>
      <c r="G83" s="49">
        <f>'[2]MFR E-13c'!F182</f>
        <v>2.64</v>
      </c>
      <c r="H83" s="49">
        <f>'[2]MFR E-13c'!L182</f>
        <v>2.72</v>
      </c>
      <c r="I83" s="58">
        <f>ROUND('[2]MFR E-14C'!M161,2)</f>
        <v>2.71</v>
      </c>
      <c r="J83" s="50" t="s">
        <v>84</v>
      </c>
      <c r="K83" s="51" t="s">
        <v>85</v>
      </c>
      <c r="L83" s="51"/>
      <c r="M83" s="52"/>
      <c r="N83" s="308">
        <f>H83-G83</f>
        <v>8.0000000000000071E-2</v>
      </c>
      <c r="O83" s="284">
        <f>(N83/G83)</f>
        <v>3.0303030303030328E-2</v>
      </c>
      <c r="P83" s="296">
        <v>19220704.071794525</v>
      </c>
      <c r="Q83" s="297">
        <f>(P83*G83)/1000</f>
        <v>50742.65874953755</v>
      </c>
      <c r="R83" s="297">
        <f>(P83*H83)/1000</f>
        <v>52280.315075281113</v>
      </c>
      <c r="S83" s="298">
        <f>R83-Q83</f>
        <v>1537.6563257435628</v>
      </c>
      <c r="T83" s="297">
        <f>(P83*I83)/1000</f>
        <v>52088.108034563164</v>
      </c>
      <c r="U83" s="298">
        <f>R83-T83</f>
        <v>192.20704071794898</v>
      </c>
      <c r="V83" s="291" t="s">
        <v>116</v>
      </c>
      <c r="W83" s="291" t="s">
        <v>116</v>
      </c>
      <c r="Z83" s="282"/>
    </row>
    <row r="84" spans="1:26" x14ac:dyDescent="0.3">
      <c r="A84" s="27">
        <f t="shared" si="18"/>
        <v>70</v>
      </c>
      <c r="D84" s="54" t="s">
        <v>122</v>
      </c>
      <c r="F84" s="27" t="s">
        <v>119</v>
      </c>
      <c r="G84" s="49">
        <f>'[2]MFR E-13c'!F183</f>
        <v>4.72</v>
      </c>
      <c r="H84" s="49">
        <f>'[2]MFR E-13c'!L183</f>
        <v>4.8600000000000003</v>
      </c>
      <c r="I84" s="58">
        <f>ROUND('[2]MFR E-14C'!M162,2)</f>
        <v>4.84</v>
      </c>
      <c r="J84" s="50" t="s">
        <v>84</v>
      </c>
      <c r="K84" s="51" t="s">
        <v>85</v>
      </c>
      <c r="L84" s="51"/>
      <c r="M84" s="52"/>
      <c r="N84" s="308">
        <f>H84-G84</f>
        <v>0.14000000000000057</v>
      </c>
      <c r="O84" s="284">
        <f>(N84/G84)</f>
        <v>2.9661016949152665E-2</v>
      </c>
      <c r="P84" s="296">
        <v>19220705.071794499</v>
      </c>
      <c r="Q84" s="297">
        <f>(P84*G84)/1000</f>
        <v>90721.727938870026</v>
      </c>
      <c r="R84" s="297">
        <f>(P84*H84)/1000</f>
        <v>93412.626648921272</v>
      </c>
      <c r="S84" s="298">
        <f>R84-Q84</f>
        <v>2690.8987100512459</v>
      </c>
      <c r="T84" s="297">
        <f>(P84*I84)/1000</f>
        <v>93028.212547485367</v>
      </c>
      <c r="U84" s="298">
        <f>R84-T84</f>
        <v>384.41410143590474</v>
      </c>
      <c r="V84" s="291" t="s">
        <v>116</v>
      </c>
      <c r="W84" s="291" t="s">
        <v>116</v>
      </c>
      <c r="Z84" s="282"/>
    </row>
    <row r="85" spans="1:26" x14ac:dyDescent="0.3">
      <c r="A85" s="27">
        <f t="shared" si="18"/>
        <v>71</v>
      </c>
      <c r="D85" s="27" t="s">
        <v>123</v>
      </c>
      <c r="G85" s="49"/>
      <c r="H85" s="49"/>
      <c r="I85" s="49"/>
      <c r="J85" s="50"/>
      <c r="K85" s="51"/>
      <c r="L85" s="51"/>
      <c r="M85" s="52"/>
      <c r="P85" s="296"/>
      <c r="Q85" s="297"/>
      <c r="R85" s="297"/>
      <c r="T85" s="297"/>
      <c r="U85" s="283"/>
      <c r="V85" s="291"/>
      <c r="W85" s="291"/>
      <c r="Z85" s="282"/>
    </row>
    <row r="86" spans="1:26" x14ac:dyDescent="0.3">
      <c r="A86" s="27">
        <f t="shared" si="18"/>
        <v>72</v>
      </c>
      <c r="D86" s="54" t="s">
        <v>101</v>
      </c>
      <c r="F86" s="27" t="s">
        <v>119</v>
      </c>
      <c r="G86" s="49">
        <v>1.3</v>
      </c>
      <c r="H86" s="49">
        <f>I86</f>
        <v>1.34</v>
      </c>
      <c r="I86" s="49">
        <f>ROUND([2]DVC!$G$29,2)</f>
        <v>1.34</v>
      </c>
      <c r="J86" s="50" t="s">
        <v>124</v>
      </c>
      <c r="K86" s="51" t="s">
        <v>106</v>
      </c>
      <c r="L86" s="51"/>
      <c r="M86" s="52"/>
      <c r="N86" s="308">
        <f>H86-G86</f>
        <v>4.0000000000000036E-2</v>
      </c>
      <c r="O86" s="284">
        <f>(N86/G86)</f>
        <v>3.0769230769230795E-2</v>
      </c>
      <c r="P86" s="296">
        <v>-3980308.082081967</v>
      </c>
      <c r="Q86" s="297">
        <f>(P86*G86)/1000</f>
        <v>-5174.4005067065573</v>
      </c>
      <c r="R86" s="297">
        <f>(P86*H86)/1000</f>
        <v>-5333.6128299898364</v>
      </c>
      <c r="S86" s="298">
        <f>R86-Q86</f>
        <v>-159.21232328327915</v>
      </c>
      <c r="T86" s="297">
        <f>(P86*I86)/1000</f>
        <v>-5333.6128299898364</v>
      </c>
      <c r="U86" s="298">
        <f>R86-T86</f>
        <v>0</v>
      </c>
      <c r="V86" s="291" t="s">
        <v>115</v>
      </c>
      <c r="W86" s="291" t="s">
        <v>115</v>
      </c>
      <c r="Z86" s="282"/>
    </row>
    <row r="87" spans="1:26" x14ac:dyDescent="0.3">
      <c r="A87" s="27">
        <f t="shared" si="18"/>
        <v>73</v>
      </c>
      <c r="D87" s="54" t="s">
        <v>125</v>
      </c>
      <c r="F87" s="27" t="s">
        <v>119</v>
      </c>
      <c r="G87" s="49">
        <v>6.18</v>
      </c>
      <c r="H87" s="49">
        <f t="shared" ref="H87:H88" si="19">I87</f>
        <v>6.47</v>
      </c>
      <c r="I87" s="49">
        <f>ROUND([2]DVC!$G$30,2)</f>
        <v>6.47</v>
      </c>
      <c r="J87" s="50" t="s">
        <v>124</v>
      </c>
      <c r="K87" s="51" t="s">
        <v>106</v>
      </c>
      <c r="L87" s="51"/>
      <c r="M87" s="52"/>
      <c r="N87" s="308">
        <f>H87-G87</f>
        <v>0.29000000000000004</v>
      </c>
      <c r="O87" s="284">
        <f>(N87/G87)</f>
        <v>4.6925566343042076E-2</v>
      </c>
      <c r="P87" s="296">
        <v>-176441.66677094577</v>
      </c>
      <c r="Q87" s="297">
        <f>(P87*G87)/1000</f>
        <v>-1090.4095006444447</v>
      </c>
      <c r="R87" s="297">
        <f>(P87*H87)/1000</f>
        <v>-1141.5775840080191</v>
      </c>
      <c r="S87" s="298">
        <f>R87-Q87</f>
        <v>-51.168083363574397</v>
      </c>
      <c r="T87" s="297">
        <f>(P87*I87)/1000</f>
        <v>-1141.5775840080191</v>
      </c>
      <c r="U87" s="298">
        <f>R87-T87</f>
        <v>0</v>
      </c>
      <c r="V87" s="291" t="s">
        <v>115</v>
      </c>
      <c r="W87" s="291" t="s">
        <v>115</v>
      </c>
      <c r="Z87" s="282"/>
    </row>
    <row r="88" spans="1:26" x14ac:dyDescent="0.3">
      <c r="A88" s="27">
        <f t="shared" si="18"/>
        <v>74</v>
      </c>
      <c r="D88" s="54" t="s">
        <v>126</v>
      </c>
      <c r="F88" s="27" t="s">
        <v>119</v>
      </c>
      <c r="G88" s="49">
        <v>8.61</v>
      </c>
      <c r="H88" s="49">
        <f t="shared" si="19"/>
        <v>9.0399999999999991</v>
      </c>
      <c r="I88" s="49">
        <f>ROUND([2]DVC!$G$31,2)</f>
        <v>9.0399999999999991</v>
      </c>
      <c r="J88" s="50" t="s">
        <v>124</v>
      </c>
      <c r="K88" s="51" t="s">
        <v>106</v>
      </c>
      <c r="L88" s="51"/>
      <c r="M88" s="52"/>
      <c r="N88" s="308"/>
      <c r="P88" s="296"/>
      <c r="Q88" s="297"/>
      <c r="R88" s="297"/>
      <c r="S88" s="298"/>
      <c r="T88" s="297"/>
      <c r="U88" s="298"/>
      <c r="V88" s="291"/>
      <c r="W88" s="291"/>
      <c r="Z88" s="282"/>
    </row>
    <row r="89" spans="1:26" x14ac:dyDescent="0.3">
      <c r="A89" s="27">
        <f t="shared" si="18"/>
        <v>75</v>
      </c>
      <c r="D89" s="27" t="s">
        <v>104</v>
      </c>
      <c r="F89" s="27" t="s">
        <v>119</v>
      </c>
      <c r="G89" s="58">
        <f>'[2]MFR E-13c'!F197</f>
        <v>2.5099999999999998</v>
      </c>
      <c r="H89" s="58">
        <f>I89</f>
        <v>2.64</v>
      </c>
      <c r="I89" s="58">
        <f>'[2]MFR E-14G'!G22</f>
        <v>2.64</v>
      </c>
      <c r="J89" s="50" t="s">
        <v>105</v>
      </c>
      <c r="K89" s="51" t="s">
        <v>106</v>
      </c>
      <c r="L89" s="51"/>
      <c r="M89" s="52"/>
      <c r="N89" s="308">
        <f>H89-G89</f>
        <v>0.13000000000000034</v>
      </c>
      <c r="O89" s="284">
        <f>(N89/G89)</f>
        <v>5.1792828685259105E-2</v>
      </c>
      <c r="P89" s="296">
        <v>364382.43722191069</v>
      </c>
      <c r="Q89" s="297">
        <f>(P89*G89)/1000</f>
        <v>914.59991742699572</v>
      </c>
      <c r="R89" s="297">
        <f>(P89*H89)/1000</f>
        <v>961.96963426584421</v>
      </c>
      <c r="S89" s="298">
        <f>R89-Q89</f>
        <v>47.36971683884849</v>
      </c>
      <c r="T89" s="297">
        <f>(P89*I89)/1000</f>
        <v>961.96963426584421</v>
      </c>
      <c r="U89" s="298">
        <f>R89-T89</f>
        <v>0</v>
      </c>
      <c r="V89" s="291" t="s">
        <v>115</v>
      </c>
      <c r="W89" s="291" t="s">
        <v>115</v>
      </c>
      <c r="Z89" s="282"/>
    </row>
    <row r="90" spans="1:26" x14ac:dyDescent="0.3">
      <c r="A90" s="27">
        <f t="shared" si="18"/>
        <v>76</v>
      </c>
      <c r="G90" s="51"/>
      <c r="H90" s="51"/>
      <c r="I90" s="51"/>
      <c r="J90" s="50"/>
      <c r="K90" s="51"/>
      <c r="L90" s="51"/>
      <c r="M90" s="52"/>
      <c r="P90" s="296"/>
      <c r="Q90" s="297"/>
      <c r="R90" s="297"/>
      <c r="T90" s="297"/>
      <c r="U90" s="283"/>
      <c r="V90" s="291"/>
      <c r="W90" s="291"/>
      <c r="Z90" s="282"/>
    </row>
    <row r="91" spans="1:26" x14ac:dyDescent="0.3">
      <c r="A91" s="27">
        <f t="shared" si="18"/>
        <v>77</v>
      </c>
      <c r="C91" s="27" t="s">
        <v>75</v>
      </c>
      <c r="G91" s="51"/>
      <c r="H91" s="51"/>
      <c r="I91" s="51"/>
      <c r="J91" s="50"/>
      <c r="K91" s="51"/>
      <c r="L91" s="51"/>
      <c r="M91" s="52"/>
      <c r="P91" s="296"/>
      <c r="Q91" s="297"/>
      <c r="R91" s="297"/>
      <c r="T91" s="297"/>
      <c r="U91" s="283"/>
      <c r="V91" s="291"/>
      <c r="W91" s="291"/>
      <c r="Z91" s="282"/>
    </row>
    <row r="92" spans="1:26" x14ac:dyDescent="0.3">
      <c r="A92" s="27">
        <f t="shared" si="18"/>
        <v>78</v>
      </c>
      <c r="D92" s="27" t="s">
        <v>67</v>
      </c>
      <c r="F92" s="27" t="s">
        <v>78</v>
      </c>
      <c r="G92" s="56">
        <f>'[2]MFR E-13c'!F220/10</f>
        <v>3.9740000000000002</v>
      </c>
      <c r="H92" s="56">
        <f>'[2]MFR E-13c'!L220/10</f>
        <v>4.08</v>
      </c>
      <c r="I92" s="56">
        <f>'[2]MFR E-14B'!I39</f>
        <v>6.4656133206831274</v>
      </c>
      <c r="J92" s="50" t="s">
        <v>68</v>
      </c>
      <c r="K92" s="56" t="s">
        <v>69</v>
      </c>
      <c r="L92" s="56"/>
      <c r="M92" s="60"/>
      <c r="N92" s="295">
        <f>H92-G92</f>
        <v>0.10599999999999987</v>
      </c>
      <c r="O92" s="284">
        <f>(N92/G92)</f>
        <v>2.667337695017611E-2</v>
      </c>
      <c r="P92" s="296">
        <v>3352764.0446919771</v>
      </c>
      <c r="Q92" s="297">
        <f>(P92*G92*10)/1000</f>
        <v>133238.84313605918</v>
      </c>
      <c r="R92" s="297">
        <f>(P92*H92*10)/1000</f>
        <v>136792.77302343267</v>
      </c>
      <c r="S92" s="298">
        <f>R92-Q92</f>
        <v>3553.9298873734951</v>
      </c>
      <c r="T92" s="297">
        <f>(P92*I92*10)/1000</f>
        <v>216776.75868467885</v>
      </c>
      <c r="U92" s="298">
        <f>R92-T92</f>
        <v>-79983.985661246174</v>
      </c>
      <c r="V92" s="291" t="s">
        <v>115</v>
      </c>
      <c r="W92" s="291" t="s">
        <v>115</v>
      </c>
      <c r="Z92" s="282"/>
    </row>
    <row r="93" spans="1:26" x14ac:dyDescent="0.3">
      <c r="A93" s="27">
        <f t="shared" si="18"/>
        <v>79</v>
      </c>
      <c r="D93" s="27" t="s">
        <v>83</v>
      </c>
      <c r="F93" s="27" t="s">
        <v>78</v>
      </c>
      <c r="G93" s="56">
        <f>'[2]MFR E-13c'!F225/10</f>
        <v>4.7240000000000002</v>
      </c>
      <c r="H93" s="56">
        <f>'[2]MFR E-13c'!L225/10</f>
        <v>4.9979999999999993</v>
      </c>
      <c r="I93" s="57">
        <f>ROUND('[2]MFR E-14C'!AA149,3)</f>
        <v>5.0149999999999997</v>
      </c>
      <c r="J93" s="50" t="s">
        <v>84</v>
      </c>
      <c r="K93" s="51" t="s">
        <v>85</v>
      </c>
      <c r="L93" s="56"/>
      <c r="M93" s="60"/>
      <c r="N93" s="295">
        <f>H93-G93</f>
        <v>0.27399999999999913</v>
      </c>
      <c r="O93" s="284">
        <f>((N93/G93))</f>
        <v>5.8001693480101424E-2</v>
      </c>
      <c r="P93" s="296">
        <v>2516136.7779227081</v>
      </c>
      <c r="Q93" s="297">
        <f>(P93*G93*10)/1000</f>
        <v>118862.30138906874</v>
      </c>
      <c r="R93" s="297">
        <f>(P93*H93*10)/1000</f>
        <v>125756.51616057694</v>
      </c>
      <c r="S93" s="298">
        <f>R93-Q93</f>
        <v>6894.2147715081956</v>
      </c>
      <c r="T93" s="297">
        <f>(P93*I94*10)/1000</f>
        <v>90128.019385191408</v>
      </c>
      <c r="U93" s="298">
        <f>R93-T93</f>
        <v>35628.496775385531</v>
      </c>
      <c r="V93" s="291" t="s">
        <v>116</v>
      </c>
      <c r="W93" s="291" t="s">
        <v>116</v>
      </c>
      <c r="Z93" s="282"/>
    </row>
    <row r="94" spans="1:26" x14ac:dyDescent="0.3">
      <c r="A94" s="27">
        <f t="shared" si="18"/>
        <v>80</v>
      </c>
      <c r="D94" s="27" t="s">
        <v>86</v>
      </c>
      <c r="F94" s="27" t="s">
        <v>78</v>
      </c>
      <c r="G94" s="56">
        <f>'[2]MFR E-13c'!F226/10</f>
        <v>3.4990000000000001</v>
      </c>
      <c r="H94" s="56">
        <f>'[2]MFR E-13c'!L230/10</f>
        <v>3.5700000000000003</v>
      </c>
      <c r="I94" s="57">
        <f>ROUND('[2]MFR E-14C'!AA150,3)</f>
        <v>3.5819999999999999</v>
      </c>
      <c r="J94" s="50" t="s">
        <v>84</v>
      </c>
      <c r="K94" s="51" t="s">
        <v>85</v>
      </c>
      <c r="L94" s="56"/>
      <c r="M94" s="60"/>
      <c r="N94" s="295">
        <f>H94-G94</f>
        <v>7.1000000000000174E-2</v>
      </c>
      <c r="O94" s="284">
        <f>(N94/G94)</f>
        <v>2.029151186053163E-2</v>
      </c>
      <c r="P94" s="296">
        <v>6500289.4773853142</v>
      </c>
      <c r="Q94" s="297">
        <f>(P94*G94*10)/1000</f>
        <v>227445.12881371216</v>
      </c>
      <c r="R94" s="297">
        <f>(P94*H94*10)/1000</f>
        <v>232060.33434265573</v>
      </c>
      <c r="S94" s="298">
        <f>R94-Q94</f>
        <v>4615.2055289435666</v>
      </c>
      <c r="T94" s="297">
        <f>(P94*I93*10)/1000</f>
        <v>325989.51729087345</v>
      </c>
      <c r="U94" s="298">
        <f>R94-T94</f>
        <v>-93929.182948217727</v>
      </c>
      <c r="V94" s="291" t="s">
        <v>116</v>
      </c>
      <c r="W94" s="291" t="s">
        <v>116</v>
      </c>
      <c r="Z94" s="282"/>
    </row>
    <row r="95" spans="1:26" x14ac:dyDescent="0.3">
      <c r="A95" s="27">
        <f t="shared" si="18"/>
        <v>81</v>
      </c>
      <c r="D95" s="27" t="s">
        <v>87</v>
      </c>
      <c r="F95" s="27" t="s">
        <v>78</v>
      </c>
      <c r="G95" s="56">
        <f>'[2]MFR E-13c'!F227/10</f>
        <v>2.371</v>
      </c>
      <c r="H95" s="56">
        <f>'[2]MFR E-13c'!L227/10</f>
        <v>2.4159999999999999</v>
      </c>
      <c r="I95" s="57">
        <f>ROUND('[2]MFR E-14C'!AA151,3)</f>
        <v>2.4239999999999999</v>
      </c>
      <c r="J95" s="50" t="s">
        <v>84</v>
      </c>
      <c r="K95" s="51" t="s">
        <v>85</v>
      </c>
      <c r="L95" s="56"/>
      <c r="M95" s="60"/>
      <c r="N95" s="295"/>
      <c r="P95" s="296"/>
      <c r="Q95" s="297"/>
      <c r="R95" s="297"/>
      <c r="S95" s="298"/>
      <c r="T95" s="297"/>
      <c r="U95" s="298"/>
      <c r="V95" s="291"/>
      <c r="W95" s="291"/>
      <c r="Z95" s="282"/>
    </row>
    <row r="96" spans="1:26" x14ac:dyDescent="0.3">
      <c r="A96" s="27">
        <f t="shared" si="18"/>
        <v>82</v>
      </c>
      <c r="G96" s="51"/>
      <c r="H96" s="51"/>
      <c r="I96" s="51"/>
      <c r="J96" s="50"/>
      <c r="K96" s="51"/>
      <c r="L96" s="51"/>
      <c r="M96" s="52"/>
      <c r="P96" s="296"/>
      <c r="Q96" s="297"/>
      <c r="R96" s="297"/>
      <c r="T96" s="297"/>
      <c r="U96" s="283"/>
      <c r="V96" s="291"/>
      <c r="W96" s="291"/>
      <c r="Z96" s="282"/>
    </row>
    <row r="97" spans="1:29" x14ac:dyDescent="0.3">
      <c r="A97" s="27">
        <f t="shared" si="18"/>
        <v>83</v>
      </c>
      <c r="C97" s="27" t="s">
        <v>107</v>
      </c>
      <c r="G97" s="51"/>
      <c r="H97" s="51"/>
      <c r="I97" s="51"/>
      <c r="J97" s="50"/>
      <c r="K97" s="51"/>
      <c r="L97" s="51"/>
      <c r="M97" s="52"/>
      <c r="P97" s="296"/>
      <c r="Q97" s="297"/>
      <c r="R97" s="297"/>
      <c r="T97" s="297"/>
      <c r="U97" s="283"/>
      <c r="V97" s="291"/>
      <c r="W97" s="291"/>
      <c r="Z97" s="282"/>
    </row>
    <row r="98" spans="1:29" x14ac:dyDescent="0.3">
      <c r="A98" s="27">
        <f t="shared" si="18"/>
        <v>84</v>
      </c>
      <c r="D98" s="27" t="s">
        <v>101</v>
      </c>
      <c r="F98" s="27" t="s">
        <v>61</v>
      </c>
      <c r="G98" s="62">
        <v>0.01</v>
      </c>
      <c r="H98" s="62">
        <v>0.01</v>
      </c>
      <c r="I98" s="62"/>
      <c r="J98" s="50"/>
      <c r="K98" s="51" t="s">
        <v>108</v>
      </c>
      <c r="L98" s="51"/>
      <c r="M98" s="52"/>
      <c r="N98" s="306">
        <f>H98-G98</f>
        <v>0</v>
      </c>
      <c r="O98" s="284">
        <f>(N98/G98)</f>
        <v>0</v>
      </c>
      <c r="P98" s="296"/>
      <c r="Q98" s="297">
        <f>(P98*G98)/1000</f>
        <v>0</v>
      </c>
      <c r="R98" s="297">
        <f>(P98*H98)/1000</f>
        <v>0</v>
      </c>
      <c r="S98" s="298">
        <f>R98-Q98</f>
        <v>0</v>
      </c>
      <c r="T98" s="297">
        <f>(P98*I98)/1000</f>
        <v>0</v>
      </c>
      <c r="U98" s="298">
        <f>R98-T98</f>
        <v>0</v>
      </c>
      <c r="V98" s="291" t="s">
        <v>115</v>
      </c>
      <c r="W98" s="291" t="s">
        <v>115</v>
      </c>
      <c r="Z98" s="282"/>
    </row>
    <row r="99" spans="1:29" x14ac:dyDescent="0.3">
      <c r="A99" s="27">
        <f t="shared" si="18"/>
        <v>85</v>
      </c>
      <c r="D99" s="27" t="s">
        <v>102</v>
      </c>
      <c r="F99" s="27" t="s">
        <v>61</v>
      </c>
      <c r="G99" s="62">
        <v>0.02</v>
      </c>
      <c r="H99" s="62">
        <v>0.02</v>
      </c>
      <c r="I99" s="62"/>
      <c r="J99" s="50"/>
      <c r="K99" s="51" t="s">
        <v>108</v>
      </c>
      <c r="L99" s="51"/>
      <c r="M99" s="52"/>
      <c r="N99" s="306">
        <f>H99-G99</f>
        <v>0</v>
      </c>
      <c r="O99" s="284">
        <f>(N99/G99)</f>
        <v>0</v>
      </c>
      <c r="P99" s="296"/>
      <c r="Q99" s="297">
        <f>(P99*G99)/1000</f>
        <v>0</v>
      </c>
      <c r="R99" s="297">
        <f>(P99*H99)/1000</f>
        <v>0</v>
      </c>
      <c r="S99" s="298">
        <f>R99-Q99</f>
        <v>0</v>
      </c>
      <c r="T99" s="297">
        <f>(P99*I99)/1000</f>
        <v>0</v>
      </c>
      <c r="U99" s="298">
        <f>R99-T99</f>
        <v>0</v>
      </c>
      <c r="V99" s="291" t="s">
        <v>115</v>
      </c>
      <c r="W99" s="291" t="s">
        <v>115</v>
      </c>
      <c r="Z99" s="282"/>
    </row>
    <row r="100" spans="1:29" x14ac:dyDescent="0.3">
      <c r="A100" s="27">
        <f t="shared" si="18"/>
        <v>86</v>
      </c>
      <c r="G100" s="62"/>
      <c r="H100" s="62"/>
      <c r="I100" s="62"/>
      <c r="J100" s="50"/>
      <c r="K100" s="51"/>
      <c r="L100" s="51"/>
      <c r="M100" s="52"/>
      <c r="N100" s="295"/>
      <c r="P100" s="296"/>
      <c r="Q100" s="297"/>
      <c r="R100" s="297"/>
      <c r="T100" s="297"/>
      <c r="U100" s="283"/>
      <c r="V100" s="291"/>
      <c r="W100" s="291"/>
      <c r="Z100" s="282"/>
    </row>
    <row r="101" spans="1:29" x14ac:dyDescent="0.3">
      <c r="A101" s="27">
        <f t="shared" si="18"/>
        <v>87</v>
      </c>
      <c r="C101" s="27" t="s">
        <v>109</v>
      </c>
      <c r="F101" s="27" t="s">
        <v>61</v>
      </c>
      <c r="G101" s="63">
        <f>G54</f>
        <v>9.5999999999999992E-3</v>
      </c>
      <c r="H101" s="64">
        <f>I101</f>
        <v>9.5999999999999992E-3</v>
      </c>
      <c r="I101" s="65">
        <f>I54</f>
        <v>9.5999999999999992E-3</v>
      </c>
      <c r="J101" s="42" t="s">
        <v>110</v>
      </c>
      <c r="K101" s="66" t="s">
        <v>111</v>
      </c>
      <c r="L101" s="51"/>
      <c r="M101" s="52"/>
      <c r="N101" s="307">
        <f>H101-G101</f>
        <v>0</v>
      </c>
      <c r="O101" s="284">
        <f>(N101/G101)</f>
        <v>0</v>
      </c>
      <c r="P101" s="296"/>
      <c r="Q101" s="297"/>
      <c r="R101" s="297"/>
      <c r="T101" s="297"/>
      <c r="U101" s="283"/>
      <c r="V101" s="291" t="s">
        <v>115</v>
      </c>
      <c r="W101" s="291" t="s">
        <v>115</v>
      </c>
      <c r="Z101" s="282"/>
    </row>
    <row r="102" spans="1:29" ht="14.4" thickBot="1" x14ac:dyDescent="0.35">
      <c r="B102" s="31"/>
      <c r="C102" s="31"/>
      <c r="D102" s="31"/>
      <c r="E102" s="31"/>
      <c r="F102" s="31"/>
      <c r="G102" s="52"/>
      <c r="H102" s="52"/>
      <c r="I102" s="52"/>
      <c r="J102" s="59"/>
      <c r="K102" s="52"/>
      <c r="L102" s="52"/>
      <c r="M102" s="52"/>
      <c r="N102" s="300"/>
      <c r="O102" s="301"/>
      <c r="P102" s="302"/>
      <c r="Q102" s="303">
        <f>SUM(Q69:Q101)</f>
        <v>695505.02949345205</v>
      </c>
      <c r="R102" s="303">
        <f>SUM(R69:R101)</f>
        <v>717428.04204959807</v>
      </c>
      <c r="S102" s="303">
        <f>SUM(S69:S101)</f>
        <v>21923.012556145943</v>
      </c>
      <c r="T102" s="303">
        <f>SUM(T69:T101)</f>
        <v>856462.6132990605</v>
      </c>
      <c r="U102" s="303">
        <f>SUM(U69:U101)</f>
        <v>-139034.57124946249</v>
      </c>
      <c r="V102" s="291"/>
      <c r="W102" s="291"/>
      <c r="Z102" s="282"/>
    </row>
    <row r="103" spans="1:29" ht="14.4" thickTop="1" x14ac:dyDescent="0.3">
      <c r="A103" s="27">
        <f>+A101+1</f>
        <v>88</v>
      </c>
      <c r="B103" s="48"/>
      <c r="G103" s="51"/>
      <c r="H103" s="51"/>
      <c r="I103" s="51"/>
      <c r="J103" s="50"/>
      <c r="K103" s="51"/>
      <c r="L103" s="51"/>
      <c r="M103" s="52"/>
      <c r="P103" s="296"/>
      <c r="Q103" s="296"/>
      <c r="R103" s="296"/>
      <c r="S103" s="304" t="s">
        <v>91</v>
      </c>
      <c r="T103" s="305">
        <v>0</v>
      </c>
      <c r="U103" s="283"/>
      <c r="V103" s="291"/>
      <c r="W103" s="291"/>
      <c r="Z103" s="282"/>
    </row>
    <row r="104" spans="1:29" x14ac:dyDescent="0.3">
      <c r="A104" s="27">
        <f t="shared" si="18"/>
        <v>89</v>
      </c>
      <c r="B104" s="48" t="s">
        <v>127</v>
      </c>
      <c r="C104" s="27" t="s">
        <v>65</v>
      </c>
      <c r="G104" s="51"/>
      <c r="H104" s="51"/>
      <c r="I104" s="51"/>
      <c r="J104" s="50"/>
      <c r="K104" s="51"/>
      <c r="L104" s="51"/>
      <c r="M104" s="52"/>
      <c r="P104" s="296"/>
      <c r="Q104" s="296"/>
      <c r="R104" s="296"/>
      <c r="T104" s="296"/>
      <c r="U104" s="283"/>
      <c r="V104" s="291"/>
      <c r="W104" s="291"/>
      <c r="Z104" s="282"/>
    </row>
    <row r="105" spans="1:29" x14ac:dyDescent="0.3">
      <c r="A105" s="27">
        <f t="shared" si="18"/>
        <v>90</v>
      </c>
      <c r="B105" s="48" t="s">
        <v>128</v>
      </c>
      <c r="D105" s="27" t="s">
        <v>99</v>
      </c>
      <c r="F105" s="27" t="s">
        <v>60</v>
      </c>
      <c r="G105" s="49">
        <f>'[2]MFR E-13c'!F269</f>
        <v>117.17</v>
      </c>
      <c r="H105" s="49">
        <f>'[2]MFR E-13c'!L269</f>
        <v>119.69</v>
      </c>
      <c r="I105" s="49">
        <f>'[2]MFR E-14E'!J53</f>
        <v>95.531058081229432</v>
      </c>
      <c r="J105" s="50" t="s">
        <v>96</v>
      </c>
      <c r="K105" s="51" t="s">
        <v>69</v>
      </c>
      <c r="L105" s="51"/>
      <c r="M105" s="52"/>
      <c r="N105" s="295">
        <f>H105-G105</f>
        <v>2.519999999999996</v>
      </c>
      <c r="O105" s="284">
        <f>(N105/G105)</f>
        <v>2.1507211743620348E-2</v>
      </c>
      <c r="P105" s="296">
        <v>0</v>
      </c>
      <c r="Q105" s="297">
        <f>(P105*G105)/1000</f>
        <v>0</v>
      </c>
      <c r="R105" s="297">
        <f>(P105*H105)/1000</f>
        <v>0</v>
      </c>
      <c r="S105" s="298">
        <f>R105-Q105</f>
        <v>0</v>
      </c>
      <c r="T105" s="297">
        <f>(P105*I105)/1000</f>
        <v>0</v>
      </c>
      <c r="U105" s="298">
        <f>R105-T105</f>
        <v>0</v>
      </c>
      <c r="V105" s="291" t="s">
        <v>129</v>
      </c>
      <c r="W105" s="291" t="s">
        <v>129</v>
      </c>
      <c r="Z105" s="282"/>
      <c r="AC105" s="27" t="b">
        <f t="shared" ref="AC105:AC107" si="20">H105&gt;=I105</f>
        <v>1</v>
      </c>
    </row>
    <row r="106" spans="1:29" x14ac:dyDescent="0.3">
      <c r="A106" s="27">
        <f t="shared" si="18"/>
        <v>91</v>
      </c>
      <c r="B106" s="48" t="s">
        <v>130</v>
      </c>
      <c r="D106" s="27" t="s">
        <v>101</v>
      </c>
      <c r="F106" s="27" t="s">
        <v>60</v>
      </c>
      <c r="G106" s="49">
        <f>'[2]MFR E-13c'!F270</f>
        <v>325.3</v>
      </c>
      <c r="H106" s="49">
        <f>'[2]MFR E-13c'!L270</f>
        <v>332.29</v>
      </c>
      <c r="I106" s="49">
        <f>'[2]MFR E-14E'!J54</f>
        <v>240.37860095595573</v>
      </c>
      <c r="J106" s="50" t="s">
        <v>96</v>
      </c>
      <c r="K106" s="51" t="s">
        <v>69</v>
      </c>
      <c r="L106" s="51"/>
      <c r="M106" s="52"/>
      <c r="N106" s="295">
        <f>H106-G106</f>
        <v>6.9900000000000091</v>
      </c>
      <c r="O106" s="284">
        <f>(N106/G106)</f>
        <v>2.1487857362434703E-2</v>
      </c>
      <c r="P106" s="296">
        <v>36.105882352941173</v>
      </c>
      <c r="Q106" s="297">
        <f>(P106*G106)/1000</f>
        <v>11.745243529411765</v>
      </c>
      <c r="R106" s="297">
        <f>(P106*H106)/1000</f>
        <v>11.997623647058823</v>
      </c>
      <c r="S106" s="298">
        <f>R106-Q106</f>
        <v>0.25238011764705881</v>
      </c>
      <c r="T106" s="297">
        <f>(P106*I106)/1000</f>
        <v>8.6790814862803316</v>
      </c>
      <c r="U106" s="298">
        <f>R106-T106</f>
        <v>3.3185421607784917</v>
      </c>
      <c r="V106" s="291" t="s">
        <v>129</v>
      </c>
      <c r="W106" s="291" t="s">
        <v>129</v>
      </c>
      <c r="Z106" s="282"/>
      <c r="AC106" s="27" t="b">
        <f t="shared" si="20"/>
        <v>1</v>
      </c>
    </row>
    <row r="107" spans="1:29" x14ac:dyDescent="0.3">
      <c r="A107" s="27">
        <f t="shared" si="18"/>
        <v>92</v>
      </c>
      <c r="B107" s="48" t="s">
        <v>131</v>
      </c>
      <c r="D107" s="27" t="s">
        <v>102</v>
      </c>
      <c r="F107" s="27" t="s">
        <v>60</v>
      </c>
      <c r="G107" s="49">
        <f>'[2]MFR E-13c'!F271</f>
        <v>1214.08</v>
      </c>
      <c r="H107" s="49">
        <f>'[2]MFR E-13c'!L271</f>
        <v>1240.17</v>
      </c>
      <c r="I107" s="49">
        <f>'[2]MFR E-14E'!J55</f>
        <v>425.73937849400534</v>
      </c>
      <c r="J107" s="50" t="s">
        <v>96</v>
      </c>
      <c r="K107" s="51" t="s">
        <v>69</v>
      </c>
      <c r="L107" s="51"/>
      <c r="M107" s="52"/>
      <c r="N107" s="295">
        <f>H107-G107</f>
        <v>26.090000000000146</v>
      </c>
      <c r="O107" s="284">
        <f>(N107/G107)</f>
        <v>2.1489522930943715E-2</v>
      </c>
      <c r="P107" s="296">
        <v>0</v>
      </c>
      <c r="Q107" s="297">
        <f>(P107*G107)/1000</f>
        <v>0</v>
      </c>
      <c r="R107" s="297">
        <f>(P107*H107)/1000</f>
        <v>0</v>
      </c>
      <c r="S107" s="298">
        <f>R107-Q107</f>
        <v>0</v>
      </c>
      <c r="T107" s="297">
        <f>(P107*I107)/1000</f>
        <v>0</v>
      </c>
      <c r="U107" s="298">
        <f>R107-T107</f>
        <v>0</v>
      </c>
      <c r="V107" s="291" t="s">
        <v>129</v>
      </c>
      <c r="W107" s="291" t="s">
        <v>129</v>
      </c>
      <c r="Z107" s="282"/>
      <c r="AC107" s="27" t="b">
        <f t="shared" si="20"/>
        <v>1</v>
      </c>
    </row>
    <row r="108" spans="1:29" x14ac:dyDescent="0.3">
      <c r="A108" s="27">
        <f t="shared" si="18"/>
        <v>93</v>
      </c>
      <c r="G108" s="51"/>
      <c r="H108" s="51"/>
      <c r="I108" s="51"/>
      <c r="J108" s="50"/>
      <c r="K108" s="51"/>
      <c r="L108" s="51"/>
      <c r="M108" s="52"/>
      <c r="P108" s="296"/>
      <c r="Q108" s="297"/>
      <c r="R108" s="297"/>
      <c r="T108" s="297"/>
      <c r="U108" s="283"/>
      <c r="V108" s="291"/>
      <c r="W108" s="291"/>
      <c r="Z108" s="282"/>
    </row>
    <row r="109" spans="1:29" x14ac:dyDescent="0.3">
      <c r="A109" s="27">
        <f t="shared" si="18"/>
        <v>94</v>
      </c>
      <c r="C109" s="27" t="s">
        <v>118</v>
      </c>
      <c r="G109" s="51"/>
      <c r="H109" s="51"/>
      <c r="I109" s="51"/>
      <c r="J109" s="50"/>
      <c r="K109" s="51"/>
      <c r="L109" s="51"/>
      <c r="M109" s="52"/>
      <c r="P109" s="296"/>
      <c r="Q109" s="297"/>
      <c r="R109" s="297"/>
      <c r="T109" s="297"/>
      <c r="U109" s="283"/>
      <c r="V109" s="291"/>
      <c r="W109" s="291"/>
      <c r="Z109" s="282"/>
    </row>
    <row r="110" spans="1:29" x14ac:dyDescent="0.3">
      <c r="A110" s="27">
        <f t="shared" si="18"/>
        <v>95</v>
      </c>
      <c r="D110" s="27" t="s">
        <v>67</v>
      </c>
      <c r="F110" s="27" t="s">
        <v>119</v>
      </c>
      <c r="G110" s="49">
        <f>'[2]MFR E-13c'!F280</f>
        <v>13.88</v>
      </c>
      <c r="H110" s="49">
        <f>'[2]MFR E-13c'!L280</f>
        <v>14.53</v>
      </c>
      <c r="I110" s="49">
        <f>'[2]MFR E-6b'!T73</f>
        <v>17.182267748158161</v>
      </c>
      <c r="J110" s="50" t="s">
        <v>113</v>
      </c>
      <c r="K110" s="51" t="s">
        <v>69</v>
      </c>
      <c r="L110" s="51"/>
      <c r="M110" s="52"/>
      <c r="N110" s="295">
        <f>H110-G110</f>
        <v>0.64999999999999858</v>
      </c>
      <c r="O110" s="284">
        <f>(N110/G110)</f>
        <v>4.6829971181556088E-2</v>
      </c>
      <c r="P110" s="296">
        <v>0</v>
      </c>
      <c r="Q110" s="297">
        <f>(P110*G110)/1000</f>
        <v>0</v>
      </c>
      <c r="R110" s="297">
        <f>(P110*H110)/1000</f>
        <v>0</v>
      </c>
      <c r="S110" s="298">
        <f>R110-Q110</f>
        <v>0</v>
      </c>
      <c r="T110" s="297">
        <f>(P110*I110)/1000</f>
        <v>0</v>
      </c>
      <c r="U110" s="298">
        <f>R110-T110</f>
        <v>0</v>
      </c>
      <c r="V110" s="291" t="s">
        <v>129</v>
      </c>
      <c r="W110" s="291" t="s">
        <v>129</v>
      </c>
      <c r="Z110" s="282"/>
    </row>
    <row r="111" spans="1:29" x14ac:dyDescent="0.3">
      <c r="A111" s="27">
        <f t="shared" si="18"/>
        <v>96</v>
      </c>
      <c r="D111" s="27" t="s">
        <v>71</v>
      </c>
      <c r="G111" s="49"/>
      <c r="H111" s="49"/>
      <c r="I111" s="49"/>
      <c r="J111" s="50"/>
      <c r="K111" s="51"/>
      <c r="L111" s="51"/>
      <c r="M111" s="52"/>
      <c r="P111" s="296"/>
      <c r="Q111" s="297"/>
      <c r="R111" s="297"/>
      <c r="T111" s="297"/>
      <c r="U111" s="283"/>
      <c r="V111" s="291"/>
      <c r="W111" s="291"/>
      <c r="Z111" s="282"/>
    </row>
    <row r="112" spans="1:29" x14ac:dyDescent="0.3">
      <c r="A112" s="27">
        <f t="shared" si="18"/>
        <v>97</v>
      </c>
      <c r="D112" s="54" t="s">
        <v>120</v>
      </c>
      <c r="F112" s="27" t="s">
        <v>119</v>
      </c>
      <c r="G112" s="49">
        <f>'[2]MFR E-13c'!F288</f>
        <v>2.21</v>
      </c>
      <c r="H112" s="49">
        <f>'[2]MFR E-13c'!L288</f>
        <v>2.3199999999999998</v>
      </c>
      <c r="I112" s="58">
        <f>ROUND('[2]MFR E-14C'!M221,2)</f>
        <v>2.3199999999999998</v>
      </c>
      <c r="J112" s="50" t="s">
        <v>84</v>
      </c>
      <c r="K112" s="51" t="s">
        <v>85</v>
      </c>
      <c r="L112" s="51"/>
      <c r="M112" s="52"/>
      <c r="N112" s="295">
        <f>H112-G112</f>
        <v>0.10999999999999988</v>
      </c>
      <c r="O112" s="284">
        <f>(N112/G112)</f>
        <v>4.9773755656108538E-2</v>
      </c>
      <c r="P112" s="296">
        <v>221500.33574738415</v>
      </c>
      <c r="Q112" s="297">
        <f>(P112*G112)/1000</f>
        <v>489.51574200171893</v>
      </c>
      <c r="R112" s="297">
        <f>(P112*H112)/1000</f>
        <v>513.8807789339312</v>
      </c>
      <c r="S112" s="298">
        <f>R112-Q112</f>
        <v>24.365036932212263</v>
      </c>
      <c r="T112" s="297">
        <f>(P112*I112)/1000</f>
        <v>513.8807789339312</v>
      </c>
      <c r="U112" s="298">
        <f>R112-T112</f>
        <v>0</v>
      </c>
      <c r="V112" s="291" t="s">
        <v>132</v>
      </c>
      <c r="W112" s="291" t="s">
        <v>132</v>
      </c>
      <c r="Z112" s="282"/>
    </row>
    <row r="113" spans="1:26" x14ac:dyDescent="0.3">
      <c r="A113" s="27">
        <f t="shared" si="18"/>
        <v>98</v>
      </c>
      <c r="D113" s="54" t="s">
        <v>121</v>
      </c>
      <c r="F113" s="27" t="s">
        <v>119</v>
      </c>
      <c r="G113" s="49">
        <f>'[2]MFR E-13c'!F286</f>
        <v>2.5</v>
      </c>
      <c r="H113" s="49">
        <f>'[2]MFR E-13c'!L286</f>
        <v>2.59</v>
      </c>
      <c r="I113" s="58">
        <f>ROUND('[2]MFR E-14C'!M219,2)</f>
        <v>2.59</v>
      </c>
      <c r="J113" s="50" t="s">
        <v>84</v>
      </c>
      <c r="K113" s="51" t="s">
        <v>85</v>
      </c>
      <c r="L113" s="51"/>
      <c r="M113" s="52"/>
      <c r="N113" s="295">
        <f>H113-G113</f>
        <v>8.9999999999999858E-2</v>
      </c>
      <c r="O113" s="284">
        <f>(N113/G113)</f>
        <v>3.5999999999999942E-2</v>
      </c>
      <c r="P113" s="296">
        <v>175218.38904317838</v>
      </c>
      <c r="Q113" s="297">
        <f>(P113*G113)/1000</f>
        <v>438.04597260794594</v>
      </c>
      <c r="R113" s="297">
        <f>(P113*H113)/1000</f>
        <v>453.81562762183194</v>
      </c>
      <c r="S113" s="298">
        <f>R113-Q113</f>
        <v>15.769655013885995</v>
      </c>
      <c r="T113" s="297">
        <f>(P113*I113)/1000</f>
        <v>453.81562762183194</v>
      </c>
      <c r="U113" s="298">
        <f>R113-T113</f>
        <v>0</v>
      </c>
      <c r="V113" s="291" t="s">
        <v>132</v>
      </c>
      <c r="W113" s="291" t="s">
        <v>132</v>
      </c>
      <c r="Z113" s="282"/>
    </row>
    <row r="114" spans="1:26" x14ac:dyDescent="0.3">
      <c r="A114" s="27">
        <f t="shared" si="18"/>
        <v>99</v>
      </c>
      <c r="D114" s="54" t="s">
        <v>122</v>
      </c>
      <c r="F114" s="27" t="s">
        <v>119</v>
      </c>
      <c r="G114" s="49">
        <f>'[2]MFR E-13c'!F287</f>
        <v>4.97</v>
      </c>
      <c r="H114" s="49">
        <f>'[2]MFR E-13c'!L287</f>
        <v>5.14</v>
      </c>
      <c r="I114" s="58">
        <f>ROUND('[2]MFR E-14C'!M220,2)</f>
        <v>5.14</v>
      </c>
      <c r="J114" s="50" t="s">
        <v>84</v>
      </c>
      <c r="K114" s="51" t="s">
        <v>85</v>
      </c>
      <c r="M114" s="31"/>
      <c r="P114" s="296"/>
      <c r="Q114" s="297"/>
      <c r="R114" s="297"/>
      <c r="T114" s="297"/>
      <c r="U114" s="283"/>
      <c r="V114" s="291"/>
      <c r="W114" s="291"/>
      <c r="Z114" s="282"/>
    </row>
    <row r="115" spans="1:26" x14ac:dyDescent="0.3">
      <c r="A115" s="27">
        <f t="shared" si="18"/>
        <v>100</v>
      </c>
      <c r="D115" s="27" t="s">
        <v>133</v>
      </c>
      <c r="G115" s="49"/>
      <c r="H115" s="49"/>
      <c r="I115" s="58"/>
      <c r="J115" s="50"/>
      <c r="K115" s="51"/>
      <c r="L115" s="51"/>
      <c r="M115" s="52"/>
      <c r="P115" s="296"/>
      <c r="Q115" s="297"/>
      <c r="R115" s="297"/>
      <c r="T115" s="297"/>
      <c r="U115" s="283"/>
      <c r="V115" s="291"/>
      <c r="W115" s="291"/>
      <c r="Z115" s="282"/>
    </row>
    <row r="116" spans="1:26" x14ac:dyDescent="0.3">
      <c r="A116" s="27">
        <f t="shared" si="18"/>
        <v>101</v>
      </c>
      <c r="D116" s="54" t="s">
        <v>134</v>
      </c>
      <c r="F116" s="27" t="s">
        <v>119</v>
      </c>
      <c r="G116" s="49">
        <v>5.82</v>
      </c>
      <c r="H116" s="58">
        <f>I116</f>
        <v>5.82</v>
      </c>
      <c r="I116" s="58">
        <v>5.82</v>
      </c>
      <c r="J116" s="50"/>
      <c r="K116" s="51" t="s">
        <v>135</v>
      </c>
      <c r="L116" s="51"/>
      <c r="M116" s="52"/>
      <c r="N116" s="295">
        <f>H116-G116</f>
        <v>0</v>
      </c>
      <c r="O116" s="284">
        <f>(N116/G116)</f>
        <v>0</v>
      </c>
      <c r="P116" s="296"/>
      <c r="Q116" s="309" t="s">
        <v>136</v>
      </c>
      <c r="R116" s="309" t="s">
        <v>136</v>
      </c>
      <c r="T116" s="309" t="s">
        <v>136</v>
      </c>
      <c r="U116" s="283"/>
      <c r="V116" s="291" t="s">
        <v>130</v>
      </c>
      <c r="W116" s="291" t="s">
        <v>130</v>
      </c>
      <c r="Z116" s="282"/>
    </row>
    <row r="117" spans="1:26" x14ac:dyDescent="0.3">
      <c r="A117" s="27">
        <f t="shared" si="18"/>
        <v>102</v>
      </c>
      <c r="D117" s="54" t="s">
        <v>137</v>
      </c>
      <c r="F117" s="27" t="s">
        <v>119</v>
      </c>
      <c r="G117" s="49">
        <v>5.82</v>
      </c>
      <c r="H117" s="58">
        <f>I117</f>
        <v>5.82</v>
      </c>
      <c r="I117" s="58">
        <f>I116</f>
        <v>5.82</v>
      </c>
      <c r="J117" s="50"/>
      <c r="K117" s="51" t="s">
        <v>135</v>
      </c>
      <c r="L117" s="51"/>
      <c r="M117" s="52"/>
      <c r="O117" s="284">
        <f>(M117/G117)</f>
        <v>0</v>
      </c>
      <c r="P117" s="296"/>
      <c r="Q117" s="309" t="s">
        <v>136</v>
      </c>
      <c r="R117" s="309" t="s">
        <v>136</v>
      </c>
      <c r="T117" s="309" t="s">
        <v>136</v>
      </c>
      <c r="U117" s="283"/>
      <c r="V117" s="291" t="s">
        <v>131</v>
      </c>
      <c r="W117" s="291" t="s">
        <v>131</v>
      </c>
      <c r="Z117" s="282"/>
    </row>
    <row r="118" spans="1:26" x14ac:dyDescent="0.3">
      <c r="A118" s="27">
        <f t="shared" si="18"/>
        <v>103</v>
      </c>
      <c r="D118" s="54" t="s">
        <v>138</v>
      </c>
      <c r="F118" s="27" t="s">
        <v>78</v>
      </c>
      <c r="G118" s="58">
        <v>0.25</v>
      </c>
      <c r="H118" s="58">
        <v>0.25</v>
      </c>
      <c r="I118" s="58">
        <v>0.25</v>
      </c>
      <c r="J118" s="67"/>
      <c r="K118" s="51" t="s">
        <v>108</v>
      </c>
      <c r="L118" s="66"/>
      <c r="M118" s="52"/>
      <c r="N118" s="295"/>
      <c r="O118" s="310"/>
      <c r="P118" s="311"/>
      <c r="Q118" s="312"/>
      <c r="R118" s="312"/>
      <c r="T118" s="312"/>
      <c r="U118" s="283"/>
    </row>
    <row r="119" spans="1:26" x14ac:dyDescent="0.3">
      <c r="A119" s="27">
        <f t="shared" si="18"/>
        <v>104</v>
      </c>
      <c r="G119" s="49"/>
      <c r="H119" s="49"/>
      <c r="I119" s="58"/>
      <c r="J119" s="50"/>
      <c r="K119" s="51"/>
      <c r="L119" s="51"/>
      <c r="M119" s="52"/>
      <c r="P119" s="296"/>
      <c r="Q119" s="297"/>
      <c r="R119" s="297"/>
      <c r="T119" s="297"/>
      <c r="U119" s="283"/>
      <c r="V119" s="291"/>
      <c r="W119" s="291"/>
      <c r="Z119" s="282"/>
    </row>
    <row r="120" spans="1:26" x14ac:dyDescent="0.3">
      <c r="A120" s="27">
        <f t="shared" si="18"/>
        <v>105</v>
      </c>
      <c r="D120" s="27" t="s">
        <v>123</v>
      </c>
      <c r="G120" s="49"/>
      <c r="H120" s="49"/>
      <c r="I120" s="58"/>
      <c r="J120" s="50"/>
      <c r="K120" s="51"/>
      <c r="L120" s="51"/>
      <c r="M120" s="52"/>
      <c r="P120" s="296"/>
      <c r="Q120" s="297"/>
      <c r="R120" s="297"/>
      <c r="T120" s="297"/>
      <c r="U120" s="283"/>
      <c r="V120" s="291"/>
      <c r="W120" s="291"/>
      <c r="Z120" s="282"/>
    </row>
    <row r="121" spans="1:26" x14ac:dyDescent="0.3">
      <c r="A121" s="27">
        <f t="shared" si="18"/>
        <v>106</v>
      </c>
      <c r="D121" s="54" t="s">
        <v>101</v>
      </c>
      <c r="F121" s="27" t="s">
        <v>119</v>
      </c>
      <c r="G121" s="49">
        <f>G86</f>
        <v>1.3</v>
      </c>
      <c r="H121" s="49">
        <f>I121</f>
        <v>1.34</v>
      </c>
      <c r="I121" s="58">
        <f>I86</f>
        <v>1.34</v>
      </c>
      <c r="J121" s="50" t="s">
        <v>124</v>
      </c>
      <c r="K121" s="51" t="s">
        <v>106</v>
      </c>
      <c r="L121" s="51"/>
      <c r="M121" s="52"/>
      <c r="N121" s="295">
        <f>H121-G121</f>
        <v>4.0000000000000036E-2</v>
      </c>
      <c r="O121" s="284">
        <f>(N121/G121)</f>
        <v>3.0769230769230795E-2</v>
      </c>
      <c r="P121" s="296">
        <v>-221500.33574738415</v>
      </c>
      <c r="Q121" s="297">
        <f>(P121*G121)/1000</f>
        <v>-287.9504364715994</v>
      </c>
      <c r="R121" s="297">
        <f>(P121*H121)/1000</f>
        <v>-296.81044990149479</v>
      </c>
      <c r="S121" s="298">
        <f>R121-Q121</f>
        <v>-8.860013429895389</v>
      </c>
      <c r="T121" s="297">
        <f>(P121*I121)/1000</f>
        <v>-296.81044990149479</v>
      </c>
      <c r="U121" s="298">
        <f>R121-T121</f>
        <v>0</v>
      </c>
      <c r="V121" s="291" t="s">
        <v>129</v>
      </c>
      <c r="W121" s="291" t="s">
        <v>129</v>
      </c>
      <c r="Z121" s="282"/>
    </row>
    <row r="122" spans="1:26" x14ac:dyDescent="0.3">
      <c r="A122" s="27">
        <f t="shared" si="18"/>
        <v>107</v>
      </c>
      <c r="D122" s="54" t="s">
        <v>125</v>
      </c>
      <c r="F122" s="27" t="s">
        <v>119</v>
      </c>
      <c r="G122" s="49">
        <f>G87</f>
        <v>6.18</v>
      </c>
      <c r="H122" s="49">
        <f t="shared" ref="H122:H123" si="21">I122</f>
        <v>6.47</v>
      </c>
      <c r="I122" s="58">
        <f t="shared" ref="I122:I123" si="22">I87</f>
        <v>6.47</v>
      </c>
      <c r="J122" s="50" t="s">
        <v>124</v>
      </c>
      <c r="K122" s="51" t="s">
        <v>106</v>
      </c>
      <c r="L122" s="51"/>
      <c r="M122" s="52"/>
      <c r="N122" s="295">
        <f>H122-G122</f>
        <v>0.29000000000000004</v>
      </c>
      <c r="O122" s="284">
        <f>(N122/G122)</f>
        <v>4.6925566343042076E-2</v>
      </c>
      <c r="P122" s="296">
        <v>0</v>
      </c>
      <c r="Q122" s="297">
        <f>(P122*G122)/1000</f>
        <v>0</v>
      </c>
      <c r="R122" s="297">
        <f>(P122*H122)/1000</f>
        <v>0</v>
      </c>
      <c r="S122" s="298">
        <f>R122-Q122</f>
        <v>0</v>
      </c>
      <c r="T122" s="297">
        <f>(P122*I122)/1000</f>
        <v>0</v>
      </c>
      <c r="U122" s="298">
        <f>R122-T122</f>
        <v>0</v>
      </c>
      <c r="V122" s="291" t="s">
        <v>129</v>
      </c>
      <c r="W122" s="291" t="s">
        <v>129</v>
      </c>
      <c r="Z122" s="282"/>
    </row>
    <row r="123" spans="1:26" x14ac:dyDescent="0.3">
      <c r="A123" s="27">
        <f t="shared" si="18"/>
        <v>108</v>
      </c>
      <c r="D123" s="54" t="s">
        <v>126</v>
      </c>
      <c r="F123" s="27" t="s">
        <v>119</v>
      </c>
      <c r="G123" s="49">
        <f>G88</f>
        <v>8.61</v>
      </c>
      <c r="H123" s="49">
        <f t="shared" si="21"/>
        <v>9.0399999999999991</v>
      </c>
      <c r="I123" s="58">
        <f t="shared" si="22"/>
        <v>9.0399999999999991</v>
      </c>
      <c r="J123" s="50" t="s">
        <v>124</v>
      </c>
      <c r="K123" s="51" t="s">
        <v>106</v>
      </c>
      <c r="L123" s="51"/>
      <c r="M123" s="52"/>
      <c r="N123" s="295"/>
      <c r="P123" s="296"/>
      <c r="Q123" s="297"/>
      <c r="R123" s="297"/>
      <c r="S123" s="298"/>
      <c r="T123" s="297"/>
      <c r="U123" s="298"/>
      <c r="V123" s="291"/>
      <c r="W123" s="291"/>
      <c r="Z123" s="282"/>
    </row>
    <row r="124" spans="1:26" x14ac:dyDescent="0.3">
      <c r="A124" s="27">
        <f t="shared" si="18"/>
        <v>109</v>
      </c>
      <c r="G124" s="49"/>
      <c r="H124" s="49"/>
      <c r="I124" s="58"/>
      <c r="J124" s="50"/>
      <c r="K124" s="51"/>
      <c r="L124" s="51"/>
      <c r="M124" s="52"/>
      <c r="P124" s="296"/>
      <c r="Q124" s="297"/>
      <c r="R124" s="297"/>
      <c r="T124" s="297"/>
      <c r="U124" s="283"/>
      <c r="V124" s="291"/>
      <c r="W124" s="291"/>
      <c r="Z124" s="282"/>
    </row>
    <row r="125" spans="1:26" x14ac:dyDescent="0.3">
      <c r="A125" s="27">
        <f t="shared" si="18"/>
        <v>110</v>
      </c>
      <c r="D125" s="27" t="s">
        <v>104</v>
      </c>
      <c r="F125" s="27" t="s">
        <v>119</v>
      </c>
      <c r="G125" s="49">
        <v>1.96</v>
      </c>
      <c r="H125" s="49">
        <f>I125</f>
        <v>2.06</v>
      </c>
      <c r="I125" s="58">
        <f>'[2]MFR E-14G'!I22</f>
        <v>2.06</v>
      </c>
      <c r="J125" s="50" t="s">
        <v>105</v>
      </c>
      <c r="K125" s="51" t="s">
        <v>106</v>
      </c>
      <c r="L125" s="51"/>
      <c r="M125" s="52"/>
      <c r="N125" s="295">
        <f>H125-G125</f>
        <v>0.10000000000000009</v>
      </c>
      <c r="O125" s="284">
        <f>(N125/G125)</f>
        <v>5.1020408163265356E-2</v>
      </c>
      <c r="P125" s="296"/>
      <c r="Q125" s="297">
        <f>(P125*G125)/1000</f>
        <v>0</v>
      </c>
      <c r="R125" s="297">
        <f>(P125*H125)/1000</f>
        <v>0</v>
      </c>
      <c r="S125" s="298">
        <f>R125-Q125</f>
        <v>0</v>
      </c>
      <c r="T125" s="297">
        <f>(P125*I125)/1000</f>
        <v>0</v>
      </c>
      <c r="U125" s="298">
        <f>R125-T125</f>
        <v>0</v>
      </c>
      <c r="V125" s="291" t="s">
        <v>129</v>
      </c>
      <c r="W125" s="291" t="s">
        <v>129</v>
      </c>
      <c r="Z125" s="282"/>
    </row>
    <row r="126" spans="1:26" x14ac:dyDescent="0.3">
      <c r="A126" s="27">
        <f t="shared" si="18"/>
        <v>111</v>
      </c>
      <c r="G126" s="51"/>
      <c r="H126" s="51"/>
      <c r="I126" s="66"/>
      <c r="J126" s="50"/>
      <c r="K126" s="51"/>
      <c r="L126" s="51"/>
      <c r="M126" s="52"/>
      <c r="P126" s="296"/>
      <c r="Q126" s="297"/>
      <c r="R126" s="297"/>
      <c r="T126" s="297"/>
      <c r="U126" s="283"/>
      <c r="V126" s="291"/>
      <c r="W126" s="291"/>
      <c r="Z126" s="282"/>
    </row>
    <row r="127" spans="1:26" x14ac:dyDescent="0.3">
      <c r="A127" s="27">
        <f t="shared" si="18"/>
        <v>112</v>
      </c>
      <c r="C127" s="27" t="s">
        <v>75</v>
      </c>
      <c r="G127" s="51"/>
      <c r="H127" s="51"/>
      <c r="I127" s="66"/>
      <c r="J127" s="50"/>
      <c r="K127" s="51"/>
      <c r="L127" s="51"/>
      <c r="M127" s="52"/>
      <c r="P127" s="296"/>
      <c r="Q127" s="297"/>
      <c r="R127" s="297"/>
      <c r="T127" s="297"/>
      <c r="U127" s="283"/>
      <c r="V127" s="291"/>
      <c r="W127" s="291"/>
      <c r="Z127" s="282"/>
    </row>
    <row r="128" spans="1:26" x14ac:dyDescent="0.3">
      <c r="A128" s="27">
        <f t="shared" si="18"/>
        <v>113</v>
      </c>
      <c r="D128" s="27" t="s">
        <v>67</v>
      </c>
      <c r="F128" s="27" t="s">
        <v>78</v>
      </c>
      <c r="G128" s="56">
        <f>'[2]MFR E-13c'!F320/10</f>
        <v>2.6680000000000001</v>
      </c>
      <c r="H128" s="56">
        <f>'[2]MFR E-13c'!L320/10</f>
        <v>2.79</v>
      </c>
      <c r="I128" s="57">
        <f>SUM('[2]MFR E-6b'!T59,'[2]MFR E-6b'!T66)/10</f>
        <v>5.1555970121669983</v>
      </c>
      <c r="J128" s="50" t="s">
        <v>113</v>
      </c>
      <c r="K128" s="56" t="s">
        <v>69</v>
      </c>
      <c r="L128" s="56"/>
      <c r="M128" s="60"/>
      <c r="N128" s="295">
        <f>H128-G128</f>
        <v>0.12199999999999989</v>
      </c>
      <c r="O128" s="284">
        <f>(N128/G128)</f>
        <v>4.5727136431784061E-2</v>
      </c>
      <c r="P128" s="296">
        <v>0</v>
      </c>
      <c r="Q128" s="297">
        <f>(P128*G128*10)/1000</f>
        <v>0</v>
      </c>
      <c r="R128" s="297">
        <f>(P128*H128*10)/1000</f>
        <v>0</v>
      </c>
      <c r="S128" s="298">
        <f>R128-Q128</f>
        <v>0</v>
      </c>
      <c r="T128" s="297">
        <f>(P128*I128*10)/1000</f>
        <v>0</v>
      </c>
      <c r="U128" s="298">
        <f>R128-T128</f>
        <v>0</v>
      </c>
      <c r="V128" s="291" t="s">
        <v>129</v>
      </c>
      <c r="W128" s="291" t="s">
        <v>129</v>
      </c>
      <c r="Z128" s="282"/>
    </row>
    <row r="129" spans="1:29" x14ac:dyDescent="0.3">
      <c r="A129" s="27">
        <f t="shared" si="18"/>
        <v>114</v>
      </c>
      <c r="D129" s="27" t="s">
        <v>83</v>
      </c>
      <c r="F129" s="27" t="s">
        <v>78</v>
      </c>
      <c r="G129" s="56">
        <f>'[2]MFR E-13c'!F325/10</f>
        <v>2.9140000000000001</v>
      </c>
      <c r="H129" s="56">
        <f>'[2]MFR E-13c'!L325/10</f>
        <v>3.1399999999999997</v>
      </c>
      <c r="I129" s="57">
        <f>ROUND('[2]MFR E-14C'!AA207,3)</f>
        <v>3.1259999999999999</v>
      </c>
      <c r="J129" s="50" t="s">
        <v>84</v>
      </c>
      <c r="K129" s="51" t="s">
        <v>85</v>
      </c>
      <c r="L129" s="56"/>
      <c r="M129" s="60"/>
      <c r="N129" s="295">
        <f>H129-G129</f>
        <v>0.22599999999999953</v>
      </c>
      <c r="O129" s="284">
        <f>(N129/G129)</f>
        <v>7.7556623198352617E-2</v>
      </c>
      <c r="P129" s="296">
        <v>15677.736620243468</v>
      </c>
      <c r="Q129" s="297">
        <f>(P129*G129*10)/1000</f>
        <v>456.84924511389465</v>
      </c>
      <c r="R129" s="297">
        <f>(P129*H129*10)/1000</f>
        <v>492.28092987564486</v>
      </c>
      <c r="S129" s="298">
        <f>R129-Q129</f>
        <v>35.431684761750205</v>
      </c>
      <c r="T129" s="297">
        <f>(P129*I129*10)/1000</f>
        <v>490.08604674881082</v>
      </c>
      <c r="U129" s="298">
        <f>R129-T129</f>
        <v>2.1948831268340427</v>
      </c>
      <c r="V129" s="291" t="s">
        <v>132</v>
      </c>
      <c r="W129" s="291" t="s">
        <v>132</v>
      </c>
      <c r="Z129" s="282"/>
    </row>
    <row r="130" spans="1:29" x14ac:dyDescent="0.3">
      <c r="A130" s="27">
        <f t="shared" si="18"/>
        <v>115</v>
      </c>
      <c r="D130" s="27" t="s">
        <v>86</v>
      </c>
      <c r="F130" s="27" t="s">
        <v>78</v>
      </c>
      <c r="G130" s="56">
        <f>'[2]MFR E-13c'!F326/10</f>
        <v>2.1589999999999998</v>
      </c>
      <c r="H130" s="56">
        <f>'[2]MFR E-13c'!L326/10</f>
        <v>2.2429999999999999</v>
      </c>
      <c r="I130" s="57">
        <f>ROUND('[2]MFR E-14C'!AA208,3)</f>
        <v>2.2330000000000001</v>
      </c>
      <c r="J130" s="50" t="s">
        <v>84</v>
      </c>
      <c r="K130" s="51" t="s">
        <v>85</v>
      </c>
      <c r="L130" s="56"/>
      <c r="M130" s="60"/>
      <c r="N130" s="295">
        <f>H130-G130</f>
        <v>8.4000000000000075E-2</v>
      </c>
      <c r="O130" s="284">
        <f>(N130/G130)</f>
        <v>3.8906901343214492E-2</v>
      </c>
      <c r="P130" s="296">
        <v>48600.263379756529</v>
      </c>
      <c r="Q130" s="297">
        <f>(P130*G130*10)/1000</f>
        <v>1049.2796863689434</v>
      </c>
      <c r="R130" s="297">
        <f>(P130*H130*10)/1000</f>
        <v>1090.1039076079389</v>
      </c>
      <c r="S130" s="298">
        <f>R130-Q130</f>
        <v>40.824221238995506</v>
      </c>
      <c r="T130" s="297">
        <f>(P130*I130*10)/1000</f>
        <v>1085.2438812699631</v>
      </c>
      <c r="U130" s="298">
        <f>R130-T130</f>
        <v>4.8600263379757962</v>
      </c>
      <c r="V130" s="291" t="s">
        <v>132</v>
      </c>
      <c r="W130" s="291" t="s">
        <v>132</v>
      </c>
      <c r="Z130" s="282"/>
    </row>
    <row r="131" spans="1:29" x14ac:dyDescent="0.3">
      <c r="A131" s="27">
        <f t="shared" si="18"/>
        <v>116</v>
      </c>
      <c r="D131" s="27" t="s">
        <v>87</v>
      </c>
      <c r="F131" s="27" t="s">
        <v>78</v>
      </c>
      <c r="G131" s="56">
        <f>'[2]MFR E-13c'!F327/10</f>
        <v>1.637</v>
      </c>
      <c r="H131" s="56">
        <f>'[2]MFR E-13c'!L327/10</f>
        <v>1.6940000000000002</v>
      </c>
      <c r="I131" s="57">
        <f>ROUND('[2]MFR E-14C'!AA209,3)</f>
        <v>1.6859999999999999</v>
      </c>
      <c r="J131" s="50" t="s">
        <v>84</v>
      </c>
      <c r="K131" s="51" t="s">
        <v>85</v>
      </c>
      <c r="L131" s="56"/>
      <c r="M131" s="60"/>
      <c r="N131" s="295"/>
      <c r="P131" s="296"/>
      <c r="Q131" s="297"/>
      <c r="R131" s="297"/>
      <c r="S131" s="298"/>
      <c r="T131" s="297"/>
      <c r="U131" s="298"/>
      <c r="V131" s="291"/>
      <c r="W131" s="291"/>
      <c r="Z131" s="282"/>
    </row>
    <row r="132" spans="1:29" x14ac:dyDescent="0.3">
      <c r="A132" s="27">
        <f t="shared" si="18"/>
        <v>117</v>
      </c>
      <c r="G132" s="51"/>
      <c r="H132" s="51"/>
      <c r="I132" s="66"/>
      <c r="J132" s="50"/>
      <c r="K132" s="51"/>
      <c r="L132" s="51"/>
      <c r="M132" s="52"/>
      <c r="P132" s="296"/>
      <c r="Q132" s="297"/>
      <c r="R132" s="297"/>
      <c r="T132" s="297"/>
      <c r="U132" s="283"/>
      <c r="V132" s="291"/>
      <c r="W132" s="291"/>
      <c r="Z132" s="282"/>
    </row>
    <row r="133" spans="1:29" x14ac:dyDescent="0.3">
      <c r="A133" s="27">
        <f t="shared" si="18"/>
        <v>118</v>
      </c>
      <c r="C133" s="27" t="s">
        <v>107</v>
      </c>
      <c r="G133" s="51"/>
      <c r="H133" s="51"/>
      <c r="I133" s="51"/>
      <c r="J133" s="50"/>
      <c r="K133" s="51"/>
      <c r="L133" s="51"/>
      <c r="M133" s="52"/>
      <c r="N133" s="295"/>
      <c r="P133" s="296"/>
      <c r="Q133" s="297"/>
      <c r="R133" s="297"/>
      <c r="T133" s="297"/>
      <c r="U133" s="283"/>
      <c r="V133" s="291"/>
      <c r="W133" s="291"/>
      <c r="Z133" s="282"/>
    </row>
    <row r="134" spans="1:29" x14ac:dyDescent="0.3">
      <c r="A134" s="27">
        <f t="shared" si="18"/>
        <v>119</v>
      </c>
      <c r="D134" s="27" t="s">
        <v>101</v>
      </c>
      <c r="F134" s="27" t="s">
        <v>61</v>
      </c>
      <c r="G134" s="62">
        <v>0.01</v>
      </c>
      <c r="H134" s="62">
        <v>0.01</v>
      </c>
      <c r="I134" s="62"/>
      <c r="J134" s="50"/>
      <c r="K134" s="51" t="s">
        <v>108</v>
      </c>
      <c r="L134" s="51"/>
      <c r="M134" s="52"/>
      <c r="N134" s="306">
        <f>H134-G134</f>
        <v>0</v>
      </c>
      <c r="O134" s="284">
        <f>(N134/G134)</f>
        <v>0</v>
      </c>
      <c r="P134" s="296"/>
      <c r="Q134" s="297">
        <f>(P134*G134)/1000</f>
        <v>0</v>
      </c>
      <c r="R134" s="297">
        <f>(P134*H134)/1000</f>
        <v>0</v>
      </c>
      <c r="S134" s="298">
        <f>R134-Q134</f>
        <v>0</v>
      </c>
      <c r="T134" s="297">
        <f>(P134*I134)/1000</f>
        <v>0</v>
      </c>
      <c r="U134" s="298">
        <f>R134-T134</f>
        <v>0</v>
      </c>
      <c r="V134" s="291" t="s">
        <v>129</v>
      </c>
      <c r="W134" s="291" t="s">
        <v>129</v>
      </c>
      <c r="Z134" s="282"/>
    </row>
    <row r="135" spans="1:29" x14ac:dyDescent="0.3">
      <c r="A135" s="27">
        <f t="shared" si="18"/>
        <v>120</v>
      </c>
      <c r="D135" s="27" t="s">
        <v>102</v>
      </c>
      <c r="F135" s="27" t="s">
        <v>61</v>
      </c>
      <c r="G135" s="62">
        <v>0.02</v>
      </c>
      <c r="H135" s="62">
        <v>0.02</v>
      </c>
      <c r="I135" s="62"/>
      <c r="J135" s="50"/>
      <c r="K135" s="51" t="s">
        <v>108</v>
      </c>
      <c r="L135" s="51"/>
      <c r="M135" s="52"/>
      <c r="N135" s="306">
        <f>H135-G135</f>
        <v>0</v>
      </c>
      <c r="O135" s="284">
        <f>(N135/G135)</f>
        <v>0</v>
      </c>
      <c r="P135" s="296"/>
      <c r="Q135" s="297">
        <f>(P135*G135)/1000</f>
        <v>0</v>
      </c>
      <c r="R135" s="297">
        <f>(P135*H135)/1000</f>
        <v>0</v>
      </c>
      <c r="S135" s="298">
        <f>R135-Q135</f>
        <v>0</v>
      </c>
      <c r="T135" s="297">
        <f>(P135*I135)/1000</f>
        <v>0</v>
      </c>
      <c r="U135" s="298">
        <f>R135-T135</f>
        <v>0</v>
      </c>
      <c r="V135" s="291" t="s">
        <v>129</v>
      </c>
      <c r="W135" s="291" t="s">
        <v>129</v>
      </c>
      <c r="Z135" s="282"/>
    </row>
    <row r="136" spans="1:29" x14ac:dyDescent="0.3">
      <c r="A136" s="27">
        <f t="shared" si="18"/>
        <v>121</v>
      </c>
      <c r="G136" s="62"/>
      <c r="H136" s="62"/>
      <c r="I136" s="62"/>
      <c r="J136" s="50"/>
      <c r="K136" s="51"/>
      <c r="L136" s="51"/>
      <c r="M136" s="52"/>
      <c r="N136" s="295"/>
      <c r="P136" s="296"/>
      <c r="Q136" s="297"/>
      <c r="R136" s="297"/>
      <c r="T136" s="297"/>
      <c r="U136" s="283"/>
      <c r="V136" s="291"/>
      <c r="W136" s="291"/>
      <c r="Z136" s="282"/>
    </row>
    <row r="137" spans="1:29" x14ac:dyDescent="0.3">
      <c r="A137" s="27">
        <f t="shared" si="18"/>
        <v>122</v>
      </c>
      <c r="C137" s="27" t="s">
        <v>109</v>
      </c>
      <c r="F137" s="27" t="s">
        <v>61</v>
      </c>
      <c r="G137" s="63">
        <f>G101</f>
        <v>9.5999999999999992E-3</v>
      </c>
      <c r="H137" s="64">
        <f>I137</f>
        <v>9.5999999999999992E-3</v>
      </c>
      <c r="I137" s="65">
        <f>I101</f>
        <v>9.5999999999999992E-3</v>
      </c>
      <c r="J137" s="42" t="s">
        <v>110</v>
      </c>
      <c r="K137" s="66" t="s">
        <v>111</v>
      </c>
      <c r="L137" s="51"/>
      <c r="M137" s="52"/>
      <c r="N137" s="307">
        <f>H137-G137</f>
        <v>0</v>
      </c>
      <c r="O137" s="284">
        <f>(N137/G137)</f>
        <v>0</v>
      </c>
      <c r="P137" s="296"/>
      <c r="Q137" s="297"/>
      <c r="R137" s="297"/>
      <c r="T137" s="297"/>
      <c r="U137" s="283"/>
      <c r="V137" s="291" t="s">
        <v>129</v>
      </c>
      <c r="W137" s="291" t="s">
        <v>129</v>
      </c>
      <c r="Z137" s="282"/>
    </row>
    <row r="138" spans="1:29" ht="14.4" thickBot="1" x14ac:dyDescent="0.35">
      <c r="B138" s="31"/>
      <c r="C138" s="31"/>
      <c r="D138" s="31"/>
      <c r="E138" s="31"/>
      <c r="F138" s="31"/>
      <c r="G138" s="52"/>
      <c r="H138" s="52"/>
      <c r="I138" s="52"/>
      <c r="J138" s="59"/>
      <c r="K138" s="52"/>
      <c r="L138" s="52"/>
      <c r="M138" s="52"/>
      <c r="N138" s="300"/>
      <c r="O138" s="301"/>
      <c r="P138" s="302"/>
      <c r="Q138" s="303">
        <f>SUM(Q104:Q137)</f>
        <v>2157.4854531503152</v>
      </c>
      <c r="R138" s="303">
        <f>SUM(R104:R137)</f>
        <v>2265.268417784911</v>
      </c>
      <c r="S138" s="303">
        <f>SUM(S104:S137)</f>
        <v>107.78296463459563</v>
      </c>
      <c r="T138" s="303">
        <f>SUM(T104:T137)</f>
        <v>2254.8949661593224</v>
      </c>
      <c r="U138" s="303">
        <f>SUM(U104:U137)</f>
        <v>10.373451625588331</v>
      </c>
      <c r="V138" s="291"/>
      <c r="W138" s="291"/>
      <c r="Z138" s="282"/>
    </row>
    <row r="139" spans="1:29" ht="14.4" thickTop="1" x14ac:dyDescent="0.3">
      <c r="A139" s="27">
        <f>+A137+1</f>
        <v>123</v>
      </c>
      <c r="B139" s="48"/>
      <c r="G139" s="51"/>
      <c r="H139" s="51"/>
      <c r="I139" s="51"/>
      <c r="J139" s="50"/>
      <c r="K139" s="51"/>
      <c r="L139" s="51"/>
      <c r="M139" s="52"/>
      <c r="P139" s="296"/>
      <c r="Q139" s="296"/>
      <c r="R139" s="296"/>
      <c r="S139" s="296"/>
      <c r="T139" s="296"/>
      <c r="U139" s="283"/>
      <c r="V139" s="291"/>
      <c r="W139" s="291"/>
      <c r="Z139" s="282"/>
    </row>
    <row r="140" spans="1:29" x14ac:dyDescent="0.3">
      <c r="A140" s="27">
        <f t="shared" si="18"/>
        <v>124</v>
      </c>
      <c r="B140" s="48" t="s">
        <v>139</v>
      </c>
      <c r="C140" s="27" t="s">
        <v>65</v>
      </c>
      <c r="G140" s="51"/>
      <c r="H140" s="51"/>
      <c r="I140" s="51"/>
      <c r="J140" s="50"/>
      <c r="K140" s="51"/>
      <c r="L140" s="51"/>
      <c r="M140" s="52"/>
      <c r="P140" s="296"/>
      <c r="Q140" s="296"/>
      <c r="R140" s="296"/>
      <c r="T140" s="296"/>
      <c r="U140" s="283"/>
      <c r="V140" s="291"/>
      <c r="W140" s="291"/>
      <c r="Z140" s="282"/>
    </row>
    <row r="141" spans="1:29" x14ac:dyDescent="0.3">
      <c r="A141" s="27">
        <f t="shared" si="18"/>
        <v>125</v>
      </c>
      <c r="B141" s="48" t="s">
        <v>140</v>
      </c>
      <c r="D141" s="27" t="s">
        <v>99</v>
      </c>
      <c r="F141" s="27" t="s">
        <v>60</v>
      </c>
      <c r="G141" s="49">
        <f>'[2]MFR E-13c'!F368</f>
        <v>426.3</v>
      </c>
      <c r="H141" s="49">
        <f>'[2]MFR E-13c'!L368</f>
        <v>443.34</v>
      </c>
      <c r="I141" s="49">
        <f>'[2]MFR E-14E'!K53</f>
        <v>374.46769549622667</v>
      </c>
      <c r="J141" s="50" t="s">
        <v>96</v>
      </c>
      <c r="K141" s="51" t="s">
        <v>69</v>
      </c>
      <c r="L141" s="51"/>
      <c r="M141" s="52"/>
      <c r="N141" s="295">
        <f>H141-G141</f>
        <v>17.039999999999964</v>
      </c>
      <c r="O141" s="284">
        <f>(N141/G141)</f>
        <v>3.9971850809289146E-2</v>
      </c>
      <c r="P141" s="296">
        <v>936.31973453054877</v>
      </c>
      <c r="Q141" s="297">
        <f>(P141*G141)/1000</f>
        <v>399.15310283037292</v>
      </c>
      <c r="R141" s="297">
        <f>(P141*H141)/1000</f>
        <v>415.10799110677351</v>
      </c>
      <c r="S141" s="298">
        <f>R141-Q141</f>
        <v>15.954888276400595</v>
      </c>
      <c r="T141" s="297">
        <f>(P141*I141)/1000</f>
        <v>350.62149323729335</v>
      </c>
      <c r="U141" s="298">
        <f>R141-T141</f>
        <v>64.486497869480161</v>
      </c>
      <c r="V141" s="291" t="s">
        <v>141</v>
      </c>
      <c r="W141" s="291" t="s">
        <v>141</v>
      </c>
      <c r="Z141" s="282"/>
      <c r="AC141" s="27" t="b">
        <f t="shared" ref="AC141:AC143" si="23">H141&gt;=I141</f>
        <v>1</v>
      </c>
    </row>
    <row r="142" spans="1:29" x14ac:dyDescent="0.3">
      <c r="A142" s="27">
        <f t="shared" ref="A142:A205" si="24">+A141+1</f>
        <v>126</v>
      </c>
      <c r="B142" s="48"/>
      <c r="D142" s="27" t="s">
        <v>101</v>
      </c>
      <c r="F142" s="27" t="s">
        <v>60</v>
      </c>
      <c r="G142" s="49">
        <f>'[2]MFR E-13c'!F369</f>
        <v>632.54999999999995</v>
      </c>
      <c r="H142" s="49">
        <f>'[2]MFR E-13c'!L369</f>
        <v>657.83</v>
      </c>
      <c r="I142" s="49">
        <f>'[2]MFR E-14E'!K54</f>
        <v>519.31523837095301</v>
      </c>
      <c r="J142" s="50" t="s">
        <v>96</v>
      </c>
      <c r="K142" s="51" t="s">
        <v>69</v>
      </c>
      <c r="L142" s="51"/>
      <c r="M142" s="52"/>
      <c r="N142" s="295">
        <f>H142-G142</f>
        <v>25.280000000000086</v>
      </c>
      <c r="O142" s="284">
        <f>(N142/G142)</f>
        <v>3.9965220140700482E-2</v>
      </c>
      <c r="P142" s="296">
        <v>1032.3525278157329</v>
      </c>
      <c r="Q142" s="297">
        <f>(P142*G142)/1000</f>
        <v>653.01459146984178</v>
      </c>
      <c r="R142" s="297">
        <f>(P142*H142)/1000</f>
        <v>679.1124633730235</v>
      </c>
      <c r="S142" s="298">
        <f>R142-Q142</f>
        <v>26.097871903181726</v>
      </c>
      <c r="T142" s="297">
        <f>(P142*I142)/1000</f>
        <v>536.11639906548328</v>
      </c>
      <c r="U142" s="298">
        <f>R142-T142</f>
        <v>142.99606430754022</v>
      </c>
      <c r="V142" s="291" t="s">
        <v>141</v>
      </c>
      <c r="W142" s="291" t="s">
        <v>141</v>
      </c>
      <c r="Z142" s="282"/>
      <c r="AC142" s="27" t="b">
        <f t="shared" si="23"/>
        <v>1</v>
      </c>
    </row>
    <row r="143" spans="1:29" x14ac:dyDescent="0.3">
      <c r="A143" s="27">
        <f t="shared" si="24"/>
        <v>127</v>
      </c>
      <c r="D143" s="27" t="s">
        <v>102</v>
      </c>
      <c r="F143" s="27" t="s">
        <v>60</v>
      </c>
      <c r="G143" s="49">
        <f>'[2]MFR E-13c'!F370</f>
        <v>1513.3</v>
      </c>
      <c r="H143" s="49">
        <f>'[2]MFR E-13c'!L370</f>
        <v>1573.77</v>
      </c>
      <c r="I143" s="49">
        <f>'[2]MFR E-14E'!K55</f>
        <v>704.67601590900256</v>
      </c>
      <c r="J143" s="50" t="s">
        <v>96</v>
      </c>
      <c r="K143" s="51" t="s">
        <v>69</v>
      </c>
      <c r="L143" s="51"/>
      <c r="M143" s="52"/>
      <c r="N143" s="295">
        <f>H143-G143</f>
        <v>60.470000000000027</v>
      </c>
      <c r="O143" s="284">
        <f>(N143/G143)</f>
        <v>3.9959029934580073E-2</v>
      </c>
      <c r="P143" s="296">
        <v>72.024594963888333</v>
      </c>
      <c r="Q143" s="297">
        <f>(P143*G143)/1000</f>
        <v>108.9948195588522</v>
      </c>
      <c r="R143" s="297">
        <f>(P143*H143)/1000</f>
        <v>113.35014681631853</v>
      </c>
      <c r="S143" s="298">
        <f>R143-Q143</f>
        <v>4.3553272574663282</v>
      </c>
      <c r="T143" s="297">
        <f>(P143*I143)/1000</f>
        <v>50.754004626612442</v>
      </c>
      <c r="U143" s="298">
        <f>R143-T143</f>
        <v>62.596142189706086</v>
      </c>
      <c r="V143" s="291" t="s">
        <v>141</v>
      </c>
      <c r="W143" s="291" t="s">
        <v>141</v>
      </c>
      <c r="Z143" s="282"/>
      <c r="AC143" s="27" t="b">
        <f t="shared" si="23"/>
        <v>1</v>
      </c>
    </row>
    <row r="144" spans="1:29" x14ac:dyDescent="0.3">
      <c r="A144" s="27">
        <f t="shared" si="24"/>
        <v>128</v>
      </c>
      <c r="G144" s="49"/>
      <c r="H144" s="49"/>
      <c r="I144" s="49"/>
      <c r="J144" s="50"/>
      <c r="K144" s="51"/>
      <c r="L144" s="51"/>
      <c r="M144" s="52"/>
      <c r="P144" s="296"/>
      <c r="Q144" s="296"/>
      <c r="R144" s="296"/>
      <c r="T144" s="296"/>
      <c r="U144" s="283"/>
      <c r="V144" s="291"/>
      <c r="W144" s="291"/>
      <c r="Z144" s="282"/>
    </row>
    <row r="145" spans="1:26" x14ac:dyDescent="0.3">
      <c r="A145" s="27">
        <f t="shared" si="24"/>
        <v>129</v>
      </c>
      <c r="C145" s="27" t="s">
        <v>142</v>
      </c>
      <c r="G145" s="49"/>
      <c r="H145" s="49"/>
      <c r="I145" s="49"/>
      <c r="J145" s="50"/>
      <c r="K145" s="51"/>
      <c r="L145" s="51"/>
      <c r="M145" s="52"/>
      <c r="P145" s="296"/>
      <c r="Q145" s="296"/>
      <c r="R145" s="296"/>
      <c r="T145" s="296"/>
      <c r="U145" s="283"/>
      <c r="V145" s="291"/>
      <c r="W145" s="291"/>
      <c r="Z145" s="282"/>
    </row>
    <row r="146" spans="1:26" x14ac:dyDescent="0.3">
      <c r="A146" s="27">
        <f t="shared" si="24"/>
        <v>130</v>
      </c>
      <c r="D146" s="27" t="s">
        <v>67</v>
      </c>
      <c r="F146" s="27" t="s">
        <v>119</v>
      </c>
      <c r="G146" s="49">
        <f>'[2]MFR E-13c'!F379</f>
        <v>12.16</v>
      </c>
      <c r="H146" s="49">
        <f>'[2]MFR E-13c'!L379</f>
        <v>12.71</v>
      </c>
      <c r="I146" s="49">
        <f>'[2]MFR E-6b'!U73</f>
        <v>15.599515768948411</v>
      </c>
      <c r="J146" s="50" t="s">
        <v>113</v>
      </c>
      <c r="K146" s="51" t="s">
        <v>69</v>
      </c>
      <c r="L146" s="51"/>
      <c r="M146" s="52"/>
      <c r="N146" s="295">
        <f>H146-G146</f>
        <v>0.55000000000000071</v>
      </c>
      <c r="O146" s="284">
        <f>(N146/G146)</f>
        <v>4.5230263157894794E-2</v>
      </c>
      <c r="P146" s="296">
        <v>759330.74305971235</v>
      </c>
      <c r="Q146" s="297">
        <f>(P146*G146)/1000</f>
        <v>9233.4618356061019</v>
      </c>
      <c r="R146" s="297">
        <f>(P146*H146)/1000</f>
        <v>9651.0937442889444</v>
      </c>
      <c r="S146" s="298">
        <f>R146-Q146</f>
        <v>417.63190868284255</v>
      </c>
      <c r="T146" s="297">
        <f>(P146*I146)/1000</f>
        <v>11845.191900207295</v>
      </c>
      <c r="U146" s="298">
        <f>R146-T146</f>
        <v>-2194.098155918351</v>
      </c>
      <c r="V146" s="291" t="s">
        <v>141</v>
      </c>
      <c r="W146" s="291" t="s">
        <v>141</v>
      </c>
      <c r="Z146" s="282"/>
    </row>
    <row r="147" spans="1:26" x14ac:dyDescent="0.3">
      <c r="A147" s="27">
        <f t="shared" si="24"/>
        <v>131</v>
      </c>
      <c r="D147" s="27" t="s">
        <v>71</v>
      </c>
      <c r="G147" s="49"/>
      <c r="H147" s="49"/>
      <c r="I147" s="49"/>
      <c r="J147" s="50"/>
      <c r="K147" s="51"/>
      <c r="L147" s="51"/>
      <c r="M147" s="52"/>
      <c r="P147" s="296"/>
      <c r="Q147" s="296"/>
      <c r="R147" s="296"/>
      <c r="T147" s="296"/>
      <c r="U147" s="283"/>
      <c r="V147" s="291"/>
      <c r="W147" s="291"/>
      <c r="Z147" s="282"/>
    </row>
    <row r="148" spans="1:26" x14ac:dyDescent="0.3">
      <c r="A148" s="27">
        <f t="shared" si="24"/>
        <v>132</v>
      </c>
      <c r="D148" s="54" t="s">
        <v>120</v>
      </c>
      <c r="F148" s="27" t="s">
        <v>119</v>
      </c>
      <c r="G148" s="49">
        <f>'[2]MFR E-13c'!F387</f>
        <v>1.86</v>
      </c>
      <c r="H148" s="49">
        <f>'[2]MFR E-13c'!L387</f>
        <v>1.96</v>
      </c>
      <c r="I148" s="58">
        <f>ROUND('[2]MFR E-14C'!M279,2)</f>
        <v>1.95</v>
      </c>
      <c r="J148" s="50" t="s">
        <v>84</v>
      </c>
      <c r="K148" s="51" t="s">
        <v>85</v>
      </c>
      <c r="L148" s="51"/>
      <c r="M148" s="52"/>
      <c r="N148" s="295">
        <f>H148-G148</f>
        <v>9.9999999999999867E-2</v>
      </c>
      <c r="O148" s="284">
        <f>(N148/G148)</f>
        <v>5.3763440860214978E-2</v>
      </c>
      <c r="P148" s="296">
        <v>4977852.4117269311</v>
      </c>
      <c r="Q148" s="297">
        <f>(P148*G148)/1000</f>
        <v>9258.8054858120922</v>
      </c>
      <c r="R148" s="297">
        <f>(P148*H148)/1000</f>
        <v>9756.5907269847849</v>
      </c>
      <c r="S148" s="298">
        <f>R148-Q148</f>
        <v>497.78524117269262</v>
      </c>
      <c r="T148" s="297">
        <f>(P148*I148)/1000</f>
        <v>9706.8122028675152</v>
      </c>
      <c r="U148" s="298">
        <f>R148-T148</f>
        <v>49.778524117269626</v>
      </c>
      <c r="V148" s="291" t="s">
        <v>143</v>
      </c>
      <c r="W148" s="291" t="s">
        <v>143</v>
      </c>
      <c r="Z148" s="282"/>
    </row>
    <row r="149" spans="1:26" x14ac:dyDescent="0.3">
      <c r="A149" s="27">
        <f t="shared" si="24"/>
        <v>133</v>
      </c>
      <c r="D149" s="54" t="s">
        <v>121</v>
      </c>
      <c r="F149" s="27" t="s">
        <v>119</v>
      </c>
      <c r="G149" s="49">
        <f>'[2]MFR E-13c'!F385</f>
        <v>2.75</v>
      </c>
      <c r="H149" s="49">
        <f>'[2]MFR E-13c'!L385</f>
        <v>2.86</v>
      </c>
      <c r="I149" s="58">
        <f>ROUND('[2]MFR E-14C'!M277,2)</f>
        <v>2.85</v>
      </c>
      <c r="J149" s="50" t="s">
        <v>84</v>
      </c>
      <c r="K149" s="51" t="s">
        <v>85</v>
      </c>
      <c r="L149" s="51"/>
      <c r="M149" s="52"/>
      <c r="N149" s="295">
        <f>H149-G149</f>
        <v>0.10999999999999988</v>
      </c>
      <c r="O149" s="284">
        <f>(N149/G149)</f>
        <v>3.9999999999999952E-2</v>
      </c>
      <c r="P149" s="296">
        <v>4769350.1410258049</v>
      </c>
      <c r="Q149" s="297">
        <f>(P149*G149)/1000</f>
        <v>13115.712887820962</v>
      </c>
      <c r="R149" s="297">
        <f>(P149*H149)/1000</f>
        <v>13640.341403333801</v>
      </c>
      <c r="S149" s="298">
        <f>R149-Q149</f>
        <v>524.62851551283893</v>
      </c>
      <c r="T149" s="297">
        <f>(P149*I149)/1000</f>
        <v>13592.647901923545</v>
      </c>
      <c r="U149" s="298">
        <f>R149-T149</f>
        <v>47.693501410256431</v>
      </c>
      <c r="V149" s="291" t="s">
        <v>143</v>
      </c>
      <c r="W149" s="291" t="s">
        <v>143</v>
      </c>
      <c r="Z149" s="282"/>
    </row>
    <row r="150" spans="1:26" x14ac:dyDescent="0.3">
      <c r="A150" s="27">
        <f t="shared" si="24"/>
        <v>134</v>
      </c>
      <c r="D150" s="54" t="s">
        <v>122</v>
      </c>
      <c r="F150" s="27" t="s">
        <v>119</v>
      </c>
      <c r="G150" s="49">
        <f>'[2]MFR E-13c'!F386</f>
        <v>5.28</v>
      </c>
      <c r="H150" s="49">
        <f>'[2]MFR E-13c'!L386</f>
        <v>5.52</v>
      </c>
      <c r="I150" s="58">
        <f>ROUND('[2]MFR E-14C'!M278,2)</f>
        <v>5.49</v>
      </c>
      <c r="J150" s="50" t="s">
        <v>84</v>
      </c>
      <c r="K150" s="51" t="s">
        <v>85</v>
      </c>
      <c r="L150" s="51"/>
      <c r="M150" s="52"/>
      <c r="N150" s="295"/>
      <c r="P150" s="296"/>
      <c r="Q150" s="297"/>
      <c r="R150" s="297"/>
      <c r="S150" s="298"/>
      <c r="T150" s="297"/>
      <c r="U150" s="298"/>
      <c r="V150" s="291"/>
      <c r="W150" s="291"/>
      <c r="Z150" s="282"/>
    </row>
    <row r="151" spans="1:26" x14ac:dyDescent="0.3">
      <c r="A151" s="27">
        <f t="shared" si="24"/>
        <v>135</v>
      </c>
      <c r="D151" s="54"/>
      <c r="G151" s="49"/>
      <c r="H151" s="49"/>
      <c r="I151" s="49"/>
      <c r="J151" s="50"/>
      <c r="K151" s="51"/>
      <c r="L151" s="51"/>
      <c r="M151" s="52"/>
      <c r="N151" s="295"/>
      <c r="P151" s="296"/>
      <c r="Q151" s="297"/>
      <c r="R151" s="297"/>
      <c r="S151" s="298"/>
      <c r="T151" s="297"/>
      <c r="U151" s="298"/>
      <c r="V151" s="291"/>
      <c r="W151" s="291"/>
      <c r="Z151" s="282"/>
    </row>
    <row r="152" spans="1:26" x14ac:dyDescent="0.3">
      <c r="A152" s="27">
        <f t="shared" si="24"/>
        <v>136</v>
      </c>
      <c r="D152" s="27" t="s">
        <v>144</v>
      </c>
      <c r="G152" s="49"/>
      <c r="H152" s="49"/>
      <c r="I152" s="49"/>
      <c r="J152" s="50"/>
      <c r="K152" s="51"/>
      <c r="L152" s="51"/>
      <c r="M152" s="52"/>
      <c r="P152" s="296"/>
      <c r="Q152" s="296"/>
      <c r="R152" s="296"/>
      <c r="T152" s="296"/>
      <c r="U152" s="283"/>
      <c r="V152" s="291"/>
      <c r="W152" s="291"/>
      <c r="Z152" s="282"/>
    </row>
    <row r="153" spans="1:26" x14ac:dyDescent="0.3">
      <c r="A153" s="27">
        <f t="shared" si="24"/>
        <v>137</v>
      </c>
      <c r="D153" s="54" t="s">
        <v>145</v>
      </c>
      <c r="F153" s="27" t="s">
        <v>119</v>
      </c>
      <c r="G153" s="49">
        <v>4.62</v>
      </c>
      <c r="H153" s="49">
        <f>I153</f>
        <v>4.62</v>
      </c>
      <c r="I153" s="58">
        <v>4.62</v>
      </c>
      <c r="J153" s="50"/>
      <c r="K153" s="51" t="s">
        <v>135</v>
      </c>
      <c r="L153" s="51"/>
      <c r="M153" s="52"/>
      <c r="N153" s="295">
        <f>H153-G153</f>
        <v>0</v>
      </c>
      <c r="O153" s="284">
        <f>(N153/G153)</f>
        <v>0</v>
      </c>
      <c r="P153" s="296"/>
      <c r="Q153" s="313" t="s">
        <v>136</v>
      </c>
      <c r="R153" s="313" t="s">
        <v>136</v>
      </c>
      <c r="T153" s="313" t="s">
        <v>136</v>
      </c>
      <c r="U153" s="283"/>
      <c r="V153" s="291" t="s">
        <v>141</v>
      </c>
      <c r="W153" s="291" t="s">
        <v>141</v>
      </c>
      <c r="Z153" s="282"/>
    </row>
    <row r="154" spans="1:26" x14ac:dyDescent="0.3">
      <c r="A154" s="27">
        <f t="shared" si="24"/>
        <v>138</v>
      </c>
      <c r="D154" s="27" t="s">
        <v>123</v>
      </c>
      <c r="G154" s="49"/>
      <c r="H154" s="49"/>
      <c r="I154" s="49"/>
      <c r="J154" s="50"/>
      <c r="K154" s="51"/>
      <c r="L154" s="51"/>
      <c r="M154" s="52"/>
      <c r="P154" s="296"/>
      <c r="Q154" s="296"/>
      <c r="R154" s="296"/>
      <c r="T154" s="296"/>
      <c r="U154" s="283"/>
      <c r="V154" s="291"/>
      <c r="W154" s="291"/>
      <c r="Z154" s="282"/>
    </row>
    <row r="155" spans="1:26" x14ac:dyDescent="0.3">
      <c r="A155" s="27">
        <f t="shared" si="24"/>
        <v>139</v>
      </c>
      <c r="D155" s="54" t="s">
        <v>101</v>
      </c>
      <c r="F155" s="27" t="s">
        <v>119</v>
      </c>
      <c r="G155" s="49">
        <f>G121</f>
        <v>1.3</v>
      </c>
      <c r="H155" s="49">
        <f>I155</f>
        <v>1.34</v>
      </c>
      <c r="I155" s="58">
        <f>I121</f>
        <v>1.34</v>
      </c>
      <c r="J155" s="50" t="s">
        <v>124</v>
      </c>
      <c r="K155" s="51" t="s">
        <v>106</v>
      </c>
      <c r="L155" s="51"/>
      <c r="M155" s="52"/>
      <c r="N155" s="295">
        <f>H155-G155</f>
        <v>4.0000000000000036E-2</v>
      </c>
      <c r="O155" s="284">
        <f>(N155/G155)</f>
        <v>3.0769230769230795E-2</v>
      </c>
      <c r="P155" s="296">
        <v>-2944748.5861526635</v>
      </c>
      <c r="Q155" s="297">
        <f>(P155*G155)/1000</f>
        <v>-3828.1731619984625</v>
      </c>
      <c r="R155" s="297">
        <f>(P155*H155)/1000</f>
        <v>-3945.963105444569</v>
      </c>
      <c r="S155" s="298">
        <f>R155-Q155</f>
        <v>-117.78994344610646</v>
      </c>
      <c r="T155" s="297">
        <f>(P155*I155)/1000</f>
        <v>-3945.963105444569</v>
      </c>
      <c r="U155" s="298">
        <f>R155-T155</f>
        <v>0</v>
      </c>
      <c r="V155" s="291" t="s">
        <v>141</v>
      </c>
      <c r="W155" s="291" t="s">
        <v>141</v>
      </c>
      <c r="Z155" s="282"/>
    </row>
    <row r="156" spans="1:26" x14ac:dyDescent="0.3">
      <c r="A156" s="27">
        <f t="shared" si="24"/>
        <v>140</v>
      </c>
      <c r="D156" s="54" t="s">
        <v>125</v>
      </c>
      <c r="F156" s="27" t="s">
        <v>119</v>
      </c>
      <c r="G156" s="49">
        <f t="shared" ref="G156:G157" si="25">G122</f>
        <v>6.18</v>
      </c>
      <c r="H156" s="49">
        <f t="shared" ref="H156:H157" si="26">I156</f>
        <v>6.47</v>
      </c>
      <c r="I156" s="58">
        <f t="shared" ref="I156:I157" si="27">I122</f>
        <v>6.47</v>
      </c>
      <c r="J156" s="50" t="s">
        <v>124</v>
      </c>
      <c r="K156" s="51" t="s">
        <v>106</v>
      </c>
      <c r="L156" s="51"/>
      <c r="M156" s="52"/>
      <c r="N156" s="295">
        <f>H156-G156</f>
        <v>0.29000000000000004</v>
      </c>
      <c r="O156" s="284">
        <f>(N156/G156)</f>
        <v>4.6925566343042076E-2</v>
      </c>
      <c r="P156" s="296">
        <v>-1952363.4690865481</v>
      </c>
      <c r="Q156" s="297">
        <f>(P156*G156)/1000</f>
        <v>-12065.606238954866</v>
      </c>
      <c r="R156" s="297">
        <f>(P156*H156)/1000</f>
        <v>-12631.791644989966</v>
      </c>
      <c r="S156" s="298">
        <f>R156-Q156</f>
        <v>-566.18540603509973</v>
      </c>
      <c r="T156" s="297">
        <f>(P156*I156)/1000</f>
        <v>-12631.791644989966</v>
      </c>
      <c r="U156" s="298">
        <f>R156-T156</f>
        <v>0</v>
      </c>
      <c r="V156" s="291" t="s">
        <v>141</v>
      </c>
      <c r="W156" s="291" t="s">
        <v>141</v>
      </c>
      <c r="Z156" s="282"/>
    </row>
    <row r="157" spans="1:26" x14ac:dyDescent="0.3">
      <c r="A157" s="27">
        <f t="shared" si="24"/>
        <v>141</v>
      </c>
      <c r="D157" s="54" t="s">
        <v>126</v>
      </c>
      <c r="F157" s="27" t="s">
        <v>119</v>
      </c>
      <c r="G157" s="49">
        <f t="shared" si="25"/>
        <v>8.61</v>
      </c>
      <c r="H157" s="49">
        <f t="shared" si="26"/>
        <v>9.0399999999999991</v>
      </c>
      <c r="I157" s="58">
        <f t="shared" si="27"/>
        <v>9.0399999999999991</v>
      </c>
      <c r="J157" s="50" t="s">
        <v>124</v>
      </c>
      <c r="K157" s="51" t="s">
        <v>106</v>
      </c>
      <c r="L157" s="51"/>
      <c r="M157" s="52"/>
      <c r="N157" s="295"/>
      <c r="P157" s="296"/>
      <c r="Q157" s="297"/>
      <c r="R157" s="297"/>
      <c r="S157" s="298"/>
      <c r="T157" s="297"/>
      <c r="U157" s="298"/>
      <c r="V157" s="291"/>
      <c r="W157" s="291"/>
      <c r="Z157" s="282"/>
    </row>
    <row r="158" spans="1:26" x14ac:dyDescent="0.3">
      <c r="A158" s="27">
        <f t="shared" si="24"/>
        <v>142</v>
      </c>
      <c r="D158" s="27" t="s">
        <v>104</v>
      </c>
      <c r="F158" s="27" t="s">
        <v>119</v>
      </c>
      <c r="G158" s="58">
        <v>1.96</v>
      </c>
      <c r="H158" s="58">
        <f>H125</f>
        <v>2.06</v>
      </c>
      <c r="I158" s="58">
        <f>'[2]MFR E-14G'!I22</f>
        <v>2.06</v>
      </c>
      <c r="J158" s="50" t="s">
        <v>105</v>
      </c>
      <c r="K158" s="51" t="s">
        <v>106</v>
      </c>
      <c r="L158" s="51"/>
      <c r="M158" s="52"/>
      <c r="N158" s="295">
        <f>H158-G158</f>
        <v>0.10000000000000009</v>
      </c>
      <c r="O158" s="284">
        <f>(N158/G158)</f>
        <v>5.1020408163265356E-2</v>
      </c>
      <c r="P158" s="296"/>
      <c r="Q158" s="296"/>
      <c r="R158" s="296"/>
      <c r="T158" s="296"/>
      <c r="U158" s="283"/>
      <c r="V158" s="291" t="s">
        <v>141</v>
      </c>
      <c r="W158" s="291" t="s">
        <v>141</v>
      </c>
      <c r="Z158" s="282"/>
    </row>
    <row r="159" spans="1:26" x14ac:dyDescent="0.3">
      <c r="A159" s="27">
        <f t="shared" si="24"/>
        <v>143</v>
      </c>
      <c r="G159" s="51"/>
      <c r="H159" s="51"/>
      <c r="I159" s="51"/>
      <c r="J159" s="50"/>
      <c r="K159" s="51"/>
      <c r="L159" s="51"/>
      <c r="M159" s="52"/>
      <c r="P159" s="296"/>
      <c r="Q159" s="296"/>
      <c r="R159" s="296"/>
      <c r="T159" s="296"/>
      <c r="U159" s="283"/>
      <c r="V159" s="291"/>
      <c r="W159" s="291"/>
      <c r="Z159" s="282"/>
    </row>
    <row r="160" spans="1:26" x14ac:dyDescent="0.3">
      <c r="A160" s="27">
        <f t="shared" si="24"/>
        <v>144</v>
      </c>
      <c r="C160" s="27" t="s">
        <v>75</v>
      </c>
      <c r="G160" s="51"/>
      <c r="H160" s="51"/>
      <c r="I160" s="51"/>
      <c r="J160" s="50"/>
      <c r="K160" s="51"/>
      <c r="L160" s="51"/>
      <c r="M160" s="52"/>
      <c r="P160" s="296"/>
      <c r="Q160" s="296"/>
      <c r="R160" s="296"/>
      <c r="T160" s="296"/>
      <c r="U160" s="283"/>
      <c r="V160" s="291"/>
      <c r="W160" s="291"/>
      <c r="Z160" s="282"/>
    </row>
    <row r="161" spans="1:29" x14ac:dyDescent="0.3">
      <c r="A161" s="27">
        <f t="shared" si="24"/>
        <v>145</v>
      </c>
      <c r="D161" s="27" t="s">
        <v>67</v>
      </c>
      <c r="F161" s="27" t="s">
        <v>78</v>
      </c>
      <c r="G161" s="56">
        <f>'[2]MFR E-13c'!F420/10</f>
        <v>1.7449999999999999</v>
      </c>
      <c r="H161" s="56">
        <f>'[2]MFR E-13c'!L420/10</f>
        <v>1.8120000000000001</v>
      </c>
      <c r="I161" s="56">
        <f>SUM('[2]MFR E-6b'!U59,'[2]MFR E-6b'!U66)/10</f>
        <v>5.5706439173031335</v>
      </c>
      <c r="J161" s="50" t="s">
        <v>113</v>
      </c>
      <c r="K161" s="56" t="s">
        <v>69</v>
      </c>
      <c r="L161" s="56"/>
      <c r="M161" s="60"/>
      <c r="N161" s="295">
        <f>H161-G161</f>
        <v>6.7000000000000171E-2</v>
      </c>
      <c r="O161" s="284">
        <f>(N161/G161)</f>
        <v>3.8395415472779471E-2</v>
      </c>
      <c r="P161" s="296">
        <v>215765.09689558548</v>
      </c>
      <c r="Q161" s="297">
        <f>(P161*G161*10)/1000</f>
        <v>3765.1009408279665</v>
      </c>
      <c r="R161" s="297">
        <f>(P161*H161*10)/1000</f>
        <v>3909.663555748009</v>
      </c>
      <c r="S161" s="298">
        <f>R161-Q161</f>
        <v>144.56261492004251</v>
      </c>
      <c r="T161" s="297">
        <f>(P161*I161*10)/1000</f>
        <v>12019.505245877142</v>
      </c>
      <c r="U161" s="298">
        <f>R161-T161</f>
        <v>-8109.841690129133</v>
      </c>
      <c r="V161" s="291" t="s">
        <v>141</v>
      </c>
      <c r="W161" s="291" t="s">
        <v>141</v>
      </c>
      <c r="Z161" s="282"/>
    </row>
    <row r="162" spans="1:29" x14ac:dyDescent="0.3">
      <c r="A162" s="27">
        <f t="shared" si="24"/>
        <v>146</v>
      </c>
      <c r="D162" s="27" t="s">
        <v>83</v>
      </c>
      <c r="F162" s="27" t="s">
        <v>78</v>
      </c>
      <c r="G162" s="56">
        <f>'[2]MFR E-13c'!F425/10</f>
        <v>2.7030000000000003</v>
      </c>
      <c r="H162" s="56">
        <f>'[2]MFR E-13c'!L425/10</f>
        <v>2.9050000000000002</v>
      </c>
      <c r="I162" s="57">
        <f>ROUND('[2]MFR E-14C'!AA265,3)</f>
        <v>2.9060000000000001</v>
      </c>
      <c r="J162" s="50" t="s">
        <v>84</v>
      </c>
      <c r="K162" s="51" t="s">
        <v>85</v>
      </c>
      <c r="L162" s="56"/>
      <c r="M162" s="60"/>
      <c r="N162" s="295">
        <f>H162-G162</f>
        <v>0.20199999999999996</v>
      </c>
      <c r="O162" s="284">
        <f>(N162/G162)</f>
        <v>7.4731779504254511E-2</v>
      </c>
      <c r="P162" s="296">
        <v>541223.63194336905</v>
      </c>
      <c r="Q162" s="297">
        <f>(P162*G162*10)/1000</f>
        <v>14629.274771429267</v>
      </c>
      <c r="R162" s="297">
        <f>(P162*H162*10)/1000</f>
        <v>15722.546507954874</v>
      </c>
      <c r="S162" s="298">
        <f>R162-Q162</f>
        <v>1093.2717365256067</v>
      </c>
      <c r="T162" s="297">
        <f>(P162*I162*10)/1000</f>
        <v>15727.958744274305</v>
      </c>
      <c r="U162" s="298">
        <f>R162-T162</f>
        <v>-5.412236319431031</v>
      </c>
      <c r="V162" s="291" t="s">
        <v>143</v>
      </c>
      <c r="W162" s="291" t="s">
        <v>143</v>
      </c>
      <c r="Z162" s="282"/>
    </row>
    <row r="163" spans="1:29" x14ac:dyDescent="0.3">
      <c r="A163" s="27">
        <f t="shared" si="24"/>
        <v>147</v>
      </c>
      <c r="D163" s="27" t="s">
        <v>86</v>
      </c>
      <c r="F163" s="27" t="s">
        <v>78</v>
      </c>
      <c r="G163" s="56">
        <f>'[2]MFR E-13c'!F426/10</f>
        <v>2.0019999999999998</v>
      </c>
      <c r="H163" s="56">
        <f>'[2]MFR E-13c'!L426/10</f>
        <v>2.0750000000000002</v>
      </c>
      <c r="I163" s="57">
        <f>ROUND('[2]MFR E-14C'!AA266,3)</f>
        <v>2.0760000000000001</v>
      </c>
      <c r="J163" s="50" t="s">
        <v>84</v>
      </c>
      <c r="K163" s="51" t="s">
        <v>85</v>
      </c>
      <c r="L163" s="56"/>
      <c r="M163" s="60"/>
      <c r="N163" s="295">
        <f>H163-G163</f>
        <v>7.3000000000000398E-2</v>
      </c>
      <c r="O163" s="284">
        <f>(N163/G163)</f>
        <v>3.6463536463536665E-2</v>
      </c>
      <c r="P163" s="296">
        <v>1607911.8711610455</v>
      </c>
      <c r="Q163" s="297">
        <f>(P163*G163*10)/1000</f>
        <v>32190.395660644128</v>
      </c>
      <c r="R163" s="297">
        <f>(P163*H163*10)/1000</f>
        <v>33364.171326591699</v>
      </c>
      <c r="S163" s="298">
        <f>R163-Q163</f>
        <v>1173.7756659475708</v>
      </c>
      <c r="T163" s="297">
        <f>(P163*I163*10)/1000</f>
        <v>33380.250445303303</v>
      </c>
      <c r="U163" s="298">
        <f>R163-T163</f>
        <v>-16.079118711604679</v>
      </c>
      <c r="V163" s="291" t="s">
        <v>143</v>
      </c>
      <c r="W163" s="291" t="s">
        <v>143</v>
      </c>
      <c r="Z163" s="282"/>
    </row>
    <row r="164" spans="1:29" x14ac:dyDescent="0.3">
      <c r="A164" s="27">
        <f t="shared" si="24"/>
        <v>148</v>
      </c>
      <c r="D164" s="27" t="s">
        <v>87</v>
      </c>
      <c r="F164" s="27" t="s">
        <v>78</v>
      </c>
      <c r="G164" s="56">
        <f>'[2]MFR E-13c'!F427/10</f>
        <v>1.55</v>
      </c>
      <c r="H164" s="56">
        <f>'[2]MFR E-13c'!L427/10</f>
        <v>1.579</v>
      </c>
      <c r="I164" s="57">
        <f>ROUND('[2]MFR E-14C'!AA267,3)</f>
        <v>1.58</v>
      </c>
      <c r="J164" s="50" t="s">
        <v>84</v>
      </c>
      <c r="K164" s="51" t="s">
        <v>85</v>
      </c>
      <c r="L164" s="56"/>
      <c r="M164" s="60"/>
      <c r="N164" s="295"/>
      <c r="P164" s="296"/>
      <c r="Q164" s="297"/>
      <c r="R164" s="297"/>
      <c r="S164" s="298"/>
      <c r="T164" s="297"/>
      <c r="U164" s="298"/>
      <c r="V164" s="291"/>
      <c r="W164" s="291"/>
      <c r="Z164" s="282"/>
    </row>
    <row r="165" spans="1:29" x14ac:dyDescent="0.3">
      <c r="A165" s="27">
        <f t="shared" si="24"/>
        <v>149</v>
      </c>
      <c r="G165" s="51"/>
      <c r="H165" s="51"/>
      <c r="I165" s="51"/>
      <c r="J165" s="50"/>
      <c r="K165" s="51"/>
      <c r="L165" s="51"/>
      <c r="M165" s="52"/>
      <c r="P165" s="296"/>
      <c r="Q165" s="296"/>
      <c r="R165" s="296"/>
      <c r="T165" s="296"/>
      <c r="U165" s="283"/>
      <c r="V165" s="291"/>
      <c r="W165" s="291"/>
      <c r="Z165" s="282"/>
    </row>
    <row r="166" spans="1:29" x14ac:dyDescent="0.3">
      <c r="A166" s="27">
        <f t="shared" si="24"/>
        <v>150</v>
      </c>
      <c r="C166" s="27" t="s">
        <v>107</v>
      </c>
      <c r="G166" s="51"/>
      <c r="H166" s="51"/>
      <c r="I166" s="51"/>
      <c r="J166" s="50"/>
      <c r="K166" s="51"/>
      <c r="L166" s="51"/>
      <c r="M166" s="52"/>
      <c r="P166" s="296"/>
      <c r="Q166" s="296"/>
      <c r="R166" s="296"/>
      <c r="T166" s="296"/>
      <c r="U166" s="283"/>
      <c r="V166" s="291"/>
      <c r="W166" s="291"/>
      <c r="Z166" s="282"/>
    </row>
    <row r="167" spans="1:29" x14ac:dyDescent="0.3">
      <c r="A167" s="27">
        <f t="shared" si="24"/>
        <v>151</v>
      </c>
      <c r="D167" s="27" t="s">
        <v>101</v>
      </c>
      <c r="F167" s="27" t="s">
        <v>61</v>
      </c>
      <c r="G167" s="62">
        <v>0.01</v>
      </c>
      <c r="H167" s="62">
        <v>0.01</v>
      </c>
      <c r="I167" s="62"/>
      <c r="J167" s="50"/>
      <c r="K167" s="51" t="s">
        <v>108</v>
      </c>
      <c r="L167" s="51"/>
      <c r="M167" s="52"/>
      <c r="N167" s="306">
        <f>H167-G167</f>
        <v>0</v>
      </c>
      <c r="O167" s="284">
        <f>(N167/G167)</f>
        <v>0</v>
      </c>
      <c r="P167" s="296"/>
      <c r="Q167" s="297">
        <f>(P167*G167)/1000</f>
        <v>0</v>
      </c>
      <c r="R167" s="297">
        <f>(P167*H167)/1000</f>
        <v>0</v>
      </c>
      <c r="S167" s="298">
        <f>R167-Q167</f>
        <v>0</v>
      </c>
      <c r="T167" s="297">
        <f>(P167*I167)/1000</f>
        <v>0</v>
      </c>
      <c r="U167" s="298">
        <f>R167-T167</f>
        <v>0</v>
      </c>
      <c r="V167" s="291" t="s">
        <v>141</v>
      </c>
      <c r="W167" s="291" t="s">
        <v>141</v>
      </c>
      <c r="Z167" s="282"/>
    </row>
    <row r="168" spans="1:29" x14ac:dyDescent="0.3">
      <c r="A168" s="27">
        <f t="shared" si="24"/>
        <v>152</v>
      </c>
      <c r="D168" s="27" t="s">
        <v>102</v>
      </c>
      <c r="F168" s="27" t="s">
        <v>61</v>
      </c>
      <c r="G168" s="62">
        <v>0.02</v>
      </c>
      <c r="H168" s="62">
        <v>0.02</v>
      </c>
      <c r="I168" s="62"/>
      <c r="J168" s="50"/>
      <c r="K168" s="51" t="s">
        <v>108</v>
      </c>
      <c r="L168" s="51"/>
      <c r="M168" s="52"/>
      <c r="N168" s="306">
        <f>H168-G168</f>
        <v>0</v>
      </c>
      <c r="O168" s="284">
        <f>(N168/G168)</f>
        <v>0</v>
      </c>
      <c r="P168" s="296"/>
      <c r="Q168" s="297">
        <f>(P168*G168)/1000</f>
        <v>0</v>
      </c>
      <c r="R168" s="297">
        <f>(P168*H168)/1000</f>
        <v>0</v>
      </c>
      <c r="S168" s="298">
        <f>R168-Q168</f>
        <v>0</v>
      </c>
      <c r="T168" s="297">
        <f>(P168*I168)/1000</f>
        <v>0</v>
      </c>
      <c r="U168" s="298">
        <f>R168-T168</f>
        <v>0</v>
      </c>
      <c r="V168" s="291" t="s">
        <v>141</v>
      </c>
      <c r="W168" s="291" t="s">
        <v>141</v>
      </c>
      <c r="Z168" s="282"/>
    </row>
    <row r="169" spans="1:29" x14ac:dyDescent="0.3">
      <c r="A169" s="27">
        <f t="shared" si="24"/>
        <v>153</v>
      </c>
      <c r="G169" s="62"/>
      <c r="H169" s="62"/>
      <c r="I169" s="62"/>
      <c r="J169" s="50"/>
      <c r="K169" s="51"/>
      <c r="L169" s="51"/>
      <c r="M169" s="52"/>
      <c r="N169" s="295"/>
      <c r="P169" s="296"/>
      <c r="Q169" s="296"/>
      <c r="R169" s="296"/>
      <c r="T169" s="296"/>
      <c r="U169" s="283"/>
      <c r="V169" s="291"/>
      <c r="W169" s="291"/>
      <c r="Z169" s="282"/>
    </row>
    <row r="170" spans="1:29" x14ac:dyDescent="0.3">
      <c r="A170" s="27">
        <f t="shared" si="24"/>
        <v>154</v>
      </c>
      <c r="C170" s="27" t="s">
        <v>109</v>
      </c>
      <c r="F170" s="27" t="s">
        <v>61</v>
      </c>
      <c r="G170" s="63">
        <f>G101</f>
        <v>9.5999999999999992E-3</v>
      </c>
      <c r="H170" s="64">
        <f>I170</f>
        <v>9.5999999999999992E-3</v>
      </c>
      <c r="I170" s="65">
        <f>I101</f>
        <v>9.5999999999999992E-3</v>
      </c>
      <c r="J170" s="42" t="s">
        <v>110</v>
      </c>
      <c r="K170" s="66" t="s">
        <v>111</v>
      </c>
      <c r="L170" s="51"/>
      <c r="M170" s="52"/>
      <c r="N170" s="307">
        <f>H170-G170</f>
        <v>0</v>
      </c>
      <c r="O170" s="284">
        <f>(N170/G170)</f>
        <v>0</v>
      </c>
      <c r="P170" s="296"/>
      <c r="Q170" s="296"/>
      <c r="R170" s="296"/>
      <c r="T170" s="296"/>
      <c r="U170" s="283"/>
      <c r="V170" s="291" t="s">
        <v>141</v>
      </c>
      <c r="W170" s="291" t="s">
        <v>141</v>
      </c>
      <c r="Z170" s="282"/>
    </row>
    <row r="171" spans="1:29" ht="14.4" thickBot="1" x14ac:dyDescent="0.35">
      <c r="B171" s="31"/>
      <c r="C171" s="31"/>
      <c r="D171" s="31"/>
      <c r="E171" s="31"/>
      <c r="F171" s="31"/>
      <c r="G171" s="52"/>
      <c r="H171" s="52"/>
      <c r="I171" s="52"/>
      <c r="J171" s="59"/>
      <c r="K171" s="52"/>
      <c r="L171" s="52"/>
      <c r="M171" s="52"/>
      <c r="N171" s="300"/>
      <c r="O171" s="301"/>
      <c r="P171" s="302"/>
      <c r="Q171" s="303">
        <f>SUM(Q139:Q170)</f>
        <v>67460.134695046261</v>
      </c>
      <c r="R171" s="303">
        <f>SUM(R139:R170)</f>
        <v>70674.223115763685</v>
      </c>
      <c r="S171" s="303">
        <f>SUM(S139:S170)</f>
        <v>3214.0884207174367</v>
      </c>
      <c r="T171" s="303">
        <f>SUM(T139:T170)</f>
        <v>80632.103586947953</v>
      </c>
      <c r="U171" s="303">
        <f>SUM(U139:U170)</f>
        <v>-9957.8804711842677</v>
      </c>
      <c r="V171" s="291"/>
      <c r="W171" s="291"/>
      <c r="Z171" s="282"/>
    </row>
    <row r="172" spans="1:29" ht="14.4" thickTop="1" x14ac:dyDescent="0.3">
      <c r="A172" s="27">
        <f>+A170+1</f>
        <v>155</v>
      </c>
      <c r="B172" s="48"/>
      <c r="G172" s="51"/>
      <c r="H172" s="51"/>
      <c r="I172" s="51"/>
      <c r="J172" s="50"/>
      <c r="K172" s="51"/>
      <c r="L172" s="51"/>
      <c r="M172" s="52"/>
      <c r="P172" s="296"/>
      <c r="Q172" s="296"/>
      <c r="R172" s="296"/>
      <c r="S172" s="304" t="s">
        <v>91</v>
      </c>
      <c r="T172" s="305">
        <v>0</v>
      </c>
      <c r="U172" s="283"/>
      <c r="V172" s="291"/>
      <c r="W172" s="291"/>
      <c r="Z172" s="282"/>
    </row>
    <row r="173" spans="1:29" x14ac:dyDescent="0.3">
      <c r="A173" s="27">
        <f t="shared" si="24"/>
        <v>156</v>
      </c>
      <c r="B173" s="48" t="s">
        <v>146</v>
      </c>
      <c r="C173" s="27" t="s">
        <v>65</v>
      </c>
      <c r="G173" s="51"/>
      <c r="H173" s="51"/>
      <c r="I173" s="51"/>
      <c r="J173" s="50"/>
      <c r="K173" s="51"/>
      <c r="L173" s="51"/>
      <c r="M173" s="52"/>
      <c r="P173" s="296"/>
      <c r="Q173" s="296"/>
      <c r="R173" s="296"/>
      <c r="T173" s="296"/>
      <c r="U173" s="283"/>
      <c r="V173" s="291"/>
      <c r="W173" s="291"/>
      <c r="Z173" s="282"/>
    </row>
    <row r="174" spans="1:29" x14ac:dyDescent="0.3">
      <c r="A174" s="27">
        <f t="shared" si="24"/>
        <v>157</v>
      </c>
      <c r="D174" s="27" t="s">
        <v>67</v>
      </c>
      <c r="G174" s="51"/>
      <c r="H174" s="51"/>
      <c r="I174" s="51"/>
      <c r="J174" s="50"/>
      <c r="K174" s="51"/>
      <c r="L174" s="51"/>
      <c r="M174" s="52"/>
      <c r="P174" s="296"/>
      <c r="Q174" s="296"/>
      <c r="R174" s="296"/>
      <c r="T174" s="296"/>
      <c r="U174" s="283"/>
      <c r="V174" s="291"/>
      <c r="W174" s="291"/>
      <c r="Z174" s="282"/>
    </row>
    <row r="175" spans="1:29" x14ac:dyDescent="0.3">
      <c r="A175" s="27">
        <f t="shared" si="24"/>
        <v>158</v>
      </c>
      <c r="D175" s="54" t="s">
        <v>95</v>
      </c>
      <c r="F175" s="27" t="s">
        <v>60</v>
      </c>
      <c r="G175" s="49">
        <f>'[2]MFR E-13c'!F467</f>
        <v>2.1800000000000002</v>
      </c>
      <c r="H175" s="49">
        <f>'[2]MFR E-13c'!L467</f>
        <v>2.27</v>
      </c>
      <c r="I175" s="49"/>
      <c r="J175" s="50"/>
      <c r="K175" s="51" t="s">
        <v>69</v>
      </c>
      <c r="L175" s="51"/>
      <c r="M175" s="52"/>
      <c r="N175" s="295">
        <f>H175-G175</f>
        <v>8.9999999999999858E-2</v>
      </c>
      <c r="O175" s="284">
        <f>(N175/G175)</f>
        <v>4.1284403669724704E-2</v>
      </c>
      <c r="P175" s="296">
        <v>759338.53267315903</v>
      </c>
      <c r="Q175" s="297">
        <f>(P175*G175)/1000</f>
        <v>1655.358001227487</v>
      </c>
      <c r="R175" s="297">
        <f>(P175*H175)/1000</f>
        <v>1723.6984691680709</v>
      </c>
      <c r="S175" s="298">
        <f>R175-Q175</f>
        <v>68.340467940583949</v>
      </c>
      <c r="T175" s="297">
        <f>(P175*I175)/1000</f>
        <v>0</v>
      </c>
      <c r="U175" s="298">
        <f>R175-T175</f>
        <v>1723.6984691680709</v>
      </c>
      <c r="V175" s="291" t="s">
        <v>146</v>
      </c>
      <c r="W175" s="291" t="s">
        <v>146</v>
      </c>
      <c r="Z175" s="282"/>
      <c r="AC175" s="27" t="b">
        <f t="shared" ref="AC175:AC176" si="28">H175&gt;=I175</f>
        <v>1</v>
      </c>
    </row>
    <row r="176" spans="1:29" x14ac:dyDescent="0.3">
      <c r="A176" s="27">
        <f t="shared" si="24"/>
        <v>159</v>
      </c>
      <c r="D176" s="54" t="s">
        <v>114</v>
      </c>
      <c r="F176" s="27" t="s">
        <v>60</v>
      </c>
      <c r="G176" s="49">
        <f>'[2]MFR E-13c'!F468</f>
        <v>6.29</v>
      </c>
      <c r="H176" s="49">
        <f>'[2]MFR E-13c'!L468</f>
        <v>6.59</v>
      </c>
      <c r="I176" s="49"/>
      <c r="J176" s="50"/>
      <c r="K176" s="51" t="s">
        <v>69</v>
      </c>
      <c r="L176" s="51"/>
      <c r="M176" s="52"/>
      <c r="N176" s="295">
        <f>H176-G176</f>
        <v>0.29999999999999982</v>
      </c>
      <c r="O176" s="284">
        <f>(N176/G176)</f>
        <v>4.7694753577106487E-2</v>
      </c>
      <c r="P176" s="296">
        <v>13133.290380574794</v>
      </c>
      <c r="Q176" s="297">
        <f>(P176*G176)/1000</f>
        <v>82.608396493815448</v>
      </c>
      <c r="R176" s="297">
        <f>(P176*H176)/1000</f>
        <v>86.548383607987887</v>
      </c>
      <c r="S176" s="298">
        <f>R176-Q176</f>
        <v>3.939987114172439</v>
      </c>
      <c r="T176" s="297">
        <f>(P176*I176)/1000</f>
        <v>0</v>
      </c>
      <c r="U176" s="298">
        <f>R176-T176</f>
        <v>86.548383607987887</v>
      </c>
      <c r="V176" s="291" t="s">
        <v>146</v>
      </c>
      <c r="W176" s="291" t="s">
        <v>146</v>
      </c>
      <c r="Z176" s="282"/>
      <c r="AC176" s="27" t="b">
        <f t="shared" si="28"/>
        <v>1</v>
      </c>
    </row>
    <row r="177" spans="1:29" x14ac:dyDescent="0.3">
      <c r="A177" s="27">
        <f t="shared" si="24"/>
        <v>160</v>
      </c>
      <c r="G177" s="51"/>
      <c r="H177" s="51"/>
      <c r="I177" s="51"/>
      <c r="J177" s="50"/>
      <c r="K177" s="51"/>
      <c r="L177" s="51"/>
      <c r="M177" s="52"/>
      <c r="P177" s="296"/>
      <c r="Q177" s="296"/>
      <c r="R177" s="296"/>
      <c r="T177" s="296"/>
      <c r="U177" s="283"/>
      <c r="V177" s="291"/>
      <c r="W177" s="291"/>
      <c r="Z177" s="282"/>
    </row>
    <row r="178" spans="1:29" x14ac:dyDescent="0.3">
      <c r="A178" s="27">
        <f t="shared" si="24"/>
        <v>161</v>
      </c>
      <c r="C178" s="27" t="s">
        <v>75</v>
      </c>
      <c r="G178" s="51"/>
      <c r="H178" s="51"/>
      <c r="I178" s="51"/>
      <c r="J178" s="50"/>
      <c r="K178" s="51"/>
      <c r="L178" s="51"/>
      <c r="M178" s="52"/>
      <c r="P178" s="296"/>
      <c r="Q178" s="296"/>
      <c r="R178" s="296"/>
      <c r="T178" s="296"/>
      <c r="U178" s="283"/>
      <c r="V178" s="291"/>
      <c r="W178" s="291"/>
      <c r="Z178" s="282"/>
    </row>
    <row r="179" spans="1:29" x14ac:dyDescent="0.3">
      <c r="A179" s="27">
        <f t="shared" si="24"/>
        <v>162</v>
      </c>
      <c r="D179" s="27" t="s">
        <v>67</v>
      </c>
      <c r="F179" s="27" t="s">
        <v>78</v>
      </c>
      <c r="G179" s="56">
        <f>'[2]MFR E-13c'!F473/10</f>
        <v>3.8630000000000004</v>
      </c>
      <c r="H179" s="56">
        <f>'[2]MFR E-13c'!L473/10</f>
        <v>4.0220000000000002</v>
      </c>
      <c r="I179" s="56"/>
      <c r="J179" s="61"/>
      <c r="K179" s="51" t="s">
        <v>69</v>
      </c>
      <c r="L179" s="56"/>
      <c r="M179" s="60"/>
      <c r="N179" s="295">
        <f>H179-G179</f>
        <v>0.15899999999999981</v>
      </c>
      <c r="O179" s="284">
        <f>(N179/G179)</f>
        <v>4.1159720424540455E-2</v>
      </c>
      <c r="P179" s="296">
        <v>333817</v>
      </c>
      <c r="Q179" s="297">
        <f>(P179*G179*10)/1000</f>
        <v>12895.350710000002</v>
      </c>
      <c r="R179" s="297">
        <f>(P179*H179*10)/1000</f>
        <v>13426.119740000002</v>
      </c>
      <c r="S179" s="298">
        <f>R179-Q179</f>
        <v>530.76902999999947</v>
      </c>
      <c r="T179" s="297">
        <f>(P179*I179*10)/1000</f>
        <v>0</v>
      </c>
      <c r="U179" s="298">
        <f>R179-T179</f>
        <v>13426.119740000002</v>
      </c>
      <c r="V179" s="291" t="s">
        <v>146</v>
      </c>
      <c r="W179" s="291" t="s">
        <v>146</v>
      </c>
      <c r="Z179" s="282"/>
    </row>
    <row r="180" spans="1:29" x14ac:dyDescent="0.3">
      <c r="A180" s="27">
        <f t="shared" si="24"/>
        <v>163</v>
      </c>
      <c r="M180" s="31"/>
      <c r="P180" s="296"/>
      <c r="Q180" s="297"/>
      <c r="R180" s="297"/>
      <c r="T180" s="297"/>
      <c r="U180" s="283"/>
      <c r="V180" s="291"/>
      <c r="W180" s="291"/>
      <c r="Z180" s="282"/>
    </row>
    <row r="181" spans="1:29" x14ac:dyDescent="0.3">
      <c r="A181" s="27">
        <f t="shared" si="24"/>
        <v>164</v>
      </c>
      <c r="C181" s="27" t="s">
        <v>147</v>
      </c>
      <c r="F181" s="27" t="s">
        <v>61</v>
      </c>
      <c r="G181" s="32">
        <v>1.11E-2</v>
      </c>
      <c r="H181" s="32">
        <f>I181</f>
        <v>1.14E-2</v>
      </c>
      <c r="I181" s="65">
        <v>1.14E-2</v>
      </c>
      <c r="J181" s="42" t="s">
        <v>148</v>
      </c>
      <c r="K181" s="66" t="s">
        <v>111</v>
      </c>
      <c r="M181" s="31"/>
      <c r="N181" s="307">
        <f>H181-G181</f>
        <v>2.9999999999999992E-4</v>
      </c>
      <c r="O181" s="284">
        <f>(N181/G181)</f>
        <v>2.7027027027027018E-2</v>
      </c>
      <c r="P181" s="296"/>
      <c r="Q181" s="297"/>
      <c r="R181" s="297"/>
      <c r="T181" s="297"/>
      <c r="U181" s="283"/>
      <c r="V181" s="291" t="s">
        <v>146</v>
      </c>
      <c r="W181" s="291" t="s">
        <v>146</v>
      </c>
      <c r="Z181" s="282"/>
    </row>
    <row r="182" spans="1:29" x14ac:dyDescent="0.3">
      <c r="A182" s="27">
        <f t="shared" si="24"/>
        <v>165</v>
      </c>
      <c r="C182" s="27" t="s">
        <v>149</v>
      </c>
      <c r="F182" s="27" t="s">
        <v>61</v>
      </c>
      <c r="G182" s="32">
        <v>9.5999999999999992E-3</v>
      </c>
      <c r="H182" s="32">
        <f>I182</f>
        <v>9.5999999999999992E-3</v>
      </c>
      <c r="I182" s="65">
        <v>9.5999999999999992E-3</v>
      </c>
      <c r="J182" s="42" t="s">
        <v>110</v>
      </c>
      <c r="K182" s="66" t="s">
        <v>111</v>
      </c>
      <c r="M182" s="31"/>
      <c r="N182" s="307">
        <f>H182-G182</f>
        <v>0</v>
      </c>
      <c r="O182" s="284">
        <f>(N182/G182)</f>
        <v>0</v>
      </c>
      <c r="P182" s="296"/>
      <c r="Q182" s="296"/>
      <c r="R182" s="296"/>
      <c r="T182" s="296"/>
      <c r="U182" s="283"/>
      <c r="V182" s="291" t="s">
        <v>146</v>
      </c>
      <c r="W182" s="291" t="s">
        <v>146</v>
      </c>
      <c r="Z182" s="282"/>
    </row>
    <row r="183" spans="1:29" ht="14.4" thickBot="1" x14ac:dyDescent="0.35">
      <c r="B183" s="31"/>
      <c r="C183" s="31"/>
      <c r="D183" s="31"/>
      <c r="E183" s="31"/>
      <c r="F183" s="31"/>
      <c r="G183" s="31"/>
      <c r="H183" s="31"/>
      <c r="I183" s="31"/>
      <c r="J183" s="44"/>
      <c r="K183" s="31"/>
      <c r="L183" s="31"/>
      <c r="M183" s="31"/>
      <c r="N183" s="300"/>
      <c r="O183" s="301"/>
      <c r="P183" s="302"/>
      <c r="Q183" s="303">
        <f>SUM(Q173:Q182)</f>
        <v>14633.317107721305</v>
      </c>
      <c r="R183" s="303">
        <f>SUM(R173:R182)</f>
        <v>15236.366592776061</v>
      </c>
      <c r="S183" s="303">
        <f>SUM(S173:S182)</f>
        <v>603.04948505475591</v>
      </c>
      <c r="T183" s="303">
        <f>SUM(T173:T182)</f>
        <v>0</v>
      </c>
      <c r="U183" s="303">
        <f>SUM(U173:U182)</f>
        <v>15236.366592776061</v>
      </c>
      <c r="V183" s="291"/>
      <c r="W183" s="291"/>
      <c r="Z183" s="282"/>
    </row>
    <row r="184" spans="1:29" ht="14.4" thickTop="1" x14ac:dyDescent="0.3">
      <c r="A184" s="27">
        <f>+A182+1</f>
        <v>166</v>
      </c>
      <c r="B184" s="48"/>
      <c r="M184" s="31"/>
      <c r="P184" s="296"/>
      <c r="Q184" s="296"/>
      <c r="R184" s="296"/>
      <c r="S184" s="304" t="s">
        <v>91</v>
      </c>
      <c r="T184" s="305">
        <v>0</v>
      </c>
      <c r="U184" s="283"/>
      <c r="V184" s="291"/>
      <c r="W184" s="291"/>
      <c r="Z184" s="282"/>
    </row>
    <row r="185" spans="1:29" x14ac:dyDescent="0.3">
      <c r="A185" s="27">
        <f t="shared" si="24"/>
        <v>167</v>
      </c>
      <c r="B185" s="48" t="s">
        <v>150</v>
      </c>
      <c r="C185" s="27" t="s">
        <v>65</v>
      </c>
      <c r="M185" s="31"/>
      <c r="P185" s="296"/>
      <c r="Q185" s="296"/>
      <c r="R185" s="296"/>
      <c r="T185" s="296"/>
      <c r="U185" s="283"/>
      <c r="V185" s="291"/>
      <c r="W185" s="291"/>
      <c r="Z185" s="282"/>
    </row>
    <row r="186" spans="1:29" x14ac:dyDescent="0.3">
      <c r="A186" s="27">
        <f t="shared" si="24"/>
        <v>168</v>
      </c>
      <c r="D186" s="27" t="s">
        <v>99</v>
      </c>
      <c r="F186" s="27" t="s">
        <v>60</v>
      </c>
      <c r="G186" s="49">
        <v>186.57</v>
      </c>
      <c r="H186" s="49">
        <f>G186*(1+'[2]Exhibit MJC-2 - Old E-8a'!V24)</f>
        <v>191.73988545997344</v>
      </c>
      <c r="I186" s="49">
        <f>'[2]MFR E-14D2'!$I$20</f>
        <v>95.531058081229432</v>
      </c>
      <c r="J186" s="50" t="s">
        <v>151</v>
      </c>
      <c r="K186" s="51" t="s">
        <v>152</v>
      </c>
      <c r="L186" s="51"/>
      <c r="M186" s="52"/>
      <c r="N186" s="295">
        <f>H186-G186</f>
        <v>5.1698854599734432</v>
      </c>
      <c r="O186" s="284">
        <f>(N186/G186)</f>
        <v>2.7710164870951619E-2</v>
      </c>
      <c r="P186" s="296"/>
      <c r="Q186" s="297">
        <f>(P186*G186)/1000</f>
        <v>0</v>
      </c>
      <c r="R186" s="297">
        <f>(P186*H186)/1000</f>
        <v>0</v>
      </c>
      <c r="S186" s="298">
        <f>R186-Q186</f>
        <v>0</v>
      </c>
      <c r="T186" s="297">
        <f>(P186*I186)/1000</f>
        <v>0</v>
      </c>
      <c r="U186" s="298">
        <f>R186-T186</f>
        <v>0</v>
      </c>
      <c r="V186" s="291" t="s">
        <v>150</v>
      </c>
      <c r="W186" s="291" t="s">
        <v>150</v>
      </c>
      <c r="Z186" s="282"/>
      <c r="AC186" s="27" t="b">
        <f t="shared" ref="AC186:AC189" si="29">H186&gt;=I186</f>
        <v>1</v>
      </c>
    </row>
    <row r="187" spans="1:29" x14ac:dyDescent="0.3">
      <c r="A187" s="27">
        <f t="shared" si="24"/>
        <v>169</v>
      </c>
      <c r="D187" s="27" t="s">
        <v>101</v>
      </c>
      <c r="F187" s="27" t="s">
        <v>60</v>
      </c>
      <c r="G187" s="49">
        <f>'[2]MFR E-13c'!F502</f>
        <v>432.09</v>
      </c>
      <c r="H187" s="49">
        <f>'[2]MFR E-13c'!L502</f>
        <v>440.95</v>
      </c>
      <c r="I187" s="49">
        <f>'[2]MFR E-14D2'!$I$21</f>
        <v>240.37860095595573</v>
      </c>
      <c r="J187" s="50" t="s">
        <v>151</v>
      </c>
      <c r="K187" s="51" t="s">
        <v>69</v>
      </c>
      <c r="L187" s="51"/>
      <c r="M187" s="52"/>
      <c r="N187" s="295">
        <f>H187-G187</f>
        <v>8.8600000000000136</v>
      </c>
      <c r="O187" s="284">
        <f>(N187/G187)</f>
        <v>2.0504987386887025E-2</v>
      </c>
      <c r="P187" s="296">
        <v>47.709869931140041</v>
      </c>
      <c r="Q187" s="297">
        <f>(P187*G187)/1000</f>
        <v>20.614957698546299</v>
      </c>
      <c r="R187" s="297">
        <f>(P187*H187)/1000</f>
        <v>21.037667146136201</v>
      </c>
      <c r="S187" s="298">
        <f>R187-Q187</f>
        <v>0.42270944758990225</v>
      </c>
      <c r="T187" s="297">
        <f>(P187*I187)/1000</f>
        <v>11.468431785838064</v>
      </c>
      <c r="U187" s="298">
        <f>R187-T187</f>
        <v>9.569235360298137</v>
      </c>
      <c r="V187" s="291" t="s">
        <v>150</v>
      </c>
      <c r="W187" s="291" t="s">
        <v>150</v>
      </c>
      <c r="Z187" s="282"/>
      <c r="AC187" s="27" t="b">
        <f t="shared" si="29"/>
        <v>1</v>
      </c>
    </row>
    <row r="188" spans="1:29" x14ac:dyDescent="0.3">
      <c r="A188" s="27">
        <f t="shared" si="24"/>
        <v>170</v>
      </c>
      <c r="D188" s="27" t="s">
        <v>102</v>
      </c>
      <c r="F188" s="27" t="s">
        <v>60</v>
      </c>
      <c r="G188" s="49">
        <f>'[2]MFR E-13c'!F503</f>
        <v>1488.73</v>
      </c>
      <c r="H188" s="49">
        <f>'[2]MFR E-13c'!L503</f>
        <v>1519.27</v>
      </c>
      <c r="I188" s="49">
        <f>'[2]MFR E-14D2'!$I$22</f>
        <v>425.73937849400534</v>
      </c>
      <c r="J188" s="50" t="s">
        <v>151</v>
      </c>
      <c r="K188" s="51" t="s">
        <v>69</v>
      </c>
      <c r="L188" s="51"/>
      <c r="M188" s="52"/>
      <c r="N188" s="295">
        <f>H188-G188</f>
        <v>30.539999999999964</v>
      </c>
      <c r="O188" s="284">
        <f>(N188/G188)</f>
        <v>2.0514129492923475E-2</v>
      </c>
      <c r="P188" s="296">
        <v>11.564804896710045</v>
      </c>
      <c r="Q188" s="297">
        <f>(P188*G188)/1000</f>
        <v>17.216871993879149</v>
      </c>
      <c r="R188" s="297">
        <f>(P188*H188)/1000</f>
        <v>17.570061135424673</v>
      </c>
      <c r="S188" s="298">
        <f>R188-Q188</f>
        <v>0.35318914154552417</v>
      </c>
      <c r="T188" s="297">
        <f>(P188*I188)/1000</f>
        <v>4.9235928491297649</v>
      </c>
      <c r="U188" s="298">
        <f>R188-T188</f>
        <v>12.646468286294908</v>
      </c>
      <c r="V188" s="291" t="s">
        <v>150</v>
      </c>
      <c r="W188" s="291" t="s">
        <v>150</v>
      </c>
      <c r="Z188" s="282"/>
      <c r="AC188" s="27" t="b">
        <f t="shared" si="29"/>
        <v>1</v>
      </c>
    </row>
    <row r="189" spans="1:29" x14ac:dyDescent="0.3">
      <c r="A189" s="27">
        <f t="shared" si="24"/>
        <v>171</v>
      </c>
      <c r="D189" s="27" t="s">
        <v>153</v>
      </c>
      <c r="F189" s="27" t="s">
        <v>60</v>
      </c>
      <c r="G189" s="49">
        <f>'[2]MFR E-13c'!F504</f>
        <v>145.94</v>
      </c>
      <c r="H189" s="49">
        <f>'[2]MFR E-13c'!L504</f>
        <v>146.87</v>
      </c>
      <c r="I189" s="49"/>
      <c r="J189" s="50"/>
      <c r="K189" s="51" t="s">
        <v>69</v>
      </c>
      <c r="L189" s="51"/>
      <c r="M189" s="52"/>
      <c r="N189" s="295">
        <f>H189-G189</f>
        <v>0.93000000000000682</v>
      </c>
      <c r="O189" s="284">
        <f>(N189/G189)</f>
        <v>6.3724818418528627E-3</v>
      </c>
      <c r="P189" s="296">
        <v>60</v>
      </c>
      <c r="Q189" s="297">
        <f>(P189*G189)/1000</f>
        <v>8.7563999999999993</v>
      </c>
      <c r="R189" s="297">
        <f>(P189*H189)/1000</f>
        <v>8.8122000000000007</v>
      </c>
      <c r="S189" s="298">
        <f>R189-Q189</f>
        <v>5.5800000000001404E-2</v>
      </c>
      <c r="T189" s="297">
        <f>(P189*I189)/1000</f>
        <v>0</v>
      </c>
      <c r="U189" s="298">
        <f>R189-T189</f>
        <v>8.8122000000000007</v>
      </c>
      <c r="V189" s="291" t="s">
        <v>150</v>
      </c>
      <c r="W189" s="291" t="s">
        <v>150</v>
      </c>
      <c r="Z189" s="282"/>
      <c r="AC189" s="27" t="b">
        <f t="shared" si="29"/>
        <v>1</v>
      </c>
    </row>
    <row r="190" spans="1:29" x14ac:dyDescent="0.3">
      <c r="A190" s="27">
        <f t="shared" si="24"/>
        <v>172</v>
      </c>
      <c r="G190" s="56"/>
      <c r="H190" s="56"/>
      <c r="I190" s="56"/>
      <c r="J190" s="50"/>
      <c r="K190" s="51"/>
      <c r="L190" s="51"/>
      <c r="M190" s="52"/>
      <c r="P190" s="296"/>
      <c r="Q190" s="296"/>
      <c r="R190" s="296"/>
      <c r="T190" s="296"/>
      <c r="U190" s="283"/>
      <c r="V190" s="291"/>
      <c r="W190" s="291"/>
      <c r="Z190" s="282"/>
    </row>
    <row r="191" spans="1:29" x14ac:dyDescent="0.3">
      <c r="A191" s="27">
        <f t="shared" si="24"/>
        <v>173</v>
      </c>
      <c r="C191" s="68" t="s">
        <v>75</v>
      </c>
      <c r="D191" s="68"/>
      <c r="F191" s="27" t="s">
        <v>78</v>
      </c>
      <c r="G191" s="56">
        <f>'[2]MFR E-13c'!F523/10</f>
        <v>1.44</v>
      </c>
      <c r="H191" s="56">
        <f>'[2]MFR E-13c'!L523/10</f>
        <v>1.4650000000000001</v>
      </c>
      <c r="I191" s="56">
        <f>'[2]MFR E-14D2'!$I$30/10</f>
        <v>0.60899999999999999</v>
      </c>
      <c r="J191" s="50" t="s">
        <v>151</v>
      </c>
      <c r="K191" s="51" t="s">
        <v>69</v>
      </c>
      <c r="L191" s="56"/>
      <c r="M191" s="60"/>
      <c r="N191" s="295">
        <f>H191-G191</f>
        <v>2.5000000000000133E-2</v>
      </c>
      <c r="O191" s="284">
        <f>(N191/G191)</f>
        <v>1.7361111111111206E-2</v>
      </c>
      <c r="P191" s="296">
        <v>44893.099999999991</v>
      </c>
      <c r="Q191" s="297">
        <f>(P191*G191*10)/1000</f>
        <v>646.4606399999999</v>
      </c>
      <c r="R191" s="297">
        <f>(P191*H191*10)/1000</f>
        <v>657.68391500000007</v>
      </c>
      <c r="S191" s="298">
        <f>R191-Q191</f>
        <v>11.223275000000172</v>
      </c>
      <c r="T191" s="297">
        <f>(P191*I191*10)/1000</f>
        <v>273.39897899999994</v>
      </c>
      <c r="U191" s="298">
        <f>R191-T191</f>
        <v>384.28493600000013</v>
      </c>
      <c r="V191" s="291" t="s">
        <v>150</v>
      </c>
      <c r="W191" s="291" t="s">
        <v>150</v>
      </c>
      <c r="Z191" s="282"/>
    </row>
    <row r="192" spans="1:29" x14ac:dyDescent="0.3">
      <c r="A192" s="27">
        <f t="shared" si="24"/>
        <v>174</v>
      </c>
      <c r="C192" s="69"/>
      <c r="D192" s="68"/>
      <c r="G192" s="51"/>
      <c r="H192" s="51"/>
      <c r="I192" s="51"/>
      <c r="J192" s="50"/>
      <c r="K192" s="51"/>
      <c r="L192" s="51"/>
      <c r="M192" s="52"/>
      <c r="P192" s="296"/>
      <c r="Q192" s="296"/>
      <c r="R192" s="296"/>
      <c r="T192" s="296"/>
      <c r="U192" s="283"/>
      <c r="V192" s="291"/>
      <c r="W192" s="291"/>
      <c r="Z192" s="282"/>
    </row>
    <row r="193" spans="1:26" x14ac:dyDescent="0.3">
      <c r="A193" s="27">
        <f t="shared" si="24"/>
        <v>175</v>
      </c>
      <c r="C193" s="68" t="s">
        <v>154</v>
      </c>
      <c r="D193" s="68"/>
      <c r="G193" s="51"/>
      <c r="H193" s="51"/>
      <c r="I193" s="51"/>
      <c r="J193" s="50"/>
      <c r="K193" s="51"/>
      <c r="L193" s="51"/>
      <c r="M193" s="52"/>
      <c r="P193" s="296"/>
      <c r="Q193" s="296"/>
      <c r="R193" s="296"/>
      <c r="T193" s="296"/>
      <c r="U193" s="283"/>
      <c r="V193" s="291"/>
      <c r="W193" s="291"/>
      <c r="Z193" s="282"/>
    </row>
    <row r="194" spans="1:26" x14ac:dyDescent="0.3">
      <c r="A194" s="27">
        <f t="shared" si="24"/>
        <v>176</v>
      </c>
      <c r="D194" s="68" t="s">
        <v>155</v>
      </c>
      <c r="F194" s="27" t="s">
        <v>119</v>
      </c>
      <c r="G194" s="49">
        <f>'[2]MFR E-13c'!F509</f>
        <v>3.43</v>
      </c>
      <c r="H194" s="49">
        <f>'[2]MFR E-13c'!L509</f>
        <v>3.53</v>
      </c>
      <c r="I194" s="49">
        <f>'[2]MFR E-14D2'!$I$34</f>
        <v>6.52</v>
      </c>
      <c r="J194" s="50" t="s">
        <v>151</v>
      </c>
      <c r="K194" s="51" t="s">
        <v>69</v>
      </c>
      <c r="L194" s="51"/>
      <c r="M194" s="52"/>
      <c r="N194" s="295">
        <f>H194-G194</f>
        <v>9.9999999999999645E-2</v>
      </c>
      <c r="O194" s="284">
        <f>(N194/G194)</f>
        <v>2.9154518950437212E-2</v>
      </c>
      <c r="P194" s="296">
        <v>74532</v>
      </c>
      <c r="Q194" s="297">
        <f>(P194*G194)/1000</f>
        <v>255.64476000000002</v>
      </c>
      <c r="R194" s="297">
        <f>(P194*H194)/1000</f>
        <v>263.09795999999994</v>
      </c>
      <c r="S194" s="298">
        <f>R194-Q194</f>
        <v>7.4531999999999243</v>
      </c>
      <c r="T194" s="297">
        <f>(P194*I194)/1000</f>
        <v>485.94863999999995</v>
      </c>
      <c r="U194" s="298">
        <f>R194-T194</f>
        <v>-222.85068000000001</v>
      </c>
      <c r="V194" s="291" t="s">
        <v>150</v>
      </c>
      <c r="W194" s="291" t="s">
        <v>150</v>
      </c>
      <c r="Z194" s="282"/>
    </row>
    <row r="195" spans="1:26" x14ac:dyDescent="0.3">
      <c r="A195" s="27">
        <f t="shared" si="24"/>
        <v>177</v>
      </c>
      <c r="C195" s="68"/>
      <c r="G195" s="51"/>
      <c r="H195" s="51"/>
      <c r="I195" s="51"/>
      <c r="J195" s="50"/>
      <c r="K195" s="51"/>
      <c r="L195" s="51"/>
      <c r="M195" s="52"/>
      <c r="P195" s="296"/>
      <c r="Q195" s="296"/>
      <c r="R195" s="296"/>
      <c r="T195" s="296"/>
      <c r="U195" s="283"/>
      <c r="V195" s="291"/>
      <c r="W195" s="291"/>
      <c r="Z195" s="282"/>
    </row>
    <row r="196" spans="1:26" x14ac:dyDescent="0.3">
      <c r="A196" s="27">
        <f t="shared" si="24"/>
        <v>178</v>
      </c>
      <c r="C196" s="68" t="s">
        <v>156</v>
      </c>
      <c r="D196" s="68"/>
      <c r="G196" s="51"/>
      <c r="H196" s="51"/>
      <c r="I196" s="51"/>
      <c r="J196" s="50"/>
      <c r="K196" s="51"/>
      <c r="L196" s="51"/>
      <c r="M196" s="52"/>
      <c r="P196" s="296"/>
      <c r="Q196" s="296"/>
      <c r="R196" s="296"/>
      <c r="T196" s="296"/>
      <c r="U196" s="283"/>
      <c r="V196" s="291"/>
      <c r="W196" s="291"/>
      <c r="Z196" s="282"/>
    </row>
    <row r="197" spans="1:26" x14ac:dyDescent="0.3">
      <c r="A197" s="27">
        <f t="shared" si="24"/>
        <v>179</v>
      </c>
      <c r="C197" s="68"/>
      <c r="D197" s="68" t="s">
        <v>157</v>
      </c>
      <c r="G197" s="51"/>
      <c r="H197" s="51"/>
      <c r="I197" s="51"/>
      <c r="J197" s="50"/>
      <c r="K197" s="51"/>
      <c r="L197" s="51"/>
      <c r="M197" s="52"/>
      <c r="P197" s="296"/>
      <c r="Q197" s="296"/>
      <c r="R197" s="296"/>
      <c r="T197" s="296"/>
      <c r="U197" s="283"/>
      <c r="V197" s="291"/>
      <c r="W197" s="291"/>
      <c r="Z197" s="282"/>
    </row>
    <row r="198" spans="1:26" x14ac:dyDescent="0.3">
      <c r="A198" s="27">
        <f t="shared" si="24"/>
        <v>180</v>
      </c>
      <c r="C198" s="68"/>
      <c r="D198" s="68" t="s">
        <v>158</v>
      </c>
      <c r="G198" s="51"/>
      <c r="H198" s="51"/>
      <c r="I198" s="51"/>
      <c r="J198" s="50"/>
      <c r="K198" s="51"/>
      <c r="L198" s="51"/>
      <c r="M198" s="52"/>
      <c r="P198" s="296"/>
      <c r="Q198" s="296"/>
      <c r="R198" s="296"/>
      <c r="T198" s="296"/>
      <c r="U198" s="283"/>
      <c r="V198" s="291"/>
      <c r="W198" s="291"/>
      <c r="Z198" s="282"/>
    </row>
    <row r="199" spans="1:26" x14ac:dyDescent="0.3">
      <c r="A199" s="27">
        <f t="shared" si="24"/>
        <v>181</v>
      </c>
      <c r="C199" s="68"/>
      <c r="D199" s="70" t="s">
        <v>155</v>
      </c>
      <c r="F199" s="27" t="s">
        <v>119</v>
      </c>
      <c r="G199" s="71">
        <f>'[2]MFR E-13c'!F514</f>
        <v>1.9570000000000001</v>
      </c>
      <c r="H199" s="71">
        <f>'[2]MFR E-13c'!L514</f>
        <v>2.0059999999999998</v>
      </c>
      <c r="I199" s="71">
        <f>'[2]MFR E-14D2'!$I$41</f>
        <v>2.21</v>
      </c>
      <c r="J199" s="50" t="s">
        <v>151</v>
      </c>
      <c r="K199" s="51" t="s">
        <v>69</v>
      </c>
      <c r="L199" s="51"/>
      <c r="M199" s="52"/>
      <c r="N199" s="295">
        <f>H199-G199</f>
        <v>4.899999999999971E-2</v>
      </c>
      <c r="O199" s="284">
        <f>(N199/G199)</f>
        <v>2.5038323965252789E-2</v>
      </c>
      <c r="P199" s="296">
        <v>583907.91899999999</v>
      </c>
      <c r="Q199" s="297">
        <f>(P199*G199)/1000</f>
        <v>1142.7077974829999</v>
      </c>
      <c r="R199" s="297">
        <f>(P199*H199)/1000</f>
        <v>1171.3192855139998</v>
      </c>
      <c r="S199" s="298">
        <f>R199-Q199</f>
        <v>28.611488030999908</v>
      </c>
      <c r="T199" s="297">
        <f>(P199*I199)/1000</f>
        <v>1290.4365009899998</v>
      </c>
      <c r="U199" s="298">
        <f>R199-T199</f>
        <v>-119.11721547599996</v>
      </c>
      <c r="V199" s="291" t="s">
        <v>150</v>
      </c>
      <c r="W199" s="291" t="s">
        <v>150</v>
      </c>
      <c r="Z199" s="282"/>
    </row>
    <row r="200" spans="1:26" x14ac:dyDescent="0.3">
      <c r="A200" s="27">
        <f t="shared" si="24"/>
        <v>182</v>
      </c>
      <c r="D200" s="68" t="s">
        <v>159</v>
      </c>
      <c r="F200" s="27" t="s">
        <v>119</v>
      </c>
      <c r="G200" s="71">
        <f>'[2]MFR E-13c'!F515</f>
        <v>0.93100000000000005</v>
      </c>
      <c r="H200" s="71">
        <f>'[2]MFR E-13c'!L515</f>
        <v>0.95499999999999996</v>
      </c>
      <c r="I200" s="71">
        <f>'[2]MFR E-14D2'!$I$44</f>
        <v>1.052</v>
      </c>
      <c r="J200" s="50" t="s">
        <v>151</v>
      </c>
      <c r="K200" s="51" t="s">
        <v>69</v>
      </c>
      <c r="L200" s="51"/>
      <c r="M200" s="52"/>
      <c r="N200" s="295">
        <f>H200-G200</f>
        <v>2.399999999999991E-2</v>
      </c>
      <c r="O200" s="284">
        <f>(N200/G200)</f>
        <v>2.5778732545649743E-2</v>
      </c>
      <c r="P200" s="296">
        <v>1104686.7299274281</v>
      </c>
      <c r="Q200" s="297">
        <f>(P200*G200)/1000</f>
        <v>1028.4633455624355</v>
      </c>
      <c r="R200" s="297">
        <f>(P200*H200)/1000</f>
        <v>1054.9758270806938</v>
      </c>
      <c r="S200" s="298">
        <f>R200-Q200</f>
        <v>26.512481518258255</v>
      </c>
      <c r="T200" s="297">
        <f>(P200*I200)/1000</f>
        <v>1162.1304398836544</v>
      </c>
      <c r="U200" s="298">
        <f>R200-T200</f>
        <v>-107.15461280296063</v>
      </c>
      <c r="V200" s="291" t="s">
        <v>150</v>
      </c>
      <c r="W200" s="291" t="s">
        <v>150</v>
      </c>
      <c r="Z200" s="282"/>
    </row>
    <row r="201" spans="1:26" x14ac:dyDescent="0.3">
      <c r="A201" s="27">
        <f t="shared" si="24"/>
        <v>183</v>
      </c>
      <c r="G201" s="51"/>
      <c r="H201" s="51"/>
      <c r="I201" s="51"/>
      <c r="J201" s="50"/>
      <c r="K201" s="51"/>
      <c r="L201" s="51"/>
      <c r="M201" s="52"/>
      <c r="P201" s="296"/>
      <c r="Q201" s="296"/>
      <c r="R201" s="296"/>
      <c r="T201" s="296"/>
      <c r="U201" s="283"/>
      <c r="V201" s="291"/>
      <c r="W201" s="291"/>
      <c r="Z201" s="282"/>
    </row>
    <row r="202" spans="1:26" x14ac:dyDescent="0.3">
      <c r="A202" s="27">
        <f t="shared" si="24"/>
        <v>184</v>
      </c>
      <c r="D202" s="27" t="s">
        <v>123</v>
      </c>
      <c r="J202" s="50"/>
      <c r="K202" s="51"/>
      <c r="L202" s="51"/>
      <c r="M202" s="52"/>
      <c r="P202" s="296"/>
      <c r="Q202" s="296"/>
      <c r="R202" s="296"/>
      <c r="T202" s="296"/>
      <c r="U202" s="283"/>
      <c r="V202" s="291"/>
      <c r="W202" s="291"/>
      <c r="Z202" s="282"/>
    </row>
    <row r="203" spans="1:26" x14ac:dyDescent="0.3">
      <c r="A203" s="27">
        <f t="shared" si="24"/>
        <v>185</v>
      </c>
      <c r="D203" s="54" t="s">
        <v>101</v>
      </c>
      <c r="F203" s="27" t="s">
        <v>119</v>
      </c>
      <c r="G203" s="49">
        <f>G155</f>
        <v>1.3</v>
      </c>
      <c r="H203" s="49">
        <f>I203</f>
        <v>1.34</v>
      </c>
      <c r="I203" s="58">
        <f>I155</f>
        <v>1.34</v>
      </c>
      <c r="J203" s="50" t="s">
        <v>124</v>
      </c>
      <c r="K203" s="51" t="s">
        <v>106</v>
      </c>
      <c r="L203" s="51"/>
      <c r="M203" s="52"/>
      <c r="N203" s="295">
        <f>H203-G203</f>
        <v>4.0000000000000036E-2</v>
      </c>
      <c r="O203" s="284">
        <f>(N203/G203)</f>
        <v>3.0769230769230795E-2</v>
      </c>
      <c r="P203" s="296">
        <v>0</v>
      </c>
      <c r="Q203" s="297">
        <f>(P203*G203)/1000</f>
        <v>0</v>
      </c>
      <c r="R203" s="297">
        <f>(P203*H203)/1000</f>
        <v>0</v>
      </c>
      <c r="S203" s="298">
        <f>R203-Q203</f>
        <v>0</v>
      </c>
      <c r="T203" s="297">
        <f>(P203*I203)/1000</f>
        <v>0</v>
      </c>
      <c r="U203" s="298">
        <f>R203-T203</f>
        <v>0</v>
      </c>
      <c r="V203" s="291" t="s">
        <v>150</v>
      </c>
      <c r="W203" s="291" t="s">
        <v>150</v>
      </c>
      <c r="Z203" s="282"/>
    </row>
    <row r="204" spans="1:26" x14ac:dyDescent="0.3">
      <c r="A204" s="27">
        <f t="shared" si="24"/>
        <v>186</v>
      </c>
      <c r="D204" s="54" t="s">
        <v>125</v>
      </c>
      <c r="F204" s="27" t="s">
        <v>119</v>
      </c>
      <c r="G204" s="49">
        <f t="shared" ref="G204:G205" si="30">G156</f>
        <v>6.18</v>
      </c>
      <c r="H204" s="49">
        <f t="shared" ref="H204:H205" si="31">I204</f>
        <v>6.47</v>
      </c>
      <c r="I204" s="58">
        <f t="shared" ref="I204:I205" si="32">I156</f>
        <v>6.47</v>
      </c>
      <c r="J204" s="50" t="s">
        <v>124</v>
      </c>
      <c r="K204" s="51" t="s">
        <v>106</v>
      </c>
      <c r="L204" s="51"/>
      <c r="M204" s="52"/>
      <c r="P204" s="296"/>
      <c r="Q204" s="314" t="s">
        <v>136</v>
      </c>
      <c r="R204" s="314" t="s">
        <v>136</v>
      </c>
      <c r="T204" s="314" t="s">
        <v>136</v>
      </c>
      <c r="U204" s="283"/>
      <c r="V204" s="291"/>
      <c r="W204" s="291"/>
      <c r="Z204" s="282"/>
    </row>
    <row r="205" spans="1:26" x14ac:dyDescent="0.3">
      <c r="A205" s="27">
        <f t="shared" si="24"/>
        <v>187</v>
      </c>
      <c r="D205" s="54" t="s">
        <v>126</v>
      </c>
      <c r="F205" s="27" t="s">
        <v>119</v>
      </c>
      <c r="G205" s="49">
        <f t="shared" si="30"/>
        <v>8.61</v>
      </c>
      <c r="H205" s="49">
        <f t="shared" si="31"/>
        <v>9.0399999999999991</v>
      </c>
      <c r="I205" s="58">
        <f t="shared" si="32"/>
        <v>9.0399999999999991</v>
      </c>
      <c r="J205" s="50" t="s">
        <v>124</v>
      </c>
      <c r="K205" s="51" t="s">
        <v>106</v>
      </c>
      <c r="L205" s="51"/>
      <c r="M205" s="52"/>
      <c r="P205" s="296"/>
      <c r="Q205" s="314"/>
      <c r="R205" s="314"/>
      <c r="T205" s="314"/>
      <c r="U205" s="283"/>
      <c r="V205" s="291"/>
      <c r="W205" s="291"/>
      <c r="Z205" s="282"/>
    </row>
    <row r="206" spans="1:26" x14ac:dyDescent="0.3">
      <c r="A206" s="27">
        <f t="shared" ref="A206:A269" si="33">+A205+1</f>
        <v>188</v>
      </c>
      <c r="D206" s="27" t="s">
        <v>104</v>
      </c>
      <c r="F206" s="27" t="s">
        <v>119</v>
      </c>
      <c r="G206" s="51">
        <f>G89</f>
        <v>2.5099999999999998</v>
      </c>
      <c r="H206" s="51">
        <f>I206</f>
        <v>2.64</v>
      </c>
      <c r="I206" s="51">
        <f>'[2]MFR E-14G'!G22</f>
        <v>2.64</v>
      </c>
      <c r="J206" s="50" t="s">
        <v>105</v>
      </c>
      <c r="K206" s="51" t="s">
        <v>106</v>
      </c>
      <c r="L206" s="51"/>
      <c r="M206" s="52"/>
      <c r="N206" s="295">
        <f>H206-G206</f>
        <v>0.13000000000000034</v>
      </c>
      <c r="O206" s="284">
        <f>(N206/G206)</f>
        <v>5.1792828685259105E-2</v>
      </c>
      <c r="P206" s="296"/>
      <c r="Q206" s="296"/>
      <c r="R206" s="296"/>
      <c r="T206" s="296"/>
      <c r="U206" s="283"/>
      <c r="V206" s="291" t="s">
        <v>150</v>
      </c>
      <c r="W206" s="291" t="s">
        <v>150</v>
      </c>
      <c r="Z206" s="282"/>
    </row>
    <row r="207" spans="1:26" x14ac:dyDescent="0.3">
      <c r="A207" s="27">
        <f t="shared" si="33"/>
        <v>189</v>
      </c>
      <c r="G207" s="51"/>
      <c r="H207" s="51"/>
      <c r="I207" s="51"/>
      <c r="J207" s="50"/>
      <c r="K207" s="51"/>
      <c r="L207" s="51"/>
      <c r="M207" s="52"/>
      <c r="N207" s="295"/>
      <c r="P207" s="296"/>
      <c r="Q207" s="296"/>
      <c r="R207" s="296"/>
      <c r="T207" s="296"/>
      <c r="U207" s="283"/>
      <c r="V207" s="291"/>
      <c r="W207" s="291"/>
      <c r="Z207" s="282"/>
    </row>
    <row r="208" spans="1:26" x14ac:dyDescent="0.3">
      <c r="A208" s="27">
        <f t="shared" si="33"/>
        <v>190</v>
      </c>
      <c r="C208" s="27" t="s">
        <v>107</v>
      </c>
      <c r="G208" s="51"/>
      <c r="H208" s="51"/>
      <c r="I208" s="51"/>
      <c r="J208" s="50"/>
      <c r="K208" s="51"/>
      <c r="L208" s="51"/>
      <c r="M208" s="52"/>
      <c r="P208" s="296"/>
      <c r="Q208" s="296"/>
      <c r="R208" s="296"/>
      <c r="T208" s="296"/>
      <c r="U208" s="283"/>
      <c r="V208" s="291"/>
      <c r="W208" s="291"/>
      <c r="Z208" s="282"/>
    </row>
    <row r="209" spans="1:29" x14ac:dyDescent="0.3">
      <c r="A209" s="27">
        <f t="shared" si="33"/>
        <v>191</v>
      </c>
      <c r="D209" s="27" t="s">
        <v>101</v>
      </c>
      <c r="F209" s="27" t="s">
        <v>61</v>
      </c>
      <c r="G209" s="62">
        <v>0.01</v>
      </c>
      <c r="H209" s="62">
        <v>0.01</v>
      </c>
      <c r="I209" s="62"/>
      <c r="J209" s="50"/>
      <c r="K209" s="51" t="s">
        <v>69</v>
      </c>
      <c r="L209" s="51"/>
      <c r="M209" s="52"/>
      <c r="N209" s="306">
        <f>H209-G209</f>
        <v>0</v>
      </c>
      <c r="O209" s="284">
        <f>(N209/G209)</f>
        <v>0</v>
      </c>
      <c r="P209" s="296"/>
      <c r="Q209" s="297">
        <f>(P209*G209)/1000</f>
        <v>0</v>
      </c>
      <c r="R209" s="297">
        <f>(P209*H209)/1000</f>
        <v>0</v>
      </c>
      <c r="S209" s="298">
        <f>R209-Q209</f>
        <v>0</v>
      </c>
      <c r="T209" s="297">
        <f>(P209*I209)/1000</f>
        <v>0</v>
      </c>
      <c r="U209" s="298">
        <f>R209-T209</f>
        <v>0</v>
      </c>
      <c r="V209" s="291" t="s">
        <v>150</v>
      </c>
      <c r="W209" s="291" t="s">
        <v>150</v>
      </c>
      <c r="Z209" s="282"/>
    </row>
    <row r="210" spans="1:29" x14ac:dyDescent="0.3">
      <c r="A210" s="27">
        <f t="shared" si="33"/>
        <v>192</v>
      </c>
      <c r="D210" s="27" t="s">
        <v>102</v>
      </c>
      <c r="F210" s="27" t="s">
        <v>61</v>
      </c>
      <c r="G210" s="62">
        <v>0.02</v>
      </c>
      <c r="H210" s="62">
        <v>0.02</v>
      </c>
      <c r="I210" s="62"/>
      <c r="J210" s="50"/>
      <c r="K210" s="51" t="s">
        <v>69</v>
      </c>
      <c r="L210" s="51"/>
      <c r="M210" s="52"/>
      <c r="N210" s="306">
        <f>H210-G210</f>
        <v>0</v>
      </c>
      <c r="O210" s="284">
        <f>(N210/G210)</f>
        <v>0</v>
      </c>
      <c r="P210" s="296"/>
      <c r="Q210" s="297">
        <f>(P210*G210)/1000</f>
        <v>0</v>
      </c>
      <c r="R210" s="297">
        <f>(P210*H210)/1000</f>
        <v>0</v>
      </c>
      <c r="S210" s="298">
        <f>R210-Q210</f>
        <v>0</v>
      </c>
      <c r="T210" s="297">
        <f>(P210*I210)/1000</f>
        <v>0</v>
      </c>
      <c r="U210" s="298">
        <f>R210-T210</f>
        <v>0</v>
      </c>
      <c r="V210" s="291" t="s">
        <v>150</v>
      </c>
      <c r="W210" s="291" t="s">
        <v>150</v>
      </c>
      <c r="Z210" s="282"/>
    </row>
    <row r="211" spans="1:29" x14ac:dyDescent="0.3">
      <c r="A211" s="27">
        <f t="shared" si="33"/>
        <v>193</v>
      </c>
      <c r="G211" s="62"/>
      <c r="H211" s="62"/>
      <c r="I211" s="62"/>
      <c r="J211" s="50"/>
      <c r="K211" s="51"/>
      <c r="L211" s="51"/>
      <c r="M211" s="52"/>
      <c r="N211" s="306"/>
      <c r="P211" s="296"/>
      <c r="Q211" s="297"/>
      <c r="R211" s="297"/>
      <c r="S211" s="298"/>
      <c r="T211" s="297"/>
      <c r="U211" s="298"/>
      <c r="V211" s="291"/>
      <c r="W211" s="291"/>
      <c r="Z211" s="282"/>
    </row>
    <row r="212" spans="1:29" x14ac:dyDescent="0.3">
      <c r="A212" s="27">
        <f t="shared" si="33"/>
        <v>194</v>
      </c>
      <c r="C212" s="27" t="s">
        <v>109</v>
      </c>
      <c r="F212" s="27" t="s">
        <v>61</v>
      </c>
      <c r="G212" s="63">
        <f>G101</f>
        <v>9.5999999999999992E-3</v>
      </c>
      <c r="H212" s="64">
        <f>I212</f>
        <v>9.5999999999999992E-3</v>
      </c>
      <c r="I212" s="65">
        <f>I101</f>
        <v>9.5999999999999992E-3</v>
      </c>
      <c r="J212" s="42" t="s">
        <v>110</v>
      </c>
      <c r="K212" s="66" t="s">
        <v>111</v>
      </c>
      <c r="L212" s="51"/>
      <c r="M212" s="52"/>
      <c r="N212" s="295"/>
      <c r="P212" s="296"/>
      <c r="Q212" s="296"/>
      <c r="R212" s="296"/>
      <c r="T212" s="296"/>
      <c r="U212" s="283"/>
      <c r="V212" s="291"/>
      <c r="W212" s="291"/>
      <c r="Z212" s="282"/>
    </row>
    <row r="213" spans="1:29" ht="14.4" thickBot="1" x14ac:dyDescent="0.35">
      <c r="B213" s="31"/>
      <c r="C213" s="31"/>
      <c r="D213" s="31"/>
      <c r="E213" s="31"/>
      <c r="F213" s="31"/>
      <c r="G213" s="52"/>
      <c r="H213" s="52"/>
      <c r="I213" s="52"/>
      <c r="J213" s="59"/>
      <c r="K213" s="52"/>
      <c r="L213" s="52"/>
      <c r="M213" s="52"/>
      <c r="N213" s="300"/>
      <c r="O213" s="301"/>
      <c r="P213" s="302"/>
      <c r="Q213" s="303">
        <f>SUM(Q184:Q212)</f>
        <v>3119.8647727378611</v>
      </c>
      <c r="R213" s="303">
        <f>SUM(R184:R212)</f>
        <v>3194.4969158762547</v>
      </c>
      <c r="S213" s="303">
        <f>SUM(S184:S212)</f>
        <v>74.632143138393687</v>
      </c>
      <c r="T213" s="303">
        <f>SUM(T184:T212)</f>
        <v>3228.3065845086221</v>
      </c>
      <c r="U213" s="303">
        <f>SUM(U184:U212)</f>
        <v>-33.809668632367448</v>
      </c>
      <c r="V213" s="291"/>
      <c r="W213" s="291"/>
      <c r="Z213" s="282"/>
    </row>
    <row r="214" spans="1:29" ht="14.4" thickTop="1" x14ac:dyDescent="0.3">
      <c r="A214" s="27">
        <f>+A212+1</f>
        <v>195</v>
      </c>
      <c r="B214" s="48"/>
      <c r="M214" s="31"/>
      <c r="P214" s="296"/>
      <c r="Q214" s="296"/>
      <c r="R214" s="296"/>
      <c r="S214" s="296"/>
      <c r="T214" s="296"/>
      <c r="U214" s="283"/>
      <c r="V214" s="291"/>
      <c r="W214" s="291"/>
      <c r="Z214" s="282"/>
    </row>
    <row r="215" spans="1:29" x14ac:dyDescent="0.3">
      <c r="A215" s="27">
        <f t="shared" si="33"/>
        <v>196</v>
      </c>
      <c r="B215" s="48" t="s">
        <v>160</v>
      </c>
      <c r="C215" s="27" t="s">
        <v>65</v>
      </c>
      <c r="M215" s="31"/>
      <c r="P215" s="296"/>
      <c r="Q215" s="296"/>
      <c r="R215" s="296"/>
      <c r="T215" s="296"/>
      <c r="U215" s="283"/>
      <c r="V215" s="291"/>
      <c r="W215" s="291"/>
      <c r="Z215" s="282"/>
    </row>
    <row r="216" spans="1:29" x14ac:dyDescent="0.3">
      <c r="A216" s="27">
        <f t="shared" si="33"/>
        <v>197</v>
      </c>
      <c r="D216" s="27" t="s">
        <v>99</v>
      </c>
      <c r="F216" s="27" t="s">
        <v>60</v>
      </c>
      <c r="G216" s="49">
        <v>472.7</v>
      </c>
      <c r="H216" s="49">
        <f>G216*(1+'[2]Exhibit MJC-2 - Old E-8a'!V27)</f>
        <v>491.85545563270057</v>
      </c>
      <c r="I216" s="49">
        <f>'[2]MFR E-14D2'!I25</f>
        <v>374.46769549622667</v>
      </c>
      <c r="J216" s="50" t="s">
        <v>151</v>
      </c>
      <c r="K216" s="51" t="s">
        <v>152</v>
      </c>
      <c r="L216" s="51"/>
      <c r="M216" s="52"/>
      <c r="N216" s="295">
        <f>H216-G216</f>
        <v>19.15545563270058</v>
      </c>
      <c r="O216" s="284">
        <f>(N216/G216)</f>
        <v>4.0523494039984301E-2</v>
      </c>
      <c r="P216" s="296"/>
      <c r="Q216" s="296"/>
      <c r="R216" s="296"/>
      <c r="T216" s="296"/>
      <c r="U216" s="283"/>
      <c r="V216" s="291" t="s">
        <v>160</v>
      </c>
      <c r="W216" s="291" t="s">
        <v>160</v>
      </c>
      <c r="Z216" s="282"/>
      <c r="AC216" s="27" t="b">
        <f t="shared" ref="AC216:AC219" si="34">H216&gt;=I216</f>
        <v>1</v>
      </c>
    </row>
    <row r="217" spans="1:29" x14ac:dyDescent="0.3">
      <c r="A217" s="27">
        <f t="shared" si="33"/>
        <v>198</v>
      </c>
      <c r="D217" s="27" t="s">
        <v>101</v>
      </c>
      <c r="F217" s="27" t="s">
        <v>60</v>
      </c>
      <c r="G217" s="49">
        <f>'[2]MFR E-13c'!F554</f>
        <v>665.44</v>
      </c>
      <c r="H217" s="49">
        <f>'[2]MFR E-13c'!L554</f>
        <v>684.44</v>
      </c>
      <c r="I217" s="49">
        <f>'[2]MFR E-14D2'!I26</f>
        <v>519.31523837095301</v>
      </c>
      <c r="J217" s="50" t="s">
        <v>151</v>
      </c>
      <c r="K217" s="51" t="s">
        <v>69</v>
      </c>
      <c r="L217" s="51"/>
      <c r="M217" s="52"/>
      <c r="N217" s="295">
        <f>H217-G217</f>
        <v>19</v>
      </c>
      <c r="O217" s="284">
        <f>(N217/G217)</f>
        <v>2.855253666746814E-2</v>
      </c>
      <c r="P217" s="296">
        <v>23.538461538461522</v>
      </c>
      <c r="Q217" s="297">
        <f>(P217*G217)/1000</f>
        <v>15.663433846153838</v>
      </c>
      <c r="R217" s="297">
        <f>(P217*H217)/1000</f>
        <v>16.110664615384604</v>
      </c>
      <c r="S217" s="298">
        <f>R217-Q217</f>
        <v>0.44723076923076555</v>
      </c>
      <c r="T217" s="297">
        <f>(P217*I217)/1000</f>
        <v>12.223881764731656</v>
      </c>
      <c r="U217" s="298">
        <f>R217-T217</f>
        <v>3.8867828506529474</v>
      </c>
      <c r="V217" s="291" t="s">
        <v>160</v>
      </c>
      <c r="W217" s="291" t="s">
        <v>160</v>
      </c>
      <c r="Z217" s="282"/>
      <c r="AC217" s="27" t="b">
        <f t="shared" si="34"/>
        <v>1</v>
      </c>
    </row>
    <row r="218" spans="1:29" x14ac:dyDescent="0.3">
      <c r="A218" s="27">
        <f t="shared" si="33"/>
        <v>199</v>
      </c>
      <c r="D218" s="27" t="s">
        <v>102</v>
      </c>
      <c r="F218" s="27" t="s">
        <v>60</v>
      </c>
      <c r="G218" s="49">
        <f>'[2]MFR E-13c'!F555</f>
        <v>1539.64</v>
      </c>
      <c r="H218" s="49">
        <f>'[2]MFR E-13c'!L555</f>
        <v>1583.59</v>
      </c>
      <c r="I218" s="49">
        <f>'[2]MFR E-14D2'!I27</f>
        <v>704.67601590900256</v>
      </c>
      <c r="J218" s="50" t="s">
        <v>151</v>
      </c>
      <c r="K218" s="51" t="s">
        <v>69</v>
      </c>
      <c r="L218" s="51"/>
      <c r="M218" s="52"/>
      <c r="N218" s="295">
        <f>H218-G218</f>
        <v>43.949999999999818</v>
      </c>
      <c r="O218" s="284">
        <f>(N218/G218)</f>
        <v>2.8545634044321928E-2</v>
      </c>
      <c r="P218" s="296">
        <v>11.769230769230761</v>
      </c>
      <c r="Q218" s="297">
        <f>(P218*G218)/1000</f>
        <v>18.120378461538451</v>
      </c>
      <c r="R218" s="297">
        <f>(P218*H218)/1000</f>
        <v>18.637636153846138</v>
      </c>
      <c r="S218" s="298">
        <f>R218-Q218</f>
        <v>0.51725769230768748</v>
      </c>
      <c r="T218" s="297">
        <f>(P218*I218)/1000</f>
        <v>8.2934946487751784</v>
      </c>
      <c r="U218" s="298">
        <f>R218-T218</f>
        <v>10.34414150507096</v>
      </c>
      <c r="V218" s="291" t="s">
        <v>160</v>
      </c>
      <c r="W218" s="291" t="s">
        <v>160</v>
      </c>
      <c r="Z218" s="282"/>
      <c r="AC218" s="27" t="b">
        <f t="shared" si="34"/>
        <v>1</v>
      </c>
    </row>
    <row r="219" spans="1:29" x14ac:dyDescent="0.3">
      <c r="A219" s="27">
        <f t="shared" si="33"/>
        <v>200</v>
      </c>
      <c r="D219" s="27" t="s">
        <v>153</v>
      </c>
      <c r="F219" s="27" t="s">
        <v>60</v>
      </c>
      <c r="G219" s="49">
        <v>442.3</v>
      </c>
      <c r="H219" s="49">
        <f>G219*(1+'[2]Exhibit MJC-2 - Old E-8a'!V27)</f>
        <v>460.22354141388507</v>
      </c>
      <c r="I219" s="49"/>
      <c r="J219" s="50"/>
      <c r="K219" s="51" t="s">
        <v>152</v>
      </c>
      <c r="L219" s="51"/>
      <c r="M219" s="52"/>
      <c r="N219" s="295">
        <f>H219-G219</f>
        <v>17.923541413885062</v>
      </c>
      <c r="O219" s="284">
        <f>(N219/G219)</f>
        <v>4.0523494039984315E-2</v>
      </c>
      <c r="P219" s="296">
        <v>0</v>
      </c>
      <c r="Q219" s="297">
        <f>(P219*G219)/1000</f>
        <v>0</v>
      </c>
      <c r="R219" s="297">
        <f>(P219*H219)/1000</f>
        <v>0</v>
      </c>
      <c r="S219" s="298">
        <f>R219-Q219</f>
        <v>0</v>
      </c>
      <c r="T219" s="297">
        <f>(P219*I219)/1000</f>
        <v>0</v>
      </c>
      <c r="U219" s="298">
        <f>R219-T219</f>
        <v>0</v>
      </c>
      <c r="V219" s="291" t="s">
        <v>160</v>
      </c>
      <c r="W219" s="291" t="s">
        <v>160</v>
      </c>
      <c r="Z219" s="282"/>
      <c r="AC219" s="27" t="b">
        <f t="shared" si="34"/>
        <v>1</v>
      </c>
    </row>
    <row r="220" spans="1:29" x14ac:dyDescent="0.3">
      <c r="A220" s="27">
        <f t="shared" si="33"/>
        <v>201</v>
      </c>
      <c r="G220" s="56"/>
      <c r="H220" s="56"/>
      <c r="I220" s="56"/>
      <c r="J220" s="50"/>
      <c r="K220" s="51"/>
      <c r="L220" s="51"/>
      <c r="M220" s="52"/>
      <c r="P220" s="296"/>
      <c r="Q220" s="296"/>
      <c r="R220" s="296"/>
      <c r="T220" s="296"/>
      <c r="U220" s="283"/>
      <c r="V220" s="291"/>
      <c r="W220" s="291"/>
      <c r="Z220" s="282"/>
    </row>
    <row r="221" spans="1:29" x14ac:dyDescent="0.3">
      <c r="A221" s="27">
        <f t="shared" si="33"/>
        <v>202</v>
      </c>
      <c r="C221" s="68" t="s">
        <v>75</v>
      </c>
      <c r="D221" s="68"/>
      <c r="F221" s="27" t="s">
        <v>78</v>
      </c>
      <c r="G221" s="56">
        <f>'[2]MFR E-13c'!F575/10</f>
        <v>1.6559999999999999</v>
      </c>
      <c r="H221" s="56">
        <f>'[2]MFR E-13c'!L575/10</f>
        <v>1.7190000000000001</v>
      </c>
      <c r="I221" s="56">
        <f>'[2]MFR E-14D2'!$I$30/10</f>
        <v>0.60899999999999999</v>
      </c>
      <c r="J221" s="50" t="s">
        <v>151</v>
      </c>
      <c r="K221" s="51" t="s">
        <v>69</v>
      </c>
      <c r="L221" s="56"/>
      <c r="M221" s="60"/>
      <c r="N221" s="295">
        <f>H221-G221</f>
        <v>6.3000000000000167E-2</v>
      </c>
      <c r="O221" s="284">
        <f>(N221/G221)</f>
        <v>3.8043478260869665E-2</v>
      </c>
      <c r="P221" s="296">
        <v>67357.5</v>
      </c>
      <c r="Q221" s="297">
        <f>(P221*G221*10)/1000</f>
        <v>1115.4402</v>
      </c>
      <c r="R221" s="297">
        <f>(P221*H221*10)/1000</f>
        <v>1157.875425</v>
      </c>
      <c r="S221" s="298">
        <f>R221-Q221</f>
        <v>42.435224999999946</v>
      </c>
      <c r="T221" s="297">
        <f>(P221*I221*10)/1000</f>
        <v>410.20717500000001</v>
      </c>
      <c r="U221" s="298">
        <f>R221-T221</f>
        <v>747.66824999999994</v>
      </c>
      <c r="V221" s="291" t="s">
        <v>160</v>
      </c>
      <c r="W221" s="291" t="s">
        <v>160</v>
      </c>
      <c r="Z221" s="282"/>
    </row>
    <row r="222" spans="1:29" x14ac:dyDescent="0.3">
      <c r="A222" s="27">
        <f t="shared" si="33"/>
        <v>203</v>
      </c>
      <c r="C222" s="69"/>
      <c r="D222" s="68"/>
      <c r="G222" s="51"/>
      <c r="H222" s="51"/>
      <c r="I222" s="51"/>
      <c r="J222" s="50"/>
      <c r="K222" s="51"/>
      <c r="L222" s="51"/>
      <c r="M222" s="52"/>
      <c r="P222" s="296"/>
      <c r="Q222" s="296"/>
      <c r="R222" s="296"/>
      <c r="T222" s="296"/>
      <c r="U222" s="283"/>
      <c r="V222" s="291"/>
      <c r="W222" s="291"/>
      <c r="Z222" s="282"/>
    </row>
    <row r="223" spans="1:29" x14ac:dyDescent="0.3">
      <c r="A223" s="27">
        <f t="shared" si="33"/>
        <v>204</v>
      </c>
      <c r="C223" s="68" t="s">
        <v>154</v>
      </c>
      <c r="D223" s="68"/>
      <c r="G223" s="51"/>
      <c r="H223" s="51"/>
      <c r="I223" s="51"/>
      <c r="J223" s="50"/>
      <c r="K223" s="51"/>
      <c r="L223" s="51"/>
      <c r="M223" s="52"/>
      <c r="P223" s="296"/>
      <c r="Q223" s="296"/>
      <c r="R223" s="296"/>
      <c r="T223" s="296"/>
      <c r="U223" s="283"/>
      <c r="V223" s="291"/>
      <c r="W223" s="291"/>
      <c r="Z223" s="282"/>
    </row>
    <row r="224" spans="1:29" x14ac:dyDescent="0.3">
      <c r="A224" s="27">
        <f t="shared" si="33"/>
        <v>205</v>
      </c>
      <c r="D224" s="68" t="s">
        <v>155</v>
      </c>
      <c r="F224" s="27" t="s">
        <v>119</v>
      </c>
      <c r="G224" s="49">
        <f>'[2]MFR E-13c'!F560</f>
        <v>3.43</v>
      </c>
      <c r="H224" s="49">
        <f>'[2]MFR E-13c'!L560</f>
        <v>3.57</v>
      </c>
      <c r="I224" s="49">
        <f>'[2]MFR E-14D2'!$I$34</f>
        <v>6.52</v>
      </c>
      <c r="J224" s="50" t="s">
        <v>151</v>
      </c>
      <c r="K224" s="51" t="s">
        <v>69</v>
      </c>
      <c r="L224" s="51"/>
      <c r="M224" s="52"/>
      <c r="N224" s="295">
        <f>H224-G224</f>
        <v>0.13999999999999968</v>
      </c>
      <c r="O224" s="284">
        <f>(N224/G224)</f>
        <v>4.0816326530612151E-2</v>
      </c>
      <c r="P224" s="296">
        <v>114000</v>
      </c>
      <c r="Q224" s="297">
        <f>(P224*G224)/1000</f>
        <v>391.02</v>
      </c>
      <c r="R224" s="297">
        <f>(P224*H224)/1000</f>
        <v>406.98</v>
      </c>
      <c r="S224" s="298">
        <f>R224-Q224</f>
        <v>15.960000000000036</v>
      </c>
      <c r="T224" s="297">
        <f>(P224*I224)/1000</f>
        <v>743.28</v>
      </c>
      <c r="U224" s="298">
        <f>R224-T224</f>
        <v>-336.29999999999995</v>
      </c>
      <c r="V224" s="291" t="s">
        <v>160</v>
      </c>
      <c r="W224" s="291" t="s">
        <v>160</v>
      </c>
      <c r="Z224" s="282"/>
    </row>
    <row r="225" spans="1:26" x14ac:dyDescent="0.3">
      <c r="A225" s="27">
        <f t="shared" si="33"/>
        <v>206</v>
      </c>
      <c r="C225" s="68"/>
      <c r="G225" s="51"/>
      <c r="H225" s="51"/>
      <c r="I225" s="51"/>
      <c r="J225" s="50"/>
      <c r="K225" s="51"/>
      <c r="L225" s="51"/>
      <c r="M225" s="52"/>
      <c r="N225" s="295"/>
      <c r="P225" s="296"/>
      <c r="Q225" s="296"/>
      <c r="R225" s="296"/>
      <c r="T225" s="296"/>
      <c r="U225" s="283"/>
      <c r="V225" s="291"/>
      <c r="W225" s="291"/>
      <c r="Z225" s="282"/>
    </row>
    <row r="226" spans="1:26" x14ac:dyDescent="0.3">
      <c r="A226" s="27">
        <f t="shared" si="33"/>
        <v>207</v>
      </c>
      <c r="C226" s="68" t="s">
        <v>156</v>
      </c>
      <c r="D226" s="68"/>
      <c r="G226" s="51"/>
      <c r="H226" s="51"/>
      <c r="I226" s="51"/>
      <c r="J226" s="50"/>
      <c r="K226" s="51"/>
      <c r="L226" s="51"/>
      <c r="M226" s="52"/>
      <c r="P226" s="296"/>
      <c r="Q226" s="296"/>
      <c r="R226" s="296"/>
      <c r="T226" s="296"/>
      <c r="U226" s="283"/>
      <c r="V226" s="291"/>
      <c r="W226" s="291"/>
      <c r="Z226" s="282"/>
    </row>
    <row r="227" spans="1:26" x14ac:dyDescent="0.3">
      <c r="A227" s="27">
        <f t="shared" si="33"/>
        <v>208</v>
      </c>
      <c r="C227" s="68"/>
      <c r="D227" s="68" t="s">
        <v>157</v>
      </c>
      <c r="G227" s="51"/>
      <c r="H227" s="51"/>
      <c r="I227" s="51"/>
      <c r="J227" s="50"/>
      <c r="L227" s="51"/>
      <c r="M227" s="52"/>
      <c r="P227" s="296"/>
      <c r="Q227" s="296"/>
      <c r="R227" s="296"/>
      <c r="T227" s="296"/>
      <c r="U227" s="283"/>
      <c r="V227" s="291"/>
      <c r="W227" s="291"/>
      <c r="Z227" s="282"/>
    </row>
    <row r="228" spans="1:26" x14ac:dyDescent="0.3">
      <c r="A228" s="27">
        <f t="shared" si="33"/>
        <v>209</v>
      </c>
      <c r="C228" s="68"/>
      <c r="D228" s="68" t="s">
        <v>158</v>
      </c>
      <c r="G228" s="51"/>
      <c r="H228" s="51"/>
      <c r="I228" s="51"/>
      <c r="J228" s="50"/>
      <c r="K228" s="51"/>
      <c r="L228" s="51"/>
      <c r="M228" s="52"/>
      <c r="P228" s="296"/>
      <c r="Q228" s="296"/>
      <c r="R228" s="296"/>
      <c r="T228" s="296"/>
      <c r="U228" s="283"/>
      <c r="V228" s="291"/>
      <c r="W228" s="291"/>
      <c r="Z228" s="282"/>
    </row>
    <row r="229" spans="1:26" x14ac:dyDescent="0.3">
      <c r="A229" s="27">
        <f t="shared" si="33"/>
        <v>210</v>
      </c>
      <c r="C229" s="68"/>
      <c r="D229" s="70" t="s">
        <v>155</v>
      </c>
      <c r="F229" s="27" t="s">
        <v>119</v>
      </c>
      <c r="G229" s="71">
        <f>'[2]MFR E-13c'!F566</f>
        <v>1.9570000000000001</v>
      </c>
      <c r="H229" s="71">
        <f>'[2]MFR E-13c'!L566</f>
        <v>2.0339999999999998</v>
      </c>
      <c r="I229" s="71">
        <f>'[2]MFR E-14D2'!$I$41</f>
        <v>2.21</v>
      </c>
      <c r="J229" s="50" t="s">
        <v>151</v>
      </c>
      <c r="K229" s="51" t="s">
        <v>69</v>
      </c>
      <c r="L229" s="51"/>
      <c r="M229" s="52"/>
      <c r="N229" s="295">
        <f>H229-G229</f>
        <v>7.6999999999999735E-2</v>
      </c>
      <c r="O229" s="284">
        <f>(N229/G229)</f>
        <v>3.9345937659683049E-2</v>
      </c>
      <c r="P229" s="296">
        <v>643560.93599999987</v>
      </c>
      <c r="Q229" s="297">
        <f>(P229*G229)/1000</f>
        <v>1259.4487517519999</v>
      </c>
      <c r="R229" s="297">
        <f>(P229*H229)/1000</f>
        <v>1309.0029438239997</v>
      </c>
      <c r="S229" s="298">
        <f>R229-Q229</f>
        <v>49.554192071999751</v>
      </c>
      <c r="T229" s="297">
        <f>(P229*I229)/1000</f>
        <v>1422.2696685599997</v>
      </c>
      <c r="U229" s="298">
        <f>R229-T229</f>
        <v>-113.26672473600001</v>
      </c>
      <c r="V229" s="291" t="s">
        <v>160</v>
      </c>
      <c r="W229" s="291" t="s">
        <v>160</v>
      </c>
      <c r="Z229" s="282"/>
    </row>
    <row r="230" spans="1:26" x14ac:dyDescent="0.3">
      <c r="A230" s="27">
        <f t="shared" si="33"/>
        <v>211</v>
      </c>
      <c r="D230" s="68" t="s">
        <v>159</v>
      </c>
      <c r="F230" s="27" t="s">
        <v>119</v>
      </c>
      <c r="G230" s="71">
        <f>'[2]MFR E-13c'!F567</f>
        <v>0.93100000000000005</v>
      </c>
      <c r="H230" s="71">
        <f>'[2]MFR E-13c'!L567</f>
        <v>0.96799999999999997</v>
      </c>
      <c r="I230" s="71">
        <f>'[2]MFR E-14D2'!$I$44</f>
        <v>1.052</v>
      </c>
      <c r="J230" s="50" t="s">
        <v>151</v>
      </c>
      <c r="K230" s="51" t="s">
        <v>69</v>
      </c>
      <c r="L230" s="51"/>
      <c r="M230" s="52"/>
      <c r="N230" s="295">
        <f>H230-G230</f>
        <v>3.6999999999999922E-2</v>
      </c>
      <c r="O230" s="284">
        <f>(N230/G230)</f>
        <v>3.9742212674543413E-2</v>
      </c>
      <c r="P230" s="296">
        <v>1761820.1407062972</v>
      </c>
      <c r="Q230" s="297">
        <f>(P230*G230)/1000</f>
        <v>1640.2545509975628</v>
      </c>
      <c r="R230" s="297">
        <f>(P230*H230)/1000</f>
        <v>1705.4418962036957</v>
      </c>
      <c r="S230" s="298">
        <f>R230-Q230</f>
        <v>65.187345206132932</v>
      </c>
      <c r="T230" s="297">
        <f>(P230*I230)/1000</f>
        <v>1853.4347880230248</v>
      </c>
      <c r="U230" s="298">
        <f>R230-T230</f>
        <v>-147.99289181932909</v>
      </c>
      <c r="V230" s="291" t="s">
        <v>160</v>
      </c>
      <c r="W230" s="291" t="s">
        <v>160</v>
      </c>
      <c r="Z230" s="282"/>
    </row>
    <row r="231" spans="1:26" x14ac:dyDescent="0.3">
      <c r="A231" s="27">
        <f t="shared" si="33"/>
        <v>212</v>
      </c>
      <c r="G231" s="51"/>
      <c r="H231" s="51"/>
      <c r="I231" s="51"/>
      <c r="J231" s="50"/>
      <c r="K231" s="51"/>
      <c r="L231" s="51"/>
      <c r="M231" s="52"/>
      <c r="P231" s="296"/>
      <c r="Q231" s="296"/>
      <c r="R231" s="296"/>
      <c r="T231" s="296"/>
      <c r="U231" s="283"/>
      <c r="V231" s="291"/>
      <c r="W231" s="291"/>
      <c r="Z231" s="282"/>
    </row>
    <row r="232" spans="1:26" x14ac:dyDescent="0.3">
      <c r="A232" s="27">
        <f t="shared" si="33"/>
        <v>213</v>
      </c>
      <c r="C232" s="27" t="s">
        <v>161</v>
      </c>
      <c r="J232" s="50"/>
      <c r="L232" s="51"/>
      <c r="M232" s="52"/>
      <c r="P232" s="296"/>
      <c r="Q232" s="296"/>
      <c r="R232" s="296"/>
      <c r="T232" s="296"/>
      <c r="U232" s="283"/>
      <c r="V232" s="291"/>
      <c r="W232" s="291"/>
      <c r="Z232" s="282"/>
    </row>
    <row r="233" spans="1:26" x14ac:dyDescent="0.3">
      <c r="A233" s="27">
        <f t="shared" si="33"/>
        <v>214</v>
      </c>
      <c r="D233" s="68" t="s">
        <v>162</v>
      </c>
      <c r="F233" s="27" t="s">
        <v>119</v>
      </c>
      <c r="G233" s="71">
        <v>0.46200000000000002</v>
      </c>
      <c r="H233" s="71">
        <f>I233</f>
        <v>0.46200000000000002</v>
      </c>
      <c r="I233" s="254">
        <f>'[2]MFR E-14D2'!I55</f>
        <v>0.46200000000000002</v>
      </c>
      <c r="J233" s="42" t="s">
        <v>151</v>
      </c>
      <c r="K233" s="51" t="s">
        <v>135</v>
      </c>
      <c r="M233" s="31"/>
      <c r="N233" s="315">
        <f>H233-G233</f>
        <v>0</v>
      </c>
      <c r="O233" s="284">
        <f>(N233/G233)</f>
        <v>0</v>
      </c>
      <c r="P233" s="296"/>
      <c r="Q233" s="297">
        <f>(P233*G233)/1000</f>
        <v>0</v>
      </c>
      <c r="R233" s="297">
        <f>(P233*H233)/1000</f>
        <v>0</v>
      </c>
      <c r="S233" s="298">
        <f>R233-Q233</f>
        <v>0</v>
      </c>
      <c r="T233" s="297">
        <f>(P233*I233)/1000</f>
        <v>0</v>
      </c>
      <c r="U233" s="298">
        <f>R233-T233</f>
        <v>0</v>
      </c>
      <c r="V233" s="291" t="s">
        <v>160</v>
      </c>
      <c r="W233" s="291" t="s">
        <v>160</v>
      </c>
      <c r="Z233" s="282"/>
    </row>
    <row r="234" spans="1:26" x14ac:dyDescent="0.3">
      <c r="A234" s="27">
        <f t="shared" si="33"/>
        <v>215</v>
      </c>
      <c r="D234" s="68" t="s">
        <v>163</v>
      </c>
      <c r="F234" s="27" t="s">
        <v>119</v>
      </c>
      <c r="G234" s="71">
        <v>0.22</v>
      </c>
      <c r="H234" s="71">
        <f>I234</f>
        <v>0.22</v>
      </c>
      <c r="I234" s="254">
        <f>'[2]MFR E-14D2'!I57</f>
        <v>0.22</v>
      </c>
      <c r="J234" s="42" t="s">
        <v>151</v>
      </c>
      <c r="K234" s="51" t="s">
        <v>135</v>
      </c>
      <c r="M234" s="31"/>
      <c r="N234" s="315">
        <f>H234-G234</f>
        <v>0</v>
      </c>
      <c r="O234" s="284">
        <f>(N234/G234)</f>
        <v>0</v>
      </c>
      <c r="P234" s="296"/>
      <c r="Q234" s="297">
        <f>(P234*G234)/1000</f>
        <v>0</v>
      </c>
      <c r="R234" s="297">
        <f>(P234*H234)/1000</f>
        <v>0</v>
      </c>
      <c r="S234" s="298">
        <f>R234-Q234</f>
        <v>0</v>
      </c>
      <c r="T234" s="297">
        <f>(P234*I234)/1000</f>
        <v>0</v>
      </c>
      <c r="U234" s="298">
        <f>R234-T234</f>
        <v>0</v>
      </c>
      <c r="V234" s="291" t="s">
        <v>160</v>
      </c>
      <c r="W234" s="291" t="s">
        <v>160</v>
      </c>
      <c r="Z234" s="282"/>
    </row>
    <row r="235" spans="1:26" x14ac:dyDescent="0.3">
      <c r="A235" s="27">
        <f t="shared" si="33"/>
        <v>216</v>
      </c>
      <c r="M235" s="31"/>
      <c r="P235" s="296"/>
      <c r="Q235" s="296"/>
      <c r="R235" s="296"/>
      <c r="T235" s="296"/>
      <c r="U235" s="283"/>
      <c r="V235" s="291"/>
      <c r="W235" s="291"/>
      <c r="Z235" s="282"/>
    </row>
    <row r="236" spans="1:26" x14ac:dyDescent="0.3">
      <c r="A236" s="27">
        <f t="shared" si="33"/>
        <v>217</v>
      </c>
      <c r="D236" s="27" t="s">
        <v>123</v>
      </c>
      <c r="M236" s="31"/>
      <c r="P236" s="296"/>
      <c r="Q236" s="296"/>
      <c r="R236" s="296"/>
      <c r="T236" s="296"/>
      <c r="U236" s="283"/>
      <c r="V236" s="291"/>
      <c r="W236" s="291"/>
      <c r="Z236" s="282"/>
    </row>
    <row r="237" spans="1:26" x14ac:dyDescent="0.3">
      <c r="A237" s="27">
        <f t="shared" si="33"/>
        <v>218</v>
      </c>
      <c r="D237" s="54" t="s">
        <v>101</v>
      </c>
      <c r="F237" s="27" t="s">
        <v>119</v>
      </c>
      <c r="G237" s="49">
        <f>G203</f>
        <v>1.3</v>
      </c>
      <c r="H237" s="49">
        <f>I237</f>
        <v>1.34</v>
      </c>
      <c r="I237" s="58">
        <f>I203</f>
        <v>1.34</v>
      </c>
      <c r="J237" s="50" t="s">
        <v>124</v>
      </c>
      <c r="K237" s="51" t="s">
        <v>106</v>
      </c>
      <c r="M237" s="31"/>
      <c r="N237" s="308">
        <f>H237-G237</f>
        <v>4.0000000000000036E-2</v>
      </c>
      <c r="O237" s="284">
        <f>(N237/G237)</f>
        <v>3.0769230769230795E-2</v>
      </c>
      <c r="P237" s="296">
        <v>0</v>
      </c>
      <c r="Q237" s="297">
        <f>(P237*G237)/1000</f>
        <v>0</v>
      </c>
      <c r="R237" s="297">
        <f>(P237*H237)/1000</f>
        <v>0</v>
      </c>
      <c r="S237" s="298">
        <f>R237-Q237</f>
        <v>0</v>
      </c>
      <c r="T237" s="297">
        <f>(P237*I237)/1000</f>
        <v>0</v>
      </c>
      <c r="U237" s="298">
        <f>R237-T237</f>
        <v>0</v>
      </c>
      <c r="V237" s="291" t="s">
        <v>160</v>
      </c>
      <c r="W237" s="291" t="s">
        <v>160</v>
      </c>
      <c r="Z237" s="282"/>
    </row>
    <row r="238" spans="1:26" x14ac:dyDescent="0.3">
      <c r="A238" s="27">
        <f t="shared" si="33"/>
        <v>219</v>
      </c>
      <c r="D238" s="54" t="s">
        <v>125</v>
      </c>
      <c r="F238" s="27" t="s">
        <v>119</v>
      </c>
      <c r="G238" s="49">
        <f t="shared" ref="G238:G239" si="35">G204</f>
        <v>6.18</v>
      </c>
      <c r="H238" s="49">
        <f t="shared" ref="H238:H239" si="36">I238</f>
        <v>6.47</v>
      </c>
      <c r="I238" s="58">
        <f t="shared" ref="I238:I239" si="37">I204</f>
        <v>6.47</v>
      </c>
      <c r="J238" s="50" t="s">
        <v>124</v>
      </c>
      <c r="K238" s="51" t="s">
        <v>106</v>
      </c>
      <c r="L238" s="51"/>
      <c r="M238" s="52"/>
      <c r="P238" s="296"/>
      <c r="Q238" s="313"/>
      <c r="R238" s="313"/>
      <c r="T238" s="313"/>
      <c r="U238" s="283"/>
      <c r="V238" s="291" t="s">
        <v>160</v>
      </c>
      <c r="W238" s="291" t="s">
        <v>160</v>
      </c>
      <c r="Z238" s="282"/>
    </row>
    <row r="239" spans="1:26" x14ac:dyDescent="0.3">
      <c r="A239" s="27">
        <f t="shared" si="33"/>
        <v>220</v>
      </c>
      <c r="D239" s="54" t="s">
        <v>126</v>
      </c>
      <c r="F239" s="27" t="s">
        <v>119</v>
      </c>
      <c r="G239" s="49">
        <f t="shared" si="35"/>
        <v>8.61</v>
      </c>
      <c r="H239" s="49">
        <f t="shared" si="36"/>
        <v>9.0399999999999991</v>
      </c>
      <c r="I239" s="58">
        <f t="shared" si="37"/>
        <v>9.0399999999999991</v>
      </c>
      <c r="J239" s="50" t="s">
        <v>124</v>
      </c>
      <c r="K239" s="51" t="s">
        <v>106</v>
      </c>
      <c r="L239" s="51"/>
      <c r="M239" s="52"/>
      <c r="P239" s="296"/>
      <c r="Q239" s="313"/>
      <c r="R239" s="313"/>
      <c r="T239" s="313"/>
      <c r="U239" s="283"/>
      <c r="V239" s="291"/>
      <c r="W239" s="291"/>
      <c r="Z239" s="282"/>
    </row>
    <row r="240" spans="1:26" x14ac:dyDescent="0.3">
      <c r="A240" s="27">
        <f t="shared" si="33"/>
        <v>221</v>
      </c>
      <c r="D240" s="27" t="s">
        <v>104</v>
      </c>
      <c r="F240" s="27" t="s">
        <v>119</v>
      </c>
      <c r="G240" s="49">
        <f>G158</f>
        <v>1.96</v>
      </c>
      <c r="H240" s="49">
        <f>I240</f>
        <v>2.06</v>
      </c>
      <c r="I240" s="49">
        <f>'[2]MFR E-14G'!I22</f>
        <v>2.06</v>
      </c>
      <c r="J240" s="50" t="s">
        <v>105</v>
      </c>
      <c r="K240" s="51" t="s">
        <v>106</v>
      </c>
      <c r="M240" s="31"/>
      <c r="N240" s="308">
        <f>H240-G240</f>
        <v>0.10000000000000009</v>
      </c>
      <c r="O240" s="284">
        <f>(N240/G240)</f>
        <v>5.1020408163265356E-2</v>
      </c>
      <c r="P240" s="296"/>
      <c r="Q240" s="296"/>
      <c r="R240" s="296"/>
      <c r="T240" s="296"/>
      <c r="U240" s="283"/>
      <c r="V240" s="291" t="s">
        <v>160</v>
      </c>
      <c r="W240" s="291" t="s">
        <v>160</v>
      </c>
      <c r="Z240" s="282"/>
    </row>
    <row r="241" spans="1:29" x14ac:dyDescent="0.3">
      <c r="A241" s="27">
        <f t="shared" si="33"/>
        <v>222</v>
      </c>
      <c r="G241" s="55"/>
      <c r="H241" s="55"/>
      <c r="I241" s="55"/>
      <c r="M241" s="31"/>
      <c r="N241" s="295"/>
      <c r="P241" s="296"/>
      <c r="Q241" s="296"/>
      <c r="R241" s="296"/>
      <c r="T241" s="296"/>
      <c r="U241" s="283"/>
      <c r="V241" s="291"/>
      <c r="W241" s="291"/>
      <c r="Z241" s="282"/>
    </row>
    <row r="242" spans="1:29" x14ac:dyDescent="0.3">
      <c r="A242" s="27">
        <f t="shared" si="33"/>
        <v>223</v>
      </c>
      <c r="C242" s="27" t="s">
        <v>107</v>
      </c>
      <c r="G242" s="51"/>
      <c r="H242" s="51"/>
      <c r="I242" s="51"/>
      <c r="J242" s="50"/>
      <c r="K242" s="51"/>
      <c r="L242" s="51"/>
      <c r="M242" s="52"/>
      <c r="P242" s="296"/>
      <c r="Q242" s="296"/>
      <c r="R242" s="296"/>
      <c r="T242" s="296"/>
      <c r="U242" s="283"/>
      <c r="V242" s="291"/>
      <c r="W242" s="291"/>
      <c r="Z242" s="282"/>
    </row>
    <row r="243" spans="1:29" x14ac:dyDescent="0.3">
      <c r="A243" s="27">
        <f t="shared" si="33"/>
        <v>224</v>
      </c>
      <c r="D243" s="27" t="s">
        <v>101</v>
      </c>
      <c r="F243" s="27" t="s">
        <v>61</v>
      </c>
      <c r="G243" s="62">
        <v>0.01</v>
      </c>
      <c r="H243" s="62">
        <v>0.01</v>
      </c>
      <c r="I243" s="62"/>
      <c r="J243" s="50"/>
      <c r="K243" s="51"/>
      <c r="L243" s="51"/>
      <c r="M243" s="52"/>
      <c r="N243" s="306">
        <f>H243-G243</f>
        <v>0</v>
      </c>
      <c r="O243" s="284">
        <f>(N243/G243)</f>
        <v>0</v>
      </c>
      <c r="P243" s="296"/>
      <c r="Q243" s="297">
        <f>(P243*G243)/1000</f>
        <v>0</v>
      </c>
      <c r="R243" s="297">
        <f>(P243*H243)/1000</f>
        <v>0</v>
      </c>
      <c r="S243" s="298">
        <f>R243-Q243</f>
        <v>0</v>
      </c>
      <c r="T243" s="297">
        <f>(P243*I243)/1000</f>
        <v>0</v>
      </c>
      <c r="U243" s="298">
        <f>R243-T243</f>
        <v>0</v>
      </c>
      <c r="V243" s="291" t="s">
        <v>160</v>
      </c>
      <c r="W243" s="291" t="s">
        <v>160</v>
      </c>
      <c r="Z243" s="282"/>
    </row>
    <row r="244" spans="1:29" x14ac:dyDescent="0.3">
      <c r="A244" s="27">
        <f t="shared" si="33"/>
        <v>225</v>
      </c>
      <c r="D244" s="27" t="s">
        <v>102</v>
      </c>
      <c r="F244" s="27" t="s">
        <v>61</v>
      </c>
      <c r="G244" s="62">
        <v>0.02</v>
      </c>
      <c r="H244" s="62">
        <v>0.02</v>
      </c>
      <c r="I244" s="62"/>
      <c r="J244" s="50"/>
      <c r="K244" s="51"/>
      <c r="L244" s="51"/>
      <c r="M244" s="52"/>
      <c r="N244" s="306">
        <f>H244-G244</f>
        <v>0</v>
      </c>
      <c r="O244" s="284">
        <f>(N244/G244)</f>
        <v>0</v>
      </c>
      <c r="P244" s="296"/>
      <c r="Q244" s="297">
        <f>(P244*G244)/1000</f>
        <v>0</v>
      </c>
      <c r="R244" s="297">
        <f>(P244*H244)/1000</f>
        <v>0</v>
      </c>
      <c r="S244" s="298">
        <f>R244-Q244</f>
        <v>0</v>
      </c>
      <c r="T244" s="297">
        <f>(P244*I244)/1000</f>
        <v>0</v>
      </c>
      <c r="U244" s="298">
        <f>R244-T244</f>
        <v>0</v>
      </c>
      <c r="V244" s="291" t="s">
        <v>160</v>
      </c>
      <c r="W244" s="291" t="s">
        <v>160</v>
      </c>
      <c r="Z244" s="282"/>
    </row>
    <row r="245" spans="1:29" x14ac:dyDescent="0.3">
      <c r="A245" s="27">
        <f t="shared" si="33"/>
        <v>226</v>
      </c>
      <c r="G245" s="62"/>
      <c r="H245" s="62"/>
      <c r="I245" s="62"/>
      <c r="J245" s="50"/>
      <c r="K245" s="51"/>
      <c r="L245" s="51"/>
      <c r="M245" s="52"/>
      <c r="N245" s="306"/>
      <c r="P245" s="296"/>
      <c r="Q245" s="297"/>
      <c r="R245" s="297"/>
      <c r="S245" s="298"/>
      <c r="T245" s="297"/>
      <c r="U245" s="298"/>
      <c r="V245" s="291"/>
      <c r="W245" s="291"/>
      <c r="Z245" s="282"/>
    </row>
    <row r="246" spans="1:29" x14ac:dyDescent="0.3">
      <c r="A246" s="27">
        <f t="shared" si="33"/>
        <v>227</v>
      </c>
      <c r="C246" s="27" t="s">
        <v>109</v>
      </c>
      <c r="F246" s="27" t="s">
        <v>61</v>
      </c>
      <c r="G246" s="63">
        <f>G170</f>
        <v>9.5999999999999992E-3</v>
      </c>
      <c r="H246" s="64">
        <f>I246</f>
        <v>9.5999999999999992E-3</v>
      </c>
      <c r="I246" s="65">
        <f>I170</f>
        <v>9.5999999999999992E-3</v>
      </c>
      <c r="J246" s="42" t="s">
        <v>110</v>
      </c>
      <c r="K246" s="66" t="s">
        <v>111</v>
      </c>
      <c r="M246" s="31"/>
      <c r="N246" s="295"/>
      <c r="P246" s="296"/>
      <c r="Q246" s="296"/>
      <c r="R246" s="296"/>
      <c r="T246" s="296"/>
      <c r="U246" s="283"/>
      <c r="V246" s="291"/>
      <c r="W246" s="291"/>
      <c r="Z246" s="282"/>
    </row>
    <row r="247" spans="1:29" ht="14.4" thickBot="1" x14ac:dyDescent="0.35">
      <c r="B247" s="31"/>
      <c r="C247" s="31"/>
      <c r="D247" s="31"/>
      <c r="E247" s="31"/>
      <c r="F247" s="31"/>
      <c r="G247" s="31"/>
      <c r="H247" s="31"/>
      <c r="I247" s="31"/>
      <c r="J247" s="44"/>
      <c r="K247" s="31"/>
      <c r="L247" s="31"/>
      <c r="M247" s="31"/>
      <c r="N247" s="300"/>
      <c r="O247" s="301"/>
      <c r="P247" s="302"/>
      <c r="Q247" s="303">
        <f>SUM(Q214:Q246)</f>
        <v>4439.9473150572549</v>
      </c>
      <c r="R247" s="303">
        <f>SUM(R214:R246)</f>
        <v>4614.0485657969257</v>
      </c>
      <c r="S247" s="303">
        <f>SUM(S214:S246)</f>
        <v>174.10125073967112</v>
      </c>
      <c r="T247" s="303">
        <f>SUM(T214:T246)</f>
        <v>4449.709007996531</v>
      </c>
      <c r="U247" s="303">
        <f>SUM(U214:U246)</f>
        <v>164.3395578003948</v>
      </c>
      <c r="V247" s="291"/>
      <c r="W247" s="291"/>
      <c r="Z247" s="282"/>
    </row>
    <row r="248" spans="1:29" ht="14.4" thickTop="1" x14ac:dyDescent="0.3">
      <c r="A248" s="27">
        <f>+A246+1</f>
        <v>228</v>
      </c>
      <c r="B248" s="48"/>
      <c r="M248" s="31"/>
      <c r="P248" s="296"/>
      <c r="Q248" s="296"/>
      <c r="R248" s="296"/>
      <c r="S248" s="296"/>
      <c r="T248" s="296"/>
      <c r="U248" s="283"/>
      <c r="V248" s="291"/>
      <c r="W248" s="291"/>
      <c r="Z248" s="282"/>
    </row>
    <row r="249" spans="1:29" x14ac:dyDescent="0.3">
      <c r="A249" s="27">
        <f t="shared" si="33"/>
        <v>229</v>
      </c>
      <c r="B249" s="48" t="s">
        <v>164</v>
      </c>
      <c r="C249" s="27" t="s">
        <v>65</v>
      </c>
      <c r="M249" s="31"/>
      <c r="P249" s="296"/>
      <c r="Q249" s="296"/>
      <c r="R249" s="296"/>
      <c r="T249" s="296"/>
      <c r="U249" s="283"/>
      <c r="V249" s="291"/>
      <c r="W249" s="291"/>
      <c r="Z249" s="282"/>
    </row>
    <row r="250" spans="1:29" x14ac:dyDescent="0.3">
      <c r="A250" s="27">
        <f t="shared" si="33"/>
        <v>230</v>
      </c>
      <c r="D250" s="27" t="s">
        <v>99</v>
      </c>
      <c r="F250" s="27" t="s">
        <v>60</v>
      </c>
      <c r="G250" s="51">
        <v>156.7672377094168</v>
      </c>
      <c r="H250" s="49">
        <f>G250*(1+'[2]Exhibit MJC-2 - Old E-8a'!V27)</f>
        <v>163.11999393239915</v>
      </c>
      <c r="I250" s="49">
        <f>'[2]MFR E-14D2'!$I$20</f>
        <v>95.531058081229432</v>
      </c>
      <c r="J250" s="50" t="s">
        <v>151</v>
      </c>
      <c r="K250" s="51" t="s">
        <v>152</v>
      </c>
      <c r="L250" s="51"/>
      <c r="M250" s="52"/>
      <c r="N250" s="308">
        <f>H250-G250</f>
        <v>6.3527562229823502</v>
      </c>
      <c r="O250" s="284">
        <f>(N250/G250)</f>
        <v>4.052349403998428E-2</v>
      </c>
      <c r="P250" s="296"/>
      <c r="Q250" s="297">
        <f>(P250*G250)/1000</f>
        <v>0</v>
      </c>
      <c r="R250" s="297">
        <f>(P250*H250)/1000</f>
        <v>0</v>
      </c>
      <c r="S250" s="298">
        <f>R250-Q250</f>
        <v>0</v>
      </c>
      <c r="T250" s="297">
        <f>(P250*I250)/1000</f>
        <v>0</v>
      </c>
      <c r="U250" s="298">
        <f>R250-T250</f>
        <v>0</v>
      </c>
      <c r="V250" s="291" t="s">
        <v>164</v>
      </c>
      <c r="W250" s="291" t="s">
        <v>164</v>
      </c>
      <c r="Z250" s="282"/>
      <c r="AC250" s="27" t="b">
        <f t="shared" ref="AC250:AC253" si="38">H250&gt;=I250</f>
        <v>1</v>
      </c>
    </row>
    <row r="251" spans="1:29" x14ac:dyDescent="0.3">
      <c r="A251" s="27">
        <f t="shared" si="33"/>
        <v>231</v>
      </c>
      <c r="D251" s="27" t="s">
        <v>101</v>
      </c>
      <c r="F251" s="27" t="s">
        <v>60</v>
      </c>
      <c r="G251" s="51">
        <f>'[2]MFR E-13c'!F605</f>
        <v>432.09</v>
      </c>
      <c r="H251" s="51">
        <f>'[2]MFR E-13c'!L605</f>
        <v>440.95</v>
      </c>
      <c r="I251" s="49">
        <f>'[2]MFR E-14D2'!$I$21</f>
        <v>240.37860095595573</v>
      </c>
      <c r="J251" s="50" t="s">
        <v>151</v>
      </c>
      <c r="K251" s="51" t="s">
        <v>69</v>
      </c>
      <c r="L251" s="51"/>
      <c r="M251" s="52"/>
      <c r="N251" s="308">
        <f>H251-G251</f>
        <v>8.8600000000000136</v>
      </c>
      <c r="O251" s="284">
        <f>(N251/G251)</f>
        <v>2.0504987386887025E-2</v>
      </c>
      <c r="P251" s="296">
        <v>0</v>
      </c>
      <c r="Q251" s="297">
        <f>(P251*G251)/1000</f>
        <v>0</v>
      </c>
      <c r="R251" s="297">
        <f>(P251*H251)/1000</f>
        <v>0</v>
      </c>
      <c r="S251" s="298">
        <f>R251-Q251</f>
        <v>0</v>
      </c>
      <c r="T251" s="297">
        <f>(P251*I251)/1000</f>
        <v>0</v>
      </c>
      <c r="U251" s="298">
        <f>R251-T251</f>
        <v>0</v>
      </c>
      <c r="V251" s="291" t="s">
        <v>164</v>
      </c>
      <c r="W251" s="291" t="s">
        <v>164</v>
      </c>
      <c r="Z251" s="282"/>
      <c r="AC251" s="27" t="b">
        <f t="shared" si="38"/>
        <v>1</v>
      </c>
    </row>
    <row r="252" spans="1:29" x14ac:dyDescent="0.3">
      <c r="A252" s="27">
        <f t="shared" si="33"/>
        <v>232</v>
      </c>
      <c r="D252" s="27" t="s">
        <v>102</v>
      </c>
      <c r="F252" s="27" t="s">
        <v>60</v>
      </c>
      <c r="G252" s="51">
        <f>'[2]MFR E-13c'!F607</f>
        <v>1488.73</v>
      </c>
      <c r="H252" s="51">
        <f>'[2]MFR E-13c'!L607</f>
        <v>1519.26</v>
      </c>
      <c r="I252" s="49">
        <f>'[2]MFR E-14D2'!$I$22</f>
        <v>425.73937849400534</v>
      </c>
      <c r="J252" s="50" t="s">
        <v>151</v>
      </c>
      <c r="K252" s="51" t="s">
        <v>69</v>
      </c>
      <c r="L252" s="51"/>
      <c r="M252" s="52"/>
      <c r="N252" s="308">
        <f>H252-G252</f>
        <v>30.529999999999973</v>
      </c>
      <c r="O252" s="284">
        <f>(N252/G252)</f>
        <v>2.0507412358184474E-2</v>
      </c>
      <c r="P252" s="296">
        <v>0</v>
      </c>
      <c r="Q252" s="297">
        <f>(P252*G252)/1000</f>
        <v>0</v>
      </c>
      <c r="R252" s="297">
        <f>(P252*H252)/1000</f>
        <v>0</v>
      </c>
      <c r="S252" s="298">
        <f>R252-Q252</f>
        <v>0</v>
      </c>
      <c r="T252" s="297">
        <f>(P252*I252)/1000</f>
        <v>0</v>
      </c>
      <c r="U252" s="298">
        <f>R252-T252</f>
        <v>0</v>
      </c>
      <c r="V252" s="291" t="s">
        <v>164</v>
      </c>
      <c r="W252" s="291" t="s">
        <v>164</v>
      </c>
      <c r="Z252" s="282"/>
      <c r="AC252" s="27" t="b">
        <f t="shared" si="38"/>
        <v>1</v>
      </c>
    </row>
    <row r="253" spans="1:29" x14ac:dyDescent="0.3">
      <c r="A253" s="27">
        <f t="shared" si="33"/>
        <v>233</v>
      </c>
      <c r="D253" s="27" t="s">
        <v>153</v>
      </c>
      <c r="F253" s="27" t="s">
        <v>60</v>
      </c>
      <c r="G253" s="51">
        <f>'[2]MFR E-13c'!F606</f>
        <v>145.94</v>
      </c>
      <c r="H253" s="51">
        <f>'[2]MFR E-13c'!L606</f>
        <v>146.87</v>
      </c>
      <c r="I253" s="49"/>
      <c r="J253" s="50"/>
      <c r="K253" s="51" t="s">
        <v>69</v>
      </c>
      <c r="L253" s="51"/>
      <c r="M253" s="52"/>
      <c r="N253" s="308">
        <f>H253-G253</f>
        <v>0.93000000000000682</v>
      </c>
      <c r="O253" s="284">
        <f>(N253/G253)</f>
        <v>6.3724818418528627E-3</v>
      </c>
      <c r="P253" s="296">
        <v>12.099999999999996</v>
      </c>
      <c r="Q253" s="297">
        <f>(P253*G253)/1000</f>
        <v>1.7658739999999993</v>
      </c>
      <c r="R253" s="297">
        <f>(P253*H253)/1000</f>
        <v>1.7771269999999995</v>
      </c>
      <c r="S253" s="298">
        <f>R253-Q253</f>
        <v>1.125300000000018E-2</v>
      </c>
      <c r="T253" s="297">
        <f>(P253*I253)/1000</f>
        <v>0</v>
      </c>
      <c r="U253" s="298">
        <f>R253-T253</f>
        <v>1.7771269999999995</v>
      </c>
      <c r="V253" s="291" t="s">
        <v>164</v>
      </c>
      <c r="W253" s="291" t="s">
        <v>164</v>
      </c>
      <c r="Z253" s="282"/>
      <c r="AC253" s="27" t="b">
        <f t="shared" si="38"/>
        <v>1</v>
      </c>
    </row>
    <row r="254" spans="1:29" x14ac:dyDescent="0.3">
      <c r="A254" s="27">
        <f t="shared" si="33"/>
        <v>234</v>
      </c>
      <c r="G254" s="51"/>
      <c r="H254" s="51"/>
      <c r="I254" s="56"/>
      <c r="J254" s="50"/>
      <c r="K254" s="51"/>
      <c r="L254" s="51"/>
      <c r="M254" s="52"/>
      <c r="P254" s="296"/>
      <c r="Q254" s="296"/>
      <c r="R254" s="296"/>
      <c r="T254" s="296"/>
      <c r="U254" s="283"/>
      <c r="V254" s="291"/>
      <c r="W254" s="291"/>
      <c r="Z254" s="282"/>
    </row>
    <row r="255" spans="1:29" x14ac:dyDescent="0.3">
      <c r="A255" s="27">
        <f t="shared" si="33"/>
        <v>235</v>
      </c>
      <c r="C255" s="68" t="s">
        <v>75</v>
      </c>
      <c r="D255" s="68"/>
      <c r="F255" s="27" t="s">
        <v>78</v>
      </c>
      <c r="G255" s="56">
        <f>'[2]MFR E-13c'!F626/10</f>
        <v>1.7600000000000002</v>
      </c>
      <c r="H255" s="56">
        <f>'[2]MFR E-13c'!L626/10</f>
        <v>1.831</v>
      </c>
      <c r="I255" s="56">
        <f>'[2]MFR E-14D2'!$I$30/10</f>
        <v>0.60899999999999999</v>
      </c>
      <c r="J255" s="50" t="s">
        <v>151</v>
      </c>
      <c r="K255" s="51" t="s">
        <v>69</v>
      </c>
      <c r="L255" s="56"/>
      <c r="M255" s="60"/>
      <c r="N255" s="295">
        <f>H255-G255</f>
        <v>7.099999999999973E-2</v>
      </c>
      <c r="O255" s="284">
        <f>(N255/G255)</f>
        <v>4.0340909090908934E-2</v>
      </c>
      <c r="P255" s="296">
        <v>72451.900000000009</v>
      </c>
      <c r="Q255" s="297">
        <f>(P255*G255*10)/1000</f>
        <v>1275.1534400000003</v>
      </c>
      <c r="R255" s="297">
        <f>(P255*H255*10)/1000</f>
        <v>1326.5942889999999</v>
      </c>
      <c r="S255" s="298">
        <f>R255-Q255</f>
        <v>51.440848999999616</v>
      </c>
      <c r="T255" s="297">
        <f>(P255*I255*10)/1000</f>
        <v>441.23207100000008</v>
      </c>
      <c r="U255" s="298">
        <f>R255-T255</f>
        <v>885.36221799999976</v>
      </c>
      <c r="V255" s="291" t="s">
        <v>164</v>
      </c>
      <c r="W255" s="291" t="s">
        <v>164</v>
      </c>
      <c r="Z255" s="282"/>
    </row>
    <row r="256" spans="1:29" x14ac:dyDescent="0.3">
      <c r="A256" s="27">
        <f t="shared" si="33"/>
        <v>236</v>
      </c>
      <c r="C256" s="69"/>
      <c r="D256" s="68"/>
      <c r="G256" s="51"/>
      <c r="H256" s="51"/>
      <c r="I256" s="51"/>
      <c r="J256" s="50"/>
      <c r="K256" s="51"/>
      <c r="L256" s="51"/>
      <c r="M256" s="52"/>
      <c r="P256" s="296"/>
      <c r="Q256" s="296"/>
      <c r="R256" s="296"/>
      <c r="T256" s="296"/>
      <c r="U256" s="283"/>
      <c r="V256" s="291"/>
      <c r="W256" s="291"/>
      <c r="Z256" s="282"/>
    </row>
    <row r="257" spans="1:26" x14ac:dyDescent="0.3">
      <c r="A257" s="27">
        <f t="shared" si="33"/>
        <v>237</v>
      </c>
      <c r="C257" s="68" t="s">
        <v>154</v>
      </c>
      <c r="D257" s="68"/>
      <c r="G257" s="51"/>
      <c r="H257" s="51"/>
      <c r="I257" s="51"/>
      <c r="J257" s="50"/>
      <c r="K257" s="51"/>
      <c r="L257" s="51"/>
      <c r="M257" s="52"/>
      <c r="P257" s="296"/>
      <c r="Q257" s="296"/>
      <c r="R257" s="296"/>
      <c r="T257" s="296"/>
      <c r="U257" s="283"/>
      <c r="V257" s="291"/>
      <c r="W257" s="291"/>
      <c r="Z257" s="282"/>
    </row>
    <row r="258" spans="1:26" x14ac:dyDescent="0.3">
      <c r="A258" s="27">
        <f t="shared" si="33"/>
        <v>238</v>
      </c>
      <c r="D258" s="68" t="s">
        <v>155</v>
      </c>
      <c r="F258" s="27" t="s">
        <v>119</v>
      </c>
      <c r="G258" s="51">
        <f>'[2]MFR E-13c'!F612</f>
        <v>3.43</v>
      </c>
      <c r="H258" s="51">
        <f>'[2]MFR E-13c'!L612</f>
        <v>3.57</v>
      </c>
      <c r="I258" s="51">
        <f>'[2]MFR E-14D2'!$I$34</f>
        <v>6.52</v>
      </c>
      <c r="J258" s="50" t="s">
        <v>151</v>
      </c>
      <c r="K258" s="51" t="s">
        <v>69</v>
      </c>
      <c r="L258" s="51"/>
      <c r="M258" s="52"/>
      <c r="N258" s="308">
        <f>H258-G258</f>
        <v>0.13999999999999968</v>
      </c>
      <c r="O258" s="284">
        <f>(N258/G258)</f>
        <v>4.0816326530612151E-2</v>
      </c>
      <c r="P258" s="296">
        <v>266652</v>
      </c>
      <c r="Q258" s="297">
        <f>(P258*G258)/1000</f>
        <v>914.61635999999999</v>
      </c>
      <c r="R258" s="297">
        <f>(P258*H258)/1000</f>
        <v>951.94763999999998</v>
      </c>
      <c r="S258" s="298">
        <f>R258-Q258</f>
        <v>37.331279999999992</v>
      </c>
      <c r="T258" s="297">
        <f>(P258*I258)/1000</f>
        <v>1738.5710399999998</v>
      </c>
      <c r="U258" s="298">
        <f>R258-T258</f>
        <v>-786.62339999999983</v>
      </c>
      <c r="V258" s="291" t="s">
        <v>164</v>
      </c>
      <c r="W258" s="291" t="s">
        <v>164</v>
      </c>
      <c r="Z258" s="282"/>
    </row>
    <row r="259" spans="1:26" x14ac:dyDescent="0.3">
      <c r="A259" s="27">
        <f t="shared" si="33"/>
        <v>239</v>
      </c>
      <c r="C259" s="68"/>
      <c r="G259" s="51"/>
      <c r="H259" s="51"/>
      <c r="I259" s="51"/>
      <c r="J259" s="50"/>
      <c r="K259" s="51"/>
      <c r="L259" s="51"/>
      <c r="M259" s="52"/>
      <c r="P259" s="296"/>
      <c r="Q259" s="296"/>
      <c r="R259" s="296"/>
      <c r="T259" s="296"/>
      <c r="U259" s="283"/>
      <c r="V259" s="291"/>
      <c r="W259" s="291"/>
      <c r="Z259" s="282"/>
    </row>
    <row r="260" spans="1:26" x14ac:dyDescent="0.3">
      <c r="A260" s="27">
        <f t="shared" si="33"/>
        <v>240</v>
      </c>
      <c r="C260" s="68" t="s">
        <v>156</v>
      </c>
      <c r="D260" s="68"/>
      <c r="G260" s="51"/>
      <c r="H260" s="51"/>
      <c r="I260" s="51"/>
      <c r="J260" s="50"/>
      <c r="K260" s="51"/>
      <c r="L260" s="51"/>
      <c r="M260" s="52"/>
      <c r="P260" s="296"/>
      <c r="Q260" s="296"/>
      <c r="R260" s="296"/>
      <c r="T260" s="296"/>
      <c r="U260" s="283"/>
      <c r="V260" s="291"/>
      <c r="W260" s="291"/>
      <c r="Z260" s="282"/>
    </row>
    <row r="261" spans="1:26" x14ac:dyDescent="0.3">
      <c r="A261" s="27">
        <f t="shared" si="33"/>
        <v>241</v>
      </c>
      <c r="C261" s="68"/>
      <c r="D261" s="68" t="s">
        <v>157</v>
      </c>
      <c r="G261" s="51"/>
      <c r="H261" s="51"/>
      <c r="I261" s="51"/>
      <c r="J261" s="50"/>
      <c r="K261" s="51"/>
      <c r="L261" s="51"/>
      <c r="M261" s="52"/>
      <c r="P261" s="296"/>
      <c r="Q261" s="296"/>
      <c r="R261" s="296"/>
      <c r="T261" s="296"/>
      <c r="U261" s="283"/>
      <c r="V261" s="291"/>
      <c r="W261" s="291"/>
      <c r="Z261" s="282"/>
    </row>
    <row r="262" spans="1:26" x14ac:dyDescent="0.3">
      <c r="A262" s="27">
        <f t="shared" si="33"/>
        <v>242</v>
      </c>
      <c r="C262" s="68"/>
      <c r="D262" s="68" t="s">
        <v>158</v>
      </c>
      <c r="G262" s="51"/>
      <c r="H262" s="51"/>
      <c r="I262" s="51"/>
      <c r="J262" s="50"/>
      <c r="K262" s="51"/>
      <c r="L262" s="51"/>
      <c r="M262" s="52"/>
      <c r="P262" s="296"/>
      <c r="Q262" s="296"/>
      <c r="R262" s="296"/>
      <c r="T262" s="296"/>
      <c r="U262" s="283"/>
      <c r="V262" s="291"/>
      <c r="W262" s="291"/>
      <c r="Z262" s="282"/>
    </row>
    <row r="263" spans="1:26" x14ac:dyDescent="0.3">
      <c r="A263" s="27">
        <f t="shared" si="33"/>
        <v>243</v>
      </c>
      <c r="C263" s="68"/>
      <c r="D263" s="70" t="s">
        <v>155</v>
      </c>
      <c r="F263" s="27" t="s">
        <v>119</v>
      </c>
      <c r="G263" s="71">
        <f>'[2]MFR E-13c'!F617</f>
        <v>1.9570000000000001</v>
      </c>
      <c r="H263" s="71">
        <f>'[2]MFR E-13c'!L617</f>
        <v>2.0339999999999998</v>
      </c>
      <c r="I263" s="71">
        <f>'[2]MFR E-14D2'!$I$41</f>
        <v>2.21</v>
      </c>
      <c r="J263" s="50" t="s">
        <v>151</v>
      </c>
      <c r="K263" s="51" t="s">
        <v>69</v>
      </c>
      <c r="L263" s="51"/>
      <c r="M263" s="52"/>
      <c r="N263" s="315">
        <f>H263-G263</f>
        <v>7.6999999999999735E-2</v>
      </c>
      <c r="O263" s="284">
        <f>(N263/G263)</f>
        <v>3.9345937659683049E-2</v>
      </c>
      <c r="P263" s="296">
        <v>0</v>
      </c>
      <c r="Q263" s="297">
        <f>(P263*G263)/1000</f>
        <v>0</v>
      </c>
      <c r="R263" s="297">
        <f>(P263*H263)/1000</f>
        <v>0</v>
      </c>
      <c r="S263" s="298">
        <f>R263-Q263</f>
        <v>0</v>
      </c>
      <c r="T263" s="297">
        <f>(P263*I263)/1000</f>
        <v>0</v>
      </c>
      <c r="U263" s="298">
        <f>R263-T263</f>
        <v>0</v>
      </c>
      <c r="V263" s="291" t="s">
        <v>164</v>
      </c>
      <c r="W263" s="291" t="s">
        <v>164</v>
      </c>
      <c r="Z263" s="282"/>
    </row>
    <row r="264" spans="1:26" x14ac:dyDescent="0.3">
      <c r="A264" s="27">
        <f t="shared" si="33"/>
        <v>244</v>
      </c>
      <c r="D264" s="68" t="s">
        <v>159</v>
      </c>
      <c r="F264" s="27" t="s">
        <v>119</v>
      </c>
      <c r="G264" s="71">
        <f>'[2]MFR E-13c'!F618</f>
        <v>0.93100000000000005</v>
      </c>
      <c r="H264" s="71">
        <f>'[2]MFR E-13c'!L618</f>
        <v>0.96799999999999997</v>
      </c>
      <c r="I264" s="71">
        <f>'[2]MFR E-14D2'!$I$44</f>
        <v>1.052</v>
      </c>
      <c r="J264" s="50" t="s">
        <v>151</v>
      </c>
      <c r="K264" s="51" t="s">
        <v>69</v>
      </c>
      <c r="L264" s="51"/>
      <c r="M264" s="52"/>
      <c r="N264" s="315">
        <f>H264-G264</f>
        <v>3.6999999999999922E-2</v>
      </c>
      <c r="O264" s="284">
        <f>(N264/G264)</f>
        <v>3.9742212674543413E-2</v>
      </c>
      <c r="P264" s="296">
        <v>2035653.2099715918</v>
      </c>
      <c r="Q264" s="297">
        <f>(P264*G264)/1000</f>
        <v>1895.193138483552</v>
      </c>
      <c r="R264" s="297">
        <f>(P264*H264)/1000</f>
        <v>1970.5123072525009</v>
      </c>
      <c r="S264" s="298">
        <f>R264-Q264</f>
        <v>75.319168768948884</v>
      </c>
      <c r="T264" s="297">
        <f>(P264*I264)/1000</f>
        <v>2141.5071768901148</v>
      </c>
      <c r="U264" s="298">
        <f>R264-T264</f>
        <v>-170.99486963761387</v>
      </c>
      <c r="V264" s="291" t="s">
        <v>164</v>
      </c>
      <c r="W264" s="291" t="s">
        <v>164</v>
      </c>
      <c r="Z264" s="282"/>
    </row>
    <row r="265" spans="1:26" x14ac:dyDescent="0.3">
      <c r="A265" s="27">
        <f t="shared" si="33"/>
        <v>245</v>
      </c>
      <c r="G265" s="71"/>
      <c r="H265" s="71"/>
      <c r="I265" s="51"/>
      <c r="J265" s="50"/>
      <c r="K265" s="51"/>
      <c r="L265" s="51"/>
      <c r="M265" s="52"/>
      <c r="P265" s="296"/>
      <c r="Q265" s="296"/>
      <c r="R265" s="296"/>
      <c r="T265" s="296"/>
      <c r="U265" s="283"/>
      <c r="V265" s="291"/>
      <c r="W265" s="291"/>
      <c r="Z265" s="282"/>
    </row>
    <row r="266" spans="1:26" x14ac:dyDescent="0.3">
      <c r="A266" s="27">
        <f t="shared" si="33"/>
        <v>246</v>
      </c>
      <c r="C266" s="27" t="s">
        <v>165</v>
      </c>
      <c r="G266" s="71"/>
      <c r="H266" s="71"/>
      <c r="I266" s="51"/>
      <c r="J266" s="50"/>
      <c r="K266" s="51"/>
      <c r="L266" s="51"/>
      <c r="M266" s="52"/>
      <c r="P266" s="296"/>
      <c r="Q266" s="296"/>
      <c r="R266" s="296"/>
      <c r="T266" s="296"/>
      <c r="U266" s="283"/>
      <c r="V266" s="291"/>
      <c r="W266" s="291"/>
      <c r="Z266" s="282"/>
    </row>
    <row r="267" spans="1:26" x14ac:dyDescent="0.3">
      <c r="A267" s="27">
        <f t="shared" si="33"/>
        <v>247</v>
      </c>
      <c r="D267" s="68" t="s">
        <v>162</v>
      </c>
      <c r="F267" s="27" t="s">
        <v>119</v>
      </c>
      <c r="G267" s="71">
        <v>0.58199999999999996</v>
      </c>
      <c r="H267" s="71">
        <f>I267</f>
        <v>0.58199999999999996</v>
      </c>
      <c r="I267" s="254">
        <f>'[2]MFR E-14D2'!I50</f>
        <v>0.58199999999999996</v>
      </c>
      <c r="J267" s="42" t="s">
        <v>151</v>
      </c>
      <c r="K267" s="51" t="s">
        <v>135</v>
      </c>
      <c r="M267" s="31"/>
      <c r="N267" s="315">
        <f>H267-G267</f>
        <v>0</v>
      </c>
      <c r="O267" s="284">
        <f>(N267/G267)</f>
        <v>0</v>
      </c>
      <c r="P267" s="296"/>
      <c r="Q267" s="296"/>
      <c r="R267" s="296"/>
      <c r="S267" s="298">
        <f>R267-Q267</f>
        <v>0</v>
      </c>
      <c r="T267" s="296"/>
      <c r="U267" s="298">
        <f>R267-T267</f>
        <v>0</v>
      </c>
      <c r="V267" s="291" t="s">
        <v>164</v>
      </c>
      <c r="W267" s="291" t="s">
        <v>164</v>
      </c>
      <c r="Z267" s="282"/>
    </row>
    <row r="268" spans="1:26" x14ac:dyDescent="0.3">
      <c r="A268" s="27">
        <f t="shared" si="33"/>
        <v>248</v>
      </c>
      <c r="D268" s="68" t="s">
        <v>163</v>
      </c>
      <c r="F268" s="27" t="s">
        <v>119</v>
      </c>
      <c r="G268" s="71">
        <v>0.27700000000000002</v>
      </c>
      <c r="H268" s="71">
        <f>I268</f>
        <v>0.27700000000000002</v>
      </c>
      <c r="I268" s="254">
        <f>'[2]MFR E-14D2'!I52</f>
        <v>0.27700000000000002</v>
      </c>
      <c r="J268" s="42" t="s">
        <v>151</v>
      </c>
      <c r="K268" s="51" t="s">
        <v>135</v>
      </c>
      <c r="M268" s="31"/>
      <c r="N268" s="315">
        <f>H268-G268</f>
        <v>0</v>
      </c>
      <c r="O268" s="284">
        <f>(N268/G268)</f>
        <v>0</v>
      </c>
      <c r="P268" s="296"/>
      <c r="Q268" s="296"/>
      <c r="R268" s="296"/>
      <c r="S268" s="298">
        <f>R268-Q268</f>
        <v>0</v>
      </c>
      <c r="T268" s="296"/>
      <c r="U268" s="298">
        <f>R268-T268</f>
        <v>0</v>
      </c>
      <c r="V268" s="291" t="s">
        <v>164</v>
      </c>
      <c r="W268" s="291" t="s">
        <v>164</v>
      </c>
      <c r="Z268" s="282"/>
    </row>
    <row r="269" spans="1:26" x14ac:dyDescent="0.3">
      <c r="A269" s="27">
        <f t="shared" si="33"/>
        <v>249</v>
      </c>
      <c r="M269" s="31"/>
      <c r="P269" s="296"/>
      <c r="Q269" s="296"/>
      <c r="R269" s="296"/>
      <c r="T269" s="296"/>
      <c r="U269" s="283"/>
      <c r="V269" s="291"/>
      <c r="W269" s="291"/>
      <c r="Z269" s="282"/>
    </row>
    <row r="270" spans="1:26" x14ac:dyDescent="0.3">
      <c r="A270" s="27">
        <f t="shared" ref="A270:A295" si="39">+A269+1</f>
        <v>250</v>
      </c>
      <c r="D270" s="27" t="s">
        <v>123</v>
      </c>
      <c r="M270" s="31"/>
      <c r="P270" s="296"/>
      <c r="Q270" s="296"/>
      <c r="R270" s="296"/>
      <c r="T270" s="296"/>
      <c r="U270" s="283"/>
      <c r="V270" s="291"/>
      <c r="W270" s="291"/>
      <c r="Z270" s="282"/>
    </row>
    <row r="271" spans="1:26" x14ac:dyDescent="0.3">
      <c r="A271" s="27">
        <f t="shared" si="39"/>
        <v>251</v>
      </c>
      <c r="D271" s="54" t="s">
        <v>101</v>
      </c>
      <c r="F271" s="27" t="s">
        <v>119</v>
      </c>
      <c r="G271" s="49">
        <f>G237</f>
        <v>1.3</v>
      </c>
      <c r="H271" s="49">
        <f>I271</f>
        <v>1.34</v>
      </c>
      <c r="I271" s="58">
        <f>I237</f>
        <v>1.34</v>
      </c>
      <c r="J271" s="50" t="s">
        <v>124</v>
      </c>
      <c r="K271" s="51" t="s">
        <v>106</v>
      </c>
      <c r="M271" s="31"/>
      <c r="N271" s="315">
        <f>H271-G271</f>
        <v>4.0000000000000036E-2</v>
      </c>
      <c r="O271" s="284">
        <f>(N271/G271)</f>
        <v>3.0769230769230795E-2</v>
      </c>
      <c r="P271" s="296">
        <v>0</v>
      </c>
      <c r="Q271" s="297">
        <f>(P271*G271)/1000</f>
        <v>0</v>
      </c>
      <c r="R271" s="297">
        <f>(P271*H271)/1000</f>
        <v>0</v>
      </c>
      <c r="S271" s="298">
        <f>R271-Q271</f>
        <v>0</v>
      </c>
      <c r="T271" s="297">
        <f>(P271*I271)/1000</f>
        <v>0</v>
      </c>
      <c r="U271" s="298">
        <f>R271-T271</f>
        <v>0</v>
      </c>
      <c r="V271" s="291" t="s">
        <v>164</v>
      </c>
      <c r="W271" s="291" t="s">
        <v>164</v>
      </c>
      <c r="Z271" s="282"/>
    </row>
    <row r="272" spans="1:26" x14ac:dyDescent="0.3">
      <c r="A272" s="27">
        <f t="shared" si="39"/>
        <v>252</v>
      </c>
      <c r="D272" s="54" t="s">
        <v>125</v>
      </c>
      <c r="F272" s="27" t="s">
        <v>119</v>
      </c>
      <c r="G272" s="49">
        <f t="shared" ref="G272:G273" si="40">G238</f>
        <v>6.18</v>
      </c>
      <c r="H272" s="49">
        <f t="shared" ref="H272:H273" si="41">I272</f>
        <v>6.47</v>
      </c>
      <c r="I272" s="58">
        <f t="shared" ref="I272:I273" si="42">I238</f>
        <v>6.47</v>
      </c>
      <c r="J272" s="50" t="s">
        <v>124</v>
      </c>
      <c r="K272" s="51" t="s">
        <v>106</v>
      </c>
      <c r="L272" s="51"/>
      <c r="M272" s="52"/>
      <c r="P272" s="296"/>
      <c r="Q272" s="313"/>
      <c r="R272" s="313"/>
      <c r="T272" s="313"/>
      <c r="U272" s="283"/>
      <c r="V272" s="291"/>
      <c r="W272" s="291"/>
      <c r="Z272" s="282"/>
    </row>
    <row r="273" spans="1:26" x14ac:dyDescent="0.3">
      <c r="A273" s="27">
        <f t="shared" si="39"/>
        <v>253</v>
      </c>
      <c r="D273" s="54" t="s">
        <v>126</v>
      </c>
      <c r="F273" s="27" t="s">
        <v>119</v>
      </c>
      <c r="G273" s="49">
        <f t="shared" si="40"/>
        <v>8.61</v>
      </c>
      <c r="H273" s="49">
        <f t="shared" si="41"/>
        <v>9.0399999999999991</v>
      </c>
      <c r="I273" s="58">
        <f t="shared" si="42"/>
        <v>9.0399999999999991</v>
      </c>
      <c r="J273" s="50" t="s">
        <v>124</v>
      </c>
      <c r="K273" s="51" t="s">
        <v>106</v>
      </c>
      <c r="L273" s="51"/>
      <c r="M273" s="52"/>
      <c r="P273" s="296"/>
      <c r="Q273" s="313"/>
      <c r="R273" s="313"/>
      <c r="T273" s="313"/>
      <c r="U273" s="283"/>
      <c r="V273" s="291"/>
      <c r="W273" s="291"/>
      <c r="Z273" s="282"/>
    </row>
    <row r="274" spans="1:26" x14ac:dyDescent="0.3">
      <c r="A274" s="27">
        <f t="shared" si="39"/>
        <v>254</v>
      </c>
      <c r="D274" s="27" t="s">
        <v>104</v>
      </c>
      <c r="F274" s="27" t="s">
        <v>119</v>
      </c>
      <c r="G274" s="49">
        <f>G125</f>
        <v>1.96</v>
      </c>
      <c r="H274" s="49">
        <f>I274</f>
        <v>2.06</v>
      </c>
      <c r="I274" s="49">
        <f>'[2]MFR E-14G'!I22</f>
        <v>2.06</v>
      </c>
      <c r="J274" s="50" t="s">
        <v>105</v>
      </c>
      <c r="K274" s="51" t="s">
        <v>106</v>
      </c>
      <c r="M274" s="31"/>
      <c r="N274" s="308">
        <f>H274-G274</f>
        <v>0.10000000000000009</v>
      </c>
      <c r="O274" s="284">
        <f>(N274/G274)</f>
        <v>5.1020408163265356E-2</v>
      </c>
      <c r="P274" s="296"/>
      <c r="Q274" s="296"/>
      <c r="R274" s="296"/>
      <c r="T274" s="296"/>
      <c r="U274" s="283"/>
      <c r="V274" s="291" t="s">
        <v>164</v>
      </c>
      <c r="W274" s="291" t="s">
        <v>164</v>
      </c>
      <c r="Z274" s="282"/>
    </row>
    <row r="275" spans="1:26" x14ac:dyDescent="0.3">
      <c r="A275" s="27">
        <f t="shared" si="39"/>
        <v>255</v>
      </c>
      <c r="G275" s="55"/>
      <c r="H275" s="55"/>
      <c r="I275" s="55"/>
      <c r="M275" s="31"/>
      <c r="N275" s="295"/>
      <c r="P275" s="296"/>
      <c r="Q275" s="296"/>
      <c r="R275" s="296"/>
      <c r="T275" s="296"/>
      <c r="U275" s="283"/>
      <c r="V275" s="291"/>
      <c r="W275" s="291"/>
      <c r="Z275" s="282"/>
    </row>
    <row r="276" spans="1:26" x14ac:dyDescent="0.3">
      <c r="A276" s="27">
        <f t="shared" si="39"/>
        <v>256</v>
      </c>
      <c r="C276" s="27" t="s">
        <v>107</v>
      </c>
      <c r="G276" s="51"/>
      <c r="H276" s="51"/>
      <c r="I276" s="51"/>
      <c r="J276" s="50"/>
      <c r="K276" s="51"/>
      <c r="L276" s="51"/>
      <c r="M276" s="52"/>
      <c r="P276" s="296"/>
      <c r="Q276" s="296"/>
      <c r="R276" s="296"/>
      <c r="T276" s="296"/>
      <c r="U276" s="283"/>
      <c r="V276" s="291"/>
      <c r="W276" s="291"/>
      <c r="Z276" s="282"/>
    </row>
    <row r="277" spans="1:26" x14ac:dyDescent="0.3">
      <c r="A277" s="27">
        <f t="shared" si="39"/>
        <v>257</v>
      </c>
      <c r="D277" s="27" t="s">
        <v>101</v>
      </c>
      <c r="F277" s="27" t="s">
        <v>61</v>
      </c>
      <c r="G277" s="62">
        <v>0.01</v>
      </c>
      <c r="H277" s="62">
        <v>0.01</v>
      </c>
      <c r="I277" s="62"/>
      <c r="J277" s="50"/>
      <c r="K277" s="51"/>
      <c r="L277" s="51"/>
      <c r="M277" s="52"/>
      <c r="N277" s="306">
        <f>H277-G277</f>
        <v>0</v>
      </c>
      <c r="O277" s="284">
        <f>(N277/G277)</f>
        <v>0</v>
      </c>
      <c r="P277" s="296"/>
      <c r="Q277" s="297">
        <f>(P277*G277)/1000</f>
        <v>0</v>
      </c>
      <c r="R277" s="297">
        <f>(P277*H277)/1000</f>
        <v>0</v>
      </c>
      <c r="S277" s="298">
        <f>R277-Q277</f>
        <v>0</v>
      </c>
      <c r="T277" s="297">
        <f>(P277*I277)/1000</f>
        <v>0</v>
      </c>
      <c r="U277" s="298">
        <f>R277-T277</f>
        <v>0</v>
      </c>
      <c r="V277" s="291" t="s">
        <v>164</v>
      </c>
      <c r="W277" s="291" t="s">
        <v>164</v>
      </c>
      <c r="Z277" s="282"/>
    </row>
    <row r="278" spans="1:26" x14ac:dyDescent="0.3">
      <c r="A278" s="27">
        <f t="shared" si="39"/>
        <v>258</v>
      </c>
      <c r="D278" s="27" t="s">
        <v>102</v>
      </c>
      <c r="F278" s="27" t="s">
        <v>61</v>
      </c>
      <c r="G278" s="62">
        <v>0.02</v>
      </c>
      <c r="H278" s="62">
        <v>0.02</v>
      </c>
      <c r="I278" s="62"/>
      <c r="J278" s="50"/>
      <c r="K278" s="51"/>
      <c r="L278" s="51"/>
      <c r="M278" s="52"/>
      <c r="N278" s="306">
        <f>H278-G278</f>
        <v>0</v>
      </c>
      <c r="O278" s="284">
        <f>(N278/G278)</f>
        <v>0</v>
      </c>
      <c r="P278" s="296"/>
      <c r="Q278" s="297">
        <f>(P278*G278)/1000</f>
        <v>0</v>
      </c>
      <c r="R278" s="297">
        <f>(P278*H278)/1000</f>
        <v>0</v>
      </c>
      <c r="S278" s="298">
        <f>R278-Q278</f>
        <v>0</v>
      </c>
      <c r="T278" s="297">
        <f>(P278*I278)/1000</f>
        <v>0</v>
      </c>
      <c r="U278" s="298">
        <f>R278-T278</f>
        <v>0</v>
      </c>
      <c r="V278" s="291" t="s">
        <v>164</v>
      </c>
      <c r="W278" s="291" t="s">
        <v>164</v>
      </c>
      <c r="Z278" s="282"/>
    </row>
    <row r="279" spans="1:26" x14ac:dyDescent="0.3">
      <c r="A279" s="27">
        <f t="shared" si="39"/>
        <v>259</v>
      </c>
      <c r="G279" s="62"/>
      <c r="H279" s="62"/>
      <c r="I279" s="62"/>
      <c r="J279" s="50"/>
      <c r="K279" s="51"/>
      <c r="L279" s="51"/>
      <c r="M279" s="52"/>
      <c r="N279" s="306"/>
      <c r="P279" s="296"/>
      <c r="Q279" s="297"/>
      <c r="R279" s="297"/>
      <c r="S279" s="298"/>
      <c r="T279" s="297"/>
      <c r="U279" s="298"/>
      <c r="V279" s="291"/>
      <c r="W279" s="291"/>
      <c r="Z279" s="282"/>
    </row>
    <row r="280" spans="1:26" x14ac:dyDescent="0.3">
      <c r="A280" s="27">
        <f t="shared" si="39"/>
        <v>260</v>
      </c>
      <c r="C280" s="27" t="s">
        <v>109</v>
      </c>
      <c r="F280" s="27" t="s">
        <v>61</v>
      </c>
      <c r="G280" s="63">
        <f>G137</f>
        <v>9.5999999999999992E-3</v>
      </c>
      <c r="H280" s="64">
        <f>I280</f>
        <v>9.5999999999999992E-3</v>
      </c>
      <c r="I280" s="65">
        <f>I137</f>
        <v>9.5999999999999992E-3</v>
      </c>
      <c r="J280" s="42" t="s">
        <v>110</v>
      </c>
      <c r="K280" s="66" t="s">
        <v>111</v>
      </c>
      <c r="L280" s="51"/>
      <c r="M280" s="52"/>
      <c r="N280" s="295"/>
      <c r="P280" s="296"/>
      <c r="Q280" s="296"/>
      <c r="R280" s="296"/>
      <c r="T280" s="296"/>
      <c r="U280" s="283"/>
      <c r="V280" s="291"/>
      <c r="W280" s="291"/>
      <c r="Z280" s="282"/>
    </row>
    <row r="281" spans="1:26" ht="14.4" thickBot="1" x14ac:dyDescent="0.35">
      <c r="B281" s="31"/>
      <c r="C281" s="31"/>
      <c r="D281" s="31"/>
      <c r="E281" s="31"/>
      <c r="F281" s="31"/>
      <c r="G281" s="31"/>
      <c r="H281" s="31"/>
      <c r="I281" s="31"/>
      <c r="J281" s="44"/>
      <c r="K281" s="31"/>
      <c r="L281" s="31"/>
      <c r="M281" s="31"/>
      <c r="N281" s="300"/>
      <c r="O281" s="301"/>
      <c r="P281" s="302"/>
      <c r="Q281" s="303">
        <f>SUM(Q248:Q280)</f>
        <v>4086.7288124835522</v>
      </c>
      <c r="R281" s="303">
        <f>SUM(R248:R280)</f>
        <v>4250.8313632525005</v>
      </c>
      <c r="S281" s="303">
        <f>SUM(S248:S280)</f>
        <v>164.1025507689485</v>
      </c>
      <c r="T281" s="303">
        <f>SUM(T248:T280)</f>
        <v>4321.3102878901145</v>
      </c>
      <c r="U281" s="303">
        <f>SUM(U248:U280)</f>
        <v>-70.478924637614</v>
      </c>
      <c r="V281" s="291"/>
      <c r="W281" s="291"/>
      <c r="Z281" s="282"/>
    </row>
    <row r="282" spans="1:26" ht="14.4" thickTop="1" x14ac:dyDescent="0.3">
      <c r="A282" s="27">
        <f>A280+1</f>
        <v>261</v>
      </c>
      <c r="B282" s="48"/>
      <c r="C282" s="74"/>
      <c r="D282" s="74"/>
      <c r="E282" s="74"/>
      <c r="G282" s="49"/>
      <c r="H282" s="49"/>
      <c r="I282" s="49"/>
      <c r="J282" s="50"/>
      <c r="K282" s="51"/>
      <c r="L282" s="51"/>
      <c r="M282" s="52"/>
      <c r="N282" s="295"/>
      <c r="P282" s="296"/>
      <c r="Q282" s="296"/>
      <c r="R282" s="296"/>
      <c r="T282" s="296"/>
      <c r="U282" s="283"/>
      <c r="V282" s="291"/>
      <c r="W282" s="291"/>
      <c r="Z282" s="282"/>
    </row>
    <row r="283" spans="1:26" x14ac:dyDescent="0.3">
      <c r="A283" s="27">
        <f t="shared" si="39"/>
        <v>262</v>
      </c>
      <c r="B283" s="48" t="s">
        <v>166</v>
      </c>
      <c r="C283" s="74" t="s">
        <v>167</v>
      </c>
      <c r="D283" s="74"/>
      <c r="E283" s="74"/>
      <c r="F283" s="27" t="s">
        <v>60</v>
      </c>
      <c r="G283" s="49">
        <v>58</v>
      </c>
      <c r="H283" s="49">
        <v>58</v>
      </c>
      <c r="I283" s="49">
        <v>145.13</v>
      </c>
      <c r="J283" s="50" t="s">
        <v>168</v>
      </c>
      <c r="K283" s="51" t="s">
        <v>169</v>
      </c>
      <c r="L283" s="51"/>
      <c r="M283" s="52"/>
      <c r="N283" s="295">
        <f t="shared" ref="N283:N287" si="43">H283-G283</f>
        <v>0</v>
      </c>
      <c r="O283" s="284">
        <f t="shared" ref="O283:O287" si="44">(N283/G283)</f>
        <v>0</v>
      </c>
      <c r="P283" s="296"/>
      <c r="R283" s="283"/>
      <c r="T283" s="283"/>
      <c r="U283" s="283"/>
      <c r="V283" s="291"/>
      <c r="W283" s="291"/>
      <c r="Z283" s="282"/>
    </row>
    <row r="284" spans="1:26" x14ac:dyDescent="0.3">
      <c r="A284" s="27">
        <f t="shared" si="39"/>
        <v>263</v>
      </c>
      <c r="C284" s="74" t="s">
        <v>170</v>
      </c>
      <c r="D284" s="74"/>
      <c r="E284" s="74"/>
      <c r="F284" s="27" t="s">
        <v>60</v>
      </c>
      <c r="G284" s="49">
        <v>12</v>
      </c>
      <c r="H284" s="49">
        <v>12</v>
      </c>
      <c r="I284" s="49">
        <v>6.06</v>
      </c>
      <c r="J284" s="50" t="s">
        <v>168</v>
      </c>
      <c r="K284" s="51" t="s">
        <v>169</v>
      </c>
      <c r="L284" s="51"/>
      <c r="M284" s="52"/>
      <c r="N284" s="295">
        <f t="shared" si="43"/>
        <v>0</v>
      </c>
      <c r="O284" s="284">
        <f t="shared" si="44"/>
        <v>0</v>
      </c>
      <c r="P284" s="296"/>
      <c r="Q284" s="296"/>
      <c r="R284" s="296"/>
      <c r="T284" s="296"/>
      <c r="U284" s="283"/>
      <c r="V284" s="291"/>
      <c r="W284" s="291"/>
      <c r="Z284" s="282"/>
    </row>
    <row r="285" spans="1:26" x14ac:dyDescent="0.3">
      <c r="A285" s="27">
        <f t="shared" si="39"/>
        <v>264</v>
      </c>
      <c r="C285" s="74" t="s">
        <v>171</v>
      </c>
      <c r="D285" s="74"/>
      <c r="E285" s="74"/>
      <c r="F285" s="27" t="s">
        <v>60</v>
      </c>
      <c r="G285" s="49">
        <v>12</v>
      </c>
      <c r="H285" s="49">
        <v>12</v>
      </c>
      <c r="I285" s="49">
        <v>6.06</v>
      </c>
      <c r="J285" s="50" t="s">
        <v>168</v>
      </c>
      <c r="K285" s="51" t="s">
        <v>169</v>
      </c>
      <c r="L285" s="51"/>
      <c r="M285" s="52"/>
      <c r="N285" s="295">
        <f t="shared" si="43"/>
        <v>0</v>
      </c>
      <c r="O285" s="284">
        <f t="shared" si="44"/>
        <v>0</v>
      </c>
      <c r="P285" s="296"/>
      <c r="Q285" s="296"/>
      <c r="R285" s="296"/>
      <c r="T285" s="296"/>
      <c r="U285" s="283"/>
      <c r="V285" s="291"/>
      <c r="W285" s="291"/>
      <c r="Z285" s="282"/>
    </row>
    <row r="286" spans="1:26" x14ac:dyDescent="0.3">
      <c r="A286" s="27">
        <f t="shared" si="39"/>
        <v>265</v>
      </c>
      <c r="C286" s="74" t="s">
        <v>172</v>
      </c>
      <c r="D286" s="74"/>
      <c r="E286" s="74"/>
      <c r="F286" s="27" t="s">
        <v>60</v>
      </c>
      <c r="G286" s="49">
        <v>4</v>
      </c>
      <c r="H286" s="49">
        <v>4</v>
      </c>
      <c r="I286" s="49">
        <v>3.79</v>
      </c>
      <c r="J286" s="50" t="s">
        <v>168</v>
      </c>
      <c r="K286" s="51" t="s">
        <v>169</v>
      </c>
      <c r="L286" s="51"/>
      <c r="M286" s="52"/>
      <c r="N286" s="295">
        <f t="shared" si="43"/>
        <v>0</v>
      </c>
      <c r="O286" s="284">
        <f t="shared" si="44"/>
        <v>0</v>
      </c>
      <c r="P286" s="296"/>
      <c r="R286" s="283"/>
      <c r="T286" s="283"/>
      <c r="U286" s="283"/>
      <c r="V286" s="291"/>
      <c r="W286" s="291"/>
      <c r="Z286" s="282"/>
    </row>
    <row r="287" spans="1:26" x14ac:dyDescent="0.3">
      <c r="A287" s="27">
        <f t="shared" si="39"/>
        <v>266</v>
      </c>
      <c r="C287" s="74" t="s">
        <v>173</v>
      </c>
      <c r="D287" s="74"/>
      <c r="E287" s="74"/>
      <c r="F287" s="27" t="s">
        <v>60</v>
      </c>
      <c r="G287" s="49">
        <v>200</v>
      </c>
      <c r="H287" s="49">
        <v>200</v>
      </c>
      <c r="I287" s="49">
        <v>98.91</v>
      </c>
      <c r="J287" s="50" t="s">
        <v>168</v>
      </c>
      <c r="K287" s="51" t="s">
        <v>169</v>
      </c>
      <c r="L287" s="51"/>
      <c r="M287" s="52"/>
      <c r="N287" s="295">
        <f t="shared" si="43"/>
        <v>0</v>
      </c>
      <c r="O287" s="284">
        <f t="shared" si="44"/>
        <v>0</v>
      </c>
      <c r="Q287" s="285"/>
      <c r="U287" s="283"/>
      <c r="V287" s="294"/>
      <c r="W287" s="294"/>
      <c r="Z287" s="282"/>
    </row>
    <row r="288" spans="1:26" x14ac:dyDescent="0.3">
      <c r="A288" s="27">
        <f t="shared" si="39"/>
        <v>267</v>
      </c>
      <c r="C288" s="74" t="s">
        <v>174</v>
      </c>
      <c r="D288" s="74"/>
      <c r="E288" s="74"/>
      <c r="F288" s="74"/>
      <c r="G288" s="75"/>
      <c r="H288" s="75"/>
      <c r="I288" s="75"/>
      <c r="J288" s="50"/>
      <c r="K288" s="51"/>
      <c r="L288" s="51"/>
      <c r="M288" s="52"/>
      <c r="N288" s="295"/>
      <c r="Q288" s="285"/>
      <c r="U288" s="283"/>
      <c r="V288" s="294"/>
      <c r="W288" s="294"/>
      <c r="Z288" s="282"/>
    </row>
    <row r="289" spans="1:26" x14ac:dyDescent="0.3">
      <c r="A289" s="27">
        <f t="shared" si="39"/>
        <v>268</v>
      </c>
      <c r="C289" s="74"/>
      <c r="D289" s="74" t="s">
        <v>175</v>
      </c>
      <c r="E289" s="74"/>
      <c r="F289" s="27" t="s">
        <v>60</v>
      </c>
      <c r="G289" s="75">
        <v>5</v>
      </c>
      <c r="H289" s="75">
        <f>+G289</f>
        <v>5</v>
      </c>
      <c r="I289" s="75"/>
      <c r="J289" s="50"/>
      <c r="K289" s="51" t="s">
        <v>169</v>
      </c>
      <c r="L289" s="51"/>
      <c r="M289" s="52"/>
      <c r="N289" s="295">
        <f>H289-G289</f>
        <v>0</v>
      </c>
      <c r="O289" s="284">
        <f>(N289/G289)</f>
        <v>0</v>
      </c>
      <c r="Q289" s="285"/>
      <c r="U289" s="283"/>
      <c r="V289" s="294"/>
      <c r="W289" s="294"/>
      <c r="Z289" s="282"/>
    </row>
    <row r="290" spans="1:26" x14ac:dyDescent="0.3">
      <c r="A290" s="27">
        <f t="shared" si="39"/>
        <v>269</v>
      </c>
      <c r="C290" s="74"/>
      <c r="D290" s="74" t="s">
        <v>176</v>
      </c>
      <c r="E290" s="74"/>
      <c r="F290" s="74" t="s">
        <v>61</v>
      </c>
      <c r="G290" s="76">
        <v>1.4999999999999999E-2</v>
      </c>
      <c r="H290" s="76">
        <f>+G290</f>
        <v>1.4999999999999999E-2</v>
      </c>
      <c r="I290" s="76"/>
      <c r="J290" s="50"/>
      <c r="K290" s="51" t="s">
        <v>169</v>
      </c>
      <c r="L290" s="51"/>
      <c r="M290" s="52"/>
      <c r="N290" s="306">
        <f>H290-G290</f>
        <v>0</v>
      </c>
      <c r="O290" s="284">
        <f>(N290/G290)</f>
        <v>0</v>
      </c>
      <c r="Q290" s="285"/>
      <c r="U290" s="283"/>
      <c r="V290" s="294"/>
      <c r="W290" s="294"/>
      <c r="Z290" s="282"/>
    </row>
    <row r="291" spans="1:26" x14ac:dyDescent="0.3">
      <c r="A291" s="27">
        <f t="shared" si="39"/>
        <v>270</v>
      </c>
      <c r="C291" s="27" t="s">
        <v>177</v>
      </c>
      <c r="D291" s="74"/>
      <c r="E291" s="74"/>
      <c r="F291" s="74"/>
      <c r="G291" s="49"/>
      <c r="H291" s="49"/>
      <c r="I291" s="49"/>
      <c r="J291" s="50"/>
      <c r="K291" s="51"/>
      <c r="L291" s="51"/>
      <c r="M291" s="52"/>
      <c r="Q291" s="285"/>
      <c r="U291" s="283"/>
      <c r="V291" s="294"/>
      <c r="W291" s="294"/>
      <c r="Z291" s="282"/>
    </row>
    <row r="292" spans="1:26" x14ac:dyDescent="0.3">
      <c r="A292" s="27">
        <f t="shared" si="39"/>
        <v>271</v>
      </c>
      <c r="D292" s="27" t="s">
        <v>178</v>
      </c>
      <c r="F292" s="27" t="s">
        <v>60</v>
      </c>
      <c r="G292" s="75">
        <v>25</v>
      </c>
      <c r="H292" s="75">
        <f>+G292</f>
        <v>25</v>
      </c>
      <c r="I292" s="75"/>
      <c r="J292" s="50"/>
      <c r="K292" s="51" t="s">
        <v>179</v>
      </c>
      <c r="L292" s="51"/>
      <c r="M292" s="52"/>
      <c r="O292" s="284">
        <f>(N292/G292)</f>
        <v>0</v>
      </c>
      <c r="Q292" s="285"/>
      <c r="U292" s="283"/>
      <c r="V292" s="294"/>
      <c r="W292" s="294"/>
      <c r="Z292" s="282"/>
    </row>
    <row r="293" spans="1:26" x14ac:dyDescent="0.3">
      <c r="A293" s="27">
        <f t="shared" si="39"/>
        <v>272</v>
      </c>
      <c r="C293" s="74"/>
      <c r="D293" s="27" t="s">
        <v>180</v>
      </c>
      <c r="E293" s="74"/>
      <c r="F293" s="27" t="s">
        <v>60</v>
      </c>
      <c r="G293" s="75">
        <v>30</v>
      </c>
      <c r="H293" s="75">
        <f>+G293</f>
        <v>30</v>
      </c>
      <c r="I293" s="75"/>
      <c r="J293" s="50"/>
      <c r="K293" s="51" t="s">
        <v>179</v>
      </c>
      <c r="L293" s="51"/>
      <c r="M293" s="52"/>
      <c r="O293" s="284">
        <f>(N293/G293)</f>
        <v>0</v>
      </c>
      <c r="Q293" s="285"/>
      <c r="U293" s="283"/>
      <c r="V293" s="294"/>
      <c r="W293" s="294"/>
      <c r="Z293" s="282"/>
    </row>
    <row r="294" spans="1:26" x14ac:dyDescent="0.3">
      <c r="A294" s="27">
        <f t="shared" si="39"/>
        <v>273</v>
      </c>
      <c r="C294" s="74"/>
      <c r="D294" s="27" t="s">
        <v>181</v>
      </c>
      <c r="E294" s="74"/>
      <c r="F294" s="27" t="s">
        <v>60</v>
      </c>
      <c r="G294" s="75">
        <v>40</v>
      </c>
      <c r="H294" s="75">
        <f>+G294</f>
        <v>40</v>
      </c>
      <c r="I294" s="75"/>
      <c r="J294" s="50"/>
      <c r="K294" s="51" t="s">
        <v>179</v>
      </c>
      <c r="L294" s="51"/>
      <c r="M294" s="52"/>
      <c r="O294" s="284">
        <f>(N294/G294)</f>
        <v>0</v>
      </c>
      <c r="Q294" s="285"/>
      <c r="U294" s="283"/>
      <c r="V294" s="294"/>
      <c r="W294" s="294"/>
      <c r="Z294" s="282"/>
    </row>
    <row r="295" spans="1:26" x14ac:dyDescent="0.3">
      <c r="A295" s="27">
        <f t="shared" si="39"/>
        <v>274</v>
      </c>
      <c r="D295" s="27" t="s">
        <v>182</v>
      </c>
      <c r="F295" s="27" t="s">
        <v>60</v>
      </c>
      <c r="G295" s="75">
        <v>0.05</v>
      </c>
      <c r="H295" s="75">
        <f>+G295</f>
        <v>0.05</v>
      </c>
      <c r="I295" s="75"/>
      <c r="J295" s="50"/>
      <c r="K295" s="51" t="s">
        <v>179</v>
      </c>
      <c r="L295" s="51"/>
      <c r="M295" s="52"/>
      <c r="O295" s="284">
        <f>(N295/G295)</f>
        <v>0</v>
      </c>
      <c r="Q295" s="285"/>
      <c r="U295" s="283"/>
      <c r="V295" s="294"/>
      <c r="W295" s="294"/>
      <c r="Z295" s="282"/>
    </row>
    <row r="296" spans="1:26" x14ac:dyDescent="0.3">
      <c r="B296" s="31"/>
      <c r="C296" s="72"/>
      <c r="D296" s="72"/>
      <c r="E296" s="72"/>
      <c r="F296" s="72"/>
      <c r="G296" s="73"/>
      <c r="H296" s="73"/>
      <c r="I296" s="73"/>
      <c r="J296" s="59"/>
      <c r="K296" s="52"/>
      <c r="L296" s="52"/>
      <c r="M296" s="52"/>
      <c r="Q296" s="285"/>
      <c r="U296" s="283"/>
      <c r="V296" s="294"/>
      <c r="W296" s="294"/>
      <c r="Z296" s="282"/>
    </row>
    <row r="297" spans="1:26" x14ac:dyDescent="0.3">
      <c r="A297" s="27">
        <f>+A295+1</f>
        <v>275</v>
      </c>
      <c r="B297" s="48"/>
      <c r="C297" s="74"/>
      <c r="D297" s="74"/>
      <c r="E297" s="74"/>
      <c r="G297" s="49"/>
      <c r="H297" s="49"/>
      <c r="I297" s="49"/>
      <c r="J297" s="50"/>
      <c r="K297" s="51"/>
      <c r="L297" s="51"/>
      <c r="M297" s="52"/>
      <c r="N297" s="295"/>
      <c r="P297" s="296"/>
      <c r="Q297" s="296"/>
      <c r="R297" s="296"/>
      <c r="T297" s="296"/>
      <c r="U297" s="283"/>
      <c r="V297" s="291"/>
      <c r="W297" s="291"/>
      <c r="Z297" s="282"/>
    </row>
    <row r="298" spans="1:26" x14ac:dyDescent="0.3">
      <c r="A298" s="27">
        <f>+A297+1</f>
        <v>276</v>
      </c>
      <c r="B298" s="48" t="s">
        <v>183</v>
      </c>
      <c r="C298" s="27" t="s">
        <v>184</v>
      </c>
      <c r="F298" s="27" t="s">
        <v>60</v>
      </c>
      <c r="G298" s="49">
        <v>310</v>
      </c>
      <c r="H298" s="49">
        <v>310</v>
      </c>
      <c r="I298" s="49">
        <v>266.13</v>
      </c>
      <c r="J298" s="50" t="s">
        <v>168</v>
      </c>
      <c r="K298" s="51" t="s">
        <v>169</v>
      </c>
      <c r="L298" s="51"/>
      <c r="M298" s="52"/>
      <c r="N298" s="295">
        <f>H298-G298</f>
        <v>0</v>
      </c>
      <c r="O298" s="284">
        <f>(N298/G298)</f>
        <v>0</v>
      </c>
      <c r="Q298" s="285"/>
      <c r="U298" s="283"/>
      <c r="V298" s="294"/>
      <c r="W298" s="294"/>
      <c r="Z298" s="282"/>
    </row>
    <row r="299" spans="1:26" x14ac:dyDescent="0.3">
      <c r="B299" s="31"/>
      <c r="C299" s="31"/>
      <c r="D299" s="31"/>
      <c r="E299" s="31"/>
      <c r="F299" s="31"/>
      <c r="G299" s="73"/>
      <c r="H299" s="73"/>
      <c r="I299" s="73"/>
      <c r="J299" s="59"/>
      <c r="K299" s="52"/>
      <c r="L299" s="52"/>
      <c r="M299" s="52"/>
      <c r="Q299" s="285"/>
      <c r="V299" s="294"/>
      <c r="W299" s="294"/>
      <c r="Z299" s="282"/>
    </row>
  </sheetData>
  <pageMargins left="0.5" right="0.5" top="0.75" bottom="0.25" header="0.5" footer="0.25"/>
  <pageSetup scale="13" firstPageNumber="7" orientation="landscape" r:id="rId1"/>
  <headerFooter>
    <oddHeader xml:space="preserve">&amp;RDEF’s Response to OPC POD 1 (1-26)
Q7
Page &amp;P of &amp;N
</oddHeader>
    <oddFooter>&amp;R20240025-OPCPOD1-00004294</oddFooter>
  </headerFooter>
  <rowBreaks count="6" manualBreakCount="6">
    <brk id="55" max="11" man="1"/>
    <brk id="102" max="11" man="1"/>
    <brk id="138" max="11" man="1"/>
    <brk id="183" max="11" man="1"/>
    <brk id="247" max="11" man="1"/>
    <brk id="36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A2A5-46D4-4840-8F5C-0EACEF153336}">
  <sheetPr>
    <tabColor theme="5" tint="-0.499984740745262"/>
    <pageSetUpPr fitToPage="1"/>
  </sheetPr>
  <dimension ref="A1:AC306"/>
  <sheetViews>
    <sheetView tabSelected="1" view="pageBreakPreview" zoomScaleNormal="100" zoomScaleSheetLayoutView="100" workbookViewId="0">
      <selection activeCell="N69" sqref="N69"/>
    </sheetView>
  </sheetViews>
  <sheetFormatPr defaultColWidth="11.44140625" defaultRowHeight="13.8" x14ac:dyDescent="0.3"/>
  <cols>
    <col min="1" max="1" width="5" style="27" customWidth="1"/>
    <col min="2" max="2" width="10.109375" style="27" customWidth="1"/>
    <col min="3" max="4" width="3" style="27" customWidth="1"/>
    <col min="5" max="5" width="42.109375" style="27" customWidth="1"/>
    <col min="6" max="6" width="6.44140625" style="27" customWidth="1"/>
    <col min="7" max="7" width="10.44140625" style="27" customWidth="1"/>
    <col min="8" max="9" width="12.44140625" style="27" bestFit="1" customWidth="1"/>
    <col min="10" max="10" width="11.6640625" style="42" customWidth="1"/>
    <col min="11" max="11" width="66" style="27" bestFit="1" customWidth="1"/>
    <col min="12" max="12" width="8.88671875" style="27" customWidth="1"/>
    <col min="13" max="13" width="0.6640625" style="27" customWidth="1"/>
    <col min="14" max="14" width="10" style="283" hidden="1" customWidth="1"/>
    <col min="15" max="15" width="10.6640625" style="284" hidden="1" customWidth="1"/>
    <col min="16" max="17" width="11.5546875" style="283" hidden="1" customWidth="1"/>
    <col min="18" max="18" width="11.5546875" style="285" hidden="1" customWidth="1"/>
    <col min="19" max="19" width="11.5546875" style="283" hidden="1" customWidth="1"/>
    <col min="20" max="21" width="11.5546875" style="285" hidden="1" customWidth="1"/>
    <col min="22" max="23" width="0" style="27" hidden="1" customWidth="1"/>
    <col min="24" max="24" width="3.33203125" style="27" hidden="1" customWidth="1"/>
    <col min="25" max="26" width="1" style="27" hidden="1" customWidth="1"/>
    <col min="27" max="29" width="0" style="27" hidden="1" customWidth="1"/>
    <col min="30" max="16384" width="11.44140625" style="27"/>
  </cols>
  <sheetData>
    <row r="1" spans="1:29" ht="18" x14ac:dyDescent="0.35">
      <c r="A1" s="24">
        <v>2025</v>
      </c>
      <c r="B1" s="25"/>
      <c r="C1" s="25"/>
      <c r="D1" s="26"/>
      <c r="E1" s="26"/>
      <c r="F1" s="26"/>
      <c r="G1" s="26"/>
      <c r="H1" s="26"/>
      <c r="I1" s="26"/>
      <c r="J1" s="26"/>
      <c r="K1" s="25"/>
      <c r="L1" s="25"/>
      <c r="M1" s="25"/>
      <c r="N1" s="280"/>
      <c r="O1" s="281"/>
      <c r="P1" s="280"/>
      <c r="Q1" s="280"/>
      <c r="R1" s="280"/>
      <c r="S1" s="280"/>
      <c r="T1" s="280"/>
      <c r="U1" s="280"/>
      <c r="V1" s="25"/>
      <c r="W1" s="25"/>
      <c r="X1" s="25"/>
      <c r="Y1" s="25"/>
      <c r="Z1" s="282"/>
    </row>
    <row r="2" spans="1:29" x14ac:dyDescent="0.3">
      <c r="A2" s="28"/>
      <c r="B2" s="28"/>
      <c r="C2" s="28"/>
      <c r="D2" s="28"/>
      <c r="E2" s="28"/>
      <c r="F2" s="28"/>
      <c r="J2" s="29"/>
      <c r="L2" s="30" t="s">
        <v>37</v>
      </c>
      <c r="M2" s="31"/>
      <c r="Z2" s="282"/>
    </row>
    <row r="3" spans="1:29" x14ac:dyDescent="0.3">
      <c r="A3" s="28"/>
      <c r="B3" s="28"/>
      <c r="C3" s="28"/>
      <c r="D3" s="28"/>
      <c r="E3" s="28"/>
      <c r="F3" s="28"/>
      <c r="G3" s="32"/>
      <c r="H3" s="32"/>
      <c r="I3" s="32"/>
      <c r="J3" s="29"/>
      <c r="L3" s="33" t="str">
        <f>"DOCKET NO.  " &amp; +"20240025-EI"</f>
        <v>DOCKET NO.  20240025-EI</v>
      </c>
      <c r="M3" s="31"/>
      <c r="Z3" s="282"/>
    </row>
    <row r="4" spans="1:29" x14ac:dyDescent="0.3">
      <c r="A4" s="28"/>
      <c r="B4" s="28"/>
      <c r="C4" s="28"/>
      <c r="D4" s="28"/>
      <c r="E4" s="28"/>
      <c r="F4" s="28"/>
      <c r="G4" s="32"/>
      <c r="H4" s="32"/>
      <c r="I4" s="32"/>
      <c r="J4" s="29"/>
      <c r="L4" s="33" t="s">
        <v>38</v>
      </c>
      <c r="M4" s="31"/>
      <c r="Z4" s="282"/>
    </row>
    <row r="5" spans="1:29" x14ac:dyDescent="0.3">
      <c r="A5" s="28"/>
      <c r="B5" s="28"/>
      <c r="C5" s="28"/>
      <c r="D5" s="28"/>
      <c r="E5" s="28"/>
      <c r="F5" s="28"/>
      <c r="G5" s="32"/>
      <c r="H5" s="32"/>
      <c r="I5" s="32"/>
      <c r="J5" s="29"/>
      <c r="L5" s="30" t="s">
        <v>39</v>
      </c>
      <c r="M5" s="31"/>
      <c r="Z5" s="282"/>
    </row>
    <row r="6" spans="1:29" x14ac:dyDescent="0.3">
      <c r="B6" s="34"/>
      <c r="C6" s="35"/>
      <c r="D6" s="35"/>
      <c r="G6" s="35"/>
      <c r="H6" s="35"/>
      <c r="I6" s="35"/>
      <c r="J6" s="36"/>
      <c r="K6" s="79"/>
      <c r="L6" s="37" t="s">
        <v>8</v>
      </c>
      <c r="M6" s="31"/>
      <c r="N6" s="286"/>
      <c r="O6" s="287"/>
      <c r="Z6" s="282"/>
    </row>
    <row r="7" spans="1:29" x14ac:dyDescent="0.3">
      <c r="A7" s="38" t="s">
        <v>40</v>
      </c>
      <c r="B7" s="38"/>
      <c r="C7" s="39"/>
      <c r="D7" s="39"/>
      <c r="E7" s="40"/>
      <c r="F7" s="40"/>
      <c r="G7" s="39"/>
      <c r="H7" s="39"/>
      <c r="I7" s="39"/>
      <c r="J7" s="40"/>
      <c r="K7" s="40"/>
      <c r="L7" s="40"/>
      <c r="M7" s="31"/>
      <c r="N7" s="286"/>
      <c r="O7" s="287"/>
      <c r="Z7" s="282"/>
    </row>
    <row r="8" spans="1:29" ht="3.75" customHeight="1" x14ac:dyDescent="0.3">
      <c r="G8" s="41"/>
      <c r="H8" s="41"/>
      <c r="I8" s="41"/>
      <c r="M8" s="31"/>
      <c r="N8" s="286"/>
      <c r="O8" s="287"/>
      <c r="Z8" s="282"/>
    </row>
    <row r="9" spans="1:29" x14ac:dyDescent="0.3">
      <c r="G9" s="43">
        <v>45658</v>
      </c>
      <c r="H9" s="43">
        <v>45658</v>
      </c>
      <c r="I9" s="43"/>
      <c r="M9" s="31"/>
      <c r="S9" s="288" t="s">
        <v>41</v>
      </c>
      <c r="U9" s="289" t="s">
        <v>42</v>
      </c>
      <c r="Z9" s="282"/>
    </row>
    <row r="10" spans="1:29" x14ac:dyDescent="0.3">
      <c r="B10" s="42" t="s">
        <v>43</v>
      </c>
      <c r="G10" s="42" t="s">
        <v>44</v>
      </c>
      <c r="H10" s="42" t="s">
        <v>45</v>
      </c>
      <c r="I10" s="42" t="s">
        <v>46</v>
      </c>
      <c r="J10" s="42" t="s">
        <v>47</v>
      </c>
      <c r="K10" s="42"/>
      <c r="L10" s="42"/>
      <c r="M10" s="44"/>
      <c r="N10" s="288" t="s">
        <v>48</v>
      </c>
      <c r="O10" s="288" t="s">
        <v>48</v>
      </c>
      <c r="Q10" s="290" t="s">
        <v>49</v>
      </c>
      <c r="R10" s="290" t="s">
        <v>50</v>
      </c>
      <c r="S10" s="290" t="s">
        <v>51</v>
      </c>
      <c r="T10" s="290" t="s">
        <v>52</v>
      </c>
      <c r="U10" s="290" t="s">
        <v>51</v>
      </c>
      <c r="V10" s="291" t="s">
        <v>53</v>
      </c>
      <c r="W10" s="291" t="s">
        <v>53</v>
      </c>
      <c r="Z10" s="282"/>
    </row>
    <row r="11" spans="1:29" x14ac:dyDescent="0.3">
      <c r="A11" s="45" t="s">
        <v>54</v>
      </c>
      <c r="B11" s="46" t="s">
        <v>55</v>
      </c>
      <c r="C11" s="40" t="s">
        <v>56</v>
      </c>
      <c r="D11" s="40"/>
      <c r="E11" s="40"/>
      <c r="F11" s="45"/>
      <c r="G11" s="46" t="s">
        <v>43</v>
      </c>
      <c r="H11" s="46" t="s">
        <v>43</v>
      </c>
      <c r="I11" s="46" t="s">
        <v>57</v>
      </c>
      <c r="J11" s="46" t="s">
        <v>58</v>
      </c>
      <c r="K11" s="46" t="s">
        <v>59</v>
      </c>
      <c r="L11" s="46"/>
      <c r="M11" s="47"/>
      <c r="N11" s="292" t="s">
        <v>60</v>
      </c>
      <c r="O11" s="293" t="s">
        <v>61</v>
      </c>
      <c r="P11" s="292" t="s">
        <v>62</v>
      </c>
      <c r="Q11" s="292" t="s">
        <v>60</v>
      </c>
      <c r="R11" s="292" t="s">
        <v>60</v>
      </c>
      <c r="S11" s="292" t="s">
        <v>60</v>
      </c>
      <c r="T11" s="292" t="s">
        <v>60</v>
      </c>
      <c r="U11" s="292" t="s">
        <v>60</v>
      </c>
      <c r="V11" s="291" t="s">
        <v>63</v>
      </c>
      <c r="W11" s="291" t="s">
        <v>63</v>
      </c>
      <c r="Z11" s="282"/>
    </row>
    <row r="12" spans="1:29" x14ac:dyDescent="0.3">
      <c r="A12" s="27">
        <v>1</v>
      </c>
      <c r="B12" s="48" t="s">
        <v>64</v>
      </c>
      <c r="C12" s="27" t="s">
        <v>65</v>
      </c>
      <c r="G12" s="49"/>
      <c r="H12" s="49"/>
      <c r="I12" s="49"/>
      <c r="J12" s="50"/>
      <c r="K12" s="51"/>
      <c r="L12" s="51"/>
      <c r="M12" s="52"/>
      <c r="V12" s="294"/>
      <c r="W12" s="294"/>
      <c r="Z12" s="282"/>
    </row>
    <row r="13" spans="1:29" x14ac:dyDescent="0.3">
      <c r="A13" s="27">
        <f>+A12+1</f>
        <v>2</v>
      </c>
      <c r="B13" s="48" t="s">
        <v>66</v>
      </c>
      <c r="D13" s="27" t="s">
        <v>67</v>
      </c>
      <c r="F13" s="27" t="s">
        <v>60</v>
      </c>
      <c r="G13" s="49">
        <v>12.89</v>
      </c>
      <c r="H13" s="49">
        <v>14.86</v>
      </c>
      <c r="I13" s="49">
        <v>13.67</v>
      </c>
      <c r="J13" s="50" t="s">
        <v>68</v>
      </c>
      <c r="K13" s="51" t="s">
        <v>69</v>
      </c>
      <c r="L13" s="51"/>
      <c r="M13" s="52"/>
      <c r="N13" s="295">
        <f>H13-G13</f>
        <v>1.9699999999999989</v>
      </c>
      <c r="O13" s="284">
        <f>(N13/G13)</f>
        <v>0.15283165244375477</v>
      </c>
      <c r="P13" s="296">
        <v>21319311.352096535</v>
      </c>
      <c r="Q13" s="297">
        <f>(P13*G13)/1000</f>
        <v>274805.92332852434</v>
      </c>
      <c r="R13" s="297">
        <f>(P13*H13)/1000</f>
        <v>316804.96669215453</v>
      </c>
      <c r="S13" s="298">
        <f>R13-Q13</f>
        <v>41999.04336363019</v>
      </c>
      <c r="T13" s="297">
        <f>(P13*I13)/1000</f>
        <v>291434.98618315964</v>
      </c>
      <c r="U13" s="298">
        <f>R13-T13</f>
        <v>25369.980508994893</v>
      </c>
      <c r="V13" s="299" t="s">
        <v>64</v>
      </c>
      <c r="W13" s="299" t="s">
        <v>64</v>
      </c>
      <c r="Z13" s="282"/>
      <c r="AC13" s="27" t="b">
        <f>H13&gt;=I13</f>
        <v>1</v>
      </c>
    </row>
    <row r="14" spans="1:29" x14ac:dyDescent="0.3">
      <c r="A14" s="27">
        <f t="shared" ref="A14:A77" si="0">+A13+1</f>
        <v>3</v>
      </c>
      <c r="B14" s="48" t="s">
        <v>70</v>
      </c>
      <c r="D14" s="27" t="s">
        <v>71</v>
      </c>
      <c r="G14" s="49"/>
      <c r="H14" s="49"/>
      <c r="I14" s="49"/>
      <c r="J14" s="50"/>
      <c r="K14" s="51"/>
      <c r="L14" s="51"/>
      <c r="M14" s="52"/>
      <c r="P14" s="296"/>
      <c r="Q14" s="297"/>
      <c r="R14" s="297"/>
      <c r="T14" s="297"/>
      <c r="U14" s="283"/>
      <c r="V14" s="294"/>
      <c r="W14" s="294"/>
      <c r="Z14" s="282"/>
    </row>
    <row r="15" spans="1:29" x14ac:dyDescent="0.3">
      <c r="A15" s="27">
        <f t="shared" si="0"/>
        <v>4</v>
      </c>
      <c r="B15" s="53" t="s">
        <v>72</v>
      </c>
      <c r="D15" s="54" t="s">
        <v>73</v>
      </c>
      <c r="F15" s="27" t="s">
        <v>60</v>
      </c>
      <c r="G15" s="49">
        <v>12.89</v>
      </c>
      <c r="H15" s="49">
        <v>14.86</v>
      </c>
      <c r="I15" s="49">
        <f>I13</f>
        <v>13.67</v>
      </c>
      <c r="J15" s="50" t="s">
        <v>68</v>
      </c>
      <c r="K15" s="51" t="s">
        <v>74</v>
      </c>
      <c r="L15" s="51"/>
      <c r="M15" s="52"/>
      <c r="N15" s="295">
        <f>H15-G15</f>
        <v>1.9699999999999989</v>
      </c>
      <c r="O15" s="284">
        <f>(N15/G15)</f>
        <v>0.15283165244375477</v>
      </c>
      <c r="P15" s="296">
        <v>2292.1498067102625</v>
      </c>
      <c r="Q15" s="297">
        <f>(P15*G15)/1000</f>
        <v>29.545811008495285</v>
      </c>
      <c r="R15" s="297">
        <f>(P15*H15)/1000</f>
        <v>34.061346127714494</v>
      </c>
      <c r="S15" s="298">
        <f>R15-Q15</f>
        <v>4.5155351192192086</v>
      </c>
      <c r="T15" s="297">
        <f>(P15*I15)/1000</f>
        <v>31.333687857729288</v>
      </c>
      <c r="U15" s="298">
        <f>R15-T15</f>
        <v>2.7276582699852057</v>
      </c>
      <c r="V15" s="294" t="s">
        <v>66</v>
      </c>
      <c r="W15" s="294" t="s">
        <v>66</v>
      </c>
      <c r="Z15" s="282"/>
      <c r="AC15" s="27" t="b">
        <f>H15&gt;=I15</f>
        <v>1</v>
      </c>
    </row>
    <row r="16" spans="1:29" x14ac:dyDescent="0.3">
      <c r="A16" s="27">
        <f t="shared" si="0"/>
        <v>5</v>
      </c>
      <c r="G16" s="55"/>
      <c r="H16" s="55"/>
      <c r="I16" s="55"/>
      <c r="J16" s="50"/>
      <c r="K16" s="51"/>
      <c r="L16" s="51"/>
      <c r="M16" s="52"/>
      <c r="P16" s="296"/>
      <c r="Q16" s="297"/>
      <c r="R16" s="297"/>
      <c r="T16" s="297"/>
      <c r="U16" s="283"/>
      <c r="V16" s="294"/>
      <c r="W16" s="294"/>
      <c r="Z16" s="282"/>
    </row>
    <row r="17" spans="1:26" x14ac:dyDescent="0.3">
      <c r="A17" s="27">
        <f t="shared" si="0"/>
        <v>6</v>
      </c>
      <c r="C17" s="27" t="s">
        <v>75</v>
      </c>
      <c r="G17" s="51"/>
      <c r="H17" s="51"/>
      <c r="I17" s="51"/>
      <c r="J17" s="50"/>
      <c r="K17" s="51"/>
      <c r="L17" s="51"/>
      <c r="M17" s="52"/>
      <c r="P17" s="296"/>
      <c r="Q17" s="297"/>
      <c r="R17" s="297"/>
      <c r="T17" s="297"/>
      <c r="U17" s="283"/>
      <c r="V17" s="294"/>
      <c r="W17" s="294"/>
      <c r="Z17" s="282"/>
    </row>
    <row r="18" spans="1:26" x14ac:dyDescent="0.3">
      <c r="A18" s="27">
        <f t="shared" si="0"/>
        <v>7</v>
      </c>
      <c r="D18" s="27" t="s">
        <v>76</v>
      </c>
      <c r="G18" s="56"/>
      <c r="H18" s="56"/>
      <c r="I18" s="56"/>
      <c r="J18" s="56"/>
      <c r="L18" s="51"/>
      <c r="M18" s="52"/>
      <c r="P18" s="296"/>
      <c r="Q18" s="297"/>
      <c r="R18" s="297"/>
      <c r="T18" s="297"/>
      <c r="U18" s="298"/>
      <c r="V18" s="294"/>
      <c r="W18" s="294"/>
      <c r="Z18" s="282"/>
    </row>
    <row r="19" spans="1:26" x14ac:dyDescent="0.3">
      <c r="A19" s="27">
        <f t="shared" si="0"/>
        <v>8</v>
      </c>
      <c r="D19" s="54" t="s">
        <v>77</v>
      </c>
      <c r="F19" s="27" t="s">
        <v>78</v>
      </c>
      <c r="G19" s="56">
        <v>7.9189999999999996</v>
      </c>
      <c r="H19" s="56">
        <v>8.8670000000000009</v>
      </c>
      <c r="I19" s="56">
        <v>10.199999999999999</v>
      </c>
      <c r="J19" s="50" t="s">
        <v>68</v>
      </c>
      <c r="K19" s="51" t="s">
        <v>79</v>
      </c>
      <c r="L19" s="51"/>
      <c r="M19" s="52"/>
      <c r="N19" s="295">
        <f t="shared" ref="N19:N25" si="1">H19-G19</f>
        <v>0.94800000000000129</v>
      </c>
      <c r="O19" s="284">
        <f t="shared" ref="O19:O25" si="2">(N19/G19)</f>
        <v>0.11971208485919957</v>
      </c>
      <c r="P19" s="296">
        <v>3505943.6326422617</v>
      </c>
      <c r="Q19" s="297">
        <f t="shared" ref="Q19:Q25" si="3">(+P19*G19*10)/1000</f>
        <v>277635.67626894068</v>
      </c>
      <c r="R19" s="297">
        <f t="shared" ref="R19:R25" si="4">(+P19*H19*10)/1000</f>
        <v>310872.02190638933</v>
      </c>
      <c r="S19" s="298">
        <f t="shared" ref="S19:S25" si="5">R19-Q19</f>
        <v>33236.345637448656</v>
      </c>
      <c r="T19" s="297">
        <f t="shared" ref="T19:T25" si="6">(P19*I19*10)/1000</f>
        <v>357606.25052951067</v>
      </c>
      <c r="U19" s="298">
        <f t="shared" ref="U19:U25" si="7">R19-T19</f>
        <v>-46734.228623121337</v>
      </c>
      <c r="V19" s="299" t="s">
        <v>64</v>
      </c>
      <c r="W19" s="299" t="s">
        <v>64</v>
      </c>
      <c r="Z19" s="282"/>
    </row>
    <row r="20" spans="1:26" x14ac:dyDescent="0.3">
      <c r="A20" s="27">
        <f t="shared" si="0"/>
        <v>9</v>
      </c>
      <c r="D20" s="54" t="s">
        <v>80</v>
      </c>
      <c r="F20" s="27" t="s">
        <v>78</v>
      </c>
      <c r="G20" s="56">
        <v>9.0879999999999992</v>
      </c>
      <c r="H20" s="56">
        <v>10.308</v>
      </c>
      <c r="I20" s="56">
        <v>11.679</v>
      </c>
      <c r="J20" s="50" t="s">
        <v>68</v>
      </c>
      <c r="K20" s="51" t="s">
        <v>79</v>
      </c>
      <c r="L20" s="51"/>
      <c r="M20" s="52"/>
      <c r="N20" s="295">
        <f t="shared" si="1"/>
        <v>1.2200000000000006</v>
      </c>
      <c r="O20" s="284">
        <f t="shared" si="2"/>
        <v>0.13424295774647896</v>
      </c>
      <c r="P20" s="296">
        <v>918268.89643569943</v>
      </c>
      <c r="Q20" s="297">
        <f t="shared" si="3"/>
        <v>83452.277308076358</v>
      </c>
      <c r="R20" s="297">
        <f t="shared" si="4"/>
        <v>94655.1578445919</v>
      </c>
      <c r="S20" s="298">
        <f t="shared" si="5"/>
        <v>11202.880536515542</v>
      </c>
      <c r="T20" s="297">
        <f t="shared" si="6"/>
        <v>107244.62441472533</v>
      </c>
      <c r="U20" s="298">
        <f t="shared" si="7"/>
        <v>-12589.466570133431</v>
      </c>
      <c r="V20" s="299" t="s">
        <v>64</v>
      </c>
      <c r="W20" s="299" t="s">
        <v>64</v>
      </c>
      <c r="Z20" s="282"/>
    </row>
    <row r="21" spans="1:26" x14ac:dyDescent="0.3">
      <c r="A21" s="27">
        <f t="shared" si="0"/>
        <v>10</v>
      </c>
      <c r="D21" s="54" t="s">
        <v>81</v>
      </c>
      <c r="F21" s="27" t="s">
        <v>78</v>
      </c>
      <c r="G21" s="56">
        <v>6.8299300000000001</v>
      </c>
      <c r="H21" s="56">
        <v>8.4480000000000004</v>
      </c>
      <c r="I21" s="56">
        <v>8.4410000000000007</v>
      </c>
      <c r="J21" s="50" t="s">
        <v>68</v>
      </c>
      <c r="K21" s="51" t="s">
        <v>79</v>
      </c>
      <c r="L21" s="51"/>
      <c r="M21" s="52"/>
      <c r="N21" s="295">
        <f t="shared" si="1"/>
        <v>1.6180700000000003</v>
      </c>
      <c r="O21" s="284">
        <f t="shared" si="2"/>
        <v>0.23690872380829678</v>
      </c>
      <c r="P21" s="296">
        <v>11507200.740923112</v>
      </c>
      <c r="Q21" s="297">
        <f t="shared" si="3"/>
        <v>785933.75556452991</v>
      </c>
      <c r="R21" s="297">
        <f t="shared" si="4"/>
        <v>972128.31859318446</v>
      </c>
      <c r="S21" s="298">
        <f t="shared" si="5"/>
        <v>186194.56302865455</v>
      </c>
      <c r="T21" s="297">
        <f t="shared" si="6"/>
        <v>971322.81454132008</v>
      </c>
      <c r="U21" s="298">
        <f t="shared" si="7"/>
        <v>805.50405186438002</v>
      </c>
      <c r="V21" s="299" t="s">
        <v>64</v>
      </c>
      <c r="W21" s="299" t="s">
        <v>64</v>
      </c>
      <c r="Z21" s="282"/>
    </row>
    <row r="22" spans="1:26" x14ac:dyDescent="0.3">
      <c r="A22" s="27">
        <f t="shared" si="0"/>
        <v>11</v>
      </c>
      <c r="D22" s="54" t="s">
        <v>82</v>
      </c>
      <c r="F22" s="27" t="s">
        <v>78</v>
      </c>
      <c r="G22" s="56">
        <v>7.7301500000000001</v>
      </c>
      <c r="H22" s="56">
        <v>9.1560000000000006</v>
      </c>
      <c r="I22" s="56">
        <v>9.1489999999999991</v>
      </c>
      <c r="J22" s="50" t="s">
        <v>68</v>
      </c>
      <c r="K22" s="51" t="s">
        <v>79</v>
      </c>
      <c r="L22" s="51"/>
      <c r="M22" s="52"/>
      <c r="N22" s="295">
        <f t="shared" si="1"/>
        <v>1.4258500000000005</v>
      </c>
      <c r="O22" s="284">
        <f t="shared" si="2"/>
        <v>0.18445308305789673</v>
      </c>
      <c r="P22" s="296">
        <v>4952436.9421534026</v>
      </c>
      <c r="Q22" s="297">
        <f t="shared" si="3"/>
        <v>382830.80428387132</v>
      </c>
      <c r="R22" s="297">
        <f t="shared" si="4"/>
        <v>453445.12642356561</v>
      </c>
      <c r="S22" s="298">
        <f t="shared" si="5"/>
        <v>70614.322139694297</v>
      </c>
      <c r="T22" s="297">
        <f t="shared" si="6"/>
        <v>453098.45583761478</v>
      </c>
      <c r="U22" s="298">
        <f t="shared" si="7"/>
        <v>346.67058595083654</v>
      </c>
      <c r="V22" s="299" t="s">
        <v>64</v>
      </c>
      <c r="W22" s="299" t="s">
        <v>64</v>
      </c>
      <c r="Z22" s="282"/>
    </row>
    <row r="23" spans="1:26" x14ac:dyDescent="0.3">
      <c r="A23" s="27">
        <f t="shared" si="0"/>
        <v>12</v>
      </c>
      <c r="D23" s="27" t="s">
        <v>83</v>
      </c>
      <c r="F23" s="27" t="s">
        <v>78</v>
      </c>
      <c r="G23" s="56">
        <v>9.1379999999999999</v>
      </c>
      <c r="H23" s="56">
        <v>11.91</v>
      </c>
      <c r="I23" s="57">
        <v>12.513</v>
      </c>
      <c r="J23" s="50" t="s">
        <v>84</v>
      </c>
      <c r="K23" s="51" t="s">
        <v>85</v>
      </c>
      <c r="L23" s="51"/>
      <c r="M23" s="52"/>
      <c r="N23" s="295">
        <f t="shared" si="1"/>
        <v>2.7720000000000002</v>
      </c>
      <c r="O23" s="284">
        <f t="shared" si="2"/>
        <v>0.30334865397242289</v>
      </c>
      <c r="P23" s="296">
        <v>332.2643275590969</v>
      </c>
      <c r="Q23" s="297">
        <f t="shared" si="3"/>
        <v>30.362314252350277</v>
      </c>
      <c r="R23" s="297">
        <f t="shared" si="4"/>
        <v>39.572681412288439</v>
      </c>
      <c r="S23" s="298">
        <f t="shared" si="5"/>
        <v>9.210367159938162</v>
      </c>
      <c r="T23" s="297">
        <f t="shared" si="6"/>
        <v>41.576235307469794</v>
      </c>
      <c r="U23" s="298">
        <f t="shared" si="7"/>
        <v>-2.003553895181355</v>
      </c>
      <c r="V23" s="291" t="s">
        <v>66</v>
      </c>
      <c r="W23" s="291" t="s">
        <v>66</v>
      </c>
      <c r="Z23" s="282"/>
    </row>
    <row r="24" spans="1:26" x14ac:dyDescent="0.3">
      <c r="A24" s="27">
        <f t="shared" si="0"/>
        <v>13</v>
      </c>
      <c r="D24" s="27" t="s">
        <v>86</v>
      </c>
      <c r="F24" s="27" t="s">
        <v>78</v>
      </c>
      <c r="G24" s="56">
        <v>7.5840000000000005</v>
      </c>
      <c r="H24" s="56">
        <v>8.8219999999999992</v>
      </c>
      <c r="I24" s="57">
        <v>9.2690000000000001</v>
      </c>
      <c r="J24" s="50" t="s">
        <v>84</v>
      </c>
      <c r="K24" s="51" t="s">
        <v>85</v>
      </c>
      <c r="L24" s="51"/>
      <c r="M24" s="52"/>
      <c r="N24" s="295">
        <f t="shared" si="1"/>
        <v>1.2379999999999987</v>
      </c>
      <c r="O24" s="284">
        <f t="shared" si="2"/>
        <v>0.1632383966244724</v>
      </c>
      <c r="P24" s="296">
        <v>2253.4803276164957</v>
      </c>
      <c r="Q24" s="297">
        <f t="shared" si="3"/>
        <v>170.90394804643503</v>
      </c>
      <c r="R24" s="297">
        <f t="shared" si="4"/>
        <v>198.80203450232722</v>
      </c>
      <c r="S24" s="298">
        <f t="shared" si="5"/>
        <v>27.898086455892184</v>
      </c>
      <c r="T24" s="297">
        <f t="shared" si="6"/>
        <v>208.87509156677302</v>
      </c>
      <c r="U24" s="298">
        <f t="shared" si="7"/>
        <v>-10.073057064445806</v>
      </c>
      <c r="V24" s="291" t="s">
        <v>66</v>
      </c>
      <c r="W24" s="291" t="s">
        <v>66</v>
      </c>
      <c r="Z24" s="282"/>
    </row>
    <row r="25" spans="1:26" x14ac:dyDescent="0.3">
      <c r="A25" s="27">
        <f t="shared" si="0"/>
        <v>14</v>
      </c>
      <c r="D25" s="27" t="s">
        <v>87</v>
      </c>
      <c r="F25" s="27" t="s">
        <v>78</v>
      </c>
      <c r="G25" s="56">
        <v>4.3449999999999998</v>
      </c>
      <c r="H25" s="56">
        <v>5.3520000000000003</v>
      </c>
      <c r="I25" s="57">
        <v>5.6230000000000002</v>
      </c>
      <c r="J25" s="50" t="s">
        <v>84</v>
      </c>
      <c r="K25" s="51" t="s">
        <v>85</v>
      </c>
      <c r="L25" s="51"/>
      <c r="M25" s="52"/>
      <c r="N25" s="295">
        <f t="shared" si="1"/>
        <v>1.0070000000000006</v>
      </c>
      <c r="O25" s="284">
        <f t="shared" si="2"/>
        <v>0.2317606444188724</v>
      </c>
      <c r="P25" s="296">
        <v>725.67079509143878</v>
      </c>
      <c r="Q25" s="297">
        <f t="shared" si="3"/>
        <v>31.530396046723013</v>
      </c>
      <c r="R25" s="297">
        <f t="shared" si="4"/>
        <v>38.837900953293804</v>
      </c>
      <c r="S25" s="298">
        <f t="shared" si="5"/>
        <v>7.3075049065707915</v>
      </c>
      <c r="T25" s="297">
        <f t="shared" si="6"/>
        <v>40.804468807991604</v>
      </c>
      <c r="U25" s="298">
        <f t="shared" si="7"/>
        <v>-1.9665678546978</v>
      </c>
      <c r="V25" s="291" t="s">
        <v>66</v>
      </c>
      <c r="W25" s="291" t="s">
        <v>66</v>
      </c>
      <c r="Z25" s="282"/>
    </row>
    <row r="26" spans="1:26" x14ac:dyDescent="0.3">
      <c r="A26" s="27">
        <f t="shared" si="0"/>
        <v>15</v>
      </c>
      <c r="G26" s="56"/>
      <c r="H26" s="56"/>
      <c r="I26" s="57"/>
      <c r="J26" s="50"/>
      <c r="K26" s="51"/>
      <c r="L26" s="51"/>
      <c r="M26" s="52"/>
      <c r="N26" s="295"/>
      <c r="P26" s="296"/>
      <c r="Q26" s="297"/>
      <c r="R26" s="297"/>
      <c r="S26" s="298"/>
      <c r="T26" s="297"/>
      <c r="U26" s="298"/>
      <c r="V26" s="291"/>
      <c r="W26" s="291"/>
      <c r="Z26" s="282"/>
    </row>
    <row r="27" spans="1:26" x14ac:dyDescent="0.3">
      <c r="A27" s="27">
        <f t="shared" si="0"/>
        <v>16</v>
      </c>
      <c r="C27" s="27" t="s">
        <v>88</v>
      </c>
      <c r="F27" s="27" t="s">
        <v>60</v>
      </c>
      <c r="G27" s="49">
        <v>10</v>
      </c>
      <c r="H27" s="58">
        <v>7.5</v>
      </c>
      <c r="I27" s="49">
        <v>7.2551250000000023</v>
      </c>
      <c r="J27" s="50" t="s">
        <v>89</v>
      </c>
      <c r="K27" s="51" t="s">
        <v>90</v>
      </c>
      <c r="L27" s="51"/>
      <c r="M27" s="52"/>
      <c r="N27" s="295"/>
      <c r="P27" s="296"/>
      <c r="Q27" s="297"/>
      <c r="R27" s="297"/>
      <c r="S27" s="298"/>
      <c r="T27" s="297"/>
      <c r="U27" s="298"/>
      <c r="V27" s="291"/>
      <c r="W27" s="291"/>
      <c r="Z27" s="282"/>
    </row>
    <row r="28" spans="1:26" x14ac:dyDescent="0.3">
      <c r="A28" s="27">
        <f t="shared" si="0"/>
        <v>17</v>
      </c>
      <c r="G28" s="56"/>
      <c r="H28" s="56"/>
      <c r="I28" s="56"/>
      <c r="J28" s="50"/>
      <c r="K28" s="51"/>
      <c r="L28" s="51"/>
      <c r="M28" s="52"/>
      <c r="N28" s="295"/>
      <c r="P28" s="296"/>
      <c r="Q28" s="296"/>
      <c r="R28" s="296"/>
      <c r="T28" s="296"/>
      <c r="U28" s="283"/>
      <c r="V28" s="291"/>
      <c r="W28" s="291"/>
      <c r="Z28" s="282"/>
    </row>
    <row r="29" spans="1:26" ht="14.4" thickBot="1" x14ac:dyDescent="0.35">
      <c r="B29" s="31"/>
      <c r="C29" s="31"/>
      <c r="D29" s="31"/>
      <c r="E29" s="31"/>
      <c r="F29" s="31"/>
      <c r="G29" s="52"/>
      <c r="H29" s="52"/>
      <c r="I29" s="52"/>
      <c r="J29" s="59"/>
      <c r="K29" s="52"/>
      <c r="L29" s="52"/>
      <c r="M29" s="52"/>
      <c r="N29" s="300"/>
      <c r="O29" s="301"/>
      <c r="P29" s="302"/>
      <c r="Q29" s="303">
        <f>SUM(Q12:Q28)</f>
        <v>1804920.7792232968</v>
      </c>
      <c r="R29" s="303">
        <f>SUM(R12:R28)</f>
        <v>2148216.8654228812</v>
      </c>
      <c r="S29" s="303">
        <f>SUM(S12:S28)</f>
        <v>343296.08619958482</v>
      </c>
      <c r="T29" s="303">
        <f>SUM(T12:T28)</f>
        <v>2181029.7209898699</v>
      </c>
      <c r="U29" s="303">
        <f>SUM(U12:U28)</f>
        <v>-32812.85556698899</v>
      </c>
      <c r="V29" s="291"/>
      <c r="W29" s="291"/>
      <c r="Z29" s="282"/>
    </row>
    <row r="30" spans="1:26" ht="14.4" thickTop="1" x14ac:dyDescent="0.3">
      <c r="A30" s="27">
        <f>+A28+1</f>
        <v>18</v>
      </c>
      <c r="B30" s="48"/>
      <c r="G30" s="51"/>
      <c r="H30" s="51"/>
      <c r="I30" s="51"/>
      <c r="J30" s="50"/>
      <c r="K30" s="51"/>
      <c r="L30" s="51"/>
      <c r="M30" s="52"/>
      <c r="P30" s="296"/>
      <c r="Q30" s="296"/>
      <c r="R30" s="296"/>
      <c r="S30" s="304" t="s">
        <v>91</v>
      </c>
      <c r="T30" s="305">
        <v>0</v>
      </c>
      <c r="U30" s="283"/>
      <c r="V30" s="291"/>
      <c r="W30" s="291"/>
      <c r="Z30" s="282"/>
    </row>
    <row r="31" spans="1:26" x14ac:dyDescent="0.3">
      <c r="A31" s="27">
        <f t="shared" si="0"/>
        <v>19</v>
      </c>
      <c r="B31" s="48" t="s">
        <v>92</v>
      </c>
      <c r="C31" s="27" t="s">
        <v>65</v>
      </c>
      <c r="G31" s="51"/>
      <c r="H31" s="51"/>
      <c r="I31" s="51"/>
      <c r="J31" s="50"/>
      <c r="K31" s="51"/>
      <c r="L31" s="51"/>
      <c r="M31" s="52"/>
      <c r="P31" s="296"/>
      <c r="Q31" s="296"/>
      <c r="R31" s="296"/>
      <c r="T31" s="296" t="s">
        <v>93</v>
      </c>
      <c r="U31" s="283"/>
      <c r="V31" s="291"/>
      <c r="W31" s="291"/>
      <c r="Z31" s="282"/>
    </row>
    <row r="32" spans="1:26" x14ac:dyDescent="0.3">
      <c r="A32" s="27">
        <f t="shared" si="0"/>
        <v>20</v>
      </c>
      <c r="B32" s="48" t="s">
        <v>94</v>
      </c>
      <c r="D32" s="27" t="s">
        <v>67</v>
      </c>
      <c r="G32" s="51"/>
      <c r="H32" s="51"/>
      <c r="I32" s="51"/>
      <c r="J32" s="50"/>
      <c r="K32" s="51"/>
      <c r="L32" s="51"/>
      <c r="M32" s="52"/>
      <c r="P32" s="296"/>
      <c r="Q32" s="296"/>
      <c r="R32" s="296"/>
      <c r="T32" s="296"/>
      <c r="U32" s="283"/>
      <c r="V32" s="291"/>
      <c r="W32" s="291"/>
      <c r="Z32" s="282"/>
    </row>
    <row r="33" spans="1:29" x14ac:dyDescent="0.3">
      <c r="A33" s="27">
        <f t="shared" si="0"/>
        <v>21</v>
      </c>
      <c r="D33" s="54" t="s">
        <v>95</v>
      </c>
      <c r="F33" s="27" t="s">
        <v>60</v>
      </c>
      <c r="G33" s="49">
        <v>9.0500000000000007</v>
      </c>
      <c r="H33" s="49">
        <v>10.56</v>
      </c>
      <c r="I33" s="49">
        <v>10.559532099973129</v>
      </c>
      <c r="J33" s="50" t="s">
        <v>96</v>
      </c>
      <c r="K33" s="51" t="s">
        <v>97</v>
      </c>
      <c r="L33" s="51"/>
      <c r="M33" s="52"/>
      <c r="N33" s="295">
        <f>H33-G33</f>
        <v>1.5099999999999998</v>
      </c>
      <c r="O33" s="284">
        <f>(N33/G33)</f>
        <v>0.16685082872928172</v>
      </c>
      <c r="P33" s="296">
        <v>5029.440529544815</v>
      </c>
      <c r="Q33" s="297">
        <f>(+P33*G33)/1000</f>
        <v>45.516436792380574</v>
      </c>
      <c r="R33" s="297">
        <f>(+P33*H33)/1000</f>
        <v>53.110891991993249</v>
      </c>
      <c r="S33" s="298">
        <f>R33-Q33</f>
        <v>7.5944551996126748</v>
      </c>
      <c r="T33" s="297">
        <f>(+P33*I33)/1000</f>
        <v>53.108538716634328</v>
      </c>
      <c r="U33" s="298">
        <f>R33-T33</f>
        <v>2.3532753589208255E-3</v>
      </c>
      <c r="V33" s="291" t="s">
        <v>98</v>
      </c>
      <c r="W33" s="291" t="s">
        <v>98</v>
      </c>
      <c r="Z33" s="282"/>
      <c r="AC33" s="27" t="b">
        <f t="shared" ref="AC33:AC36" si="8">H33&gt;=I33</f>
        <v>1</v>
      </c>
    </row>
    <row r="34" spans="1:29" x14ac:dyDescent="0.3">
      <c r="A34" s="27">
        <f t="shared" si="0"/>
        <v>22</v>
      </c>
      <c r="D34" s="54" t="s">
        <v>99</v>
      </c>
      <c r="F34" s="27" t="s">
        <v>60</v>
      </c>
      <c r="G34" s="49">
        <v>16.02</v>
      </c>
      <c r="H34" s="49">
        <v>16.16</v>
      </c>
      <c r="I34" s="49">
        <v>14.849532099973128</v>
      </c>
      <c r="J34" s="50" t="s">
        <v>96</v>
      </c>
      <c r="K34" s="51" t="s">
        <v>100</v>
      </c>
      <c r="L34" s="51"/>
      <c r="M34" s="52"/>
      <c r="N34" s="295">
        <f>H34-G34</f>
        <v>0.14000000000000057</v>
      </c>
      <c r="O34" s="284">
        <f>(N34/G34)</f>
        <v>8.7390761548065271E-3</v>
      </c>
      <c r="P34" s="296">
        <v>1599802.6233321449</v>
      </c>
      <c r="Q34" s="297">
        <f>(+P34*G34)/1000</f>
        <v>25628.838025780962</v>
      </c>
      <c r="R34" s="297">
        <f>(+P34*H34)/1000</f>
        <v>25852.810393047464</v>
      </c>
      <c r="S34" s="298">
        <f>R34-Q34</f>
        <v>223.97236726650226</v>
      </c>
      <c r="T34" s="297">
        <f>(+P34*I34)/1000</f>
        <v>23756.320408791908</v>
      </c>
      <c r="U34" s="298">
        <f>R34-T34</f>
        <v>2096.4899842555569</v>
      </c>
      <c r="V34" s="291" t="s">
        <v>98</v>
      </c>
      <c r="W34" s="291" t="s">
        <v>98</v>
      </c>
      <c r="Z34" s="282"/>
      <c r="AC34" s="27" t="b">
        <f t="shared" si="8"/>
        <v>1</v>
      </c>
    </row>
    <row r="35" spans="1:29" x14ac:dyDescent="0.3">
      <c r="A35" s="27">
        <f t="shared" si="0"/>
        <v>23</v>
      </c>
      <c r="D35" s="54" t="s">
        <v>101</v>
      </c>
      <c r="F35" s="27" t="s">
        <v>60</v>
      </c>
      <c r="G35" s="49">
        <v>202.59</v>
      </c>
      <c r="H35" s="49">
        <v>204.3</v>
      </c>
      <c r="I35" s="49">
        <v>77.043068201486321</v>
      </c>
      <c r="J35" s="50" t="s">
        <v>96</v>
      </c>
      <c r="K35" s="51" t="s">
        <v>100</v>
      </c>
      <c r="L35" s="51"/>
      <c r="M35" s="52"/>
      <c r="N35" s="295">
        <f>H35-G35</f>
        <v>1.710000000000008</v>
      </c>
      <c r="O35" s="284">
        <f>(N35/G35)</f>
        <v>8.4406930253221185E-3</v>
      </c>
      <c r="P35" s="296">
        <v>416.06077373363422</v>
      </c>
      <c r="Q35" s="297">
        <f>(+P35*G35)/1000</f>
        <v>84.28975215069697</v>
      </c>
      <c r="R35" s="297">
        <f>(+P35*H35)/1000</f>
        <v>85.001216073781464</v>
      </c>
      <c r="S35" s="298">
        <f>R35-Q35</f>
        <v>0.71146392308449435</v>
      </c>
      <c r="T35" s="297">
        <f>(+P35*I35)/1000</f>
        <v>32.054598566723548</v>
      </c>
      <c r="U35" s="298">
        <f>R35-T35</f>
        <v>52.946617507057915</v>
      </c>
      <c r="V35" s="291" t="s">
        <v>98</v>
      </c>
      <c r="W35" s="291" t="s">
        <v>98</v>
      </c>
      <c r="Z35" s="282"/>
      <c r="AC35" s="27" t="b">
        <f t="shared" si="8"/>
        <v>1</v>
      </c>
    </row>
    <row r="36" spans="1:29" x14ac:dyDescent="0.3">
      <c r="A36" s="27">
        <f t="shared" si="0"/>
        <v>24</v>
      </c>
      <c r="D36" s="54" t="s">
        <v>102</v>
      </c>
      <c r="F36" s="27" t="s">
        <v>60</v>
      </c>
      <c r="G36" s="49">
        <v>999.3</v>
      </c>
      <c r="H36" s="49">
        <v>1007.76</v>
      </c>
      <c r="I36" s="49">
        <v>423.52461769844058</v>
      </c>
      <c r="J36" s="50" t="s">
        <v>96</v>
      </c>
      <c r="K36" s="51" t="s">
        <v>100</v>
      </c>
      <c r="L36" s="51"/>
      <c r="M36" s="52"/>
      <c r="N36" s="295">
        <f>H36-G36</f>
        <v>8.4600000000000364</v>
      </c>
      <c r="O36" s="284">
        <f>(N36/G36)</f>
        <v>8.4659261483038487E-3</v>
      </c>
      <c r="P36" s="296">
        <v>0</v>
      </c>
      <c r="Q36" s="297">
        <f>(+P36*G36)/1000</f>
        <v>0</v>
      </c>
      <c r="R36" s="297">
        <f>(+P36*H36)/1000</f>
        <v>0</v>
      </c>
      <c r="S36" s="298">
        <f>R36-Q36</f>
        <v>0</v>
      </c>
      <c r="T36" s="297">
        <f>(+P36*I36)/1000</f>
        <v>0</v>
      </c>
      <c r="U36" s="298">
        <f>R36-T36</f>
        <v>0</v>
      </c>
      <c r="V36" s="291" t="s">
        <v>98</v>
      </c>
      <c r="W36" s="291" t="s">
        <v>98</v>
      </c>
      <c r="Z36" s="282"/>
      <c r="AC36" s="27" t="b">
        <f t="shared" si="8"/>
        <v>1</v>
      </c>
    </row>
    <row r="37" spans="1:29" x14ac:dyDescent="0.3">
      <c r="A37" s="27">
        <f t="shared" si="0"/>
        <v>25</v>
      </c>
      <c r="D37" s="27" t="s">
        <v>71</v>
      </c>
      <c r="G37" s="49"/>
      <c r="H37" s="49"/>
      <c r="I37" s="49"/>
      <c r="J37" s="50"/>
      <c r="K37" s="51"/>
      <c r="L37" s="51"/>
      <c r="M37" s="52"/>
      <c r="P37" s="296"/>
      <c r="Q37" s="297"/>
      <c r="R37" s="297"/>
      <c r="T37" s="297"/>
      <c r="U37" s="283"/>
      <c r="V37" s="291"/>
      <c r="W37" s="291"/>
      <c r="Z37" s="282"/>
    </row>
    <row r="38" spans="1:29" x14ac:dyDescent="0.3">
      <c r="A38" s="27">
        <f t="shared" si="0"/>
        <v>26</v>
      </c>
      <c r="D38" s="54" t="s">
        <v>99</v>
      </c>
      <c r="F38" s="27" t="s">
        <v>60</v>
      </c>
      <c r="G38" s="49">
        <f>G34</f>
        <v>16.02</v>
      </c>
      <c r="H38" s="49">
        <v>16.16</v>
      </c>
      <c r="I38" s="49">
        <f>I34</f>
        <v>14.849532099973128</v>
      </c>
      <c r="J38" s="50" t="s">
        <v>96</v>
      </c>
      <c r="K38" s="51" t="s">
        <v>103</v>
      </c>
      <c r="L38" s="51"/>
      <c r="M38" s="52"/>
      <c r="N38" s="295">
        <f>H38-G38</f>
        <v>0.14000000000000057</v>
      </c>
      <c r="O38" s="284">
        <f>(N38/G38)</f>
        <v>8.7390761548065271E-3</v>
      </c>
      <c r="P38" s="296">
        <v>15492.382362368073</v>
      </c>
      <c r="Q38" s="297">
        <f>(+P38*G38)/1000</f>
        <v>248.18796544513651</v>
      </c>
      <c r="R38" s="297">
        <f>(+P38*H38)/1000</f>
        <v>250.35689897586806</v>
      </c>
      <c r="S38" s="298">
        <f>R38-Q38</f>
        <v>2.1689335307315503</v>
      </c>
      <c r="T38" s="297">
        <f>(+P38*I38)/1000</f>
        <v>230.05462919504222</v>
      </c>
      <c r="U38" s="298">
        <f>R38-T38</f>
        <v>20.302269780825839</v>
      </c>
      <c r="V38" s="291" t="s">
        <v>94</v>
      </c>
      <c r="W38" s="291" t="s">
        <v>94</v>
      </c>
      <c r="Z38" s="282"/>
    </row>
    <row r="39" spans="1:29" x14ac:dyDescent="0.3">
      <c r="A39" s="27">
        <f t="shared" si="0"/>
        <v>27</v>
      </c>
      <c r="D39" s="54" t="s">
        <v>101</v>
      </c>
      <c r="F39" s="27" t="s">
        <v>60</v>
      </c>
      <c r="G39" s="49">
        <f>G35</f>
        <v>202.59</v>
      </c>
      <c r="H39" s="49">
        <v>204.3</v>
      </c>
      <c r="I39" s="49">
        <f>I35</f>
        <v>77.043068201486321</v>
      </c>
      <c r="J39" s="50" t="s">
        <v>96</v>
      </c>
      <c r="K39" s="51" t="s">
        <v>103</v>
      </c>
      <c r="L39" s="51"/>
      <c r="M39" s="52"/>
      <c r="N39" s="295">
        <f>H39-G39</f>
        <v>1.710000000000008</v>
      </c>
      <c r="O39" s="284">
        <f>(N39/G39)</f>
        <v>8.4406930253221185E-3</v>
      </c>
      <c r="P39" s="296">
        <v>0</v>
      </c>
      <c r="Q39" s="297">
        <f>(+P39*G39)/1000</f>
        <v>0</v>
      </c>
      <c r="R39" s="297">
        <f>(+P39*H39)/1000</f>
        <v>0</v>
      </c>
      <c r="S39" s="298">
        <f>R39-Q39</f>
        <v>0</v>
      </c>
      <c r="T39" s="297">
        <f>(+P39*I39)/1000</f>
        <v>0</v>
      </c>
      <c r="U39" s="298">
        <f>R39-T39</f>
        <v>0</v>
      </c>
      <c r="V39" s="291" t="s">
        <v>94</v>
      </c>
      <c r="W39" s="291" t="s">
        <v>94</v>
      </c>
      <c r="Z39" s="282"/>
    </row>
    <row r="40" spans="1:29" x14ac:dyDescent="0.3">
      <c r="A40" s="27">
        <f t="shared" si="0"/>
        <v>28</v>
      </c>
      <c r="D40" s="54" t="s">
        <v>102</v>
      </c>
      <c r="F40" s="27" t="s">
        <v>60</v>
      </c>
      <c r="G40" s="49">
        <f>G36</f>
        <v>999.3</v>
      </c>
      <c r="H40" s="49">
        <v>1007.76</v>
      </c>
      <c r="I40" s="49">
        <f>I36</f>
        <v>423.52461769844058</v>
      </c>
      <c r="J40" s="50" t="s">
        <v>96</v>
      </c>
      <c r="K40" s="51" t="s">
        <v>103</v>
      </c>
      <c r="L40" s="51"/>
      <c r="M40" s="52"/>
      <c r="N40" s="295">
        <f>H40-G40</f>
        <v>8.4600000000000364</v>
      </c>
      <c r="O40" s="284">
        <f>(N40/G40)</f>
        <v>8.4659261483038487E-3</v>
      </c>
      <c r="P40" s="296">
        <v>0</v>
      </c>
      <c r="Q40" s="297">
        <f>(+P40*G40)/1000</f>
        <v>0</v>
      </c>
      <c r="R40" s="297">
        <f>(+P40*H40)/1000</f>
        <v>0</v>
      </c>
      <c r="S40" s="298">
        <f>R40-Q40</f>
        <v>0</v>
      </c>
      <c r="T40" s="297">
        <f>(+P40*I40)/1000</f>
        <v>0</v>
      </c>
      <c r="U40" s="298">
        <f>R40-T40</f>
        <v>0</v>
      </c>
      <c r="V40" s="291" t="s">
        <v>94</v>
      </c>
      <c r="W40" s="291" t="s">
        <v>94</v>
      </c>
      <c r="Z40" s="282"/>
    </row>
    <row r="41" spans="1:29" x14ac:dyDescent="0.3">
      <c r="A41" s="27">
        <f t="shared" si="0"/>
        <v>29</v>
      </c>
      <c r="G41" s="51"/>
      <c r="H41" s="51"/>
      <c r="I41" s="51"/>
      <c r="J41" s="50"/>
      <c r="K41" s="51"/>
      <c r="L41" s="51"/>
      <c r="M41" s="52"/>
      <c r="P41" s="296"/>
      <c r="Q41" s="297"/>
      <c r="R41" s="297"/>
      <c r="T41" s="297"/>
      <c r="U41" s="283"/>
      <c r="V41" s="291"/>
      <c r="W41" s="291"/>
      <c r="Z41" s="282"/>
    </row>
    <row r="42" spans="1:29" x14ac:dyDescent="0.3">
      <c r="A42" s="27">
        <f t="shared" si="0"/>
        <v>30</v>
      </c>
      <c r="C42" s="27" t="s">
        <v>75</v>
      </c>
      <c r="G42" s="51"/>
      <c r="H42" s="51"/>
      <c r="I42" s="51"/>
      <c r="J42" s="50"/>
      <c r="K42" s="51"/>
      <c r="L42" s="51"/>
      <c r="M42" s="52"/>
      <c r="P42" s="296"/>
      <c r="Q42" s="297"/>
      <c r="R42" s="297"/>
      <c r="T42" s="297"/>
      <c r="U42" s="283"/>
      <c r="V42" s="291"/>
      <c r="W42" s="291"/>
      <c r="Z42" s="282"/>
    </row>
    <row r="43" spans="1:29" x14ac:dyDescent="0.3">
      <c r="A43" s="27">
        <f t="shared" si="0"/>
        <v>31</v>
      </c>
      <c r="D43" s="27" t="s">
        <v>67</v>
      </c>
      <c r="F43" s="27" t="s">
        <v>78</v>
      </c>
      <c r="G43" s="56">
        <v>7.331999999999999</v>
      </c>
      <c r="H43" s="56">
        <v>7.4</v>
      </c>
      <c r="I43" s="56">
        <v>7.8626357159675306</v>
      </c>
      <c r="J43" s="50" t="s">
        <v>68</v>
      </c>
      <c r="K43" s="51" t="s">
        <v>69</v>
      </c>
      <c r="L43" s="56"/>
      <c r="M43" s="60"/>
      <c r="N43" s="295">
        <f>H43-G43</f>
        <v>6.8000000000001393E-2</v>
      </c>
      <c r="O43" s="284">
        <f>(N43/G43)</f>
        <v>9.2744135297328691E-3</v>
      </c>
      <c r="P43" s="296">
        <v>1821747.0640758092</v>
      </c>
      <c r="Q43" s="297">
        <f>(+P43*G43*10)/1000</f>
        <v>133570.49473803831</v>
      </c>
      <c r="R43" s="297">
        <f>(+P43*H43*10)/1000</f>
        <v>134809.28274160987</v>
      </c>
      <c r="S43" s="298">
        <f>R43-Q43</f>
        <v>1238.7880035715643</v>
      </c>
      <c r="T43" s="297">
        <f>(+P43*I43*10)/1000</f>
        <v>143237.33531461447</v>
      </c>
      <c r="U43" s="298">
        <f>R43-T43</f>
        <v>-8428.052573004592</v>
      </c>
      <c r="V43" s="291" t="s">
        <v>98</v>
      </c>
      <c r="W43" s="291" t="s">
        <v>98</v>
      </c>
      <c r="Z43" s="282"/>
    </row>
    <row r="44" spans="1:29" x14ac:dyDescent="0.3">
      <c r="A44" s="27">
        <f t="shared" si="0"/>
        <v>32</v>
      </c>
      <c r="D44" s="27" t="s">
        <v>83</v>
      </c>
      <c r="F44" s="27" t="s">
        <v>78</v>
      </c>
      <c r="G44" s="56">
        <v>9.2100000000000009</v>
      </c>
      <c r="H44" s="56">
        <v>9.9860000000000007</v>
      </c>
      <c r="I44" s="57">
        <v>11.263999999999999</v>
      </c>
      <c r="J44" s="50" t="s">
        <v>84</v>
      </c>
      <c r="K44" s="51" t="s">
        <v>85</v>
      </c>
      <c r="L44" s="56"/>
      <c r="M44" s="60"/>
      <c r="N44" s="295">
        <f>H44-G44</f>
        <v>0.7759999999999998</v>
      </c>
      <c r="O44" s="284">
        <f>(N44/G44)</f>
        <v>8.4256243213897908E-2</v>
      </c>
      <c r="P44" s="296">
        <v>29367.944181914649</v>
      </c>
      <c r="Q44" s="297">
        <f>(+P44*G44*10)/1000</f>
        <v>2704.7876591543391</v>
      </c>
      <c r="R44" s="297">
        <f>(+P44*H44*10)/1000</f>
        <v>2932.6829060059972</v>
      </c>
      <c r="S44" s="298">
        <f>R44-Q44</f>
        <v>227.89524685165816</v>
      </c>
      <c r="T44" s="297">
        <f>(+P44*I44*10)/1000</f>
        <v>3308.0052326508658</v>
      </c>
      <c r="U44" s="298">
        <f>R44-T44</f>
        <v>-375.32232664486855</v>
      </c>
      <c r="V44" s="291" t="s">
        <v>94</v>
      </c>
      <c r="W44" s="291" t="s">
        <v>94</v>
      </c>
      <c r="Z44" s="282"/>
    </row>
    <row r="45" spans="1:29" x14ac:dyDescent="0.3">
      <c r="A45" s="27">
        <f t="shared" si="0"/>
        <v>33</v>
      </c>
      <c r="D45" s="27" t="s">
        <v>86</v>
      </c>
      <c r="F45" s="27" t="s">
        <v>78</v>
      </c>
      <c r="G45" s="56">
        <v>8.5779999999999994</v>
      </c>
      <c r="H45" s="56">
        <v>8.5779999999999994</v>
      </c>
      <c r="I45" s="57">
        <v>8.343</v>
      </c>
      <c r="J45" s="50" t="s">
        <v>84</v>
      </c>
      <c r="K45" s="51" t="s">
        <v>85</v>
      </c>
      <c r="L45" s="56"/>
      <c r="M45" s="60"/>
      <c r="N45" s="295">
        <f>H45-G45</f>
        <v>0</v>
      </c>
      <c r="O45" s="284">
        <f>(N45/G45)</f>
        <v>0</v>
      </c>
      <c r="P45" s="296">
        <v>94002.391742275766</v>
      </c>
      <c r="Q45" s="297">
        <f>(+P45*G45*10)/1000</f>
        <v>8063.5251636524144</v>
      </c>
      <c r="R45" s="297">
        <f>(+P45*H45*10)/1000</f>
        <v>8063.5251636524144</v>
      </c>
      <c r="S45" s="298">
        <f>R45-Q45</f>
        <v>0</v>
      </c>
      <c r="T45" s="297">
        <f>(+P45*I45*10)/1000</f>
        <v>7842.6195430580665</v>
      </c>
      <c r="U45" s="298">
        <f>R45-T45</f>
        <v>220.90562059434797</v>
      </c>
      <c r="V45" s="291" t="s">
        <v>94</v>
      </c>
      <c r="W45" s="291" t="s">
        <v>94</v>
      </c>
      <c r="Z45" s="282"/>
    </row>
    <row r="46" spans="1:29" x14ac:dyDescent="0.3">
      <c r="A46" s="27">
        <f t="shared" si="0"/>
        <v>34</v>
      </c>
      <c r="D46" s="27" t="s">
        <v>87</v>
      </c>
      <c r="F46" s="27" t="s">
        <v>78</v>
      </c>
      <c r="G46" s="56">
        <v>4.806</v>
      </c>
      <c r="H46" s="56">
        <v>4.88</v>
      </c>
      <c r="I46" s="57">
        <v>5.5049999999999999</v>
      </c>
      <c r="J46" s="50" t="s">
        <v>84</v>
      </c>
      <c r="K46" s="51" t="s">
        <v>85</v>
      </c>
      <c r="L46" s="56"/>
      <c r="M46" s="60"/>
      <c r="N46" s="295"/>
      <c r="P46" s="296"/>
      <c r="Q46" s="297"/>
      <c r="R46" s="297"/>
      <c r="S46" s="298"/>
      <c r="T46" s="297"/>
      <c r="U46" s="298"/>
      <c r="V46" s="291"/>
      <c r="W46" s="291"/>
      <c r="Z46" s="282"/>
    </row>
    <row r="47" spans="1:29" x14ac:dyDescent="0.3">
      <c r="A47" s="27">
        <f t="shared" si="0"/>
        <v>35</v>
      </c>
      <c r="G47" s="56"/>
      <c r="H47" s="56"/>
      <c r="I47" s="56"/>
      <c r="J47" s="61"/>
      <c r="K47" s="56"/>
      <c r="L47" s="56"/>
      <c r="M47" s="60"/>
      <c r="N47" s="295"/>
      <c r="P47" s="296"/>
      <c r="Q47" s="297"/>
      <c r="R47" s="297"/>
      <c r="T47" s="297"/>
      <c r="U47" s="283"/>
      <c r="V47" s="291"/>
      <c r="W47" s="291"/>
      <c r="Z47" s="282"/>
    </row>
    <row r="48" spans="1:29" x14ac:dyDescent="0.3">
      <c r="A48" s="27">
        <f t="shared" si="0"/>
        <v>36</v>
      </c>
      <c r="C48" s="27" t="s">
        <v>104</v>
      </c>
      <c r="F48" s="27" t="s">
        <v>78</v>
      </c>
      <c r="G48" s="56">
        <v>1.385</v>
      </c>
      <c r="H48" s="57">
        <f>I48</f>
        <v>1.629</v>
      </c>
      <c r="I48" s="57">
        <v>1.629</v>
      </c>
      <c r="J48" s="50" t="s">
        <v>105</v>
      </c>
      <c r="K48" s="51" t="s">
        <v>106</v>
      </c>
      <c r="L48" s="51"/>
      <c r="M48" s="52"/>
      <c r="N48" s="295">
        <f>H48-G48</f>
        <v>0.24399999999999999</v>
      </c>
      <c r="O48" s="284">
        <f>(N48/G48)</f>
        <v>0.17617328519855596</v>
      </c>
      <c r="P48" s="296"/>
      <c r="Q48" s="297">
        <f>(+P48*G48*10)/1000</f>
        <v>0</v>
      </c>
      <c r="R48" s="297">
        <f>(+P48*H48*10)/1000</f>
        <v>0</v>
      </c>
      <c r="S48" s="298">
        <f>R48-Q48</f>
        <v>0</v>
      </c>
      <c r="T48" s="297">
        <f>(+P48*I48*10)/1000</f>
        <v>0</v>
      </c>
      <c r="U48" s="298">
        <f>R48-T48</f>
        <v>0</v>
      </c>
      <c r="V48" s="291" t="s">
        <v>98</v>
      </c>
      <c r="W48" s="291" t="s">
        <v>98</v>
      </c>
      <c r="Z48" s="282"/>
    </row>
    <row r="49" spans="1:29" x14ac:dyDescent="0.3">
      <c r="A49" s="27">
        <f t="shared" si="0"/>
        <v>37</v>
      </c>
      <c r="G49" s="56"/>
      <c r="H49" s="56"/>
      <c r="I49" s="56"/>
      <c r="J49" s="50"/>
      <c r="K49" s="51"/>
      <c r="L49" s="51"/>
      <c r="M49" s="52"/>
      <c r="P49" s="296"/>
      <c r="Q49" s="297"/>
      <c r="R49" s="297"/>
      <c r="T49" s="297"/>
      <c r="U49" s="283"/>
      <c r="V49" s="291"/>
      <c r="W49" s="291"/>
      <c r="Z49" s="282"/>
    </row>
    <row r="50" spans="1:29" x14ac:dyDescent="0.3">
      <c r="A50" s="27">
        <f t="shared" si="0"/>
        <v>38</v>
      </c>
      <c r="C50" s="27" t="s">
        <v>107</v>
      </c>
      <c r="G50" s="51"/>
      <c r="H50" s="51"/>
      <c r="I50" s="51"/>
      <c r="J50" s="50"/>
      <c r="K50" s="51"/>
      <c r="L50" s="51"/>
      <c r="M50" s="52"/>
      <c r="P50" s="296"/>
      <c r="Q50" s="297"/>
      <c r="R50" s="297"/>
      <c r="T50" s="297"/>
      <c r="U50" s="283"/>
      <c r="V50" s="291"/>
      <c r="W50" s="291"/>
      <c r="Z50" s="282"/>
    </row>
    <row r="51" spans="1:29" x14ac:dyDescent="0.3">
      <c r="A51" s="27">
        <f t="shared" si="0"/>
        <v>39</v>
      </c>
      <c r="D51" s="27" t="s">
        <v>101</v>
      </c>
      <c r="F51" s="27" t="s">
        <v>61</v>
      </c>
      <c r="G51" s="62">
        <v>0.01</v>
      </c>
      <c r="H51" s="62">
        <v>0.01</v>
      </c>
      <c r="I51" s="62"/>
      <c r="J51" s="50"/>
      <c r="K51" s="51" t="s">
        <v>108</v>
      </c>
      <c r="L51" s="51"/>
      <c r="M51" s="52"/>
      <c r="N51" s="306">
        <f>H51-G51</f>
        <v>0</v>
      </c>
      <c r="O51" s="284">
        <f>(N51/G51)</f>
        <v>0</v>
      </c>
      <c r="P51" s="296"/>
      <c r="Q51" s="297">
        <f>(P51*G51)/1000</f>
        <v>0</v>
      </c>
      <c r="R51" s="297">
        <f>(P51*H51)/1000</f>
        <v>0</v>
      </c>
      <c r="S51" s="298">
        <f>R51-Q51</f>
        <v>0</v>
      </c>
      <c r="T51" s="297">
        <f>(P51*I51)/1000</f>
        <v>0</v>
      </c>
      <c r="U51" s="298">
        <f>R51-T51</f>
        <v>0</v>
      </c>
      <c r="V51" s="291" t="s">
        <v>98</v>
      </c>
      <c r="W51" s="291" t="s">
        <v>98</v>
      </c>
      <c r="Z51" s="282"/>
    </row>
    <row r="52" spans="1:29" x14ac:dyDescent="0.3">
      <c r="A52" s="27">
        <f t="shared" si="0"/>
        <v>40</v>
      </c>
      <c r="D52" s="27" t="s">
        <v>102</v>
      </c>
      <c r="F52" s="27" t="s">
        <v>61</v>
      </c>
      <c r="G52" s="62">
        <v>0.02</v>
      </c>
      <c r="H52" s="62">
        <v>0.02</v>
      </c>
      <c r="I52" s="62"/>
      <c r="J52" s="50"/>
      <c r="K52" s="51" t="s">
        <v>108</v>
      </c>
      <c r="L52" s="51"/>
      <c r="M52" s="52"/>
      <c r="N52" s="306">
        <f>H52-G52</f>
        <v>0</v>
      </c>
      <c r="O52" s="284">
        <f>(N52/G52)</f>
        <v>0</v>
      </c>
      <c r="P52" s="296"/>
      <c r="Q52" s="297">
        <f>(P52*G52)/1000</f>
        <v>0</v>
      </c>
      <c r="R52" s="297">
        <f>(P52*H52)/1000</f>
        <v>0</v>
      </c>
      <c r="S52" s="298">
        <f>R52-Q52</f>
        <v>0</v>
      </c>
      <c r="T52" s="297">
        <f>(P52*I52)/1000</f>
        <v>0</v>
      </c>
      <c r="U52" s="298">
        <f>R52-T52</f>
        <v>0</v>
      </c>
      <c r="V52" s="291" t="s">
        <v>98</v>
      </c>
      <c r="W52" s="291" t="s">
        <v>98</v>
      </c>
      <c r="Z52" s="282"/>
    </row>
    <row r="53" spans="1:29" x14ac:dyDescent="0.3">
      <c r="A53" s="27">
        <f t="shared" si="0"/>
        <v>41</v>
      </c>
      <c r="G53" s="62"/>
      <c r="H53" s="62"/>
      <c r="I53" s="62"/>
      <c r="J53" s="50"/>
      <c r="K53" s="51"/>
      <c r="L53" s="51"/>
      <c r="M53" s="52"/>
      <c r="N53" s="306"/>
      <c r="P53" s="296"/>
      <c r="Q53" s="297"/>
      <c r="R53" s="297"/>
      <c r="S53" s="298"/>
      <c r="T53" s="297"/>
      <c r="U53" s="298"/>
      <c r="V53" s="291"/>
      <c r="W53" s="291"/>
      <c r="Z53" s="282"/>
    </row>
    <row r="54" spans="1:29" x14ac:dyDescent="0.3">
      <c r="A54" s="27">
        <f t="shared" si="0"/>
        <v>42</v>
      </c>
      <c r="C54" s="27" t="s">
        <v>109</v>
      </c>
      <c r="F54" s="27" t="s">
        <v>61</v>
      </c>
      <c r="G54" s="63">
        <v>1.0800000000000001E-2</v>
      </c>
      <c r="H54" s="64">
        <f>I54</f>
        <v>9.5999999999999992E-3</v>
      </c>
      <c r="I54" s="65">
        <v>9.5999999999999992E-3</v>
      </c>
      <c r="J54" s="42" t="s">
        <v>110</v>
      </c>
      <c r="K54" s="66" t="s">
        <v>111</v>
      </c>
      <c r="L54" s="51"/>
      <c r="M54" s="52"/>
      <c r="N54" s="307">
        <f>H54-G54</f>
        <v>-1.2000000000000014E-3</v>
      </c>
      <c r="O54" s="284">
        <f>(N54/G54)</f>
        <v>-0.11111111111111123</v>
      </c>
      <c r="P54" s="296"/>
      <c r="Q54" s="296"/>
      <c r="R54" s="296"/>
      <c r="T54" s="296"/>
      <c r="U54" s="283"/>
      <c r="V54" s="291" t="s">
        <v>98</v>
      </c>
      <c r="W54" s="291" t="s">
        <v>98</v>
      </c>
      <c r="Z54" s="282"/>
    </row>
    <row r="55" spans="1:29" ht="14.4" thickBot="1" x14ac:dyDescent="0.35">
      <c r="B55" s="31"/>
      <c r="C55" s="31"/>
      <c r="D55" s="31"/>
      <c r="E55" s="31"/>
      <c r="F55" s="31"/>
      <c r="G55" s="52"/>
      <c r="H55" s="52"/>
      <c r="I55" s="52"/>
      <c r="J55" s="59"/>
      <c r="K55" s="52"/>
      <c r="L55" s="52"/>
      <c r="M55" s="52"/>
      <c r="N55" s="300"/>
      <c r="O55" s="301"/>
      <c r="P55" s="302"/>
      <c r="Q55" s="303">
        <f>SUM(Q31:Q54)</f>
        <v>170345.63974101422</v>
      </c>
      <c r="R55" s="303">
        <f>SUM(R31:R54)</f>
        <v>172046.77021135739</v>
      </c>
      <c r="S55" s="303">
        <f>SUM(S31:S54)</f>
        <v>1701.1304703431535</v>
      </c>
      <c r="T55" s="303">
        <f>SUM(T31:T54)</f>
        <v>178459.49826559372</v>
      </c>
      <c r="U55" s="303">
        <f>SUM(U31:U54)</f>
        <v>-6412.7280542363133</v>
      </c>
      <c r="V55" s="291"/>
      <c r="W55" s="291"/>
      <c r="Z55" s="282"/>
    </row>
    <row r="56" spans="1:29" ht="14.4" thickTop="1" x14ac:dyDescent="0.3">
      <c r="A56" s="27">
        <f>+A54+1</f>
        <v>43</v>
      </c>
      <c r="B56" s="48"/>
      <c r="G56" s="51"/>
      <c r="H56" s="51"/>
      <c r="I56" s="51"/>
      <c r="J56" s="50"/>
      <c r="K56" s="51"/>
      <c r="L56" s="51"/>
      <c r="M56" s="52"/>
      <c r="P56" s="296"/>
      <c r="Q56" s="296"/>
      <c r="R56" s="296"/>
      <c r="S56" s="304" t="s">
        <v>91</v>
      </c>
      <c r="T56" s="305">
        <v>0</v>
      </c>
      <c r="U56" s="283"/>
      <c r="V56" s="291"/>
      <c r="W56" s="291"/>
      <c r="Z56" s="282"/>
    </row>
    <row r="57" spans="1:29" x14ac:dyDescent="0.3">
      <c r="A57" s="27">
        <f t="shared" si="0"/>
        <v>44</v>
      </c>
      <c r="B57" s="48" t="s">
        <v>112</v>
      </c>
      <c r="C57" s="27" t="s">
        <v>65</v>
      </c>
      <c r="G57" s="51"/>
      <c r="H57" s="51"/>
      <c r="I57" s="51"/>
      <c r="J57" s="50"/>
      <c r="K57" s="51"/>
      <c r="L57" s="51"/>
      <c r="M57" s="52"/>
      <c r="P57" s="296"/>
      <c r="Q57" s="296"/>
      <c r="R57" s="296"/>
      <c r="T57" s="296"/>
      <c r="U57" s="283"/>
      <c r="V57" s="291"/>
      <c r="W57" s="291"/>
      <c r="Z57" s="282"/>
    </row>
    <row r="58" spans="1:29" x14ac:dyDescent="0.3">
      <c r="A58" s="27">
        <f t="shared" si="0"/>
        <v>45</v>
      </c>
      <c r="D58" s="27" t="s">
        <v>67</v>
      </c>
      <c r="G58" s="51"/>
      <c r="H58" s="51"/>
      <c r="I58" s="51"/>
      <c r="J58" s="50"/>
      <c r="K58" s="51"/>
      <c r="L58" s="51"/>
      <c r="M58" s="52"/>
      <c r="P58" s="296"/>
      <c r="Q58" s="296"/>
      <c r="R58" s="296"/>
      <c r="T58" s="296"/>
      <c r="U58" s="283"/>
      <c r="V58" s="291"/>
      <c r="W58" s="291"/>
      <c r="Z58" s="282"/>
    </row>
    <row r="59" spans="1:29" x14ac:dyDescent="0.3">
      <c r="A59" s="27">
        <f t="shared" si="0"/>
        <v>46</v>
      </c>
      <c r="D59" s="54" t="s">
        <v>95</v>
      </c>
      <c r="F59" s="27" t="s">
        <v>60</v>
      </c>
      <c r="G59" s="49">
        <v>9.33</v>
      </c>
      <c r="H59" s="49">
        <v>12.18</v>
      </c>
      <c r="I59" s="49">
        <v>10.618421484777537</v>
      </c>
      <c r="J59" s="50" t="s">
        <v>113</v>
      </c>
      <c r="K59" s="51" t="s">
        <v>69</v>
      </c>
      <c r="L59" s="51"/>
      <c r="M59" s="52"/>
      <c r="N59" s="295">
        <f>H59-G59</f>
        <v>2.8499999999999996</v>
      </c>
      <c r="O59" s="284">
        <f>(N59/G59)</f>
        <v>0.30546623794212213</v>
      </c>
      <c r="P59" s="296">
        <v>10797.571442115595</v>
      </c>
      <c r="Q59" s="297">
        <f>(P59*G59)/1000</f>
        <v>100.74134155493851</v>
      </c>
      <c r="R59" s="297">
        <f>(P59*H59)/1000</f>
        <v>131.51442016496796</v>
      </c>
      <c r="S59" s="298">
        <f>R59-Q59</f>
        <v>30.773078610029444</v>
      </c>
      <c r="T59" s="297">
        <f>(P59*I59)/1000</f>
        <v>114.6531645843806</v>
      </c>
      <c r="U59" s="298">
        <f>R59-T59</f>
        <v>16.861255580587354</v>
      </c>
      <c r="V59" s="291" t="s">
        <v>112</v>
      </c>
      <c r="W59" s="291" t="s">
        <v>112</v>
      </c>
      <c r="Z59" s="282"/>
      <c r="AC59" s="27" t="b">
        <f>H59&gt;=I59</f>
        <v>1</v>
      </c>
    </row>
    <row r="60" spans="1:29" x14ac:dyDescent="0.3">
      <c r="A60" s="27">
        <f t="shared" si="0"/>
        <v>47</v>
      </c>
      <c r="D60" s="54" t="s">
        <v>114</v>
      </c>
      <c r="F60" s="27" t="s">
        <v>60</v>
      </c>
      <c r="G60" s="49">
        <v>16.510000000000002</v>
      </c>
      <c r="H60" s="49">
        <v>21.57</v>
      </c>
      <c r="I60" s="49">
        <v>14.04233113527582</v>
      </c>
      <c r="J60" s="50" t="s">
        <v>113</v>
      </c>
      <c r="K60" s="51" t="s">
        <v>69</v>
      </c>
      <c r="L60" s="51"/>
      <c r="M60" s="52"/>
      <c r="N60" s="295">
        <f>H60-G60</f>
        <v>5.0599999999999987</v>
      </c>
      <c r="O60" s="284">
        <f>(N60/G60)</f>
        <v>0.30648092065414889</v>
      </c>
      <c r="P60" s="296">
        <v>169777.44269799883</v>
      </c>
      <c r="Q60" s="297">
        <f>(P60*G60)/1000</f>
        <v>2803.0255789439607</v>
      </c>
      <c r="R60" s="297">
        <f>(P60*H60)/1000</f>
        <v>3662.099438995835</v>
      </c>
      <c r="S60" s="298">
        <f>R60-Q60</f>
        <v>859.07386005187436</v>
      </c>
      <c r="T60" s="297">
        <f>(P60*I60)/1000</f>
        <v>2384.0710696656156</v>
      </c>
      <c r="U60" s="298">
        <f>R60-T60</f>
        <v>1278.0283693302194</v>
      </c>
      <c r="V60" s="291" t="s">
        <v>112</v>
      </c>
      <c r="W60" s="291" t="s">
        <v>112</v>
      </c>
      <c r="Z60" s="282"/>
      <c r="AC60" s="27" t="b">
        <f>H60&gt;=I60</f>
        <v>1</v>
      </c>
    </row>
    <row r="61" spans="1:29" x14ac:dyDescent="0.3">
      <c r="A61" s="27">
        <f t="shared" si="0"/>
        <v>48</v>
      </c>
      <c r="G61" s="51"/>
      <c r="H61" s="51"/>
      <c r="I61" s="51"/>
      <c r="J61" s="50"/>
      <c r="K61" s="51"/>
      <c r="L61" s="51"/>
      <c r="M61" s="52"/>
      <c r="P61" s="296"/>
      <c r="Q61" s="297"/>
      <c r="R61" s="297"/>
      <c r="T61" s="297"/>
      <c r="U61" s="283"/>
      <c r="V61" s="291"/>
      <c r="W61" s="291"/>
      <c r="Z61" s="282"/>
    </row>
    <row r="62" spans="1:29" x14ac:dyDescent="0.3">
      <c r="A62" s="27">
        <f t="shared" si="0"/>
        <v>49</v>
      </c>
      <c r="C62" s="27" t="s">
        <v>75</v>
      </c>
      <c r="G62" s="51"/>
      <c r="H62" s="51"/>
      <c r="I62" s="51"/>
      <c r="J62" s="50"/>
      <c r="K62" s="51"/>
      <c r="L62" s="51"/>
      <c r="M62" s="52"/>
      <c r="P62" s="296"/>
      <c r="Q62" s="297"/>
      <c r="R62" s="297"/>
      <c r="T62" s="297"/>
      <c r="U62" s="283"/>
      <c r="V62" s="291"/>
      <c r="W62" s="291"/>
      <c r="Z62" s="282"/>
    </row>
    <row r="63" spans="1:29" x14ac:dyDescent="0.3">
      <c r="A63" s="27">
        <f t="shared" si="0"/>
        <v>50</v>
      </c>
      <c r="D63" s="27" t="s">
        <v>67</v>
      </c>
      <c r="F63" s="27" t="s">
        <v>78</v>
      </c>
      <c r="G63" s="56">
        <v>2.827</v>
      </c>
      <c r="H63" s="56">
        <v>3.7369999999999997</v>
      </c>
      <c r="I63" s="57">
        <v>4.9544844814852684</v>
      </c>
      <c r="J63" s="50" t="s">
        <v>113</v>
      </c>
      <c r="K63" s="51" t="s">
        <v>69</v>
      </c>
      <c r="L63" s="56"/>
      <c r="M63" s="60"/>
      <c r="N63" s="295">
        <f>H63-G63</f>
        <v>0.9099999999999997</v>
      </c>
      <c r="O63" s="284">
        <f>(N63/G63)</f>
        <v>0.32189600282985487</v>
      </c>
      <c r="P63" s="296">
        <v>180592.4</v>
      </c>
      <c r="Q63" s="297">
        <f>(+P63*G63*10)/1000</f>
        <v>5105.3471479999998</v>
      </c>
      <c r="R63" s="297">
        <f>(+P63*H63*10)/1000</f>
        <v>6748.7379879999989</v>
      </c>
      <c r="S63" s="298">
        <f>R63-Q63</f>
        <v>1643.3908399999991</v>
      </c>
      <c r="T63" s="297">
        <f>(+P63*I63*10)/1000</f>
        <v>8947.4224327418015</v>
      </c>
      <c r="U63" s="298">
        <f>R63-T63</f>
        <v>-2198.6844447418025</v>
      </c>
      <c r="V63" s="291" t="s">
        <v>112</v>
      </c>
      <c r="W63" s="291" t="s">
        <v>112</v>
      </c>
      <c r="Z63" s="282"/>
    </row>
    <row r="64" spans="1:29" x14ac:dyDescent="0.3">
      <c r="A64" s="27">
        <f t="shared" si="0"/>
        <v>51</v>
      </c>
      <c r="G64" s="56"/>
      <c r="H64" s="56"/>
      <c r="I64" s="56"/>
      <c r="J64" s="61"/>
      <c r="K64" s="56"/>
      <c r="L64" s="56"/>
      <c r="M64" s="60"/>
      <c r="P64" s="296"/>
      <c r="Q64" s="297"/>
      <c r="R64" s="297"/>
      <c r="T64" s="297"/>
      <c r="U64" s="283"/>
      <c r="V64" s="291"/>
      <c r="W64" s="291"/>
      <c r="Z64" s="282"/>
    </row>
    <row r="65" spans="1:29" x14ac:dyDescent="0.3">
      <c r="A65" s="27">
        <f t="shared" si="0"/>
        <v>52</v>
      </c>
      <c r="C65" s="27" t="s">
        <v>104</v>
      </c>
      <c r="F65" s="27" t="s">
        <v>78</v>
      </c>
      <c r="G65" s="57">
        <v>0.245</v>
      </c>
      <c r="H65" s="57">
        <f>I65</f>
        <v>0.34399999999999997</v>
      </c>
      <c r="I65" s="57">
        <v>0.34399999999999997</v>
      </c>
      <c r="J65" s="50" t="s">
        <v>105</v>
      </c>
      <c r="K65" s="51" t="s">
        <v>106</v>
      </c>
      <c r="L65" s="56"/>
      <c r="M65" s="60"/>
      <c r="N65" s="295">
        <f>H65-G65</f>
        <v>9.8999999999999977E-2</v>
      </c>
      <c r="O65" s="284">
        <f>(N65/G65)</f>
        <v>0.40408163265306113</v>
      </c>
      <c r="P65" s="296"/>
      <c r="Q65" s="297">
        <f>(+P65*G65*10)/1000</f>
        <v>0</v>
      </c>
      <c r="R65" s="297">
        <f>(+P65*H65*10)/1000</f>
        <v>0</v>
      </c>
      <c r="S65" s="298">
        <f>R65-Q65</f>
        <v>0</v>
      </c>
      <c r="T65" s="297">
        <f>(+P65*I65*10)/1000</f>
        <v>0</v>
      </c>
      <c r="U65" s="298">
        <f>R65-T65</f>
        <v>0</v>
      </c>
      <c r="V65" s="291" t="s">
        <v>112</v>
      </c>
      <c r="W65" s="291" t="s">
        <v>112</v>
      </c>
      <c r="Z65" s="282"/>
    </row>
    <row r="66" spans="1:29" x14ac:dyDescent="0.3">
      <c r="A66" s="27">
        <f t="shared" si="0"/>
        <v>53</v>
      </c>
      <c r="G66" s="56"/>
      <c r="H66" s="56"/>
      <c r="I66" s="56"/>
      <c r="J66" s="61"/>
      <c r="K66" s="56"/>
      <c r="L66" s="56"/>
      <c r="M66" s="60"/>
      <c r="N66" s="295"/>
      <c r="P66" s="296"/>
      <c r="Q66" s="296"/>
      <c r="R66" s="296"/>
      <c r="T66" s="296"/>
      <c r="U66" s="283"/>
      <c r="V66" s="291"/>
      <c r="W66" s="291"/>
      <c r="Z66" s="282"/>
    </row>
    <row r="67" spans="1:29" ht="14.4" thickBot="1" x14ac:dyDescent="0.35">
      <c r="B67" s="31"/>
      <c r="C67" s="31"/>
      <c r="D67" s="31"/>
      <c r="E67" s="31"/>
      <c r="F67" s="31"/>
      <c r="G67" s="52"/>
      <c r="H67" s="52"/>
      <c r="I67" s="52"/>
      <c r="J67" s="59"/>
      <c r="K67" s="52"/>
      <c r="L67" s="52"/>
      <c r="M67" s="52"/>
      <c r="N67" s="300"/>
      <c r="O67" s="301"/>
      <c r="P67" s="302"/>
      <c r="Q67" s="303">
        <f>SUM(Q57:Q66)</f>
        <v>8009.1140684988986</v>
      </c>
      <c r="R67" s="303">
        <f>SUM(R57:R66)</f>
        <v>10542.351847160802</v>
      </c>
      <c r="S67" s="303">
        <f>SUM(S57:S66)</f>
        <v>2533.2377786619027</v>
      </c>
      <c r="T67" s="303">
        <f>SUM(T57:T66)</f>
        <v>11446.146666991797</v>
      </c>
      <c r="U67" s="303">
        <f>SUM(U57:U66)</f>
        <v>-903.79481983099572</v>
      </c>
      <c r="V67" s="291"/>
      <c r="W67" s="291"/>
      <c r="Z67" s="282"/>
    </row>
    <row r="68" spans="1:29" ht="14.4" thickTop="1" x14ac:dyDescent="0.3">
      <c r="A68" s="27">
        <f>+A66+1</f>
        <v>54</v>
      </c>
      <c r="B68" s="48"/>
      <c r="G68" s="51"/>
      <c r="H68" s="51"/>
      <c r="I68" s="51"/>
      <c r="J68" s="50"/>
      <c r="K68" s="51"/>
      <c r="L68" s="51"/>
      <c r="M68" s="52"/>
      <c r="P68" s="296"/>
      <c r="Q68" s="296"/>
      <c r="R68" s="296"/>
      <c r="S68" s="304" t="s">
        <v>91</v>
      </c>
      <c r="T68" s="305">
        <v>0</v>
      </c>
      <c r="U68" s="283"/>
      <c r="V68" s="291"/>
      <c r="W68" s="291"/>
      <c r="Z68" s="282"/>
    </row>
    <row r="69" spans="1:29" x14ac:dyDescent="0.3">
      <c r="A69" s="27">
        <f t="shared" si="0"/>
        <v>55</v>
      </c>
      <c r="B69" s="48" t="s">
        <v>115</v>
      </c>
      <c r="C69" s="27" t="s">
        <v>65</v>
      </c>
      <c r="G69" s="51"/>
      <c r="H69" s="51"/>
      <c r="I69" s="51"/>
      <c r="J69" s="50"/>
      <c r="K69" s="51"/>
      <c r="L69" s="51"/>
      <c r="M69" s="52"/>
      <c r="P69" s="296"/>
      <c r="Q69" s="296"/>
      <c r="R69" s="296"/>
      <c r="T69" s="296"/>
      <c r="U69" s="283"/>
      <c r="V69" s="291"/>
      <c r="W69" s="291"/>
      <c r="Z69" s="282"/>
    </row>
    <row r="70" spans="1:29" x14ac:dyDescent="0.3">
      <c r="A70" s="27">
        <f t="shared" si="0"/>
        <v>56</v>
      </c>
      <c r="B70" s="48" t="s">
        <v>116</v>
      </c>
      <c r="D70" s="27" t="s">
        <v>67</v>
      </c>
      <c r="G70" s="55"/>
      <c r="H70" s="55"/>
      <c r="I70" s="55"/>
      <c r="J70" s="50"/>
      <c r="K70" s="51"/>
      <c r="L70" s="51"/>
      <c r="M70" s="52"/>
      <c r="P70" s="296"/>
      <c r="Q70" s="296"/>
      <c r="R70" s="296"/>
      <c r="T70" s="296"/>
      <c r="U70" s="283"/>
      <c r="V70" s="291"/>
      <c r="W70" s="291"/>
      <c r="Z70" s="282"/>
    </row>
    <row r="71" spans="1:29" x14ac:dyDescent="0.3">
      <c r="A71" s="27">
        <f t="shared" si="0"/>
        <v>57</v>
      </c>
      <c r="B71" s="48"/>
      <c r="D71" s="54" t="s">
        <v>99</v>
      </c>
      <c r="F71" s="27" t="s">
        <v>60</v>
      </c>
      <c r="G71" s="49">
        <v>16.510000000000002</v>
      </c>
      <c r="H71" s="49">
        <v>21.56</v>
      </c>
      <c r="I71" s="58">
        <v>20.007690667450646</v>
      </c>
      <c r="J71" s="50" t="s">
        <v>96</v>
      </c>
      <c r="K71" s="51" t="s">
        <v>69</v>
      </c>
      <c r="L71" s="51"/>
      <c r="M71" s="52"/>
      <c r="N71" s="295">
        <f>H71-G71</f>
        <v>5.0499999999999972</v>
      </c>
      <c r="O71" s="284">
        <f>(N71/G71)</f>
        <v>0.30587522713506943</v>
      </c>
      <c r="P71" s="296">
        <v>410153.35282424564</v>
      </c>
      <c r="Q71" s="297">
        <f>(P71*G71)/1000</f>
        <v>6771.6318551282957</v>
      </c>
      <c r="R71" s="297">
        <f>(P71*H71)/1000</f>
        <v>8842.9062868907367</v>
      </c>
      <c r="S71" s="298">
        <f>R71-Q71</f>
        <v>2071.2744317624411</v>
      </c>
      <c r="T71" s="297">
        <f>(P71*I71)/1000</f>
        <v>8206.2214095252511</v>
      </c>
      <c r="U71" s="298">
        <f>R71-T71</f>
        <v>636.68487736548559</v>
      </c>
      <c r="V71" s="291" t="s">
        <v>115</v>
      </c>
      <c r="W71" s="291" t="s">
        <v>115</v>
      </c>
      <c r="Z71" s="282"/>
      <c r="AC71" s="27" t="b">
        <f t="shared" ref="AC71:AC73" si="9">H71&gt;=I71</f>
        <v>1</v>
      </c>
    </row>
    <row r="72" spans="1:29" x14ac:dyDescent="0.3">
      <c r="A72" s="27">
        <f t="shared" si="0"/>
        <v>58</v>
      </c>
      <c r="B72" s="48"/>
      <c r="D72" s="54" t="s">
        <v>101</v>
      </c>
      <c r="F72" s="27" t="s">
        <v>60</v>
      </c>
      <c r="G72" s="49">
        <v>208.75</v>
      </c>
      <c r="H72" s="49">
        <v>272.61</v>
      </c>
      <c r="I72" s="58">
        <v>154.11339026613908</v>
      </c>
      <c r="J72" s="50" t="s">
        <v>96</v>
      </c>
      <c r="K72" s="51" t="s">
        <v>69</v>
      </c>
      <c r="L72" s="51"/>
      <c r="M72" s="52"/>
      <c r="N72" s="295">
        <f>H72-G72</f>
        <v>63.860000000000014</v>
      </c>
      <c r="O72" s="284">
        <f>(N72/G72)</f>
        <v>0.30591616766467072</v>
      </c>
      <c r="P72" s="296">
        <v>917.45955625931117</v>
      </c>
      <c r="Q72" s="297">
        <f>(P72*G72)/1000</f>
        <v>191.5196823691312</v>
      </c>
      <c r="R72" s="297">
        <f>(P72*H72)/1000</f>
        <v>250.10864963185082</v>
      </c>
      <c r="S72" s="298">
        <f>R72-Q72</f>
        <v>58.588967262719621</v>
      </c>
      <c r="T72" s="297">
        <f>(P72*I72)/1000</f>
        <v>141.39280264719</v>
      </c>
      <c r="U72" s="298">
        <f>R72-T72</f>
        <v>108.71584698466083</v>
      </c>
      <c r="V72" s="291" t="s">
        <v>115</v>
      </c>
      <c r="W72" s="291" t="s">
        <v>115</v>
      </c>
      <c r="Z72" s="282"/>
      <c r="AC72" s="27" t="b">
        <f t="shared" si="9"/>
        <v>1</v>
      </c>
    </row>
    <row r="73" spans="1:29" x14ac:dyDescent="0.3">
      <c r="A73" s="27">
        <f t="shared" si="0"/>
        <v>59</v>
      </c>
      <c r="D73" s="54" t="s">
        <v>102</v>
      </c>
      <c r="F73" s="27" t="s">
        <v>60</v>
      </c>
      <c r="G73" s="49">
        <v>1029.6500000000001</v>
      </c>
      <c r="H73" s="49">
        <v>1344.66</v>
      </c>
      <c r="I73" s="58">
        <v>360.6134201180318</v>
      </c>
      <c r="J73" s="50" t="s">
        <v>96</v>
      </c>
      <c r="K73" s="51" t="s">
        <v>69</v>
      </c>
      <c r="L73" s="51"/>
      <c r="M73" s="52"/>
      <c r="N73" s="295">
        <f>H73-G73</f>
        <v>315.01</v>
      </c>
      <c r="O73" s="284">
        <f>(N73/G73)</f>
        <v>0.30593891128053219</v>
      </c>
      <c r="P73" s="296"/>
      <c r="Q73" s="297">
        <f>(P73*G73)/1000</f>
        <v>0</v>
      </c>
      <c r="R73" s="297">
        <f>(P73*H73)/1000</f>
        <v>0</v>
      </c>
      <c r="S73" s="298">
        <f>R73-Q73</f>
        <v>0</v>
      </c>
      <c r="T73" s="297">
        <f>(P73*I73)/1000</f>
        <v>0</v>
      </c>
      <c r="U73" s="298">
        <f>R73-T73</f>
        <v>0</v>
      </c>
      <c r="V73" s="291" t="s">
        <v>115</v>
      </c>
      <c r="W73" s="291" t="s">
        <v>115</v>
      </c>
      <c r="Z73" s="282"/>
      <c r="AC73" s="27" t="b">
        <f t="shared" si="9"/>
        <v>1</v>
      </c>
    </row>
    <row r="74" spans="1:29" x14ac:dyDescent="0.3">
      <c r="A74" s="27">
        <f t="shared" si="0"/>
        <v>60</v>
      </c>
      <c r="D74" s="27" t="s">
        <v>71</v>
      </c>
      <c r="G74" s="49"/>
      <c r="H74" s="49"/>
      <c r="I74" s="49"/>
      <c r="J74" s="50"/>
      <c r="K74" s="51"/>
      <c r="L74" s="51"/>
      <c r="M74" s="52"/>
      <c r="P74" s="296"/>
      <c r="Q74" s="297"/>
      <c r="R74" s="297"/>
      <c r="T74" s="297"/>
      <c r="U74" s="283"/>
      <c r="V74" s="291"/>
      <c r="W74" s="291"/>
      <c r="Z74" s="282"/>
    </row>
    <row r="75" spans="1:29" x14ac:dyDescent="0.3">
      <c r="A75" s="27">
        <f t="shared" si="0"/>
        <v>61</v>
      </c>
      <c r="D75" s="54" t="s">
        <v>99</v>
      </c>
      <c r="F75" s="27" t="s">
        <v>60</v>
      </c>
      <c r="G75" s="49">
        <v>16.510000000000002</v>
      </c>
      <c r="H75" s="49">
        <v>21.56</v>
      </c>
      <c r="I75" s="58">
        <f>I71</f>
        <v>20.007690667450646</v>
      </c>
      <c r="J75" s="50" t="s">
        <v>96</v>
      </c>
      <c r="K75" s="51" t="s">
        <v>117</v>
      </c>
      <c r="L75" s="51"/>
      <c r="M75" s="52"/>
      <c r="N75" s="295">
        <f t="shared" ref="N75:N77" si="10">H75-G75</f>
        <v>5.0499999999999972</v>
      </c>
      <c r="O75" s="284">
        <f t="shared" ref="O75:O77" si="11">(N75/G75)</f>
        <v>0.30587522713506943</v>
      </c>
      <c r="P75" s="296">
        <v>169731.8802606402</v>
      </c>
      <c r="Q75" s="297">
        <f t="shared" ref="Q75:Q76" si="12">(P75*G75)/1000</f>
        <v>2802.2733431031697</v>
      </c>
      <c r="R75" s="297">
        <f t="shared" ref="R75:R76" si="13">(P75*H75)/1000</f>
        <v>3659.4193384194023</v>
      </c>
      <c r="S75" s="298">
        <f t="shared" ref="S75:S76" si="14">R75-Q75</f>
        <v>857.14599531623253</v>
      </c>
      <c r="T75" s="297">
        <f t="shared" ref="T75:T76" si="15">(P75*I75)/1000</f>
        <v>3395.9429566596618</v>
      </c>
      <c r="U75" s="298">
        <f t="shared" ref="U75:U76" si="16">R75-T75</f>
        <v>263.47638175974043</v>
      </c>
      <c r="V75" s="291" t="s">
        <v>116</v>
      </c>
      <c r="W75" s="291" t="s">
        <v>116</v>
      </c>
      <c r="Z75" s="282"/>
      <c r="AC75" s="27" t="b">
        <f t="shared" ref="AC75:AC77" si="17">H75&gt;=I75</f>
        <v>1</v>
      </c>
    </row>
    <row r="76" spans="1:29" x14ac:dyDescent="0.3">
      <c r="A76" s="27">
        <f t="shared" si="0"/>
        <v>62</v>
      </c>
      <c r="D76" s="54" t="s">
        <v>101</v>
      </c>
      <c r="F76" s="27" t="s">
        <v>60</v>
      </c>
      <c r="G76" s="49">
        <v>208.75</v>
      </c>
      <c r="H76" s="49">
        <v>272.61</v>
      </c>
      <c r="I76" s="58">
        <f>I72</f>
        <v>154.11339026613908</v>
      </c>
      <c r="J76" s="50" t="s">
        <v>96</v>
      </c>
      <c r="K76" s="51" t="s">
        <v>117</v>
      </c>
      <c r="L76" s="51"/>
      <c r="M76" s="52"/>
      <c r="N76" s="295">
        <f t="shared" si="10"/>
        <v>63.860000000000014</v>
      </c>
      <c r="O76" s="284">
        <f t="shared" si="11"/>
        <v>0.30591616766467072</v>
      </c>
      <c r="P76" s="296">
        <v>2777.5426391952201</v>
      </c>
      <c r="Q76" s="297">
        <f t="shared" si="12"/>
        <v>579.81202593200226</v>
      </c>
      <c r="R76" s="297">
        <f t="shared" si="13"/>
        <v>757.18589887100904</v>
      </c>
      <c r="S76" s="298">
        <f t="shared" si="14"/>
        <v>177.37387293900679</v>
      </c>
      <c r="T76" s="297">
        <f t="shared" si="15"/>
        <v>428.05651273513485</v>
      </c>
      <c r="U76" s="298">
        <f t="shared" si="16"/>
        <v>329.1293861358742</v>
      </c>
      <c r="V76" s="291" t="s">
        <v>116</v>
      </c>
      <c r="W76" s="291" t="s">
        <v>116</v>
      </c>
      <c r="Z76" s="282"/>
      <c r="AC76" s="27" t="b">
        <f t="shared" si="17"/>
        <v>1</v>
      </c>
    </row>
    <row r="77" spans="1:29" x14ac:dyDescent="0.3">
      <c r="A77" s="27">
        <f t="shared" si="0"/>
        <v>63</v>
      </c>
      <c r="D77" s="54" t="s">
        <v>102</v>
      </c>
      <c r="F77" s="27" t="s">
        <v>60</v>
      </c>
      <c r="G77" s="49">
        <v>1029.6500000000001</v>
      </c>
      <c r="H77" s="49">
        <v>1344.66</v>
      </c>
      <c r="I77" s="58">
        <f>I73</f>
        <v>360.6134201180318</v>
      </c>
      <c r="J77" s="50" t="s">
        <v>96</v>
      </c>
      <c r="K77" s="51" t="s">
        <v>117</v>
      </c>
      <c r="L77" s="51"/>
      <c r="M77" s="52"/>
      <c r="N77" s="295">
        <f t="shared" si="10"/>
        <v>315.01</v>
      </c>
      <c r="O77" s="284">
        <f t="shared" si="11"/>
        <v>0.30593891128053219</v>
      </c>
      <c r="P77" s="296">
        <v>0</v>
      </c>
      <c r="Q77" s="297">
        <f>(P77*G77)/1000</f>
        <v>0</v>
      </c>
      <c r="R77" s="297">
        <f>(P77*H77)/1000</f>
        <v>0</v>
      </c>
      <c r="S77" s="298">
        <f>R77-Q77</f>
        <v>0</v>
      </c>
      <c r="T77" s="297">
        <f>(P77*I77)/1000</f>
        <v>0</v>
      </c>
      <c r="U77" s="298">
        <f>R77-T77</f>
        <v>0</v>
      </c>
      <c r="V77" s="291" t="s">
        <v>116</v>
      </c>
      <c r="W77" s="291" t="s">
        <v>116</v>
      </c>
      <c r="Z77" s="282"/>
      <c r="AC77" s="27" t="b">
        <f t="shared" si="17"/>
        <v>1</v>
      </c>
    </row>
    <row r="78" spans="1:29" x14ac:dyDescent="0.3">
      <c r="A78" s="27">
        <f t="shared" ref="A78:A141" si="18">+A77+1</f>
        <v>64</v>
      </c>
      <c r="G78" s="51"/>
      <c r="H78" s="51"/>
      <c r="I78" s="51"/>
      <c r="J78" s="50"/>
      <c r="K78" s="51"/>
      <c r="L78" s="51"/>
      <c r="M78" s="52"/>
      <c r="P78" s="296"/>
      <c r="Q78" s="297"/>
      <c r="R78" s="297"/>
      <c r="T78" s="297"/>
      <c r="U78" s="283"/>
      <c r="V78" s="291"/>
      <c r="W78" s="291"/>
      <c r="Z78" s="282"/>
    </row>
    <row r="79" spans="1:29" x14ac:dyDescent="0.3">
      <c r="A79" s="27">
        <f t="shared" si="18"/>
        <v>65</v>
      </c>
      <c r="C79" s="27" t="s">
        <v>118</v>
      </c>
      <c r="G79" s="51"/>
      <c r="H79" s="51"/>
      <c r="I79" s="51"/>
      <c r="J79" s="50"/>
      <c r="K79" s="51"/>
      <c r="L79" s="51"/>
      <c r="M79" s="52"/>
      <c r="P79" s="296"/>
      <c r="Q79" s="297"/>
      <c r="R79" s="297"/>
      <c r="T79" s="297"/>
      <c r="U79" s="283"/>
      <c r="V79" s="291"/>
      <c r="W79" s="291"/>
      <c r="Z79" s="282"/>
    </row>
    <row r="80" spans="1:29" x14ac:dyDescent="0.3">
      <c r="A80" s="27">
        <f t="shared" si="18"/>
        <v>66</v>
      </c>
      <c r="D80" s="27" t="s">
        <v>67</v>
      </c>
      <c r="F80" s="27" t="s">
        <v>119</v>
      </c>
      <c r="G80" s="49">
        <v>7</v>
      </c>
      <c r="H80" s="49">
        <v>9.3800000000000008</v>
      </c>
      <c r="I80" s="49">
        <v>20.410817759021267</v>
      </c>
      <c r="J80" s="50" t="s">
        <v>113</v>
      </c>
      <c r="K80" s="51" t="s">
        <v>69</v>
      </c>
      <c r="L80" s="51"/>
      <c r="M80" s="52"/>
      <c r="N80" s="295">
        <f>H80-G80</f>
        <v>2.3800000000000008</v>
      </c>
      <c r="O80" s="284">
        <f>(N80/G80)</f>
        <v>0.34000000000000014</v>
      </c>
      <c r="P80" s="296">
        <v>249397.8255275425</v>
      </c>
      <c r="Q80" s="297">
        <f>(P80*G80)/1000</f>
        <v>1745.7847786927975</v>
      </c>
      <c r="R80" s="297">
        <f>(P80*H80)/1000</f>
        <v>2339.3516034483491</v>
      </c>
      <c r="S80" s="298">
        <f>R80-Q80</f>
        <v>593.56682475555158</v>
      </c>
      <c r="T80" s="297">
        <f>(P80*I80)/1000</f>
        <v>5090.4135663388524</v>
      </c>
      <c r="U80" s="298">
        <f>R80-T80</f>
        <v>-2751.0619628905033</v>
      </c>
      <c r="V80" s="291" t="s">
        <v>115</v>
      </c>
      <c r="W80" s="291" t="s">
        <v>115</v>
      </c>
      <c r="Z80" s="282"/>
    </row>
    <row r="81" spans="1:26" x14ac:dyDescent="0.3">
      <c r="A81" s="27">
        <f t="shared" si="18"/>
        <v>67</v>
      </c>
      <c r="D81" s="27" t="s">
        <v>71</v>
      </c>
      <c r="G81" s="51"/>
      <c r="H81" s="51"/>
      <c r="I81" s="51"/>
      <c r="J81" s="50"/>
      <c r="K81" s="51"/>
      <c r="L81" s="51"/>
      <c r="M81" s="52"/>
      <c r="P81" s="296"/>
      <c r="Q81" s="297"/>
      <c r="R81" s="297"/>
      <c r="T81" s="297"/>
      <c r="U81" s="283"/>
      <c r="V81" s="291"/>
      <c r="W81" s="291"/>
      <c r="Z81" s="282"/>
    </row>
    <row r="82" spans="1:26" x14ac:dyDescent="0.3">
      <c r="A82" s="27">
        <f t="shared" si="18"/>
        <v>68</v>
      </c>
      <c r="D82" s="54" t="s">
        <v>120</v>
      </c>
      <c r="F82" s="27" t="s">
        <v>119</v>
      </c>
      <c r="G82" s="49">
        <v>2.19</v>
      </c>
      <c r="H82" s="49">
        <v>3.2</v>
      </c>
      <c r="I82" s="58">
        <v>3.12</v>
      </c>
      <c r="J82" s="50" t="s">
        <v>84</v>
      </c>
      <c r="K82" s="51" t="s">
        <v>85</v>
      </c>
      <c r="L82" s="51"/>
      <c r="M82" s="52"/>
      <c r="N82" s="308">
        <f>H82-G82</f>
        <v>1.0100000000000002</v>
      </c>
      <c r="O82" s="284">
        <f>(N82/G82)</f>
        <v>0.46118721461187229</v>
      </c>
      <c r="P82" s="296">
        <v>19998627.430895977</v>
      </c>
      <c r="Q82" s="297">
        <f>(P82*G82)/1000</f>
        <v>43796.994073662194</v>
      </c>
      <c r="R82" s="297">
        <f>(P82*H82)/1000</f>
        <v>63995.607778867125</v>
      </c>
      <c r="S82" s="298">
        <f>R82-Q82</f>
        <v>20198.613705204931</v>
      </c>
      <c r="T82" s="297">
        <f>(P82*I82)/1000</f>
        <v>62395.717584395446</v>
      </c>
      <c r="U82" s="298">
        <f>R82-T82</f>
        <v>1599.8901944716781</v>
      </c>
      <c r="V82" s="291" t="s">
        <v>116</v>
      </c>
      <c r="W82" s="291" t="s">
        <v>116</v>
      </c>
      <c r="Z82" s="282"/>
    </row>
    <row r="83" spans="1:26" x14ac:dyDescent="0.3">
      <c r="A83" s="27">
        <f t="shared" si="18"/>
        <v>69</v>
      </c>
      <c r="D83" s="54" t="s">
        <v>121</v>
      </c>
      <c r="F83" s="27" t="s">
        <v>119</v>
      </c>
      <c r="G83" s="49">
        <v>1.27</v>
      </c>
      <c r="H83" s="49">
        <v>2.64</v>
      </c>
      <c r="I83" s="58">
        <v>2.58</v>
      </c>
      <c r="J83" s="50" t="s">
        <v>84</v>
      </c>
      <c r="K83" s="51" t="s">
        <v>85</v>
      </c>
      <c r="L83" s="51"/>
      <c r="M83" s="52"/>
      <c r="N83" s="308">
        <f>H83-G83</f>
        <v>1.37</v>
      </c>
      <c r="O83" s="284">
        <f>(N83/G83)</f>
        <v>1.078740157480315</v>
      </c>
      <c r="P83" s="296">
        <v>19220704.071794525</v>
      </c>
      <c r="Q83" s="297">
        <f>(P83*G83)/1000</f>
        <v>24410.294171179044</v>
      </c>
      <c r="R83" s="297">
        <f>(P83*H83)/1000</f>
        <v>50742.65874953755</v>
      </c>
      <c r="S83" s="298">
        <f>R83-Q83</f>
        <v>26332.364578358505</v>
      </c>
      <c r="T83" s="297">
        <f>(P83*I83)/1000</f>
        <v>49589.416505229878</v>
      </c>
      <c r="U83" s="298">
        <f>R83-T83</f>
        <v>1153.2422443076721</v>
      </c>
      <c r="V83" s="291" t="s">
        <v>116</v>
      </c>
      <c r="W83" s="291" t="s">
        <v>116</v>
      </c>
      <c r="Z83" s="282"/>
    </row>
    <row r="84" spans="1:26" x14ac:dyDescent="0.3">
      <c r="A84" s="27">
        <f t="shared" si="18"/>
        <v>70</v>
      </c>
      <c r="D84" s="54" t="s">
        <v>122</v>
      </c>
      <c r="F84" s="27" t="s">
        <v>119</v>
      </c>
      <c r="G84" s="49">
        <v>4.4400000000000004</v>
      </c>
      <c r="H84" s="49">
        <v>4.72</v>
      </c>
      <c r="I84" s="58">
        <v>4.6100000000000003</v>
      </c>
      <c r="J84" s="50" t="s">
        <v>84</v>
      </c>
      <c r="K84" s="51" t="s">
        <v>85</v>
      </c>
      <c r="L84" s="51"/>
      <c r="M84" s="52"/>
      <c r="N84" s="308">
        <f>H84-G84</f>
        <v>0.27999999999999936</v>
      </c>
      <c r="O84" s="284">
        <f>(N84/G84)</f>
        <v>6.3063063063062919E-2</v>
      </c>
      <c r="P84" s="296">
        <v>19220705.071794499</v>
      </c>
      <c r="Q84" s="297">
        <f>(P84*G84)/1000</f>
        <v>85339.930518767578</v>
      </c>
      <c r="R84" s="297">
        <f>(P84*H84)/1000</f>
        <v>90721.727938870026</v>
      </c>
      <c r="S84" s="298">
        <f>R84-Q84</f>
        <v>5381.7974201024481</v>
      </c>
      <c r="T84" s="297">
        <f>(P84*I84)/1000</f>
        <v>88607.450380972645</v>
      </c>
      <c r="U84" s="298">
        <f>R84-T84</f>
        <v>2114.2775578973815</v>
      </c>
      <c r="V84" s="291" t="s">
        <v>116</v>
      </c>
      <c r="W84" s="291" t="s">
        <v>116</v>
      </c>
      <c r="Z84" s="282"/>
    </row>
    <row r="85" spans="1:26" x14ac:dyDescent="0.3">
      <c r="A85" s="27">
        <f t="shared" si="18"/>
        <v>71</v>
      </c>
      <c r="D85" s="27" t="s">
        <v>123</v>
      </c>
      <c r="G85" s="49"/>
      <c r="H85" s="49"/>
      <c r="I85" s="49"/>
      <c r="J85" s="50"/>
      <c r="K85" s="51"/>
      <c r="L85" s="51"/>
      <c r="M85" s="52"/>
      <c r="P85" s="296"/>
      <c r="Q85" s="297"/>
      <c r="R85" s="297"/>
      <c r="T85" s="297"/>
      <c r="U85" s="283"/>
      <c r="V85" s="291"/>
      <c r="W85" s="291"/>
      <c r="Z85" s="282"/>
    </row>
    <row r="86" spans="1:26" x14ac:dyDescent="0.3">
      <c r="A86" s="27">
        <f t="shared" si="18"/>
        <v>72</v>
      </c>
      <c r="D86" s="54" t="s">
        <v>101</v>
      </c>
      <c r="F86" s="27" t="s">
        <v>119</v>
      </c>
      <c r="G86" s="49">
        <v>1.31</v>
      </c>
      <c r="H86" s="49">
        <f>I86</f>
        <v>1.3</v>
      </c>
      <c r="I86" s="58">
        <v>1.3</v>
      </c>
      <c r="J86" s="50" t="s">
        <v>124</v>
      </c>
      <c r="K86" s="51" t="s">
        <v>106</v>
      </c>
      <c r="L86" s="51"/>
      <c r="M86" s="52"/>
      <c r="N86" s="308">
        <f>H86-G86</f>
        <v>-1.0000000000000009E-2</v>
      </c>
      <c r="O86" s="284">
        <f>(N86/G86)</f>
        <v>-7.6335877862595486E-3</v>
      </c>
      <c r="P86" s="296">
        <v>-3980308.082081967</v>
      </c>
      <c r="Q86" s="297">
        <f>(P86*G86)/1000</f>
        <v>-5214.2035875273768</v>
      </c>
      <c r="R86" s="297">
        <f>(P86*H86)/1000</f>
        <v>-5174.4005067065573</v>
      </c>
      <c r="S86" s="298">
        <f>R86-Q86</f>
        <v>39.803080820819559</v>
      </c>
      <c r="T86" s="297">
        <f>(P86*I86)/1000</f>
        <v>-5174.4005067065573</v>
      </c>
      <c r="U86" s="298">
        <f>R86-T86</f>
        <v>0</v>
      </c>
      <c r="V86" s="291" t="s">
        <v>115</v>
      </c>
      <c r="W86" s="291" t="s">
        <v>115</v>
      </c>
      <c r="Z86" s="282"/>
    </row>
    <row r="87" spans="1:26" x14ac:dyDescent="0.3">
      <c r="A87" s="27">
        <f t="shared" si="18"/>
        <v>73</v>
      </c>
      <c r="D87" s="54" t="s">
        <v>125</v>
      </c>
      <c r="F87" s="27" t="s">
        <v>119</v>
      </c>
      <c r="G87" s="49">
        <v>5.42</v>
      </c>
      <c r="H87" s="49">
        <f t="shared" ref="H87:H88" si="19">I87</f>
        <v>6.18</v>
      </c>
      <c r="I87" s="58">
        <v>6.18</v>
      </c>
      <c r="J87" s="50" t="s">
        <v>124</v>
      </c>
      <c r="K87" s="51" t="s">
        <v>106</v>
      </c>
      <c r="L87" s="51"/>
      <c r="M87" s="52"/>
      <c r="N87" s="308">
        <f>H87-G87</f>
        <v>0.75999999999999979</v>
      </c>
      <c r="O87" s="284">
        <f>(N87/G87)</f>
        <v>0.1402214022140221</v>
      </c>
      <c r="P87" s="296">
        <v>-176441.66677094577</v>
      </c>
      <c r="Q87" s="297">
        <f>(P87*G87)/1000</f>
        <v>-956.31383389852601</v>
      </c>
      <c r="R87" s="297">
        <f>(P87*H87)/1000</f>
        <v>-1090.4095006444447</v>
      </c>
      <c r="S87" s="298">
        <f>R87-Q87</f>
        <v>-134.09566674591872</v>
      </c>
      <c r="T87" s="297">
        <f>(P87*I87)/1000</f>
        <v>-1090.4095006444447</v>
      </c>
      <c r="U87" s="298">
        <f>R87-T87</f>
        <v>0</v>
      </c>
      <c r="V87" s="291" t="s">
        <v>115</v>
      </c>
      <c r="W87" s="291" t="s">
        <v>115</v>
      </c>
      <c r="Z87" s="282"/>
    </row>
    <row r="88" spans="1:26" x14ac:dyDescent="0.3">
      <c r="A88" s="27">
        <f t="shared" si="18"/>
        <v>74</v>
      </c>
      <c r="D88" s="54" t="s">
        <v>126</v>
      </c>
      <c r="F88" s="27" t="s">
        <v>119</v>
      </c>
      <c r="G88" s="49">
        <v>7.5</v>
      </c>
      <c r="H88" s="49">
        <f t="shared" si="19"/>
        <v>8.61</v>
      </c>
      <c r="I88" s="58">
        <v>8.61</v>
      </c>
      <c r="J88" s="50" t="s">
        <v>124</v>
      </c>
      <c r="K88" s="51" t="s">
        <v>106</v>
      </c>
      <c r="L88" s="51"/>
      <c r="M88" s="52"/>
      <c r="N88" s="308"/>
      <c r="P88" s="296"/>
      <c r="Q88" s="297"/>
      <c r="R88" s="297"/>
      <c r="S88" s="298"/>
      <c r="T88" s="297"/>
      <c r="U88" s="298"/>
      <c r="V88" s="291"/>
      <c r="W88" s="291"/>
      <c r="Z88" s="282"/>
    </row>
    <row r="89" spans="1:26" x14ac:dyDescent="0.3">
      <c r="A89" s="27">
        <f t="shared" si="18"/>
        <v>75</v>
      </c>
      <c r="D89" s="27" t="s">
        <v>104</v>
      </c>
      <c r="F89" s="27" t="s">
        <v>119</v>
      </c>
      <c r="G89" s="58">
        <v>1.5</v>
      </c>
      <c r="H89" s="58">
        <f>I89</f>
        <v>2.5099999999999998</v>
      </c>
      <c r="I89" s="58">
        <v>2.5099999999999998</v>
      </c>
      <c r="J89" s="50" t="s">
        <v>105</v>
      </c>
      <c r="K89" s="51" t="s">
        <v>106</v>
      </c>
      <c r="L89" s="51"/>
      <c r="M89" s="52"/>
      <c r="N89" s="308">
        <f>H89-G89</f>
        <v>1.0099999999999998</v>
      </c>
      <c r="O89" s="284">
        <f>(N89/G89)</f>
        <v>0.67333333333333323</v>
      </c>
      <c r="P89" s="296">
        <v>364382.43722191069</v>
      </c>
      <c r="Q89" s="297">
        <f>(P89*G89)/1000</f>
        <v>546.57365583286594</v>
      </c>
      <c r="R89" s="297">
        <f>(P89*H89)/1000</f>
        <v>914.59991742699572</v>
      </c>
      <c r="S89" s="298">
        <f>R89-Q89</f>
        <v>368.02626159412978</v>
      </c>
      <c r="T89" s="297">
        <f>(P89*I89)/1000</f>
        <v>914.59991742699572</v>
      </c>
      <c r="U89" s="298">
        <f>R89-T89</f>
        <v>0</v>
      </c>
      <c r="V89" s="291" t="s">
        <v>115</v>
      </c>
      <c r="W89" s="291" t="s">
        <v>115</v>
      </c>
      <c r="Z89" s="282"/>
    </row>
    <row r="90" spans="1:26" x14ac:dyDescent="0.3">
      <c r="A90" s="27">
        <f t="shared" si="18"/>
        <v>76</v>
      </c>
      <c r="G90" s="51"/>
      <c r="H90" s="51"/>
      <c r="I90" s="51"/>
      <c r="J90" s="50"/>
      <c r="K90" s="51"/>
      <c r="L90" s="51"/>
      <c r="M90" s="52"/>
      <c r="P90" s="296"/>
      <c r="Q90" s="297"/>
      <c r="R90" s="297"/>
      <c r="T90" s="297"/>
      <c r="U90" s="283"/>
      <c r="V90" s="291"/>
      <c r="W90" s="291"/>
      <c r="Z90" s="282"/>
    </row>
    <row r="91" spans="1:26" x14ac:dyDescent="0.3">
      <c r="A91" s="27">
        <f t="shared" si="18"/>
        <v>77</v>
      </c>
      <c r="C91" s="27" t="s">
        <v>75</v>
      </c>
      <c r="G91" s="51"/>
      <c r="H91" s="51"/>
      <c r="I91" s="51"/>
      <c r="J91" s="50"/>
      <c r="K91" s="51"/>
      <c r="L91" s="51"/>
      <c r="M91" s="52"/>
      <c r="P91" s="296"/>
      <c r="Q91" s="297"/>
      <c r="R91" s="297"/>
      <c r="T91" s="297"/>
      <c r="U91" s="283"/>
      <c r="V91" s="291"/>
      <c r="W91" s="291"/>
      <c r="Z91" s="282"/>
    </row>
    <row r="92" spans="1:26" x14ac:dyDescent="0.3">
      <c r="A92" s="27">
        <f t="shared" si="18"/>
        <v>78</v>
      </c>
      <c r="D92" s="27" t="s">
        <v>67</v>
      </c>
      <c r="F92" s="27" t="s">
        <v>78</v>
      </c>
      <c r="G92" s="56">
        <v>3.06</v>
      </c>
      <c r="H92" s="56">
        <v>3.9740000000000002</v>
      </c>
      <c r="I92" s="56">
        <v>6.2329832308734456</v>
      </c>
      <c r="J92" s="50" t="s">
        <v>68</v>
      </c>
      <c r="K92" s="56" t="s">
        <v>69</v>
      </c>
      <c r="L92" s="56"/>
      <c r="M92" s="60"/>
      <c r="N92" s="295">
        <f>H92-G92</f>
        <v>0.91400000000000015</v>
      </c>
      <c r="O92" s="284">
        <f>(N92/G92)</f>
        <v>0.29869281045751639</v>
      </c>
      <c r="P92" s="296">
        <v>3352764.0446919771</v>
      </c>
      <c r="Q92" s="297">
        <f>(P92*G92*10)/1000</f>
        <v>102594.5797675745</v>
      </c>
      <c r="R92" s="297">
        <f>(P92*H92*10)/1000</f>
        <v>133238.84313605918</v>
      </c>
      <c r="S92" s="298">
        <f>R92-Q92</f>
        <v>30644.263368484681</v>
      </c>
      <c r="T92" s="297">
        <f>(P92*I92*10)/1000</f>
        <v>208977.22067640518</v>
      </c>
      <c r="U92" s="298">
        <f>R92-T92</f>
        <v>-75738.377540346002</v>
      </c>
      <c r="V92" s="291" t="s">
        <v>115</v>
      </c>
      <c r="W92" s="291" t="s">
        <v>115</v>
      </c>
      <c r="Z92" s="282"/>
    </row>
    <row r="93" spans="1:26" x14ac:dyDescent="0.3">
      <c r="A93" s="27">
        <f t="shared" si="18"/>
        <v>79</v>
      </c>
      <c r="D93" s="27" t="s">
        <v>83</v>
      </c>
      <c r="F93" s="27" t="s">
        <v>78</v>
      </c>
      <c r="G93" s="56">
        <v>3.3740000000000001</v>
      </c>
      <c r="H93" s="56">
        <v>4.7240000000000002</v>
      </c>
      <c r="I93" s="57">
        <v>4.7210000000000001</v>
      </c>
      <c r="J93" s="50" t="s">
        <v>84</v>
      </c>
      <c r="K93" s="51" t="s">
        <v>85</v>
      </c>
      <c r="L93" s="56"/>
      <c r="M93" s="60"/>
      <c r="N93" s="295">
        <f>H93-G93</f>
        <v>1.35</v>
      </c>
      <c r="O93" s="284">
        <f>((N93/G93))</f>
        <v>0.40011855364552462</v>
      </c>
      <c r="P93" s="296">
        <v>2516136.7779227081</v>
      </c>
      <c r="Q93" s="297">
        <f>(P93*G93*10)/1000</f>
        <v>84894.454887112166</v>
      </c>
      <c r="R93" s="297">
        <f>(P93*H93*10)/1000</f>
        <v>118862.30138906874</v>
      </c>
      <c r="S93" s="298">
        <f>R93-Q93</f>
        <v>33967.846501956577</v>
      </c>
      <c r="T93" s="297">
        <f>(P93*I94*10)/1000</f>
        <v>87989.303123957099</v>
      </c>
      <c r="U93" s="298">
        <f>R93-T93</f>
        <v>30872.998265111644</v>
      </c>
      <c r="V93" s="291" t="s">
        <v>116</v>
      </c>
      <c r="W93" s="291" t="s">
        <v>116</v>
      </c>
      <c r="Z93" s="282"/>
    </row>
    <row r="94" spans="1:26" x14ac:dyDescent="0.3">
      <c r="A94" s="27">
        <f t="shared" si="18"/>
        <v>80</v>
      </c>
      <c r="D94" s="27" t="s">
        <v>86</v>
      </c>
      <c r="F94" s="27" t="s">
        <v>78</v>
      </c>
      <c r="G94" s="56">
        <v>2.7770000000000001</v>
      </c>
      <c r="H94" s="56">
        <v>3.4990000000000001</v>
      </c>
      <c r="I94" s="57">
        <v>3.4969999999999999</v>
      </c>
      <c r="J94" s="50" t="s">
        <v>84</v>
      </c>
      <c r="K94" s="51" t="s">
        <v>85</v>
      </c>
      <c r="L94" s="56"/>
      <c r="M94" s="60"/>
      <c r="N94" s="295">
        <f>H94-G94</f>
        <v>0.72199999999999998</v>
      </c>
      <c r="O94" s="284">
        <f>(N94/G94)</f>
        <v>0.25999279798343533</v>
      </c>
      <c r="P94" s="296">
        <v>6500289.4773853142</v>
      </c>
      <c r="Q94" s="297">
        <f>(P94*G94*10)/1000</f>
        <v>180513.03878699019</v>
      </c>
      <c r="R94" s="297">
        <f>(P94*H94*10)/1000</f>
        <v>227445.12881371216</v>
      </c>
      <c r="S94" s="298">
        <f>R94-Q94</f>
        <v>46932.090026721969</v>
      </c>
      <c r="T94" s="297">
        <f>(P94*I93*10)/1000</f>
        <v>306878.66622736072</v>
      </c>
      <c r="U94" s="298">
        <f>R94-T94</f>
        <v>-79433.537413648563</v>
      </c>
      <c r="V94" s="291" t="s">
        <v>116</v>
      </c>
      <c r="W94" s="291" t="s">
        <v>116</v>
      </c>
      <c r="Z94" s="282"/>
    </row>
    <row r="95" spans="1:26" x14ac:dyDescent="0.3">
      <c r="A95" s="27">
        <f t="shared" si="18"/>
        <v>81</v>
      </c>
      <c r="D95" s="27" t="s">
        <v>87</v>
      </c>
      <c r="F95" s="27" t="s">
        <v>78</v>
      </c>
      <c r="G95" s="56">
        <v>1.669</v>
      </c>
      <c r="H95" s="56">
        <v>2.371</v>
      </c>
      <c r="I95" s="57">
        <v>2.37</v>
      </c>
      <c r="J95" s="50" t="s">
        <v>84</v>
      </c>
      <c r="K95" s="51" t="s">
        <v>85</v>
      </c>
      <c r="L95" s="56"/>
      <c r="M95" s="60"/>
      <c r="N95" s="295"/>
      <c r="P95" s="296"/>
      <c r="Q95" s="297"/>
      <c r="R95" s="297"/>
      <c r="S95" s="298"/>
      <c r="T95" s="297"/>
      <c r="U95" s="298"/>
      <c r="V95" s="291"/>
      <c r="W95" s="291"/>
      <c r="Z95" s="282"/>
    </row>
    <row r="96" spans="1:26" x14ac:dyDescent="0.3">
      <c r="A96" s="27">
        <f t="shared" si="18"/>
        <v>82</v>
      </c>
      <c r="G96" s="51"/>
      <c r="H96" s="51"/>
      <c r="I96" s="51"/>
      <c r="J96" s="50"/>
      <c r="K96" s="51"/>
      <c r="L96" s="51"/>
      <c r="M96" s="52"/>
      <c r="P96" s="296"/>
      <c r="Q96" s="297"/>
      <c r="R96" s="297"/>
      <c r="T96" s="297"/>
      <c r="U96" s="283"/>
      <c r="V96" s="291"/>
      <c r="W96" s="291"/>
      <c r="Z96" s="282"/>
    </row>
    <row r="97" spans="1:29" x14ac:dyDescent="0.3">
      <c r="A97" s="27">
        <f t="shared" si="18"/>
        <v>83</v>
      </c>
      <c r="C97" s="27" t="s">
        <v>107</v>
      </c>
      <c r="G97" s="51"/>
      <c r="H97" s="51"/>
      <c r="I97" s="51"/>
      <c r="J97" s="50"/>
      <c r="K97" s="51"/>
      <c r="L97" s="51"/>
      <c r="M97" s="52"/>
      <c r="P97" s="296"/>
      <c r="Q97" s="297"/>
      <c r="R97" s="297"/>
      <c r="T97" s="297"/>
      <c r="U97" s="283"/>
      <c r="V97" s="291"/>
      <c r="W97" s="291"/>
      <c r="Z97" s="282"/>
    </row>
    <row r="98" spans="1:29" x14ac:dyDescent="0.3">
      <c r="A98" s="27">
        <f t="shared" si="18"/>
        <v>84</v>
      </c>
      <c r="D98" s="27" t="s">
        <v>101</v>
      </c>
      <c r="F98" s="27" t="s">
        <v>61</v>
      </c>
      <c r="G98" s="62">
        <v>0.01</v>
      </c>
      <c r="H98" s="62">
        <v>0.01</v>
      </c>
      <c r="I98" s="62"/>
      <c r="J98" s="50"/>
      <c r="K98" s="51" t="s">
        <v>108</v>
      </c>
      <c r="L98" s="51"/>
      <c r="M98" s="52"/>
      <c r="N98" s="306">
        <f>H98-G98</f>
        <v>0</v>
      </c>
      <c r="O98" s="284">
        <f>(N98/G98)</f>
        <v>0</v>
      </c>
      <c r="P98" s="296"/>
      <c r="Q98" s="297">
        <f>(P98*G98)/1000</f>
        <v>0</v>
      </c>
      <c r="R98" s="297">
        <f>(P98*H98)/1000</f>
        <v>0</v>
      </c>
      <c r="S98" s="298">
        <f>R98-Q98</f>
        <v>0</v>
      </c>
      <c r="T98" s="297">
        <f>(P98*I98)/1000</f>
        <v>0</v>
      </c>
      <c r="U98" s="298">
        <f>R98-T98</f>
        <v>0</v>
      </c>
      <c r="V98" s="291" t="s">
        <v>115</v>
      </c>
      <c r="W98" s="291" t="s">
        <v>115</v>
      </c>
      <c r="Z98" s="282"/>
    </row>
    <row r="99" spans="1:29" x14ac:dyDescent="0.3">
      <c r="A99" s="27">
        <f t="shared" si="18"/>
        <v>85</v>
      </c>
      <c r="D99" s="27" t="s">
        <v>102</v>
      </c>
      <c r="F99" s="27" t="s">
        <v>61</v>
      </c>
      <c r="G99" s="62">
        <v>0.02</v>
      </c>
      <c r="H99" s="62">
        <v>0.02</v>
      </c>
      <c r="I99" s="62"/>
      <c r="J99" s="50"/>
      <c r="K99" s="51" t="s">
        <v>108</v>
      </c>
      <c r="L99" s="51"/>
      <c r="M99" s="52"/>
      <c r="N99" s="306">
        <f>H99-G99</f>
        <v>0</v>
      </c>
      <c r="O99" s="284">
        <f>(N99/G99)</f>
        <v>0</v>
      </c>
      <c r="P99" s="296"/>
      <c r="Q99" s="297">
        <f>(P99*G99)/1000</f>
        <v>0</v>
      </c>
      <c r="R99" s="297">
        <f>(P99*H99)/1000</f>
        <v>0</v>
      </c>
      <c r="S99" s="298">
        <f>R99-Q99</f>
        <v>0</v>
      </c>
      <c r="T99" s="297">
        <f>(P99*I99)/1000</f>
        <v>0</v>
      </c>
      <c r="U99" s="298">
        <f>R99-T99</f>
        <v>0</v>
      </c>
      <c r="V99" s="291" t="s">
        <v>115</v>
      </c>
      <c r="W99" s="291" t="s">
        <v>115</v>
      </c>
      <c r="Z99" s="282"/>
    </row>
    <row r="100" spans="1:29" x14ac:dyDescent="0.3">
      <c r="A100" s="27">
        <f t="shared" si="18"/>
        <v>86</v>
      </c>
      <c r="G100" s="62"/>
      <c r="H100" s="62"/>
      <c r="I100" s="62"/>
      <c r="J100" s="50"/>
      <c r="K100" s="51"/>
      <c r="L100" s="51"/>
      <c r="M100" s="52"/>
      <c r="N100" s="295"/>
      <c r="P100" s="296"/>
      <c r="Q100" s="297"/>
      <c r="R100" s="297"/>
      <c r="T100" s="297"/>
      <c r="U100" s="283"/>
      <c r="V100" s="291"/>
      <c r="W100" s="291"/>
      <c r="Z100" s="282"/>
    </row>
    <row r="101" spans="1:29" x14ac:dyDescent="0.3">
      <c r="A101" s="27">
        <f t="shared" si="18"/>
        <v>87</v>
      </c>
      <c r="C101" s="27" t="s">
        <v>109</v>
      </c>
      <c r="F101" s="27" t="s">
        <v>61</v>
      </c>
      <c r="G101" s="63">
        <v>1.0800000000000001E-2</v>
      </c>
      <c r="H101" s="64">
        <f>I101</f>
        <v>9.5999999999999992E-3</v>
      </c>
      <c r="I101" s="65">
        <v>9.5999999999999992E-3</v>
      </c>
      <c r="J101" s="42" t="s">
        <v>110</v>
      </c>
      <c r="K101" s="66" t="s">
        <v>111</v>
      </c>
      <c r="L101" s="51"/>
      <c r="M101" s="52"/>
      <c r="N101" s="307">
        <f>H101-G101</f>
        <v>-1.2000000000000014E-3</v>
      </c>
      <c r="O101" s="284">
        <f>(N101/G101)</f>
        <v>-0.11111111111111123</v>
      </c>
      <c r="P101" s="296"/>
      <c r="Q101" s="297"/>
      <c r="R101" s="297"/>
      <c r="T101" s="297"/>
      <c r="U101" s="283"/>
      <c r="V101" s="291" t="s">
        <v>115</v>
      </c>
      <c r="W101" s="291" t="s">
        <v>115</v>
      </c>
      <c r="Z101" s="282"/>
    </row>
    <row r="102" spans="1:29" ht="14.4" thickBot="1" x14ac:dyDescent="0.35">
      <c r="B102" s="31"/>
      <c r="C102" s="31"/>
      <c r="D102" s="31"/>
      <c r="E102" s="31"/>
      <c r="F102" s="31"/>
      <c r="G102" s="52"/>
      <c r="H102" s="52"/>
      <c r="I102" s="52"/>
      <c r="J102" s="59"/>
      <c r="K102" s="52"/>
      <c r="L102" s="52"/>
      <c r="M102" s="52"/>
      <c r="N102" s="300"/>
      <c r="O102" s="301"/>
      <c r="P102" s="302"/>
      <c r="Q102" s="303">
        <f>SUM(Q69:Q101)</f>
        <v>528016.37012491806</v>
      </c>
      <c r="R102" s="303">
        <f>SUM(R69:R101)</f>
        <v>695505.02949345205</v>
      </c>
      <c r="S102" s="303">
        <f>SUM(S69:S101)</f>
        <v>167488.65936853411</v>
      </c>
      <c r="T102" s="303">
        <f>SUM(T69:T101)</f>
        <v>816349.59165630303</v>
      </c>
      <c r="U102" s="303">
        <f>SUM(U69:U101)</f>
        <v>-120844.56216285093</v>
      </c>
      <c r="V102" s="291"/>
      <c r="W102" s="291"/>
      <c r="Z102" s="282"/>
    </row>
    <row r="103" spans="1:29" ht="14.4" thickTop="1" x14ac:dyDescent="0.3">
      <c r="A103" s="27">
        <f>+A101+1</f>
        <v>88</v>
      </c>
      <c r="B103" s="48"/>
      <c r="G103" s="51"/>
      <c r="H103" s="51"/>
      <c r="I103" s="51"/>
      <c r="J103" s="50"/>
      <c r="K103" s="51"/>
      <c r="L103" s="51"/>
      <c r="M103" s="52"/>
      <c r="P103" s="296"/>
      <c r="Q103" s="296"/>
      <c r="R103" s="296"/>
      <c r="S103" s="304" t="s">
        <v>91</v>
      </c>
      <c r="T103" s="305">
        <v>0</v>
      </c>
      <c r="U103" s="283"/>
      <c r="V103" s="291"/>
      <c r="W103" s="291"/>
      <c r="Z103" s="282"/>
    </row>
    <row r="104" spans="1:29" x14ac:dyDescent="0.3">
      <c r="A104" s="27">
        <f t="shared" si="18"/>
        <v>89</v>
      </c>
      <c r="B104" s="48" t="s">
        <v>127</v>
      </c>
      <c r="C104" s="27" t="s">
        <v>65</v>
      </c>
      <c r="G104" s="51"/>
      <c r="H104" s="51"/>
      <c r="I104" s="51"/>
      <c r="J104" s="50"/>
      <c r="K104" s="51"/>
      <c r="L104" s="51"/>
      <c r="M104" s="52"/>
      <c r="P104" s="296"/>
      <c r="Q104" s="296"/>
      <c r="R104" s="296"/>
      <c r="T104" s="296"/>
      <c r="U104" s="283"/>
      <c r="V104" s="291"/>
      <c r="W104" s="291"/>
      <c r="Z104" s="282"/>
    </row>
    <row r="105" spans="1:29" x14ac:dyDescent="0.3">
      <c r="A105" s="27">
        <f t="shared" si="18"/>
        <v>90</v>
      </c>
      <c r="B105" s="48" t="s">
        <v>128</v>
      </c>
      <c r="D105" s="27" t="s">
        <v>99</v>
      </c>
      <c r="F105" s="27" t="s">
        <v>60</v>
      </c>
      <c r="G105" s="49">
        <v>90.57</v>
      </c>
      <c r="H105" s="49">
        <v>117.17</v>
      </c>
      <c r="I105" s="49">
        <v>82.321758637420231</v>
      </c>
      <c r="J105" s="50" t="s">
        <v>96</v>
      </c>
      <c r="K105" s="51" t="s">
        <v>69</v>
      </c>
      <c r="L105" s="51"/>
      <c r="M105" s="52"/>
      <c r="N105" s="295">
        <f>H105-G105</f>
        <v>26.600000000000009</v>
      </c>
      <c r="O105" s="284">
        <f>(N105/G105)</f>
        <v>0.29369548415590163</v>
      </c>
      <c r="P105" s="296">
        <v>0</v>
      </c>
      <c r="Q105" s="297">
        <f>(P105*G105)/1000</f>
        <v>0</v>
      </c>
      <c r="R105" s="297">
        <f>(P105*H105)/1000</f>
        <v>0</v>
      </c>
      <c r="S105" s="298">
        <f>R105-Q105</f>
        <v>0</v>
      </c>
      <c r="T105" s="297">
        <f>(P105*I105)/1000</f>
        <v>0</v>
      </c>
      <c r="U105" s="298">
        <f>R105-T105</f>
        <v>0</v>
      </c>
      <c r="V105" s="291" t="s">
        <v>129</v>
      </c>
      <c r="W105" s="291" t="s">
        <v>129</v>
      </c>
      <c r="Z105" s="282"/>
      <c r="AC105" s="27" t="b">
        <f t="shared" ref="AC105:AC107" si="20">H105&gt;=I105</f>
        <v>1</v>
      </c>
    </row>
    <row r="106" spans="1:29" x14ac:dyDescent="0.3">
      <c r="A106" s="27">
        <f t="shared" si="18"/>
        <v>91</v>
      </c>
      <c r="B106" s="48" t="s">
        <v>130</v>
      </c>
      <c r="D106" s="27" t="s">
        <v>101</v>
      </c>
      <c r="F106" s="27" t="s">
        <v>60</v>
      </c>
      <c r="G106" s="49">
        <v>251.45</v>
      </c>
      <c r="H106" s="49">
        <v>325.3</v>
      </c>
      <c r="I106" s="49">
        <v>219.13750953241291</v>
      </c>
      <c r="J106" s="50" t="s">
        <v>96</v>
      </c>
      <c r="K106" s="51" t="s">
        <v>69</v>
      </c>
      <c r="L106" s="51"/>
      <c r="M106" s="52"/>
      <c r="N106" s="295">
        <f>H106-G106</f>
        <v>73.850000000000023</v>
      </c>
      <c r="O106" s="284">
        <f>(N106/G106)</f>
        <v>0.29369655995227689</v>
      </c>
      <c r="P106" s="296">
        <v>36.105882352941173</v>
      </c>
      <c r="Q106" s="297">
        <f>(P106*G106)/1000</f>
        <v>9.0788241176470574</v>
      </c>
      <c r="R106" s="297">
        <f>(P106*H106)/1000</f>
        <v>11.745243529411765</v>
      </c>
      <c r="S106" s="298">
        <f>R106-Q106</f>
        <v>2.6664194117647071</v>
      </c>
      <c r="T106" s="297">
        <f>(P106*I106)/1000</f>
        <v>7.9121531382938253</v>
      </c>
      <c r="U106" s="298">
        <f>R106-T106</f>
        <v>3.8330903911179393</v>
      </c>
      <c r="V106" s="291" t="s">
        <v>129</v>
      </c>
      <c r="W106" s="291" t="s">
        <v>129</v>
      </c>
      <c r="Z106" s="282"/>
      <c r="AC106" s="27" t="b">
        <f t="shared" si="20"/>
        <v>1</v>
      </c>
    </row>
    <row r="107" spans="1:29" x14ac:dyDescent="0.3">
      <c r="A107" s="27">
        <f t="shared" si="18"/>
        <v>92</v>
      </c>
      <c r="B107" s="48" t="s">
        <v>131</v>
      </c>
      <c r="D107" s="27" t="s">
        <v>102</v>
      </c>
      <c r="F107" s="27" t="s">
        <v>60</v>
      </c>
      <c r="G107" s="49">
        <v>938.45</v>
      </c>
      <c r="H107" s="49">
        <v>1214.08</v>
      </c>
      <c r="I107" s="49">
        <v>394.22003742369503</v>
      </c>
      <c r="J107" s="50" t="s">
        <v>96</v>
      </c>
      <c r="K107" s="51" t="s">
        <v>69</v>
      </c>
      <c r="L107" s="51"/>
      <c r="M107" s="52"/>
      <c r="N107" s="295">
        <f>H107-G107</f>
        <v>275.62999999999988</v>
      </c>
      <c r="O107" s="284">
        <f>(N107/G107)</f>
        <v>0.29370770952101855</v>
      </c>
      <c r="P107" s="296">
        <v>0</v>
      </c>
      <c r="Q107" s="297">
        <f>(P107*G107)/1000</f>
        <v>0</v>
      </c>
      <c r="R107" s="297">
        <f>(P107*H107)/1000</f>
        <v>0</v>
      </c>
      <c r="S107" s="298">
        <f>R107-Q107</f>
        <v>0</v>
      </c>
      <c r="T107" s="297">
        <f>(P107*I107)/1000</f>
        <v>0</v>
      </c>
      <c r="U107" s="298">
        <f>R107-T107</f>
        <v>0</v>
      </c>
      <c r="V107" s="291" t="s">
        <v>129</v>
      </c>
      <c r="W107" s="291" t="s">
        <v>129</v>
      </c>
      <c r="Z107" s="282"/>
      <c r="AC107" s="27" t="b">
        <f t="shared" si="20"/>
        <v>1</v>
      </c>
    </row>
    <row r="108" spans="1:29" x14ac:dyDescent="0.3">
      <c r="A108" s="27">
        <f t="shared" si="18"/>
        <v>93</v>
      </c>
      <c r="G108" s="51"/>
      <c r="H108" s="51"/>
      <c r="I108" s="51"/>
      <c r="J108" s="50"/>
      <c r="K108" s="51"/>
      <c r="L108" s="51"/>
      <c r="M108" s="52"/>
      <c r="P108" s="296"/>
      <c r="Q108" s="297"/>
      <c r="R108" s="297"/>
      <c r="T108" s="297"/>
      <c r="U108" s="283"/>
      <c r="V108" s="291"/>
      <c r="W108" s="291"/>
      <c r="Z108" s="282"/>
    </row>
    <row r="109" spans="1:29" x14ac:dyDescent="0.3">
      <c r="A109" s="27">
        <f t="shared" si="18"/>
        <v>94</v>
      </c>
      <c r="C109" s="27" t="s">
        <v>118</v>
      </c>
      <c r="G109" s="51"/>
      <c r="H109" s="51"/>
      <c r="I109" s="51"/>
      <c r="J109" s="50"/>
      <c r="K109" s="51"/>
      <c r="L109" s="51"/>
      <c r="M109" s="52"/>
      <c r="P109" s="296"/>
      <c r="Q109" s="297"/>
      <c r="R109" s="297"/>
      <c r="T109" s="297"/>
      <c r="U109" s="283"/>
      <c r="V109" s="291"/>
      <c r="W109" s="291"/>
      <c r="Z109" s="282"/>
    </row>
    <row r="110" spans="1:29" x14ac:dyDescent="0.3">
      <c r="A110" s="27">
        <f t="shared" si="18"/>
        <v>95</v>
      </c>
      <c r="D110" s="27" t="s">
        <v>67</v>
      </c>
      <c r="F110" s="27" t="s">
        <v>119</v>
      </c>
      <c r="G110" s="49">
        <v>11.21</v>
      </c>
      <c r="H110" s="49">
        <v>13.88</v>
      </c>
      <c r="I110" s="49">
        <v>16.471438726963253</v>
      </c>
      <c r="J110" s="50" t="s">
        <v>113</v>
      </c>
      <c r="K110" s="51" t="s">
        <v>69</v>
      </c>
      <c r="L110" s="51"/>
      <c r="M110" s="52"/>
      <c r="N110" s="295">
        <f>H110-G110</f>
        <v>2.67</v>
      </c>
      <c r="O110" s="284">
        <f>(N110/G110)</f>
        <v>0.23818019625334522</v>
      </c>
      <c r="P110" s="296">
        <v>0</v>
      </c>
      <c r="Q110" s="297">
        <f>(P110*G110)/1000</f>
        <v>0</v>
      </c>
      <c r="R110" s="297">
        <f>(P110*H110)/1000</f>
        <v>0</v>
      </c>
      <c r="S110" s="298">
        <f>R110-Q110</f>
        <v>0</v>
      </c>
      <c r="T110" s="297">
        <f>(P110*I110)/1000</f>
        <v>0</v>
      </c>
      <c r="U110" s="298">
        <f>R110-T110</f>
        <v>0</v>
      </c>
      <c r="V110" s="291" t="s">
        <v>129</v>
      </c>
      <c r="W110" s="291" t="s">
        <v>129</v>
      </c>
      <c r="Z110" s="282"/>
    </row>
    <row r="111" spans="1:29" x14ac:dyDescent="0.3">
      <c r="A111" s="27">
        <f t="shared" si="18"/>
        <v>96</v>
      </c>
      <c r="D111" s="27" t="s">
        <v>71</v>
      </c>
      <c r="G111" s="49"/>
      <c r="H111" s="49"/>
      <c r="I111" s="49"/>
      <c r="J111" s="50"/>
      <c r="K111" s="51"/>
      <c r="L111" s="51"/>
      <c r="M111" s="52"/>
      <c r="P111" s="296"/>
      <c r="Q111" s="297"/>
      <c r="R111" s="297"/>
      <c r="T111" s="297"/>
      <c r="U111" s="283"/>
      <c r="V111" s="291"/>
      <c r="W111" s="291"/>
      <c r="Z111" s="282"/>
    </row>
    <row r="112" spans="1:29" x14ac:dyDescent="0.3">
      <c r="A112" s="27">
        <f t="shared" si="18"/>
        <v>97</v>
      </c>
      <c r="D112" s="54" t="s">
        <v>120</v>
      </c>
      <c r="F112" s="27" t="s">
        <v>119</v>
      </c>
      <c r="G112" s="49">
        <v>1.63</v>
      </c>
      <c r="H112" s="49">
        <v>2.27</v>
      </c>
      <c r="I112" s="58">
        <v>2.27</v>
      </c>
      <c r="J112" s="50" t="s">
        <v>84</v>
      </c>
      <c r="K112" s="51" t="s">
        <v>85</v>
      </c>
      <c r="L112" s="51"/>
      <c r="M112" s="52"/>
      <c r="N112" s="295">
        <f>H112-G112</f>
        <v>0.64000000000000012</v>
      </c>
      <c r="O112" s="284">
        <f>(N112/G112)</f>
        <v>0.39263803680981607</v>
      </c>
      <c r="P112" s="296">
        <v>221500.33574738415</v>
      </c>
      <c r="Q112" s="297">
        <f>(P112*G112)/1000</f>
        <v>361.04554726823613</v>
      </c>
      <c r="R112" s="297">
        <f>(P112*H112)/1000</f>
        <v>502.80576214656196</v>
      </c>
      <c r="S112" s="298">
        <f>R112-Q112</f>
        <v>141.76021487832583</v>
      </c>
      <c r="T112" s="297">
        <f>(P112*I112)/1000</f>
        <v>502.80576214656196</v>
      </c>
      <c r="U112" s="298">
        <f>R112-T112</f>
        <v>0</v>
      </c>
      <c r="V112" s="291" t="s">
        <v>132</v>
      </c>
      <c r="W112" s="291" t="s">
        <v>132</v>
      </c>
      <c r="Z112" s="282"/>
    </row>
    <row r="113" spans="1:26" x14ac:dyDescent="0.3">
      <c r="A113" s="27">
        <f t="shared" si="18"/>
        <v>98</v>
      </c>
      <c r="D113" s="54" t="s">
        <v>121</v>
      </c>
      <c r="F113" s="27" t="s">
        <v>119</v>
      </c>
      <c r="G113" s="49">
        <v>1.33</v>
      </c>
      <c r="H113" s="49">
        <v>2.57</v>
      </c>
      <c r="I113" s="58">
        <v>2.57</v>
      </c>
      <c r="J113" s="50" t="s">
        <v>84</v>
      </c>
      <c r="K113" s="51" t="s">
        <v>85</v>
      </c>
      <c r="L113" s="51"/>
      <c r="M113" s="52"/>
      <c r="N113" s="295">
        <f>H113-G113</f>
        <v>1.2399999999999998</v>
      </c>
      <c r="O113" s="284">
        <f>(N113/G113)</f>
        <v>0.9323308270676689</v>
      </c>
      <c r="P113" s="296">
        <v>175218.38904317838</v>
      </c>
      <c r="Q113" s="297">
        <f>(P113*G113)/1000</f>
        <v>233.04045742742727</v>
      </c>
      <c r="R113" s="297">
        <f>(P113*H113)/1000</f>
        <v>450.31125984096843</v>
      </c>
      <c r="S113" s="298">
        <f>R113-Q113</f>
        <v>217.27080241354116</v>
      </c>
      <c r="T113" s="297">
        <f>(P113*I113)/1000</f>
        <v>450.31125984096843</v>
      </c>
      <c r="U113" s="298">
        <f>R113-T113</f>
        <v>0</v>
      </c>
      <c r="V113" s="291" t="s">
        <v>132</v>
      </c>
      <c r="W113" s="291" t="s">
        <v>132</v>
      </c>
      <c r="Z113" s="282"/>
    </row>
    <row r="114" spans="1:26" x14ac:dyDescent="0.3">
      <c r="A114" s="27">
        <f t="shared" si="18"/>
        <v>99</v>
      </c>
      <c r="D114" s="54" t="s">
        <v>122</v>
      </c>
      <c r="F114" s="27" t="s">
        <v>119</v>
      </c>
      <c r="G114" s="49">
        <v>4.79</v>
      </c>
      <c r="H114" s="49">
        <v>5.0999999999999996</v>
      </c>
      <c r="I114" s="58">
        <v>5.0999999999999996</v>
      </c>
      <c r="J114" s="50" t="s">
        <v>84</v>
      </c>
      <c r="K114" s="51" t="s">
        <v>85</v>
      </c>
      <c r="M114" s="31"/>
      <c r="N114" s="295">
        <f>H114-G114</f>
        <v>0.30999999999999961</v>
      </c>
      <c r="O114" s="284">
        <f>(N114/G114)</f>
        <v>6.4718162839248347E-2</v>
      </c>
      <c r="P114" s="296">
        <v>175219.389043178</v>
      </c>
      <c r="Q114" s="297">
        <f>(P114*G114)/1000</f>
        <v>839.30087351682255</v>
      </c>
      <c r="R114" s="297">
        <f>(P114*H114)/1000</f>
        <v>893.61888412020778</v>
      </c>
      <c r="S114" s="298">
        <f>R114-Q114</f>
        <v>54.318010603385233</v>
      </c>
      <c r="T114" s="297">
        <f>(P114*I114)/1000</f>
        <v>893.61888412020778</v>
      </c>
      <c r="U114" s="298">
        <f>R114-T114</f>
        <v>0</v>
      </c>
      <c r="V114" s="291" t="s">
        <v>132</v>
      </c>
      <c r="W114" s="291" t="s">
        <v>132</v>
      </c>
      <c r="Z114" s="282"/>
    </row>
    <row r="115" spans="1:26" x14ac:dyDescent="0.3">
      <c r="A115" s="27">
        <f t="shared" si="18"/>
        <v>100</v>
      </c>
      <c r="D115" s="27" t="s">
        <v>133</v>
      </c>
      <c r="G115" s="49"/>
      <c r="H115" s="49"/>
      <c r="I115" s="58"/>
      <c r="J115" s="50"/>
      <c r="K115" s="51"/>
      <c r="L115" s="51"/>
      <c r="M115" s="52"/>
      <c r="P115" s="296"/>
      <c r="Q115" s="297"/>
      <c r="R115" s="297"/>
      <c r="T115" s="297"/>
      <c r="U115" s="283"/>
      <c r="V115" s="291"/>
      <c r="W115" s="291"/>
      <c r="Z115" s="282"/>
    </row>
    <row r="116" spans="1:26" x14ac:dyDescent="0.3">
      <c r="A116" s="27">
        <f t="shared" si="18"/>
        <v>101</v>
      </c>
      <c r="D116" s="54" t="s">
        <v>134</v>
      </c>
      <c r="F116" s="27" t="s">
        <v>119</v>
      </c>
      <c r="G116" s="49">
        <v>7.72</v>
      </c>
      <c r="H116" s="58">
        <f>I116</f>
        <v>5.82</v>
      </c>
      <c r="I116" s="58">
        <v>5.82</v>
      </c>
      <c r="J116" s="50"/>
      <c r="K116" s="51" t="s">
        <v>135</v>
      </c>
      <c r="L116" s="51"/>
      <c r="M116" s="52"/>
      <c r="N116" s="295">
        <f>H116-G116</f>
        <v>-1.8999999999999995</v>
      </c>
      <c r="O116" s="284">
        <f>(N116/G116)</f>
        <v>-0.24611398963730563</v>
      </c>
      <c r="P116" s="296"/>
      <c r="Q116" s="309" t="s">
        <v>136</v>
      </c>
      <c r="R116" s="309" t="s">
        <v>136</v>
      </c>
      <c r="T116" s="309" t="s">
        <v>136</v>
      </c>
      <c r="U116" s="283"/>
      <c r="V116" s="291" t="s">
        <v>130</v>
      </c>
      <c r="W116" s="291" t="s">
        <v>130</v>
      </c>
      <c r="Z116" s="282"/>
    </row>
    <row r="117" spans="1:26" x14ac:dyDescent="0.3">
      <c r="A117" s="27">
        <f t="shared" si="18"/>
        <v>102</v>
      </c>
      <c r="D117" s="54" t="s">
        <v>137</v>
      </c>
      <c r="F117" s="27" t="s">
        <v>119</v>
      </c>
      <c r="G117" s="49">
        <v>7.72</v>
      </c>
      <c r="H117" s="58">
        <f>I117</f>
        <v>5.82</v>
      </c>
      <c r="I117" s="58">
        <f>I116</f>
        <v>5.82</v>
      </c>
      <c r="J117" s="50"/>
      <c r="K117" s="51" t="s">
        <v>135</v>
      </c>
      <c r="L117" s="51"/>
      <c r="M117" s="52"/>
      <c r="O117" s="284">
        <f>(M117/G117)</f>
        <v>0</v>
      </c>
      <c r="P117" s="296"/>
      <c r="Q117" s="309" t="s">
        <v>136</v>
      </c>
      <c r="R117" s="309" t="s">
        <v>136</v>
      </c>
      <c r="T117" s="309" t="s">
        <v>136</v>
      </c>
      <c r="U117" s="283"/>
      <c r="V117" s="291" t="s">
        <v>131</v>
      </c>
      <c r="W117" s="291" t="s">
        <v>131</v>
      </c>
      <c r="Z117" s="282"/>
    </row>
    <row r="118" spans="1:26" x14ac:dyDescent="0.3">
      <c r="A118" s="27">
        <f t="shared" si="18"/>
        <v>103</v>
      </c>
      <c r="D118" s="54" t="s">
        <v>138</v>
      </c>
      <c r="F118" s="27" t="s">
        <v>78</v>
      </c>
      <c r="G118" s="58">
        <v>0.25</v>
      </c>
      <c r="H118" s="58">
        <v>0.25</v>
      </c>
      <c r="I118" s="58">
        <v>0.25</v>
      </c>
      <c r="J118" s="67"/>
      <c r="K118" s="51" t="s">
        <v>108</v>
      </c>
      <c r="L118" s="66"/>
      <c r="M118" s="52"/>
      <c r="N118" s="295"/>
      <c r="O118" s="310"/>
      <c r="P118" s="311"/>
      <c r="Q118" s="312"/>
      <c r="R118" s="312"/>
      <c r="T118" s="312"/>
      <c r="U118" s="283"/>
    </row>
    <row r="119" spans="1:26" x14ac:dyDescent="0.3">
      <c r="A119" s="27">
        <f t="shared" si="18"/>
        <v>104</v>
      </c>
      <c r="G119" s="49"/>
      <c r="H119" s="49"/>
      <c r="I119" s="58"/>
      <c r="J119" s="50"/>
      <c r="K119" s="51"/>
      <c r="L119" s="51"/>
      <c r="M119" s="52"/>
      <c r="P119" s="296"/>
      <c r="Q119" s="297"/>
      <c r="R119" s="297"/>
      <c r="T119" s="297"/>
      <c r="U119" s="283"/>
      <c r="V119" s="291"/>
      <c r="W119" s="291"/>
      <c r="Z119" s="282"/>
    </row>
    <row r="120" spans="1:26" x14ac:dyDescent="0.3">
      <c r="A120" s="27">
        <f t="shared" si="18"/>
        <v>105</v>
      </c>
      <c r="D120" s="27" t="s">
        <v>123</v>
      </c>
      <c r="G120" s="49"/>
      <c r="H120" s="49"/>
      <c r="I120" s="58"/>
      <c r="J120" s="50"/>
      <c r="K120" s="51"/>
      <c r="L120" s="51"/>
      <c r="M120" s="52"/>
      <c r="P120" s="296"/>
      <c r="Q120" s="297"/>
      <c r="R120" s="297"/>
      <c r="T120" s="297"/>
      <c r="U120" s="283"/>
      <c r="V120" s="291"/>
      <c r="W120" s="291"/>
      <c r="Z120" s="282"/>
    </row>
    <row r="121" spans="1:26" x14ac:dyDescent="0.3">
      <c r="A121" s="27">
        <f t="shared" si="18"/>
        <v>106</v>
      </c>
      <c r="D121" s="54" t="s">
        <v>101</v>
      </c>
      <c r="F121" s="27" t="s">
        <v>119</v>
      </c>
      <c r="G121" s="49">
        <v>1.31</v>
      </c>
      <c r="H121" s="49">
        <f>I121</f>
        <v>1.3</v>
      </c>
      <c r="I121" s="58">
        <v>1.3</v>
      </c>
      <c r="J121" s="50" t="s">
        <v>124</v>
      </c>
      <c r="K121" s="51" t="s">
        <v>106</v>
      </c>
      <c r="L121" s="51"/>
      <c r="M121" s="52"/>
      <c r="N121" s="295">
        <f>H121-G121</f>
        <v>-1.0000000000000009E-2</v>
      </c>
      <c r="O121" s="284">
        <f>(N121/G121)</f>
        <v>-7.6335877862595486E-3</v>
      </c>
      <c r="P121" s="296">
        <v>-221500.33574738415</v>
      </c>
      <c r="Q121" s="297">
        <f>(P121*G121)/1000</f>
        <v>-290.16543982907325</v>
      </c>
      <c r="R121" s="297">
        <f>(P121*H121)/1000</f>
        <v>-287.9504364715994</v>
      </c>
      <c r="S121" s="298">
        <f>R121-Q121</f>
        <v>2.2150033574738472</v>
      </c>
      <c r="T121" s="297">
        <f>(P121*I121)/1000</f>
        <v>-287.9504364715994</v>
      </c>
      <c r="U121" s="298">
        <f>R121-T121</f>
        <v>0</v>
      </c>
      <c r="V121" s="291" t="s">
        <v>129</v>
      </c>
      <c r="W121" s="291" t="s">
        <v>129</v>
      </c>
      <c r="Z121" s="282"/>
    </row>
    <row r="122" spans="1:26" x14ac:dyDescent="0.3">
      <c r="A122" s="27">
        <f t="shared" si="18"/>
        <v>107</v>
      </c>
      <c r="D122" s="54" t="s">
        <v>125</v>
      </c>
      <c r="F122" s="27" t="s">
        <v>119</v>
      </c>
      <c r="G122" s="49">
        <v>5.42</v>
      </c>
      <c r="H122" s="49">
        <f t="shared" ref="H122:H123" si="21">I122</f>
        <v>6.18</v>
      </c>
      <c r="I122" s="58">
        <v>6.18</v>
      </c>
      <c r="J122" s="50" t="s">
        <v>124</v>
      </c>
      <c r="K122" s="51" t="s">
        <v>106</v>
      </c>
      <c r="L122" s="51"/>
      <c r="M122" s="52"/>
      <c r="N122" s="295">
        <f>H122-G122</f>
        <v>0.75999999999999979</v>
      </c>
      <c r="O122" s="284">
        <f>(N122/G122)</f>
        <v>0.1402214022140221</v>
      </c>
      <c r="P122" s="296">
        <v>0</v>
      </c>
      <c r="Q122" s="297">
        <f>(P122*G122)/1000</f>
        <v>0</v>
      </c>
      <c r="R122" s="297">
        <f>(P122*H122)/1000</f>
        <v>0</v>
      </c>
      <c r="S122" s="298">
        <f>R122-Q122</f>
        <v>0</v>
      </c>
      <c r="T122" s="297">
        <f>(P122*I122)/1000</f>
        <v>0</v>
      </c>
      <c r="U122" s="298">
        <f>R122-T122</f>
        <v>0</v>
      </c>
      <c r="V122" s="291" t="s">
        <v>129</v>
      </c>
      <c r="W122" s="291" t="s">
        <v>129</v>
      </c>
      <c r="Z122" s="282"/>
    </row>
    <row r="123" spans="1:26" x14ac:dyDescent="0.3">
      <c r="A123" s="27">
        <f t="shared" si="18"/>
        <v>108</v>
      </c>
      <c r="D123" s="54" t="s">
        <v>126</v>
      </c>
      <c r="F123" s="27" t="s">
        <v>119</v>
      </c>
      <c r="G123" s="49">
        <v>7.5</v>
      </c>
      <c r="H123" s="49">
        <f t="shared" si="21"/>
        <v>8.61</v>
      </c>
      <c r="I123" s="58">
        <v>8.61</v>
      </c>
      <c r="J123" s="50" t="s">
        <v>124</v>
      </c>
      <c r="K123" s="51" t="s">
        <v>106</v>
      </c>
      <c r="L123" s="51"/>
      <c r="M123" s="52"/>
      <c r="N123" s="295"/>
      <c r="P123" s="296"/>
      <c r="Q123" s="297"/>
      <c r="R123" s="297"/>
      <c r="S123" s="298"/>
      <c r="T123" s="297"/>
      <c r="U123" s="298"/>
      <c r="V123" s="291"/>
      <c r="W123" s="291"/>
      <c r="Z123" s="282"/>
    </row>
    <row r="124" spans="1:26" x14ac:dyDescent="0.3">
      <c r="A124" s="27">
        <f t="shared" si="18"/>
        <v>109</v>
      </c>
      <c r="G124" s="49"/>
      <c r="H124" s="49"/>
      <c r="I124" s="58"/>
      <c r="J124" s="50"/>
      <c r="K124" s="51"/>
      <c r="L124" s="51"/>
      <c r="M124" s="52"/>
      <c r="P124" s="296"/>
      <c r="Q124" s="297"/>
      <c r="R124" s="297"/>
      <c r="T124" s="297"/>
      <c r="U124" s="283"/>
      <c r="V124" s="291"/>
      <c r="W124" s="291"/>
      <c r="Z124" s="282"/>
    </row>
    <row r="125" spans="1:26" x14ac:dyDescent="0.3">
      <c r="A125" s="27">
        <f t="shared" si="18"/>
        <v>110</v>
      </c>
      <c r="D125" s="27" t="s">
        <v>104</v>
      </c>
      <c r="F125" s="27" t="s">
        <v>119</v>
      </c>
      <c r="G125" s="49">
        <v>1.5</v>
      </c>
      <c r="H125" s="49">
        <f>I125</f>
        <v>1.96</v>
      </c>
      <c r="I125" s="58">
        <v>1.96</v>
      </c>
      <c r="J125" s="50" t="s">
        <v>105</v>
      </c>
      <c r="K125" s="51" t="s">
        <v>106</v>
      </c>
      <c r="L125" s="51"/>
      <c r="M125" s="52"/>
      <c r="N125" s="295">
        <f>H125-G125</f>
        <v>0.45999999999999996</v>
      </c>
      <c r="O125" s="284">
        <f>(N125/G125)</f>
        <v>0.30666666666666664</v>
      </c>
      <c r="P125" s="296"/>
      <c r="Q125" s="297">
        <f>(P125*G125)/1000</f>
        <v>0</v>
      </c>
      <c r="R125" s="297">
        <f>(P125*H125)/1000</f>
        <v>0</v>
      </c>
      <c r="S125" s="298">
        <f>R125-Q125</f>
        <v>0</v>
      </c>
      <c r="T125" s="297">
        <f>(P125*I125)/1000</f>
        <v>0</v>
      </c>
      <c r="U125" s="298">
        <f>R125-T125</f>
        <v>0</v>
      </c>
      <c r="V125" s="291" t="s">
        <v>129</v>
      </c>
      <c r="W125" s="291" t="s">
        <v>129</v>
      </c>
      <c r="Z125" s="282"/>
    </row>
    <row r="126" spans="1:26" x14ac:dyDescent="0.3">
      <c r="A126" s="27">
        <f t="shared" si="18"/>
        <v>111</v>
      </c>
      <c r="G126" s="51"/>
      <c r="H126" s="51"/>
      <c r="I126" s="66"/>
      <c r="J126" s="50"/>
      <c r="K126" s="51"/>
      <c r="L126" s="51"/>
      <c r="M126" s="52"/>
      <c r="P126" s="296"/>
      <c r="Q126" s="297"/>
      <c r="R126" s="297"/>
      <c r="T126" s="297"/>
      <c r="U126" s="283"/>
      <c r="V126" s="291"/>
      <c r="W126" s="291"/>
      <c r="Z126" s="282"/>
    </row>
    <row r="127" spans="1:26" x14ac:dyDescent="0.3">
      <c r="A127" s="27">
        <f t="shared" si="18"/>
        <v>112</v>
      </c>
      <c r="C127" s="27" t="s">
        <v>75</v>
      </c>
      <c r="G127" s="51"/>
      <c r="H127" s="51"/>
      <c r="I127" s="66"/>
      <c r="J127" s="50"/>
      <c r="K127" s="51"/>
      <c r="L127" s="51"/>
      <c r="M127" s="52"/>
      <c r="P127" s="296"/>
      <c r="Q127" s="297"/>
      <c r="R127" s="297"/>
      <c r="T127" s="297"/>
      <c r="U127" s="283"/>
      <c r="V127" s="291"/>
      <c r="W127" s="291"/>
      <c r="Z127" s="282"/>
    </row>
    <row r="128" spans="1:26" x14ac:dyDescent="0.3">
      <c r="A128" s="27">
        <f t="shared" si="18"/>
        <v>113</v>
      </c>
      <c r="D128" s="27" t="s">
        <v>67</v>
      </c>
      <c r="F128" s="27" t="s">
        <v>78</v>
      </c>
      <c r="G128" s="56">
        <v>2.044</v>
      </c>
      <c r="H128" s="56">
        <v>2.6680000000000001</v>
      </c>
      <c r="I128" s="57">
        <v>4.9703392235019717</v>
      </c>
      <c r="J128" s="50" t="s">
        <v>113</v>
      </c>
      <c r="K128" s="56" t="s">
        <v>69</v>
      </c>
      <c r="L128" s="56"/>
      <c r="M128" s="60"/>
      <c r="N128" s="295">
        <f>H128-G128</f>
        <v>0.62400000000000011</v>
      </c>
      <c r="O128" s="284">
        <f>(N128/G128)</f>
        <v>0.3052837573385519</v>
      </c>
      <c r="P128" s="296">
        <v>0</v>
      </c>
      <c r="Q128" s="297">
        <f>(P128*G128*10)/1000</f>
        <v>0</v>
      </c>
      <c r="R128" s="297">
        <f>(P128*H128*10)/1000</f>
        <v>0</v>
      </c>
      <c r="S128" s="298">
        <f>R128-Q128</f>
        <v>0</v>
      </c>
      <c r="T128" s="297">
        <f>(P128*I128*10)/1000</f>
        <v>0</v>
      </c>
      <c r="U128" s="298">
        <f>R128-T128</f>
        <v>0</v>
      </c>
      <c r="V128" s="291" t="s">
        <v>129</v>
      </c>
      <c r="W128" s="291" t="s">
        <v>129</v>
      </c>
      <c r="Z128" s="282"/>
    </row>
    <row r="129" spans="1:29" x14ac:dyDescent="0.3">
      <c r="A129" s="27">
        <f t="shared" si="18"/>
        <v>114</v>
      </c>
      <c r="D129" s="27" t="s">
        <v>83</v>
      </c>
      <c r="F129" s="27" t="s">
        <v>78</v>
      </c>
      <c r="G129" s="56">
        <v>1.8799999999999997</v>
      </c>
      <c r="H129" s="56">
        <v>2.9140000000000001</v>
      </c>
      <c r="I129" s="57">
        <v>2.7240000000000002</v>
      </c>
      <c r="J129" s="50" t="s">
        <v>84</v>
      </c>
      <c r="K129" s="51" t="s">
        <v>85</v>
      </c>
      <c r="L129" s="56"/>
      <c r="M129" s="60"/>
      <c r="N129" s="295">
        <f>H129-G129</f>
        <v>1.0340000000000005</v>
      </c>
      <c r="O129" s="284">
        <f>(N129/G129)</f>
        <v>0.55000000000000038</v>
      </c>
      <c r="P129" s="296">
        <v>15677.736620243468</v>
      </c>
      <c r="Q129" s="297">
        <f>(P129*G129*10)/1000</f>
        <v>294.74144846057715</v>
      </c>
      <c r="R129" s="297">
        <f>(P129*H129*10)/1000</f>
        <v>456.84924511389465</v>
      </c>
      <c r="S129" s="298">
        <f>R129-Q129</f>
        <v>162.10779665331751</v>
      </c>
      <c r="T129" s="297">
        <f>(P129*I129*10)/1000</f>
        <v>427.06154553543206</v>
      </c>
      <c r="U129" s="298">
        <f>R129-T129</f>
        <v>29.787699578462593</v>
      </c>
      <c r="V129" s="291" t="s">
        <v>132</v>
      </c>
      <c r="W129" s="291" t="s">
        <v>132</v>
      </c>
      <c r="Z129" s="282"/>
    </row>
    <row r="130" spans="1:29" x14ac:dyDescent="0.3">
      <c r="A130" s="27">
        <f t="shared" si="18"/>
        <v>115</v>
      </c>
      <c r="D130" s="27" t="s">
        <v>86</v>
      </c>
      <c r="F130" s="27" t="s">
        <v>78</v>
      </c>
      <c r="G130" s="56">
        <v>1.6279999999999997</v>
      </c>
      <c r="H130" s="56">
        <v>2.1589999999999998</v>
      </c>
      <c r="I130" s="57">
        <v>2.0179999999999998</v>
      </c>
      <c r="J130" s="50" t="s">
        <v>84</v>
      </c>
      <c r="K130" s="51" t="s">
        <v>85</v>
      </c>
      <c r="L130" s="56"/>
      <c r="M130" s="60"/>
      <c r="N130" s="295">
        <f>H130-G130</f>
        <v>0.53100000000000014</v>
      </c>
      <c r="O130" s="284">
        <f>(N130/G130)</f>
        <v>0.3261670761670763</v>
      </c>
      <c r="P130" s="296">
        <v>48600.263379756529</v>
      </c>
      <c r="Q130" s="297">
        <f>(P130*G130*10)/1000</f>
        <v>791.21228782243622</v>
      </c>
      <c r="R130" s="297">
        <f>(P130*H130*10)/1000</f>
        <v>1049.2796863689434</v>
      </c>
      <c r="S130" s="298">
        <f>R130-Q130</f>
        <v>258.06739854650721</v>
      </c>
      <c r="T130" s="297">
        <f>(P130*I130*10)/1000</f>
        <v>980.75331500348659</v>
      </c>
      <c r="U130" s="298">
        <f>R130-T130</f>
        <v>68.526371365456839</v>
      </c>
      <c r="V130" s="291" t="s">
        <v>132</v>
      </c>
      <c r="W130" s="291" t="s">
        <v>132</v>
      </c>
      <c r="Z130" s="282"/>
    </row>
    <row r="131" spans="1:29" x14ac:dyDescent="0.3">
      <c r="A131" s="27">
        <f t="shared" si="18"/>
        <v>116</v>
      </c>
      <c r="D131" s="27" t="s">
        <v>87</v>
      </c>
      <c r="F131" s="27" t="s">
        <v>78</v>
      </c>
      <c r="G131" s="56">
        <v>1.0289999999999999</v>
      </c>
      <c r="H131" s="56">
        <v>1.637</v>
      </c>
      <c r="I131" s="57">
        <v>1.53</v>
      </c>
      <c r="J131" s="50" t="s">
        <v>84</v>
      </c>
      <c r="K131" s="51" t="s">
        <v>85</v>
      </c>
      <c r="L131" s="56"/>
      <c r="M131" s="60"/>
      <c r="N131" s="295"/>
      <c r="P131" s="296"/>
      <c r="Q131" s="297"/>
      <c r="R131" s="297"/>
      <c r="S131" s="298"/>
      <c r="T131" s="297"/>
      <c r="U131" s="298"/>
      <c r="V131" s="291"/>
      <c r="W131" s="291"/>
      <c r="Z131" s="282"/>
    </row>
    <row r="132" spans="1:29" x14ac:dyDescent="0.3">
      <c r="A132" s="27">
        <f t="shared" si="18"/>
        <v>117</v>
      </c>
      <c r="G132" s="51"/>
      <c r="H132" s="51"/>
      <c r="I132" s="66"/>
      <c r="J132" s="50"/>
      <c r="K132" s="51"/>
      <c r="L132" s="51"/>
      <c r="M132" s="52"/>
      <c r="P132" s="296"/>
      <c r="Q132" s="297"/>
      <c r="R132" s="297"/>
      <c r="T132" s="297"/>
      <c r="U132" s="283"/>
      <c r="V132" s="291"/>
      <c r="W132" s="291"/>
      <c r="Z132" s="282"/>
    </row>
    <row r="133" spans="1:29" x14ac:dyDescent="0.3">
      <c r="A133" s="27">
        <f t="shared" si="18"/>
        <v>118</v>
      </c>
      <c r="C133" s="27" t="s">
        <v>107</v>
      </c>
      <c r="G133" s="51"/>
      <c r="H133" s="51"/>
      <c r="I133" s="51"/>
      <c r="J133" s="50"/>
      <c r="K133" s="51"/>
      <c r="L133" s="51"/>
      <c r="M133" s="52"/>
      <c r="N133" s="295"/>
      <c r="P133" s="296"/>
      <c r="Q133" s="297"/>
      <c r="R133" s="297"/>
      <c r="T133" s="297"/>
      <c r="U133" s="283"/>
      <c r="V133" s="291"/>
      <c r="W133" s="291"/>
      <c r="Z133" s="282"/>
    </row>
    <row r="134" spans="1:29" x14ac:dyDescent="0.3">
      <c r="A134" s="27">
        <f t="shared" si="18"/>
        <v>119</v>
      </c>
      <c r="D134" s="27" t="s">
        <v>101</v>
      </c>
      <c r="F134" s="27" t="s">
        <v>61</v>
      </c>
      <c r="G134" s="62">
        <v>0.01</v>
      </c>
      <c r="H134" s="62">
        <v>0.01</v>
      </c>
      <c r="I134" s="62"/>
      <c r="J134" s="50"/>
      <c r="K134" s="51" t="s">
        <v>108</v>
      </c>
      <c r="L134" s="51"/>
      <c r="M134" s="52"/>
      <c r="N134" s="306">
        <f>H134-G134</f>
        <v>0</v>
      </c>
      <c r="O134" s="284">
        <f>(N134/G134)</f>
        <v>0</v>
      </c>
      <c r="P134" s="296"/>
      <c r="Q134" s="297">
        <f>(P134*G134)/1000</f>
        <v>0</v>
      </c>
      <c r="R134" s="297">
        <f>(P134*H134)/1000</f>
        <v>0</v>
      </c>
      <c r="S134" s="298">
        <f>R134-Q134</f>
        <v>0</v>
      </c>
      <c r="T134" s="297">
        <f>(P134*I134)/1000</f>
        <v>0</v>
      </c>
      <c r="U134" s="298">
        <f>R134-T134</f>
        <v>0</v>
      </c>
      <c r="V134" s="291" t="s">
        <v>129</v>
      </c>
      <c r="W134" s="291" t="s">
        <v>129</v>
      </c>
      <c r="Z134" s="282"/>
    </row>
    <row r="135" spans="1:29" x14ac:dyDescent="0.3">
      <c r="A135" s="27">
        <f t="shared" si="18"/>
        <v>120</v>
      </c>
      <c r="D135" s="27" t="s">
        <v>102</v>
      </c>
      <c r="F135" s="27" t="s">
        <v>61</v>
      </c>
      <c r="G135" s="62">
        <v>0.02</v>
      </c>
      <c r="H135" s="62">
        <v>0.02</v>
      </c>
      <c r="I135" s="62"/>
      <c r="J135" s="50"/>
      <c r="K135" s="51" t="s">
        <v>108</v>
      </c>
      <c r="L135" s="51"/>
      <c r="M135" s="52"/>
      <c r="N135" s="306">
        <f>H135-G135</f>
        <v>0</v>
      </c>
      <c r="O135" s="284">
        <f>(N135/G135)</f>
        <v>0</v>
      </c>
      <c r="P135" s="296"/>
      <c r="Q135" s="297">
        <f>(P135*G135)/1000</f>
        <v>0</v>
      </c>
      <c r="R135" s="297">
        <f>(P135*H135)/1000</f>
        <v>0</v>
      </c>
      <c r="S135" s="298">
        <f>R135-Q135</f>
        <v>0</v>
      </c>
      <c r="T135" s="297">
        <f>(P135*I135)/1000</f>
        <v>0</v>
      </c>
      <c r="U135" s="298">
        <f>R135-T135</f>
        <v>0</v>
      </c>
      <c r="V135" s="291" t="s">
        <v>129</v>
      </c>
      <c r="W135" s="291" t="s">
        <v>129</v>
      </c>
      <c r="Z135" s="282"/>
    </row>
    <row r="136" spans="1:29" x14ac:dyDescent="0.3">
      <c r="A136" s="27">
        <f t="shared" si="18"/>
        <v>121</v>
      </c>
      <c r="G136" s="62"/>
      <c r="H136" s="62"/>
      <c r="I136" s="62"/>
      <c r="J136" s="50"/>
      <c r="K136" s="51"/>
      <c r="L136" s="51"/>
      <c r="M136" s="52"/>
      <c r="N136" s="295"/>
      <c r="P136" s="296"/>
      <c r="Q136" s="297"/>
      <c r="R136" s="297"/>
      <c r="T136" s="297"/>
      <c r="U136" s="283"/>
      <c r="V136" s="291"/>
      <c r="W136" s="291"/>
      <c r="Z136" s="282"/>
    </row>
    <row r="137" spans="1:29" x14ac:dyDescent="0.3">
      <c r="A137" s="27">
        <f t="shared" si="18"/>
        <v>122</v>
      </c>
      <c r="C137" s="27" t="s">
        <v>109</v>
      </c>
      <c r="F137" s="27" t="s">
        <v>61</v>
      </c>
      <c r="G137" s="63">
        <v>1.0800000000000001E-2</v>
      </c>
      <c r="H137" s="64">
        <f>I137</f>
        <v>9.5999999999999992E-3</v>
      </c>
      <c r="I137" s="65">
        <v>9.5999999999999992E-3</v>
      </c>
      <c r="J137" s="42" t="s">
        <v>110</v>
      </c>
      <c r="K137" s="66" t="s">
        <v>111</v>
      </c>
      <c r="L137" s="51"/>
      <c r="M137" s="52"/>
      <c r="N137" s="307">
        <f>H137-G137</f>
        <v>-1.2000000000000014E-3</v>
      </c>
      <c r="O137" s="284">
        <f>(N137/G137)</f>
        <v>-0.11111111111111123</v>
      </c>
      <c r="P137" s="296"/>
      <c r="Q137" s="297"/>
      <c r="R137" s="297"/>
      <c r="T137" s="297"/>
      <c r="U137" s="283"/>
      <c r="V137" s="291" t="s">
        <v>129</v>
      </c>
      <c r="W137" s="291" t="s">
        <v>129</v>
      </c>
      <c r="Z137" s="282"/>
    </row>
    <row r="138" spans="1:29" ht="14.4" thickBot="1" x14ac:dyDescent="0.35">
      <c r="B138" s="31"/>
      <c r="C138" s="31"/>
      <c r="D138" s="31"/>
      <c r="E138" s="31"/>
      <c r="F138" s="31"/>
      <c r="G138" s="52"/>
      <c r="H138" s="52"/>
      <c r="I138" s="52"/>
      <c r="J138" s="59"/>
      <c r="K138" s="52"/>
      <c r="L138" s="52"/>
      <c r="M138" s="52"/>
      <c r="N138" s="300"/>
      <c r="O138" s="301"/>
      <c r="P138" s="302"/>
      <c r="Q138" s="303">
        <f>SUM(Q104:Q137)</f>
        <v>2238.2539987840732</v>
      </c>
      <c r="R138" s="303">
        <f>SUM(R104:R137)</f>
        <v>3076.6596446483882</v>
      </c>
      <c r="S138" s="303">
        <f>SUM(S104:S137)</f>
        <v>838.40564586431549</v>
      </c>
      <c r="T138" s="303">
        <f>SUM(T104:T137)</f>
        <v>2974.5124833133514</v>
      </c>
      <c r="U138" s="303">
        <f>SUM(U104:U137)</f>
        <v>102.14716133503737</v>
      </c>
      <c r="V138" s="291"/>
      <c r="W138" s="291"/>
      <c r="Z138" s="282"/>
    </row>
    <row r="139" spans="1:29" ht="14.4" thickTop="1" x14ac:dyDescent="0.3">
      <c r="A139" s="27">
        <f>+A137+1</f>
        <v>123</v>
      </c>
      <c r="B139" s="48"/>
      <c r="G139" s="51"/>
      <c r="H139" s="51"/>
      <c r="I139" s="51"/>
      <c r="J139" s="50"/>
      <c r="K139" s="51"/>
      <c r="L139" s="51"/>
      <c r="M139" s="52"/>
      <c r="P139" s="296"/>
      <c r="Q139" s="296"/>
      <c r="R139" s="296"/>
      <c r="S139" s="296"/>
      <c r="T139" s="296"/>
      <c r="U139" s="283"/>
      <c r="V139" s="291"/>
      <c r="W139" s="291"/>
      <c r="Z139" s="282"/>
    </row>
    <row r="140" spans="1:29" x14ac:dyDescent="0.3">
      <c r="A140" s="27">
        <f t="shared" si="18"/>
        <v>124</v>
      </c>
      <c r="B140" s="48" t="s">
        <v>139</v>
      </c>
      <c r="C140" s="27" t="s">
        <v>65</v>
      </c>
      <c r="G140" s="51"/>
      <c r="H140" s="51"/>
      <c r="I140" s="51"/>
      <c r="J140" s="50"/>
      <c r="K140" s="51"/>
      <c r="L140" s="51"/>
      <c r="M140" s="52"/>
      <c r="P140" s="296"/>
      <c r="Q140" s="296"/>
      <c r="R140" s="296"/>
      <c r="T140" s="296"/>
      <c r="U140" s="283"/>
      <c r="V140" s="291"/>
      <c r="W140" s="291"/>
      <c r="Z140" s="282"/>
    </row>
    <row r="141" spans="1:29" x14ac:dyDescent="0.3">
      <c r="A141" s="27">
        <f t="shared" si="18"/>
        <v>125</v>
      </c>
      <c r="B141" s="48" t="s">
        <v>140</v>
      </c>
      <c r="D141" s="27" t="s">
        <v>99</v>
      </c>
      <c r="F141" s="27" t="s">
        <v>60</v>
      </c>
      <c r="G141" s="49">
        <v>332.54</v>
      </c>
      <c r="H141" s="49">
        <v>426.3</v>
      </c>
      <c r="I141" s="49">
        <v>390.44721729205196</v>
      </c>
      <c r="J141" s="50" t="s">
        <v>96</v>
      </c>
      <c r="K141" s="51" t="s">
        <v>69</v>
      </c>
      <c r="L141" s="51"/>
      <c r="M141" s="52"/>
      <c r="N141" s="295">
        <f>H141-G141</f>
        <v>93.759999999999991</v>
      </c>
      <c r="O141" s="284">
        <f>(N141/G141)</f>
        <v>0.28195104348349065</v>
      </c>
      <c r="P141" s="296">
        <v>936.31973453054877</v>
      </c>
      <c r="Q141" s="297">
        <f>(P141*G141)/1000</f>
        <v>311.36376452078866</v>
      </c>
      <c r="R141" s="297">
        <f>(P141*H141)/1000</f>
        <v>399.15310283037292</v>
      </c>
      <c r="S141" s="298">
        <f>R141-Q141</f>
        <v>87.789338309584252</v>
      </c>
      <c r="T141" s="297">
        <f>(P141*I141)/1000</f>
        <v>365.58343484308557</v>
      </c>
      <c r="U141" s="298">
        <f>R141-T141</f>
        <v>33.569667987287346</v>
      </c>
      <c r="V141" s="291" t="s">
        <v>141</v>
      </c>
      <c r="W141" s="291" t="s">
        <v>141</v>
      </c>
      <c r="Z141" s="282"/>
      <c r="AC141" s="27" t="b">
        <f t="shared" ref="AC141:AC143" si="22">H141&gt;=I141</f>
        <v>1</v>
      </c>
    </row>
    <row r="142" spans="1:29" x14ac:dyDescent="0.3">
      <c r="A142" s="27">
        <f t="shared" ref="A142:A205" si="23">+A141+1</f>
        <v>126</v>
      </c>
      <c r="B142" s="48"/>
      <c r="D142" s="27" t="s">
        <v>101</v>
      </c>
      <c r="F142" s="27" t="s">
        <v>60</v>
      </c>
      <c r="G142" s="49">
        <v>493.43</v>
      </c>
      <c r="H142" s="49">
        <v>632.54999999999995</v>
      </c>
      <c r="I142" s="49">
        <v>527.26296818704463</v>
      </c>
      <c r="J142" s="50" t="s">
        <v>96</v>
      </c>
      <c r="K142" s="51" t="s">
        <v>69</v>
      </c>
      <c r="L142" s="51"/>
      <c r="M142" s="52"/>
      <c r="N142" s="295">
        <f>H142-G142</f>
        <v>139.11999999999995</v>
      </c>
      <c r="O142" s="284">
        <f>(N142/G142)</f>
        <v>0.28194475406845942</v>
      </c>
      <c r="P142" s="296">
        <v>1032.3525278157329</v>
      </c>
      <c r="Q142" s="297">
        <f>(P142*G142)/1000</f>
        <v>509.39370780011711</v>
      </c>
      <c r="R142" s="297">
        <f>(P142*H142)/1000</f>
        <v>653.01459146984178</v>
      </c>
      <c r="S142" s="298">
        <f>R142-Q142</f>
        <v>143.62088366972466</v>
      </c>
      <c r="T142" s="297">
        <f>(P142*I142)/1000</f>
        <v>544.32125803152178</v>
      </c>
      <c r="U142" s="298">
        <f>R142-T142</f>
        <v>108.69333343832</v>
      </c>
      <c r="V142" s="291" t="s">
        <v>141</v>
      </c>
      <c r="W142" s="291" t="s">
        <v>141</v>
      </c>
      <c r="Z142" s="282"/>
      <c r="AC142" s="27" t="b">
        <f t="shared" si="22"/>
        <v>1</v>
      </c>
    </row>
    <row r="143" spans="1:29" x14ac:dyDescent="0.3">
      <c r="A143" s="27">
        <f t="shared" si="23"/>
        <v>127</v>
      </c>
      <c r="D143" s="27" t="s">
        <v>102</v>
      </c>
      <c r="F143" s="27" t="s">
        <v>60</v>
      </c>
      <c r="G143" s="49">
        <v>1180.47</v>
      </c>
      <c r="H143" s="49">
        <v>1513.3</v>
      </c>
      <c r="I143" s="49">
        <v>702.34549607832673</v>
      </c>
      <c r="J143" s="50" t="s">
        <v>96</v>
      </c>
      <c r="K143" s="51" t="s">
        <v>69</v>
      </c>
      <c r="L143" s="51"/>
      <c r="M143" s="52"/>
      <c r="N143" s="295">
        <f>H143-G143</f>
        <v>332.82999999999993</v>
      </c>
      <c r="O143" s="284">
        <f>(N143/G143)</f>
        <v>0.28194702110176451</v>
      </c>
      <c r="P143" s="296">
        <v>72.024594963888333</v>
      </c>
      <c r="Q143" s="297">
        <f>(P143*G143)/1000</f>
        <v>85.022873617021261</v>
      </c>
      <c r="R143" s="297">
        <f>(P143*H143)/1000</f>
        <v>108.9948195588522</v>
      </c>
      <c r="S143" s="298">
        <f>R143-Q143</f>
        <v>23.971945941830938</v>
      </c>
      <c r="T143" s="297">
        <f>(P143*I143)/1000</f>
        <v>50.586149879752703</v>
      </c>
      <c r="U143" s="298">
        <f>R143-T143</f>
        <v>58.408669679099496</v>
      </c>
      <c r="V143" s="291" t="s">
        <v>141</v>
      </c>
      <c r="W143" s="291" t="s">
        <v>141</v>
      </c>
      <c r="Z143" s="282"/>
      <c r="AC143" s="27" t="b">
        <f t="shared" si="22"/>
        <v>1</v>
      </c>
    </row>
    <row r="144" spans="1:29" x14ac:dyDescent="0.3">
      <c r="A144" s="27">
        <f t="shared" si="23"/>
        <v>128</v>
      </c>
      <c r="G144" s="49"/>
      <c r="H144" s="49"/>
      <c r="I144" s="49"/>
      <c r="J144" s="50"/>
      <c r="K144" s="51"/>
      <c r="L144" s="51"/>
      <c r="M144" s="52"/>
      <c r="P144" s="296"/>
      <c r="Q144" s="296"/>
      <c r="R144" s="296"/>
      <c r="T144" s="296"/>
      <c r="U144" s="283"/>
      <c r="V144" s="291"/>
      <c r="W144" s="291"/>
      <c r="Z144" s="282"/>
    </row>
    <row r="145" spans="1:26" x14ac:dyDescent="0.3">
      <c r="A145" s="27">
        <f t="shared" si="23"/>
        <v>129</v>
      </c>
      <c r="C145" s="27" t="s">
        <v>142</v>
      </c>
      <c r="G145" s="49"/>
      <c r="H145" s="49"/>
      <c r="I145" s="49"/>
      <c r="J145" s="50"/>
      <c r="K145" s="51"/>
      <c r="L145" s="51"/>
      <c r="M145" s="52"/>
      <c r="P145" s="296"/>
      <c r="Q145" s="296"/>
      <c r="R145" s="296"/>
      <c r="T145" s="296"/>
      <c r="U145" s="283"/>
      <c r="V145" s="291"/>
      <c r="W145" s="291"/>
      <c r="Z145" s="282"/>
    </row>
    <row r="146" spans="1:26" x14ac:dyDescent="0.3">
      <c r="A146" s="27">
        <f t="shared" si="23"/>
        <v>130</v>
      </c>
      <c r="D146" s="27" t="s">
        <v>67</v>
      </c>
      <c r="F146" s="27" t="s">
        <v>119</v>
      </c>
      <c r="G146" s="49">
        <v>9.31</v>
      </c>
      <c r="H146" s="49">
        <v>12.16</v>
      </c>
      <c r="I146" s="49">
        <v>14.986787203658823</v>
      </c>
      <c r="J146" s="50" t="s">
        <v>113</v>
      </c>
      <c r="K146" s="51" t="s">
        <v>69</v>
      </c>
      <c r="L146" s="51"/>
      <c r="M146" s="52"/>
      <c r="N146" s="295">
        <f>H146-G146</f>
        <v>2.8499999999999996</v>
      </c>
      <c r="O146" s="284">
        <f>(N146/G146)</f>
        <v>0.30612244897959179</v>
      </c>
      <c r="P146" s="296">
        <v>759330.74305971235</v>
      </c>
      <c r="Q146" s="297">
        <f>(P146*G146)/1000</f>
        <v>7069.3692178859228</v>
      </c>
      <c r="R146" s="297">
        <f>(P146*H146)/1000</f>
        <v>9233.4618356061019</v>
      </c>
      <c r="S146" s="298">
        <f>R146-Q146</f>
        <v>2164.0926177201791</v>
      </c>
      <c r="T146" s="297">
        <f>(P146*I146)/1000</f>
        <v>11379.928263432043</v>
      </c>
      <c r="U146" s="298">
        <f>R146-T146</f>
        <v>-2146.4664278259406</v>
      </c>
      <c r="V146" s="291" t="s">
        <v>141</v>
      </c>
      <c r="W146" s="291" t="s">
        <v>141</v>
      </c>
      <c r="Z146" s="282"/>
    </row>
    <row r="147" spans="1:26" x14ac:dyDescent="0.3">
      <c r="A147" s="27">
        <f t="shared" si="23"/>
        <v>131</v>
      </c>
      <c r="D147" s="27" t="s">
        <v>71</v>
      </c>
      <c r="G147" s="49"/>
      <c r="H147" s="49"/>
      <c r="I147" s="49"/>
      <c r="J147" s="50"/>
      <c r="K147" s="51"/>
      <c r="L147" s="51"/>
      <c r="M147" s="52"/>
      <c r="P147" s="296"/>
      <c r="Q147" s="296"/>
      <c r="R147" s="296"/>
      <c r="T147" s="296"/>
      <c r="U147" s="283"/>
      <c r="V147" s="291"/>
      <c r="W147" s="291"/>
      <c r="Z147" s="282"/>
    </row>
    <row r="148" spans="1:26" x14ac:dyDescent="0.3">
      <c r="A148" s="27">
        <f t="shared" si="23"/>
        <v>132</v>
      </c>
      <c r="D148" s="54" t="s">
        <v>120</v>
      </c>
      <c r="F148" s="27" t="s">
        <v>119</v>
      </c>
      <c r="G148" s="49">
        <v>1.63</v>
      </c>
      <c r="H148" s="49">
        <v>1.86</v>
      </c>
      <c r="I148" s="58">
        <v>1.92</v>
      </c>
      <c r="J148" s="50" t="s">
        <v>84</v>
      </c>
      <c r="K148" s="51" t="s">
        <v>85</v>
      </c>
      <c r="L148" s="51"/>
      <c r="M148" s="52"/>
      <c r="N148" s="295">
        <f>H148-G148</f>
        <v>0.2300000000000002</v>
      </c>
      <c r="O148" s="284">
        <f>(N148/G148)</f>
        <v>0.14110429447852774</v>
      </c>
      <c r="P148" s="296">
        <v>4977852.4117269311</v>
      </c>
      <c r="Q148" s="297">
        <f>(P148*G148)/1000</f>
        <v>8113.8994311148972</v>
      </c>
      <c r="R148" s="297">
        <f>(P148*H148)/1000</f>
        <v>9258.8054858120922</v>
      </c>
      <c r="S148" s="298">
        <f>R148-Q148</f>
        <v>1144.906054697195</v>
      </c>
      <c r="T148" s="297">
        <f>(P148*I148)/1000</f>
        <v>9557.4766305157082</v>
      </c>
      <c r="U148" s="298">
        <f>R148-T148</f>
        <v>-298.67114470361594</v>
      </c>
      <c r="V148" s="291" t="s">
        <v>143</v>
      </c>
      <c r="W148" s="291" t="s">
        <v>143</v>
      </c>
      <c r="Z148" s="282"/>
    </row>
    <row r="149" spans="1:26" x14ac:dyDescent="0.3">
      <c r="A149" s="27">
        <f t="shared" si="23"/>
        <v>133</v>
      </c>
      <c r="D149" s="54" t="s">
        <v>121</v>
      </c>
      <c r="F149" s="27" t="s">
        <v>119</v>
      </c>
      <c r="G149" s="49">
        <v>1.33</v>
      </c>
      <c r="H149" s="49">
        <v>2.75</v>
      </c>
      <c r="I149" s="58">
        <v>2.84</v>
      </c>
      <c r="J149" s="50" t="s">
        <v>84</v>
      </c>
      <c r="K149" s="51" t="s">
        <v>85</v>
      </c>
      <c r="L149" s="51"/>
      <c r="M149" s="52"/>
      <c r="N149" s="295">
        <f>H149-G149</f>
        <v>1.42</v>
      </c>
      <c r="O149" s="284">
        <f>(N149/G149)</f>
        <v>1.0676691729323307</v>
      </c>
      <c r="P149" s="296">
        <v>4769350.1410258049</v>
      </c>
      <c r="Q149" s="297">
        <f>(P149*G149)/1000</f>
        <v>6343.2356875643209</v>
      </c>
      <c r="R149" s="297">
        <f>(P149*H149)/1000</f>
        <v>13115.712887820962</v>
      </c>
      <c r="S149" s="298">
        <f>R149-Q149</f>
        <v>6772.4772002566415</v>
      </c>
      <c r="T149" s="297">
        <f>(P149*I149)/1000</f>
        <v>13544.954400513287</v>
      </c>
      <c r="U149" s="298">
        <f>R149-T149</f>
        <v>-429.24151269232425</v>
      </c>
      <c r="V149" s="291" t="s">
        <v>143</v>
      </c>
      <c r="W149" s="291" t="s">
        <v>143</v>
      </c>
      <c r="Z149" s="282"/>
    </row>
    <row r="150" spans="1:26" x14ac:dyDescent="0.3">
      <c r="A150" s="27">
        <f t="shared" si="23"/>
        <v>134</v>
      </c>
      <c r="D150" s="54" t="s">
        <v>122</v>
      </c>
      <c r="F150" s="27" t="s">
        <v>119</v>
      </c>
      <c r="G150" s="49">
        <v>4.79</v>
      </c>
      <c r="H150" s="49">
        <v>5.28</v>
      </c>
      <c r="I150" s="58">
        <v>5.45</v>
      </c>
      <c r="J150" s="50" t="s">
        <v>84</v>
      </c>
      <c r="K150" s="51" t="s">
        <v>85</v>
      </c>
      <c r="L150" s="51"/>
      <c r="M150" s="52"/>
      <c r="N150" s="295"/>
      <c r="P150" s="296"/>
      <c r="Q150" s="297"/>
      <c r="R150" s="297"/>
      <c r="S150" s="298"/>
      <c r="T150" s="297"/>
      <c r="U150" s="298"/>
      <c r="V150" s="291"/>
      <c r="W150" s="291"/>
      <c r="Z150" s="282"/>
    </row>
    <row r="151" spans="1:26" x14ac:dyDescent="0.3">
      <c r="A151" s="27">
        <f t="shared" si="23"/>
        <v>135</v>
      </c>
      <c r="D151" s="54"/>
      <c r="G151" s="49"/>
      <c r="H151" s="49"/>
      <c r="I151" s="49"/>
      <c r="J151" s="50"/>
      <c r="K151" s="51"/>
      <c r="L151" s="51"/>
      <c r="M151" s="52"/>
      <c r="N151" s="295"/>
      <c r="P151" s="296"/>
      <c r="Q151" s="297"/>
      <c r="R151" s="297"/>
      <c r="S151" s="298"/>
      <c r="T151" s="297"/>
      <c r="U151" s="298"/>
      <c r="V151" s="291"/>
      <c r="W151" s="291"/>
      <c r="Z151" s="282"/>
    </row>
    <row r="152" spans="1:26" x14ac:dyDescent="0.3">
      <c r="A152" s="27">
        <f t="shared" si="23"/>
        <v>136</v>
      </c>
      <c r="D152" s="27" t="s">
        <v>144</v>
      </c>
      <c r="G152" s="49"/>
      <c r="H152" s="49"/>
      <c r="I152" s="49"/>
      <c r="J152" s="50"/>
      <c r="K152" s="51"/>
      <c r="L152" s="51"/>
      <c r="M152" s="52"/>
      <c r="P152" s="296"/>
      <c r="Q152" s="296"/>
      <c r="R152" s="296"/>
      <c r="T152" s="296"/>
      <c r="U152" s="283"/>
      <c r="V152" s="291"/>
      <c r="W152" s="291"/>
      <c r="Z152" s="282"/>
    </row>
    <row r="153" spans="1:26" x14ac:dyDescent="0.3">
      <c r="A153" s="27">
        <f t="shared" si="23"/>
        <v>137</v>
      </c>
      <c r="D153" s="54" t="s">
        <v>145</v>
      </c>
      <c r="F153" s="27" t="s">
        <v>119</v>
      </c>
      <c r="G153" s="49">
        <v>7.72</v>
      </c>
      <c r="H153" s="49">
        <f>I153</f>
        <v>4.62</v>
      </c>
      <c r="I153" s="58">
        <v>4.62</v>
      </c>
      <c r="J153" s="50"/>
      <c r="K153" s="51" t="s">
        <v>135</v>
      </c>
      <c r="L153" s="51"/>
      <c r="M153" s="52"/>
      <c r="N153" s="295">
        <f>H153-G153</f>
        <v>-3.0999999999999996</v>
      </c>
      <c r="O153" s="284">
        <f>(N153/G153)</f>
        <v>-0.4015544041450777</v>
      </c>
      <c r="P153" s="296"/>
      <c r="Q153" s="313" t="s">
        <v>136</v>
      </c>
      <c r="R153" s="313" t="s">
        <v>136</v>
      </c>
      <c r="T153" s="313" t="s">
        <v>136</v>
      </c>
      <c r="U153" s="283"/>
      <c r="V153" s="291" t="s">
        <v>141</v>
      </c>
      <c r="W153" s="291" t="s">
        <v>141</v>
      </c>
      <c r="Z153" s="282"/>
    </row>
    <row r="154" spans="1:26" x14ac:dyDescent="0.3">
      <c r="A154" s="27">
        <f t="shared" si="23"/>
        <v>138</v>
      </c>
      <c r="D154" s="27" t="s">
        <v>123</v>
      </c>
      <c r="G154" s="49"/>
      <c r="H154" s="49"/>
      <c r="I154" s="49"/>
      <c r="J154" s="50"/>
      <c r="K154" s="51"/>
      <c r="L154" s="51"/>
      <c r="M154" s="52"/>
      <c r="P154" s="296"/>
      <c r="Q154" s="296"/>
      <c r="R154" s="296"/>
      <c r="T154" s="296"/>
      <c r="U154" s="283"/>
      <c r="V154" s="291"/>
      <c r="W154" s="291"/>
      <c r="Z154" s="282"/>
    </row>
    <row r="155" spans="1:26" x14ac:dyDescent="0.3">
      <c r="A155" s="27">
        <f t="shared" si="23"/>
        <v>139</v>
      </c>
      <c r="D155" s="54" t="s">
        <v>101</v>
      </c>
      <c r="F155" s="27" t="s">
        <v>119</v>
      </c>
      <c r="G155" s="49">
        <v>1.31</v>
      </c>
      <c r="H155" s="49">
        <f>I155</f>
        <v>1.3</v>
      </c>
      <c r="I155" s="58">
        <v>1.3</v>
      </c>
      <c r="J155" s="50" t="s">
        <v>124</v>
      </c>
      <c r="K155" s="51" t="s">
        <v>106</v>
      </c>
      <c r="L155" s="51"/>
      <c r="M155" s="52"/>
      <c r="N155" s="295">
        <f>H155-G155</f>
        <v>-1.0000000000000009E-2</v>
      </c>
      <c r="O155" s="284">
        <f>(N155/G155)</f>
        <v>-7.6335877862595486E-3</v>
      </c>
      <c r="P155" s="296">
        <v>-2944748.5861526635</v>
      </c>
      <c r="Q155" s="297">
        <f>(P155*G155)/1000</f>
        <v>-3857.6206478599893</v>
      </c>
      <c r="R155" s="297">
        <f>(P155*H155)/1000</f>
        <v>-3828.1731619984625</v>
      </c>
      <c r="S155" s="298">
        <f>R155-Q155</f>
        <v>29.447485861526729</v>
      </c>
      <c r="T155" s="297">
        <f>(P155*I155)/1000</f>
        <v>-3828.1731619984625</v>
      </c>
      <c r="U155" s="298">
        <f>R155-T155</f>
        <v>0</v>
      </c>
      <c r="V155" s="291" t="s">
        <v>141</v>
      </c>
      <c r="W155" s="291" t="s">
        <v>141</v>
      </c>
      <c r="Z155" s="282"/>
    </row>
    <row r="156" spans="1:26" x14ac:dyDescent="0.3">
      <c r="A156" s="27">
        <f t="shared" si="23"/>
        <v>140</v>
      </c>
      <c r="D156" s="54" t="s">
        <v>125</v>
      </c>
      <c r="F156" s="27" t="s">
        <v>119</v>
      </c>
      <c r="G156" s="49">
        <v>5.42</v>
      </c>
      <c r="H156" s="49">
        <f t="shared" ref="H156:H157" si="24">I156</f>
        <v>6.18</v>
      </c>
      <c r="I156" s="58">
        <v>6.18</v>
      </c>
      <c r="J156" s="50" t="s">
        <v>124</v>
      </c>
      <c r="K156" s="51" t="s">
        <v>106</v>
      </c>
      <c r="L156" s="51"/>
      <c r="M156" s="52"/>
      <c r="N156" s="295">
        <f>H156-G156</f>
        <v>0.75999999999999979</v>
      </c>
      <c r="O156" s="284">
        <f>(N156/G156)</f>
        <v>0.1402214022140221</v>
      </c>
      <c r="P156" s="296">
        <v>-1952363.4690865481</v>
      </c>
      <c r="Q156" s="297">
        <f>(P156*G156)/1000</f>
        <v>-10581.81000244909</v>
      </c>
      <c r="R156" s="297">
        <f>(P156*H156)/1000</f>
        <v>-12065.606238954866</v>
      </c>
      <c r="S156" s="298">
        <f>R156-Q156</f>
        <v>-1483.7962365057756</v>
      </c>
      <c r="T156" s="297">
        <f>(P156*I156)/1000</f>
        <v>-12065.606238954866</v>
      </c>
      <c r="U156" s="298">
        <f>R156-T156</f>
        <v>0</v>
      </c>
      <c r="V156" s="291" t="s">
        <v>141</v>
      </c>
      <c r="W156" s="291" t="s">
        <v>141</v>
      </c>
      <c r="Z156" s="282"/>
    </row>
    <row r="157" spans="1:26" x14ac:dyDescent="0.3">
      <c r="A157" s="27">
        <f t="shared" si="23"/>
        <v>141</v>
      </c>
      <c r="D157" s="54" t="s">
        <v>126</v>
      </c>
      <c r="F157" s="27" t="s">
        <v>119</v>
      </c>
      <c r="G157" s="49">
        <v>7.5</v>
      </c>
      <c r="H157" s="49">
        <f t="shared" si="24"/>
        <v>8.61</v>
      </c>
      <c r="I157" s="58">
        <v>8.61</v>
      </c>
      <c r="J157" s="50" t="s">
        <v>124</v>
      </c>
      <c r="K157" s="51" t="s">
        <v>106</v>
      </c>
      <c r="L157" s="51"/>
      <c r="M157" s="52"/>
      <c r="N157" s="295"/>
      <c r="P157" s="296"/>
      <c r="Q157" s="297"/>
      <c r="R157" s="297"/>
      <c r="S157" s="298"/>
      <c r="T157" s="297"/>
      <c r="U157" s="298"/>
      <c r="V157" s="291"/>
      <c r="W157" s="291"/>
      <c r="Z157" s="282"/>
    </row>
    <row r="158" spans="1:26" x14ac:dyDescent="0.3">
      <c r="A158" s="27">
        <f t="shared" si="23"/>
        <v>142</v>
      </c>
      <c r="D158" s="27" t="s">
        <v>104</v>
      </c>
      <c r="F158" s="27" t="s">
        <v>119</v>
      </c>
      <c r="G158" s="58">
        <v>1.5</v>
      </c>
      <c r="H158" s="58">
        <f>H125</f>
        <v>1.96</v>
      </c>
      <c r="I158" s="58">
        <v>1.96</v>
      </c>
      <c r="J158" s="50" t="s">
        <v>105</v>
      </c>
      <c r="K158" s="51" t="s">
        <v>106</v>
      </c>
      <c r="L158" s="51"/>
      <c r="M158" s="52"/>
      <c r="N158" s="295">
        <f>H158-G158</f>
        <v>0.45999999999999996</v>
      </c>
      <c r="O158" s="284">
        <f>(N158/G158)</f>
        <v>0.30666666666666664</v>
      </c>
      <c r="P158" s="296"/>
      <c r="Q158" s="296"/>
      <c r="R158" s="296"/>
      <c r="T158" s="296"/>
      <c r="U158" s="283"/>
      <c r="V158" s="291" t="s">
        <v>141</v>
      </c>
      <c r="W158" s="291" t="s">
        <v>141</v>
      </c>
      <c r="Z158" s="282"/>
    </row>
    <row r="159" spans="1:26" x14ac:dyDescent="0.3">
      <c r="A159" s="27">
        <f t="shared" si="23"/>
        <v>143</v>
      </c>
      <c r="G159" s="51"/>
      <c r="H159" s="51"/>
      <c r="I159" s="51"/>
      <c r="J159" s="50"/>
      <c r="K159" s="51"/>
      <c r="L159" s="51"/>
      <c r="M159" s="52"/>
      <c r="P159" s="296"/>
      <c r="Q159" s="296"/>
      <c r="R159" s="296"/>
      <c r="T159" s="296"/>
      <c r="U159" s="283"/>
      <c r="V159" s="291"/>
      <c r="W159" s="291"/>
      <c r="Z159" s="282"/>
    </row>
    <row r="160" spans="1:26" x14ac:dyDescent="0.3">
      <c r="A160" s="27">
        <f t="shared" si="23"/>
        <v>144</v>
      </c>
      <c r="C160" s="27" t="s">
        <v>75</v>
      </c>
      <c r="G160" s="51"/>
      <c r="H160" s="51"/>
      <c r="I160" s="51"/>
      <c r="J160" s="50"/>
      <c r="K160" s="51"/>
      <c r="L160" s="51"/>
      <c r="M160" s="52"/>
      <c r="P160" s="296"/>
      <c r="Q160" s="296"/>
      <c r="R160" s="296"/>
      <c r="T160" s="296"/>
      <c r="U160" s="283"/>
      <c r="V160" s="291"/>
      <c r="W160" s="291"/>
      <c r="Z160" s="282"/>
    </row>
    <row r="161" spans="1:29" x14ac:dyDescent="0.3">
      <c r="A161" s="27">
        <f t="shared" si="23"/>
        <v>145</v>
      </c>
      <c r="D161" s="27" t="s">
        <v>67</v>
      </c>
      <c r="F161" s="27" t="s">
        <v>78</v>
      </c>
      <c r="G161" s="56">
        <v>1.3540000000000001</v>
      </c>
      <c r="H161" s="56">
        <v>1.7449999999999999</v>
      </c>
      <c r="I161" s="56">
        <v>5.3771000394501289</v>
      </c>
      <c r="J161" s="50" t="s">
        <v>113</v>
      </c>
      <c r="K161" s="56" t="s">
        <v>69</v>
      </c>
      <c r="L161" s="56"/>
      <c r="M161" s="60"/>
      <c r="N161" s="295">
        <f>H161-G161</f>
        <v>0.39099999999999979</v>
      </c>
      <c r="O161" s="284">
        <f>(N161/G161)</f>
        <v>0.28877400295420957</v>
      </c>
      <c r="P161" s="296">
        <v>215765.09689558548</v>
      </c>
      <c r="Q161" s="297">
        <f>(P161*G161*10)/1000</f>
        <v>2921.4594119662274</v>
      </c>
      <c r="R161" s="297">
        <f>(P161*H161*10)/1000</f>
        <v>3765.1009408279665</v>
      </c>
      <c r="S161" s="298">
        <f>R161-Q161</f>
        <v>843.64152886173906</v>
      </c>
      <c r="T161" s="297">
        <f>(P161*I161*10)/1000</f>
        <v>11601.905110292137</v>
      </c>
      <c r="U161" s="298">
        <f>R161-T161</f>
        <v>-7836.8041694641706</v>
      </c>
      <c r="V161" s="291" t="s">
        <v>141</v>
      </c>
      <c r="W161" s="291" t="s">
        <v>141</v>
      </c>
      <c r="Z161" s="282"/>
    </row>
    <row r="162" spans="1:29" x14ac:dyDescent="0.3">
      <c r="A162" s="27">
        <f t="shared" si="23"/>
        <v>146</v>
      </c>
      <c r="D162" s="27" t="s">
        <v>83</v>
      </c>
      <c r="F162" s="27" t="s">
        <v>78</v>
      </c>
      <c r="G162" s="56">
        <v>1.8799999999999997</v>
      </c>
      <c r="H162" s="56">
        <v>2.7030000000000003</v>
      </c>
      <c r="I162" s="57">
        <v>2.7120000000000002</v>
      </c>
      <c r="J162" s="50" t="s">
        <v>84</v>
      </c>
      <c r="K162" s="51" t="s">
        <v>85</v>
      </c>
      <c r="L162" s="56"/>
      <c r="M162" s="60"/>
      <c r="N162" s="295">
        <f>H162-G162</f>
        <v>0.82300000000000062</v>
      </c>
      <c r="O162" s="284">
        <f>(N162/G162)</f>
        <v>0.43776595744680891</v>
      </c>
      <c r="P162" s="296">
        <v>541223.63194336905</v>
      </c>
      <c r="Q162" s="297">
        <f>(P162*G162*10)/1000</f>
        <v>10175.004280535337</v>
      </c>
      <c r="R162" s="297">
        <f>(P162*H162*10)/1000</f>
        <v>14629.274771429267</v>
      </c>
      <c r="S162" s="298">
        <f>R162-Q162</f>
        <v>4454.2704908939304</v>
      </c>
      <c r="T162" s="297">
        <f>(P162*I162*10)/1000</f>
        <v>14677.984898304168</v>
      </c>
      <c r="U162" s="298">
        <f>R162-T162</f>
        <v>-48.710126874901107</v>
      </c>
      <c r="V162" s="291" t="s">
        <v>143</v>
      </c>
      <c r="W162" s="291" t="s">
        <v>143</v>
      </c>
      <c r="Z162" s="282"/>
    </row>
    <row r="163" spans="1:29" x14ac:dyDescent="0.3">
      <c r="A163" s="27">
        <f t="shared" si="23"/>
        <v>147</v>
      </c>
      <c r="D163" s="27" t="s">
        <v>86</v>
      </c>
      <c r="F163" s="27" t="s">
        <v>78</v>
      </c>
      <c r="G163" s="56">
        <v>1.6279999999999997</v>
      </c>
      <c r="H163" s="56">
        <v>2.0019999999999998</v>
      </c>
      <c r="I163" s="57">
        <v>2.0089999999999999</v>
      </c>
      <c r="J163" s="50" t="s">
        <v>84</v>
      </c>
      <c r="K163" s="51" t="s">
        <v>85</v>
      </c>
      <c r="L163" s="56"/>
      <c r="M163" s="60"/>
      <c r="N163" s="295">
        <f>H163-G163</f>
        <v>0.37400000000000011</v>
      </c>
      <c r="O163" s="284">
        <f>(N163/G163)</f>
        <v>0.22972972972972985</v>
      </c>
      <c r="P163" s="296">
        <v>1607911.8711610455</v>
      </c>
      <c r="Q163" s="297">
        <f>(P163*G163*10)/1000</f>
        <v>26176.805262501817</v>
      </c>
      <c r="R163" s="297">
        <f>(P163*H163*10)/1000</f>
        <v>32190.395660644128</v>
      </c>
      <c r="S163" s="298">
        <f>R163-Q163</f>
        <v>6013.5903981423107</v>
      </c>
      <c r="T163" s="297">
        <f>(P163*I163*10)/1000</f>
        <v>32302.949491625397</v>
      </c>
      <c r="U163" s="298">
        <f>R163-T163</f>
        <v>-112.55383098126913</v>
      </c>
      <c r="V163" s="291" t="s">
        <v>143</v>
      </c>
      <c r="W163" s="291" t="s">
        <v>143</v>
      </c>
      <c r="Z163" s="282"/>
    </row>
    <row r="164" spans="1:29" x14ac:dyDescent="0.3">
      <c r="A164" s="27">
        <f t="shared" si="23"/>
        <v>148</v>
      </c>
      <c r="D164" s="27" t="s">
        <v>87</v>
      </c>
      <c r="F164" s="27" t="s">
        <v>78</v>
      </c>
      <c r="G164" s="56">
        <v>1.0289999999999999</v>
      </c>
      <c r="H164" s="56">
        <v>1.55</v>
      </c>
      <c r="I164" s="57">
        <v>1.556</v>
      </c>
      <c r="J164" s="50" t="s">
        <v>84</v>
      </c>
      <c r="K164" s="51" t="s">
        <v>85</v>
      </c>
      <c r="L164" s="56"/>
      <c r="M164" s="60"/>
      <c r="N164" s="295"/>
      <c r="P164" s="296"/>
      <c r="Q164" s="297"/>
      <c r="R164" s="297"/>
      <c r="S164" s="298"/>
      <c r="T164" s="297"/>
      <c r="U164" s="298"/>
      <c r="V164" s="291"/>
      <c r="W164" s="291"/>
      <c r="Z164" s="282"/>
    </row>
    <row r="165" spans="1:29" x14ac:dyDescent="0.3">
      <c r="A165" s="27">
        <f t="shared" si="23"/>
        <v>149</v>
      </c>
      <c r="G165" s="51"/>
      <c r="H165" s="51"/>
      <c r="I165" s="51"/>
      <c r="J165" s="50"/>
      <c r="K165" s="51"/>
      <c r="L165" s="51"/>
      <c r="M165" s="52"/>
      <c r="P165" s="296"/>
      <c r="Q165" s="296"/>
      <c r="R165" s="296"/>
      <c r="T165" s="296"/>
      <c r="U165" s="283"/>
      <c r="V165" s="291"/>
      <c r="W165" s="291"/>
      <c r="Z165" s="282"/>
    </row>
    <row r="166" spans="1:29" x14ac:dyDescent="0.3">
      <c r="A166" s="27">
        <f t="shared" si="23"/>
        <v>150</v>
      </c>
      <c r="C166" s="27" t="s">
        <v>107</v>
      </c>
      <c r="G166" s="51"/>
      <c r="H166" s="51"/>
      <c r="I166" s="51"/>
      <c r="J166" s="50"/>
      <c r="K166" s="51"/>
      <c r="L166" s="51"/>
      <c r="M166" s="52"/>
      <c r="P166" s="296"/>
      <c r="Q166" s="296"/>
      <c r="R166" s="296"/>
      <c r="T166" s="296"/>
      <c r="U166" s="283"/>
      <c r="V166" s="291"/>
      <c r="W166" s="291"/>
      <c r="Z166" s="282"/>
    </row>
    <row r="167" spans="1:29" x14ac:dyDescent="0.3">
      <c r="A167" s="27">
        <f t="shared" si="23"/>
        <v>151</v>
      </c>
      <c r="D167" s="27" t="s">
        <v>101</v>
      </c>
      <c r="F167" s="27" t="s">
        <v>61</v>
      </c>
      <c r="G167" s="62">
        <v>0.01</v>
      </c>
      <c r="H167" s="62">
        <v>0.01</v>
      </c>
      <c r="I167" s="62"/>
      <c r="J167" s="50"/>
      <c r="K167" s="51" t="s">
        <v>108</v>
      </c>
      <c r="L167" s="51"/>
      <c r="M167" s="52"/>
      <c r="N167" s="306">
        <f>H167-G167</f>
        <v>0</v>
      </c>
      <c r="O167" s="284">
        <f>(N167/G167)</f>
        <v>0</v>
      </c>
      <c r="P167" s="296"/>
      <c r="Q167" s="297">
        <f>(P167*G167)/1000</f>
        <v>0</v>
      </c>
      <c r="R167" s="297">
        <f>(P167*H167)/1000</f>
        <v>0</v>
      </c>
      <c r="S167" s="298">
        <f>R167-Q167</f>
        <v>0</v>
      </c>
      <c r="T167" s="297">
        <f>(P167*I167)/1000</f>
        <v>0</v>
      </c>
      <c r="U167" s="298">
        <f>R167-T167</f>
        <v>0</v>
      </c>
      <c r="V167" s="291" t="s">
        <v>141</v>
      </c>
      <c r="W167" s="291" t="s">
        <v>141</v>
      </c>
      <c r="Z167" s="282"/>
    </row>
    <row r="168" spans="1:29" x14ac:dyDescent="0.3">
      <c r="A168" s="27">
        <f t="shared" si="23"/>
        <v>152</v>
      </c>
      <c r="D168" s="27" t="s">
        <v>102</v>
      </c>
      <c r="F168" s="27" t="s">
        <v>61</v>
      </c>
      <c r="G168" s="62">
        <v>0.02</v>
      </c>
      <c r="H168" s="62">
        <v>0.02</v>
      </c>
      <c r="I168" s="62"/>
      <c r="J168" s="50"/>
      <c r="K168" s="51" t="s">
        <v>108</v>
      </c>
      <c r="L168" s="51"/>
      <c r="M168" s="52"/>
      <c r="N168" s="306">
        <f>H168-G168</f>
        <v>0</v>
      </c>
      <c r="O168" s="284">
        <f>(N168/G168)</f>
        <v>0</v>
      </c>
      <c r="P168" s="296"/>
      <c r="Q168" s="297">
        <f>(P168*G168)/1000</f>
        <v>0</v>
      </c>
      <c r="R168" s="297">
        <f>(P168*H168)/1000</f>
        <v>0</v>
      </c>
      <c r="S168" s="298">
        <f>R168-Q168</f>
        <v>0</v>
      </c>
      <c r="T168" s="297">
        <f>(P168*I168)/1000</f>
        <v>0</v>
      </c>
      <c r="U168" s="298">
        <f>R168-T168</f>
        <v>0</v>
      </c>
      <c r="V168" s="291" t="s">
        <v>141</v>
      </c>
      <c r="W168" s="291" t="s">
        <v>141</v>
      </c>
      <c r="Z168" s="282"/>
    </row>
    <row r="169" spans="1:29" x14ac:dyDescent="0.3">
      <c r="A169" s="27">
        <f t="shared" si="23"/>
        <v>153</v>
      </c>
      <c r="G169" s="62"/>
      <c r="H169" s="62"/>
      <c r="I169" s="62"/>
      <c r="J169" s="50"/>
      <c r="K169" s="51"/>
      <c r="L169" s="51"/>
      <c r="M169" s="52"/>
      <c r="N169" s="295"/>
      <c r="P169" s="296"/>
      <c r="Q169" s="296"/>
      <c r="R169" s="296"/>
      <c r="T169" s="296"/>
      <c r="U169" s="283"/>
      <c r="V169" s="291"/>
      <c r="W169" s="291"/>
      <c r="Z169" s="282"/>
    </row>
    <row r="170" spans="1:29" x14ac:dyDescent="0.3">
      <c r="A170" s="27">
        <f t="shared" si="23"/>
        <v>154</v>
      </c>
      <c r="C170" s="27" t="s">
        <v>109</v>
      </c>
      <c r="F170" s="27" t="s">
        <v>61</v>
      </c>
      <c r="G170" s="63">
        <v>1.0800000000000001E-2</v>
      </c>
      <c r="H170" s="64">
        <f>I170</f>
        <v>9.5999999999999992E-3</v>
      </c>
      <c r="I170" s="65">
        <v>9.5999999999999992E-3</v>
      </c>
      <c r="J170" s="42" t="s">
        <v>110</v>
      </c>
      <c r="K170" s="66" t="s">
        <v>111</v>
      </c>
      <c r="L170" s="51"/>
      <c r="M170" s="52"/>
      <c r="N170" s="307">
        <f>H170-G170</f>
        <v>-1.2000000000000014E-3</v>
      </c>
      <c r="O170" s="284">
        <f>(N170/G170)</f>
        <v>-0.11111111111111123</v>
      </c>
      <c r="P170" s="296"/>
      <c r="Q170" s="296"/>
      <c r="R170" s="296"/>
      <c r="T170" s="296"/>
      <c r="U170" s="283"/>
      <c r="V170" s="291" t="s">
        <v>141</v>
      </c>
      <c r="W170" s="291" t="s">
        <v>141</v>
      </c>
      <c r="Z170" s="282"/>
    </row>
    <row r="171" spans="1:29" ht="14.4" thickBot="1" x14ac:dyDescent="0.35">
      <c r="B171" s="31"/>
      <c r="C171" s="31"/>
      <c r="D171" s="31"/>
      <c r="E171" s="31"/>
      <c r="F171" s="31"/>
      <c r="G171" s="52"/>
      <c r="H171" s="52"/>
      <c r="I171" s="52"/>
      <c r="J171" s="59"/>
      <c r="K171" s="52"/>
      <c r="L171" s="52"/>
      <c r="M171" s="52"/>
      <c r="N171" s="300"/>
      <c r="O171" s="301"/>
      <c r="P171" s="302"/>
      <c r="Q171" s="303">
        <f>SUM(Q139:Q170)</f>
        <v>47266.12298719737</v>
      </c>
      <c r="R171" s="303">
        <f>SUM(R139:R170)</f>
        <v>67460.134695046261</v>
      </c>
      <c r="S171" s="303">
        <f>SUM(S139:S170)</f>
        <v>20194.011707848884</v>
      </c>
      <c r="T171" s="303">
        <f>SUM(T139:T170)</f>
        <v>78131.91023648376</v>
      </c>
      <c r="U171" s="303">
        <f>SUM(U139:U170)</f>
        <v>-10671.775541437515</v>
      </c>
      <c r="V171" s="291"/>
      <c r="W171" s="291"/>
      <c r="Z171" s="282"/>
    </row>
    <row r="172" spans="1:29" ht="14.4" thickTop="1" x14ac:dyDescent="0.3">
      <c r="A172" s="27">
        <f>+A170+1</f>
        <v>155</v>
      </c>
      <c r="B172" s="48"/>
      <c r="G172" s="51"/>
      <c r="H172" s="51"/>
      <c r="I172" s="51"/>
      <c r="J172" s="50"/>
      <c r="K172" s="51"/>
      <c r="L172" s="51"/>
      <c r="M172" s="52"/>
      <c r="P172" s="296"/>
      <c r="Q172" s="296"/>
      <c r="R172" s="296"/>
      <c r="S172" s="304" t="s">
        <v>91</v>
      </c>
      <c r="T172" s="305">
        <v>0</v>
      </c>
      <c r="U172" s="283"/>
      <c r="V172" s="291"/>
      <c r="W172" s="291"/>
      <c r="Z172" s="282"/>
    </row>
    <row r="173" spans="1:29" x14ac:dyDescent="0.3">
      <c r="A173" s="27">
        <f t="shared" si="23"/>
        <v>156</v>
      </c>
      <c r="B173" s="48" t="s">
        <v>146</v>
      </c>
      <c r="C173" s="27" t="s">
        <v>65</v>
      </c>
      <c r="G173" s="51"/>
      <c r="H173" s="51"/>
      <c r="I173" s="51"/>
      <c r="J173" s="50"/>
      <c r="K173" s="51"/>
      <c r="L173" s="51"/>
      <c r="M173" s="52"/>
      <c r="P173" s="296"/>
      <c r="Q173" s="296"/>
      <c r="R173" s="296"/>
      <c r="T173" s="296"/>
      <c r="U173" s="283"/>
      <c r="V173" s="291"/>
      <c r="W173" s="291"/>
      <c r="Z173" s="282"/>
    </row>
    <row r="174" spans="1:29" x14ac:dyDescent="0.3">
      <c r="A174" s="27">
        <f t="shared" si="23"/>
        <v>157</v>
      </c>
      <c r="D174" s="27" t="s">
        <v>67</v>
      </c>
      <c r="G174" s="51"/>
      <c r="H174" s="51"/>
      <c r="I174" s="51"/>
      <c r="J174" s="50"/>
      <c r="K174" s="51"/>
      <c r="L174" s="51"/>
      <c r="M174" s="52"/>
      <c r="P174" s="296"/>
      <c r="Q174" s="296"/>
      <c r="R174" s="296"/>
      <c r="T174" s="296"/>
      <c r="U174" s="283"/>
      <c r="V174" s="291"/>
      <c r="W174" s="291"/>
      <c r="Z174" s="282"/>
    </row>
    <row r="175" spans="1:29" x14ac:dyDescent="0.3">
      <c r="A175" s="27">
        <f t="shared" si="23"/>
        <v>158</v>
      </c>
      <c r="D175" s="54" t="s">
        <v>95</v>
      </c>
      <c r="F175" s="27" t="s">
        <v>60</v>
      </c>
      <c r="G175" s="49">
        <v>1.7</v>
      </c>
      <c r="H175" s="49">
        <v>2.1800000000000002</v>
      </c>
      <c r="I175" s="49"/>
      <c r="J175" s="50"/>
      <c r="K175" s="51" t="s">
        <v>69</v>
      </c>
      <c r="L175" s="51"/>
      <c r="M175" s="52"/>
      <c r="N175" s="295">
        <f>H175-G175</f>
        <v>0.4800000000000002</v>
      </c>
      <c r="O175" s="284">
        <f>(N175/G175)</f>
        <v>0.2823529411764707</v>
      </c>
      <c r="P175" s="296">
        <v>759338.53267315903</v>
      </c>
      <c r="Q175" s="297">
        <f>(P175*G175)/1000</f>
        <v>1290.8755055443703</v>
      </c>
      <c r="R175" s="297">
        <f>(P175*H175)/1000</f>
        <v>1655.358001227487</v>
      </c>
      <c r="S175" s="298">
        <f>R175-Q175</f>
        <v>364.48249568311667</v>
      </c>
      <c r="T175" s="297">
        <f>(P175*I175)/1000</f>
        <v>0</v>
      </c>
      <c r="U175" s="298">
        <f>R175-T175</f>
        <v>1655.358001227487</v>
      </c>
      <c r="V175" s="291" t="s">
        <v>146</v>
      </c>
      <c r="W175" s="291" t="s">
        <v>146</v>
      </c>
      <c r="Z175" s="282"/>
      <c r="AC175" s="27" t="b">
        <f t="shared" ref="AC175:AC176" si="25">H175&gt;=I175</f>
        <v>1</v>
      </c>
    </row>
    <row r="176" spans="1:29" x14ac:dyDescent="0.3">
      <c r="A176" s="27">
        <f t="shared" si="23"/>
        <v>159</v>
      </c>
      <c r="D176" s="54" t="s">
        <v>114</v>
      </c>
      <c r="F176" s="27" t="s">
        <v>60</v>
      </c>
      <c r="G176" s="49">
        <v>4.8499999999999996</v>
      </c>
      <c r="H176" s="49">
        <v>6.29</v>
      </c>
      <c r="I176" s="49"/>
      <c r="J176" s="50"/>
      <c r="K176" s="51" t="s">
        <v>69</v>
      </c>
      <c r="L176" s="51"/>
      <c r="M176" s="52"/>
      <c r="N176" s="295">
        <f>H176-G176</f>
        <v>1.4400000000000004</v>
      </c>
      <c r="O176" s="284">
        <f>(N176/G176)</f>
        <v>0.29690721649484547</v>
      </c>
      <c r="P176" s="296">
        <v>13133.290380574794</v>
      </c>
      <c r="Q176" s="297">
        <f>(P176*G176)/1000</f>
        <v>63.696458345787747</v>
      </c>
      <c r="R176" s="297">
        <f>(P176*H176)/1000</f>
        <v>82.608396493815448</v>
      </c>
      <c r="S176" s="298">
        <f>R176-Q176</f>
        <v>18.911938148027701</v>
      </c>
      <c r="T176" s="297">
        <f>(P176*I176)/1000</f>
        <v>0</v>
      </c>
      <c r="U176" s="298">
        <f>R176-T176</f>
        <v>82.608396493815448</v>
      </c>
      <c r="V176" s="291" t="s">
        <v>146</v>
      </c>
      <c r="W176" s="291" t="s">
        <v>146</v>
      </c>
      <c r="Z176" s="282"/>
      <c r="AC176" s="27" t="b">
        <f t="shared" si="25"/>
        <v>1</v>
      </c>
    </row>
    <row r="177" spans="1:29" x14ac:dyDescent="0.3">
      <c r="A177" s="27">
        <f t="shared" si="23"/>
        <v>160</v>
      </c>
      <c r="G177" s="51"/>
      <c r="H177" s="51"/>
      <c r="I177" s="51"/>
      <c r="J177" s="50"/>
      <c r="K177" s="51"/>
      <c r="L177" s="51"/>
      <c r="M177" s="52"/>
      <c r="P177" s="296"/>
      <c r="Q177" s="296"/>
      <c r="R177" s="296"/>
      <c r="T177" s="296"/>
      <c r="U177" s="283"/>
      <c r="V177" s="291"/>
      <c r="W177" s="291"/>
      <c r="Z177" s="282"/>
    </row>
    <row r="178" spans="1:29" x14ac:dyDescent="0.3">
      <c r="A178" s="27">
        <f t="shared" si="23"/>
        <v>161</v>
      </c>
      <c r="C178" s="27" t="s">
        <v>75</v>
      </c>
      <c r="G178" s="51"/>
      <c r="H178" s="51"/>
      <c r="I178" s="51"/>
      <c r="J178" s="50"/>
      <c r="K178" s="51"/>
      <c r="L178" s="51"/>
      <c r="M178" s="52"/>
      <c r="P178" s="296"/>
      <c r="Q178" s="296"/>
      <c r="R178" s="296"/>
      <c r="T178" s="296"/>
      <c r="U178" s="283"/>
      <c r="V178" s="291"/>
      <c r="W178" s="291"/>
      <c r="Z178" s="282"/>
    </row>
    <row r="179" spans="1:29" x14ac:dyDescent="0.3">
      <c r="A179" s="27">
        <f t="shared" si="23"/>
        <v>162</v>
      </c>
      <c r="D179" s="27" t="s">
        <v>67</v>
      </c>
      <c r="F179" s="27" t="s">
        <v>78</v>
      </c>
      <c r="G179" s="56">
        <v>2.9380000000000002</v>
      </c>
      <c r="H179" s="56">
        <v>3.8630000000000004</v>
      </c>
      <c r="I179" s="56"/>
      <c r="J179" s="61"/>
      <c r="K179" s="51" t="s">
        <v>69</v>
      </c>
      <c r="L179" s="56"/>
      <c r="M179" s="60"/>
      <c r="N179" s="295">
        <f>H179-G179</f>
        <v>0.92500000000000027</v>
      </c>
      <c r="O179" s="284">
        <f>(N179/G179)</f>
        <v>0.31484002722940785</v>
      </c>
      <c r="P179" s="296">
        <v>333817</v>
      </c>
      <c r="Q179" s="297">
        <f>(P179*G179*10)/1000</f>
        <v>9807.5434600000008</v>
      </c>
      <c r="R179" s="297">
        <f>(P179*H179*10)/1000</f>
        <v>12895.350710000002</v>
      </c>
      <c r="S179" s="298">
        <f>R179-Q179</f>
        <v>3087.8072500000017</v>
      </c>
      <c r="T179" s="297">
        <f>(P179*I179*10)/1000</f>
        <v>0</v>
      </c>
      <c r="U179" s="298">
        <f>R179-T179</f>
        <v>12895.350710000002</v>
      </c>
      <c r="V179" s="291" t="s">
        <v>146</v>
      </c>
      <c r="W179" s="291" t="s">
        <v>146</v>
      </c>
      <c r="Z179" s="282"/>
    </row>
    <row r="180" spans="1:29" x14ac:dyDescent="0.3">
      <c r="A180" s="27">
        <f t="shared" si="23"/>
        <v>163</v>
      </c>
      <c r="M180" s="31"/>
      <c r="P180" s="296"/>
      <c r="Q180" s="297"/>
      <c r="R180" s="297"/>
      <c r="T180" s="297"/>
      <c r="U180" s="283"/>
      <c r="V180" s="291"/>
      <c r="W180" s="291"/>
      <c r="Z180" s="282"/>
    </row>
    <row r="181" spans="1:29" x14ac:dyDescent="0.3">
      <c r="A181" s="27">
        <f t="shared" si="23"/>
        <v>164</v>
      </c>
      <c r="C181" s="27" t="s">
        <v>147</v>
      </c>
      <c r="F181" s="27" t="s">
        <v>61</v>
      </c>
      <c r="G181" s="32">
        <v>1.0800000000000001E-2</v>
      </c>
      <c r="H181" s="32">
        <f>I181</f>
        <v>1.11E-2</v>
      </c>
      <c r="I181" s="65">
        <v>1.11E-2</v>
      </c>
      <c r="J181" s="42" t="s">
        <v>148</v>
      </c>
      <c r="K181" s="66" t="s">
        <v>111</v>
      </c>
      <c r="M181" s="31"/>
      <c r="N181" s="307">
        <f>H181-G181</f>
        <v>2.9999999999999992E-4</v>
      </c>
      <c r="O181" s="284">
        <f>(N181/G181)</f>
        <v>2.7777777777777769E-2</v>
      </c>
      <c r="P181" s="296"/>
      <c r="Q181" s="297"/>
      <c r="R181" s="297"/>
      <c r="T181" s="297"/>
      <c r="U181" s="283"/>
      <c r="V181" s="291" t="s">
        <v>146</v>
      </c>
      <c r="W181" s="291" t="s">
        <v>146</v>
      </c>
      <c r="Z181" s="282"/>
    </row>
    <row r="182" spans="1:29" x14ac:dyDescent="0.3">
      <c r="A182" s="27">
        <f t="shared" si="23"/>
        <v>165</v>
      </c>
      <c r="C182" s="27" t="s">
        <v>149</v>
      </c>
      <c r="F182" s="27" t="s">
        <v>61</v>
      </c>
      <c r="G182" s="32">
        <v>1.0800000000000001E-2</v>
      </c>
      <c r="H182" s="32">
        <f>I182</f>
        <v>9.5999999999999992E-3</v>
      </c>
      <c r="I182" s="65">
        <v>9.5999999999999992E-3</v>
      </c>
      <c r="J182" s="42" t="s">
        <v>110</v>
      </c>
      <c r="K182" s="66" t="s">
        <v>111</v>
      </c>
      <c r="M182" s="31"/>
      <c r="N182" s="307">
        <f>H182-G182</f>
        <v>-1.2000000000000014E-3</v>
      </c>
      <c r="O182" s="284">
        <f>(N182/G182)</f>
        <v>-0.11111111111111123</v>
      </c>
      <c r="P182" s="296"/>
      <c r="Q182" s="296"/>
      <c r="R182" s="296"/>
      <c r="T182" s="296"/>
      <c r="U182" s="283"/>
      <c r="V182" s="291" t="s">
        <v>146</v>
      </c>
      <c r="W182" s="291" t="s">
        <v>146</v>
      </c>
      <c r="Z182" s="282"/>
    </row>
    <row r="183" spans="1:29" ht="14.4" thickBot="1" x14ac:dyDescent="0.35">
      <c r="B183" s="31"/>
      <c r="C183" s="31"/>
      <c r="D183" s="31"/>
      <c r="E183" s="31"/>
      <c r="F183" s="31"/>
      <c r="G183" s="31"/>
      <c r="H183" s="31"/>
      <c r="I183" s="31"/>
      <c r="J183" s="44"/>
      <c r="K183" s="31"/>
      <c r="L183" s="31"/>
      <c r="M183" s="31"/>
      <c r="N183" s="300"/>
      <c r="O183" s="301"/>
      <c r="P183" s="302"/>
      <c r="Q183" s="303">
        <f>SUM(Q173:Q182)</f>
        <v>11162.115423890158</v>
      </c>
      <c r="R183" s="303">
        <f>SUM(R173:R182)</f>
        <v>14633.317107721305</v>
      </c>
      <c r="S183" s="303">
        <f>SUM(S173:S182)</f>
        <v>3471.2016838311461</v>
      </c>
      <c r="T183" s="303">
        <f>SUM(T173:T182)</f>
        <v>0</v>
      </c>
      <c r="U183" s="303">
        <f>SUM(U173:U182)</f>
        <v>14633.317107721305</v>
      </c>
      <c r="V183" s="291"/>
      <c r="W183" s="291"/>
      <c r="Z183" s="282"/>
    </row>
    <row r="184" spans="1:29" ht="14.4" thickTop="1" x14ac:dyDescent="0.3">
      <c r="A184" s="27">
        <f>+A182+1</f>
        <v>166</v>
      </c>
      <c r="B184" s="48"/>
      <c r="M184" s="31"/>
      <c r="P184" s="296"/>
      <c r="Q184" s="296"/>
      <c r="R184" s="296"/>
      <c r="S184" s="304" t="s">
        <v>91</v>
      </c>
      <c r="T184" s="305">
        <v>0</v>
      </c>
      <c r="U184" s="283"/>
      <c r="V184" s="291"/>
      <c r="W184" s="291"/>
      <c r="Z184" s="282"/>
    </row>
    <row r="185" spans="1:29" x14ac:dyDescent="0.3">
      <c r="A185" s="27">
        <f t="shared" si="23"/>
        <v>167</v>
      </c>
      <c r="B185" s="48" t="s">
        <v>150</v>
      </c>
      <c r="C185" s="27" t="s">
        <v>65</v>
      </c>
      <c r="M185" s="31"/>
      <c r="P185" s="296"/>
      <c r="Q185" s="296"/>
      <c r="R185" s="296"/>
      <c r="T185" s="296"/>
      <c r="U185" s="283"/>
      <c r="V185" s="291"/>
      <c r="W185" s="291"/>
      <c r="Z185" s="282"/>
    </row>
    <row r="186" spans="1:29" x14ac:dyDescent="0.3">
      <c r="A186" s="27">
        <f t="shared" si="23"/>
        <v>168</v>
      </c>
      <c r="D186" s="27" t="s">
        <v>99</v>
      </c>
      <c r="F186" s="27" t="s">
        <v>60</v>
      </c>
      <c r="G186" s="49">
        <v>143.46</v>
      </c>
      <c r="H186" s="49">
        <v>186.56778004018068</v>
      </c>
      <c r="I186" s="49">
        <v>82.321758637420231</v>
      </c>
      <c r="J186" s="50" t="s">
        <v>151</v>
      </c>
      <c r="K186" s="51" t="s">
        <v>152</v>
      </c>
      <c r="L186" s="51"/>
      <c r="M186" s="52"/>
      <c r="N186" s="295">
        <f>H186-G186</f>
        <v>43.107780040180671</v>
      </c>
      <c r="O186" s="284">
        <f>(N186/G186)</f>
        <v>0.30048640764101958</v>
      </c>
      <c r="P186" s="296"/>
      <c r="Q186" s="297">
        <f>(P186*G186)/1000</f>
        <v>0</v>
      </c>
      <c r="R186" s="297">
        <f>(P186*H186)/1000</f>
        <v>0</v>
      </c>
      <c r="S186" s="298">
        <f>R186-Q186</f>
        <v>0</v>
      </c>
      <c r="T186" s="297">
        <f>(P186*I186)/1000</f>
        <v>0</v>
      </c>
      <c r="U186" s="298">
        <f>R186-T186</f>
        <v>0</v>
      </c>
      <c r="V186" s="291" t="s">
        <v>150</v>
      </c>
      <c r="W186" s="291" t="s">
        <v>150</v>
      </c>
      <c r="Z186" s="282"/>
      <c r="AC186" s="27" t="b">
        <f t="shared" ref="AC186:AC189" si="26">H186&gt;=I186</f>
        <v>1</v>
      </c>
    </row>
    <row r="187" spans="1:29" x14ac:dyDescent="0.3">
      <c r="A187" s="27">
        <f t="shared" si="23"/>
        <v>169</v>
      </c>
      <c r="D187" s="27" t="s">
        <v>101</v>
      </c>
      <c r="F187" s="27" t="s">
        <v>60</v>
      </c>
      <c r="G187" s="49">
        <v>335.69</v>
      </c>
      <c r="H187" s="49">
        <v>432.09</v>
      </c>
      <c r="I187" s="49">
        <v>219.13750953241291</v>
      </c>
      <c r="J187" s="50" t="s">
        <v>151</v>
      </c>
      <c r="K187" s="51" t="s">
        <v>69</v>
      </c>
      <c r="L187" s="51"/>
      <c r="M187" s="52"/>
      <c r="N187" s="295">
        <f>H187-G187</f>
        <v>96.399999999999977</v>
      </c>
      <c r="O187" s="284">
        <f>(N187/G187)</f>
        <v>0.28716971014924475</v>
      </c>
      <c r="P187" s="296">
        <v>47.709869931140041</v>
      </c>
      <c r="Q187" s="297">
        <f>(P187*G187)/1000</f>
        <v>16.015726237184399</v>
      </c>
      <c r="R187" s="297">
        <f>(P187*H187)/1000</f>
        <v>20.614957698546299</v>
      </c>
      <c r="S187" s="298">
        <f>R187-Q187</f>
        <v>4.5992314613618994</v>
      </c>
      <c r="T187" s="297">
        <f>(P187*I187)/1000</f>
        <v>10.455022076825379</v>
      </c>
      <c r="U187" s="298">
        <f>R187-T187</f>
        <v>10.159935621720919</v>
      </c>
      <c r="V187" s="291" t="s">
        <v>150</v>
      </c>
      <c r="W187" s="291" t="s">
        <v>150</v>
      </c>
      <c r="Z187" s="282"/>
      <c r="AC187" s="27" t="b">
        <f t="shared" si="26"/>
        <v>1</v>
      </c>
    </row>
    <row r="188" spans="1:29" x14ac:dyDescent="0.3">
      <c r="A188" s="27">
        <f t="shared" si="23"/>
        <v>170</v>
      </c>
      <c r="D188" s="27" t="s">
        <v>102</v>
      </c>
      <c r="F188" s="27" t="s">
        <v>60</v>
      </c>
      <c r="G188" s="49">
        <v>1156.5899999999999</v>
      </c>
      <c r="H188" s="49">
        <v>1488.73</v>
      </c>
      <c r="I188" s="49">
        <v>394.22003742369503</v>
      </c>
      <c r="J188" s="50" t="s">
        <v>151</v>
      </c>
      <c r="K188" s="51" t="s">
        <v>69</v>
      </c>
      <c r="L188" s="51"/>
      <c r="M188" s="52"/>
      <c r="N188" s="295">
        <f>H188-G188</f>
        <v>332.1400000000001</v>
      </c>
      <c r="O188" s="284">
        <f>(N188/G188)</f>
        <v>0.28717177219239326</v>
      </c>
      <c r="P188" s="296">
        <v>11.564804896710045</v>
      </c>
      <c r="Q188" s="297">
        <f>(P188*G188)/1000</f>
        <v>13.375737695485871</v>
      </c>
      <c r="R188" s="297">
        <f>(P188*H188)/1000</f>
        <v>17.216871993879149</v>
      </c>
      <c r="S188" s="298">
        <f>R188-Q188</f>
        <v>3.8411342983932784</v>
      </c>
      <c r="T188" s="297">
        <f>(P188*I188)/1000</f>
        <v>4.559077819178766</v>
      </c>
      <c r="U188" s="298">
        <f>R188-T188</f>
        <v>12.657794174700383</v>
      </c>
      <c r="V188" s="291" t="s">
        <v>150</v>
      </c>
      <c r="W188" s="291" t="s">
        <v>150</v>
      </c>
      <c r="Z188" s="282"/>
      <c r="AC188" s="27" t="b">
        <f t="shared" si="26"/>
        <v>1</v>
      </c>
    </row>
    <row r="189" spans="1:29" x14ac:dyDescent="0.3">
      <c r="A189" s="27">
        <f t="shared" si="23"/>
        <v>171</v>
      </c>
      <c r="D189" s="27" t="s">
        <v>153</v>
      </c>
      <c r="F189" s="27" t="s">
        <v>60</v>
      </c>
      <c r="G189" s="49">
        <v>115.66</v>
      </c>
      <c r="H189" s="49">
        <v>145.94</v>
      </c>
      <c r="I189" s="49"/>
      <c r="J189" s="50"/>
      <c r="K189" s="51" t="s">
        <v>69</v>
      </c>
      <c r="L189" s="51"/>
      <c r="M189" s="52"/>
      <c r="N189" s="295">
        <f>H189-G189</f>
        <v>30.28</v>
      </c>
      <c r="O189" s="284">
        <f>(N189/G189)</f>
        <v>0.26180183295867199</v>
      </c>
      <c r="P189" s="296">
        <v>60</v>
      </c>
      <c r="Q189" s="297">
        <f>(P189*G189)/1000</f>
        <v>6.9395999999999995</v>
      </c>
      <c r="R189" s="297">
        <f>(P189*H189)/1000</f>
        <v>8.7563999999999993</v>
      </c>
      <c r="S189" s="298">
        <f>R189-Q189</f>
        <v>1.8167999999999997</v>
      </c>
      <c r="T189" s="297">
        <f>(P189*I189)/1000</f>
        <v>0</v>
      </c>
      <c r="U189" s="298">
        <f>R189-T189</f>
        <v>8.7563999999999993</v>
      </c>
      <c r="V189" s="291" t="s">
        <v>150</v>
      </c>
      <c r="W189" s="291" t="s">
        <v>150</v>
      </c>
      <c r="Z189" s="282"/>
      <c r="AC189" s="27" t="b">
        <f t="shared" si="26"/>
        <v>1</v>
      </c>
    </row>
    <row r="190" spans="1:29" x14ac:dyDescent="0.3">
      <c r="A190" s="27">
        <f t="shared" si="23"/>
        <v>172</v>
      </c>
      <c r="G190" s="56"/>
      <c r="H190" s="56"/>
      <c r="I190" s="56"/>
      <c r="J190" s="50"/>
      <c r="K190" s="51"/>
      <c r="L190" s="51"/>
      <c r="M190" s="52"/>
      <c r="P190" s="296"/>
      <c r="Q190" s="296"/>
      <c r="R190" s="296"/>
      <c r="T190" s="296"/>
      <c r="U190" s="283"/>
      <c r="V190" s="291"/>
      <c r="W190" s="291"/>
      <c r="Z190" s="282"/>
    </row>
    <row r="191" spans="1:29" x14ac:dyDescent="0.3">
      <c r="A191" s="27">
        <f t="shared" si="23"/>
        <v>173</v>
      </c>
      <c r="C191" s="68" t="s">
        <v>75</v>
      </c>
      <c r="D191" s="68"/>
      <c r="F191" s="27" t="s">
        <v>78</v>
      </c>
      <c r="G191" s="56">
        <v>1.3540000000000001</v>
      </c>
      <c r="H191" s="56">
        <v>1.44</v>
      </c>
      <c r="I191" s="56">
        <v>0.60799999999999998</v>
      </c>
      <c r="J191" s="50" t="s">
        <v>151</v>
      </c>
      <c r="K191" s="51" t="s">
        <v>69</v>
      </c>
      <c r="L191" s="56"/>
      <c r="M191" s="60"/>
      <c r="N191" s="295">
        <f>H191-G191</f>
        <v>8.5999999999999854E-2</v>
      </c>
      <c r="O191" s="284">
        <f>(N191/G191)</f>
        <v>6.3515509601181575E-2</v>
      </c>
      <c r="P191" s="296">
        <v>44893.099999999991</v>
      </c>
      <c r="Q191" s="297">
        <f>(P191*G191*10)/1000</f>
        <v>607.85257399999989</v>
      </c>
      <c r="R191" s="297">
        <f>(P191*H191*10)/1000</f>
        <v>646.4606399999999</v>
      </c>
      <c r="S191" s="298">
        <f>R191-Q191</f>
        <v>38.608066000000008</v>
      </c>
      <c r="T191" s="297">
        <f>(P191*I191*10)/1000</f>
        <v>272.95004799999992</v>
      </c>
      <c r="U191" s="298">
        <f>R191-T191</f>
        <v>373.51059199999997</v>
      </c>
      <c r="V191" s="291" t="s">
        <v>150</v>
      </c>
      <c r="W191" s="291" t="s">
        <v>150</v>
      </c>
      <c r="Z191" s="282"/>
    </row>
    <row r="192" spans="1:29" x14ac:dyDescent="0.3">
      <c r="A192" s="27">
        <f t="shared" si="23"/>
        <v>174</v>
      </c>
      <c r="C192" s="69"/>
      <c r="D192" s="68"/>
      <c r="G192" s="51"/>
      <c r="H192" s="51"/>
      <c r="I192" s="51"/>
      <c r="J192" s="50"/>
      <c r="K192" s="51"/>
      <c r="L192" s="51"/>
      <c r="M192" s="52"/>
      <c r="P192" s="296"/>
      <c r="Q192" s="296"/>
      <c r="R192" s="296"/>
      <c r="T192" s="296"/>
      <c r="U192" s="283"/>
      <c r="V192" s="291"/>
      <c r="W192" s="291"/>
      <c r="Z192" s="282"/>
    </row>
    <row r="193" spans="1:26" x14ac:dyDescent="0.3">
      <c r="A193" s="27">
        <f t="shared" si="23"/>
        <v>175</v>
      </c>
      <c r="C193" s="68" t="s">
        <v>154</v>
      </c>
      <c r="D193" s="68"/>
      <c r="G193" s="51"/>
      <c r="H193" s="51"/>
      <c r="I193" s="51"/>
      <c r="J193" s="50"/>
      <c r="K193" s="51"/>
      <c r="L193" s="51"/>
      <c r="M193" s="52"/>
      <c r="P193" s="296"/>
      <c r="Q193" s="296"/>
      <c r="R193" s="296"/>
      <c r="T193" s="296"/>
      <c r="U193" s="283"/>
      <c r="V193" s="291"/>
      <c r="W193" s="291"/>
      <c r="Z193" s="282"/>
    </row>
    <row r="194" spans="1:26" x14ac:dyDescent="0.3">
      <c r="A194" s="27">
        <f t="shared" si="23"/>
        <v>176</v>
      </c>
      <c r="D194" s="68" t="s">
        <v>155</v>
      </c>
      <c r="F194" s="27" t="s">
        <v>119</v>
      </c>
      <c r="G194" s="49">
        <v>2.73</v>
      </c>
      <c r="H194" s="49">
        <v>3.43</v>
      </c>
      <c r="I194" s="49">
        <v>6.2299999999999995</v>
      </c>
      <c r="J194" s="50" t="s">
        <v>151</v>
      </c>
      <c r="K194" s="51" t="s">
        <v>69</v>
      </c>
      <c r="L194" s="51"/>
      <c r="M194" s="52"/>
      <c r="N194" s="295">
        <f>H194-G194</f>
        <v>0.70000000000000018</v>
      </c>
      <c r="O194" s="284">
        <f>(N194/G194)</f>
        <v>0.2564102564102565</v>
      </c>
      <c r="P194" s="296">
        <v>74532</v>
      </c>
      <c r="Q194" s="297">
        <f>(P194*G194)/1000</f>
        <v>203.47235999999998</v>
      </c>
      <c r="R194" s="297">
        <f>(P194*H194)/1000</f>
        <v>255.64476000000002</v>
      </c>
      <c r="S194" s="298">
        <f>R194-Q194</f>
        <v>52.172400000000039</v>
      </c>
      <c r="T194" s="297">
        <f>(P194*I194)/1000</f>
        <v>464.33436</v>
      </c>
      <c r="U194" s="298">
        <f>R194-T194</f>
        <v>-208.68959999999998</v>
      </c>
      <c r="V194" s="291" t="s">
        <v>150</v>
      </c>
      <c r="W194" s="291" t="s">
        <v>150</v>
      </c>
      <c r="Z194" s="282"/>
    </row>
    <row r="195" spans="1:26" x14ac:dyDescent="0.3">
      <c r="A195" s="27">
        <f t="shared" si="23"/>
        <v>177</v>
      </c>
      <c r="C195" s="68"/>
      <c r="G195" s="51"/>
      <c r="H195" s="51"/>
      <c r="I195" s="51"/>
      <c r="J195" s="50"/>
      <c r="K195" s="51"/>
      <c r="L195" s="51"/>
      <c r="M195" s="52"/>
      <c r="P195" s="296"/>
      <c r="Q195" s="296"/>
      <c r="R195" s="296"/>
      <c r="T195" s="296"/>
      <c r="U195" s="283"/>
      <c r="V195" s="291"/>
      <c r="W195" s="291"/>
      <c r="Z195" s="282"/>
    </row>
    <row r="196" spans="1:26" x14ac:dyDescent="0.3">
      <c r="A196" s="27">
        <f t="shared" si="23"/>
        <v>178</v>
      </c>
      <c r="C196" s="68" t="s">
        <v>156</v>
      </c>
      <c r="D196" s="68"/>
      <c r="G196" s="51"/>
      <c r="H196" s="51"/>
      <c r="I196" s="51"/>
      <c r="J196" s="50"/>
      <c r="K196" s="51"/>
      <c r="L196" s="51"/>
      <c r="M196" s="52"/>
      <c r="P196" s="296"/>
      <c r="Q196" s="296"/>
      <c r="R196" s="296"/>
      <c r="T196" s="296"/>
      <c r="U196" s="283"/>
      <c r="V196" s="291"/>
      <c r="W196" s="291"/>
      <c r="Z196" s="282"/>
    </row>
    <row r="197" spans="1:26" x14ac:dyDescent="0.3">
      <c r="A197" s="27">
        <f t="shared" si="23"/>
        <v>179</v>
      </c>
      <c r="C197" s="68"/>
      <c r="D197" s="68" t="s">
        <v>157</v>
      </c>
      <c r="G197" s="51"/>
      <c r="H197" s="51"/>
      <c r="I197" s="51"/>
      <c r="J197" s="50"/>
      <c r="K197" s="51"/>
      <c r="L197" s="51"/>
      <c r="M197" s="52"/>
      <c r="P197" s="296"/>
      <c r="Q197" s="296"/>
      <c r="R197" s="296"/>
      <c r="T197" s="296"/>
      <c r="U197" s="283"/>
      <c r="V197" s="291"/>
      <c r="W197" s="291"/>
      <c r="Z197" s="282"/>
    </row>
    <row r="198" spans="1:26" x14ac:dyDescent="0.3">
      <c r="A198" s="27">
        <f t="shared" si="23"/>
        <v>180</v>
      </c>
      <c r="C198" s="68"/>
      <c r="D198" s="68" t="s">
        <v>158</v>
      </c>
      <c r="G198" s="51"/>
      <c r="H198" s="51"/>
      <c r="I198" s="51"/>
      <c r="J198" s="50"/>
      <c r="K198" s="51"/>
      <c r="L198" s="51"/>
      <c r="M198" s="52"/>
      <c r="P198" s="296"/>
      <c r="Q198" s="296"/>
      <c r="R198" s="296"/>
      <c r="T198" s="296"/>
      <c r="U198" s="283"/>
      <c r="V198" s="291"/>
      <c r="W198" s="291"/>
      <c r="Z198" s="282"/>
    </row>
    <row r="199" spans="1:26" x14ac:dyDescent="0.3">
      <c r="A199" s="27">
        <f t="shared" si="23"/>
        <v>181</v>
      </c>
      <c r="C199" s="68"/>
      <c r="D199" s="70" t="s">
        <v>155</v>
      </c>
      <c r="F199" s="27" t="s">
        <v>119</v>
      </c>
      <c r="G199" s="71">
        <v>1.53</v>
      </c>
      <c r="H199" s="71">
        <v>1.9570000000000001</v>
      </c>
      <c r="I199" s="71">
        <v>2.1240000000000001</v>
      </c>
      <c r="J199" s="50" t="s">
        <v>151</v>
      </c>
      <c r="K199" s="51" t="s">
        <v>69</v>
      </c>
      <c r="L199" s="51"/>
      <c r="M199" s="52"/>
      <c r="N199" s="295">
        <f>H199-G199</f>
        <v>0.42700000000000005</v>
      </c>
      <c r="O199" s="284">
        <f>(N199/G199)</f>
        <v>0.27908496732026145</v>
      </c>
      <c r="P199" s="296">
        <v>583907.91899999999</v>
      </c>
      <c r="Q199" s="297">
        <f>(P199*G199)/1000</f>
        <v>893.37911607000001</v>
      </c>
      <c r="R199" s="297">
        <f>(P199*H199)/1000</f>
        <v>1142.7077974829999</v>
      </c>
      <c r="S199" s="298">
        <f>R199-Q199</f>
        <v>249.32868141299991</v>
      </c>
      <c r="T199" s="297">
        <f>(P199*I199)/1000</f>
        <v>1240.2204199560001</v>
      </c>
      <c r="U199" s="298">
        <f>R199-T199</f>
        <v>-97.512622473000192</v>
      </c>
      <c r="V199" s="291" t="s">
        <v>150</v>
      </c>
      <c r="W199" s="291" t="s">
        <v>150</v>
      </c>
      <c r="Z199" s="282"/>
    </row>
    <row r="200" spans="1:26" x14ac:dyDescent="0.3">
      <c r="A200" s="27">
        <f t="shared" si="23"/>
        <v>182</v>
      </c>
      <c r="D200" s="68" t="s">
        <v>159</v>
      </c>
      <c r="F200" s="27" t="s">
        <v>119</v>
      </c>
      <c r="G200" s="71">
        <v>0.72899999999999998</v>
      </c>
      <c r="H200" s="71">
        <v>0.93100000000000005</v>
      </c>
      <c r="I200" s="71">
        <v>1.0109999999999999</v>
      </c>
      <c r="J200" s="50" t="s">
        <v>151</v>
      </c>
      <c r="K200" s="51" t="s">
        <v>69</v>
      </c>
      <c r="L200" s="51"/>
      <c r="M200" s="52"/>
      <c r="N200" s="295">
        <f>H200-G200</f>
        <v>0.20200000000000007</v>
      </c>
      <c r="O200" s="284">
        <f>(N200/G200)</f>
        <v>0.27709190672153644</v>
      </c>
      <c r="P200" s="296">
        <v>1104686.7299274281</v>
      </c>
      <c r="Q200" s="297">
        <f>(P200*G200)/1000</f>
        <v>805.31662611709498</v>
      </c>
      <c r="R200" s="297">
        <f>(P200*H200)/1000</f>
        <v>1028.4633455624355</v>
      </c>
      <c r="S200" s="298">
        <f>R200-Q200</f>
        <v>223.14671944534052</v>
      </c>
      <c r="T200" s="297">
        <f>(P200*I200)/1000</f>
        <v>1116.8382839566298</v>
      </c>
      <c r="U200" s="298">
        <f>R200-T200</f>
        <v>-88.37493839419426</v>
      </c>
      <c r="V200" s="291" t="s">
        <v>150</v>
      </c>
      <c r="W200" s="291" t="s">
        <v>150</v>
      </c>
      <c r="Z200" s="282"/>
    </row>
    <row r="201" spans="1:26" x14ac:dyDescent="0.3">
      <c r="A201" s="27">
        <f t="shared" si="23"/>
        <v>183</v>
      </c>
      <c r="G201" s="51"/>
      <c r="H201" s="51"/>
      <c r="I201" s="51"/>
      <c r="J201" s="50"/>
      <c r="K201" s="51"/>
      <c r="L201" s="51"/>
      <c r="M201" s="52"/>
      <c r="P201" s="296"/>
      <c r="Q201" s="296"/>
      <c r="R201" s="296"/>
      <c r="T201" s="296"/>
      <c r="U201" s="283"/>
      <c r="V201" s="291"/>
      <c r="W201" s="291"/>
      <c r="Z201" s="282"/>
    </row>
    <row r="202" spans="1:26" x14ac:dyDescent="0.3">
      <c r="A202" s="27">
        <f t="shared" si="23"/>
        <v>184</v>
      </c>
      <c r="D202" s="27" t="s">
        <v>123</v>
      </c>
      <c r="J202" s="50"/>
      <c r="K202" s="51"/>
      <c r="L202" s="51"/>
      <c r="M202" s="52"/>
      <c r="P202" s="296"/>
      <c r="Q202" s="296"/>
      <c r="R202" s="296"/>
      <c r="T202" s="296"/>
      <c r="U202" s="283"/>
      <c r="V202" s="291"/>
      <c r="W202" s="291"/>
      <c r="Z202" s="282"/>
    </row>
    <row r="203" spans="1:26" x14ac:dyDescent="0.3">
      <c r="A203" s="27">
        <f t="shared" si="23"/>
        <v>185</v>
      </c>
      <c r="D203" s="54" t="s">
        <v>101</v>
      </c>
      <c r="F203" s="27" t="s">
        <v>119</v>
      </c>
      <c r="G203" s="49">
        <v>1.31</v>
      </c>
      <c r="H203" s="49">
        <f>I203</f>
        <v>1.3</v>
      </c>
      <c r="I203" s="58">
        <v>1.3</v>
      </c>
      <c r="J203" s="50" t="s">
        <v>124</v>
      </c>
      <c r="K203" s="51" t="s">
        <v>106</v>
      </c>
      <c r="L203" s="51"/>
      <c r="M203" s="52"/>
      <c r="N203" s="295">
        <f>H203-G203</f>
        <v>-1.0000000000000009E-2</v>
      </c>
      <c r="O203" s="284">
        <f>(N203/G203)</f>
        <v>-7.6335877862595486E-3</v>
      </c>
      <c r="P203" s="296">
        <v>0</v>
      </c>
      <c r="Q203" s="297">
        <f>(P203*G203)/1000</f>
        <v>0</v>
      </c>
      <c r="R203" s="297">
        <f>(P203*H203)/1000</f>
        <v>0</v>
      </c>
      <c r="S203" s="298">
        <f>R203-Q203</f>
        <v>0</v>
      </c>
      <c r="T203" s="297">
        <f>(P203*I203)/1000</f>
        <v>0</v>
      </c>
      <c r="U203" s="298">
        <f>R203-T203</f>
        <v>0</v>
      </c>
      <c r="V203" s="291" t="s">
        <v>150</v>
      </c>
      <c r="W203" s="291" t="s">
        <v>150</v>
      </c>
      <c r="Z203" s="282"/>
    </row>
    <row r="204" spans="1:26" x14ac:dyDescent="0.3">
      <c r="A204" s="27">
        <f t="shared" si="23"/>
        <v>186</v>
      </c>
      <c r="D204" s="54" t="s">
        <v>125</v>
      </c>
      <c r="F204" s="27" t="s">
        <v>119</v>
      </c>
      <c r="G204" s="49">
        <v>5.42</v>
      </c>
      <c r="H204" s="49">
        <f t="shared" ref="H204:H205" si="27">I204</f>
        <v>6.18</v>
      </c>
      <c r="I204" s="58">
        <v>6.18</v>
      </c>
      <c r="J204" s="50" t="s">
        <v>124</v>
      </c>
      <c r="K204" s="51" t="s">
        <v>106</v>
      </c>
      <c r="L204" s="51"/>
      <c r="M204" s="52"/>
      <c r="P204" s="296"/>
      <c r="Q204" s="314" t="s">
        <v>136</v>
      </c>
      <c r="R204" s="314" t="s">
        <v>136</v>
      </c>
      <c r="T204" s="314" t="s">
        <v>136</v>
      </c>
      <c r="U204" s="283"/>
      <c r="V204" s="291"/>
      <c r="W204" s="291"/>
      <c r="Z204" s="282"/>
    </row>
    <row r="205" spans="1:26" x14ac:dyDescent="0.3">
      <c r="A205" s="27">
        <f t="shared" si="23"/>
        <v>187</v>
      </c>
      <c r="D205" s="54" t="s">
        <v>126</v>
      </c>
      <c r="F205" s="27" t="s">
        <v>119</v>
      </c>
      <c r="G205" s="49">
        <v>7.5</v>
      </c>
      <c r="H205" s="49">
        <f t="shared" si="27"/>
        <v>8.61</v>
      </c>
      <c r="I205" s="58">
        <v>8.61</v>
      </c>
      <c r="J205" s="50" t="s">
        <v>124</v>
      </c>
      <c r="K205" s="51" t="s">
        <v>106</v>
      </c>
      <c r="L205" s="51"/>
      <c r="M205" s="52"/>
      <c r="P205" s="296"/>
      <c r="Q205" s="314"/>
      <c r="R205" s="314"/>
      <c r="T205" s="314"/>
      <c r="U205" s="283"/>
      <c r="V205" s="291"/>
      <c r="W205" s="291"/>
      <c r="Z205" s="282"/>
    </row>
    <row r="206" spans="1:26" x14ac:dyDescent="0.3">
      <c r="A206" s="27">
        <f t="shared" ref="A206:A269" si="28">+A205+1</f>
        <v>188</v>
      </c>
      <c r="D206" s="27" t="s">
        <v>104</v>
      </c>
      <c r="F206" s="27" t="s">
        <v>119</v>
      </c>
      <c r="G206" s="51">
        <v>1.4</v>
      </c>
      <c r="H206" s="51">
        <f>I206</f>
        <v>2.5099999999999998</v>
      </c>
      <c r="I206" s="51">
        <v>2.5099999999999998</v>
      </c>
      <c r="J206" s="50" t="s">
        <v>105</v>
      </c>
      <c r="K206" s="51" t="s">
        <v>106</v>
      </c>
      <c r="L206" s="51"/>
      <c r="M206" s="52"/>
      <c r="N206" s="295">
        <f>H206-G206</f>
        <v>1.1099999999999999</v>
      </c>
      <c r="O206" s="284">
        <f>(N206/G206)</f>
        <v>0.79285714285714282</v>
      </c>
      <c r="P206" s="296"/>
      <c r="Q206" s="296"/>
      <c r="R206" s="296"/>
      <c r="T206" s="296"/>
      <c r="U206" s="283"/>
      <c r="V206" s="291" t="s">
        <v>150</v>
      </c>
      <c r="W206" s="291" t="s">
        <v>150</v>
      </c>
      <c r="Z206" s="282"/>
    </row>
    <row r="207" spans="1:26" x14ac:dyDescent="0.3">
      <c r="A207" s="27">
        <f t="shared" si="28"/>
        <v>189</v>
      </c>
      <c r="G207" s="51"/>
      <c r="H207" s="51"/>
      <c r="I207" s="51"/>
      <c r="J207" s="50"/>
      <c r="K207" s="51"/>
      <c r="L207" s="51"/>
      <c r="M207" s="52"/>
      <c r="N207" s="295"/>
      <c r="P207" s="296"/>
      <c r="Q207" s="296"/>
      <c r="R207" s="296"/>
      <c r="T207" s="296"/>
      <c r="U207" s="283"/>
      <c r="V207" s="291"/>
      <c r="W207" s="291"/>
      <c r="Z207" s="282"/>
    </row>
    <row r="208" spans="1:26" x14ac:dyDescent="0.3">
      <c r="A208" s="27">
        <f t="shared" si="28"/>
        <v>190</v>
      </c>
      <c r="C208" s="27" t="s">
        <v>107</v>
      </c>
      <c r="G208" s="51"/>
      <c r="H208" s="51"/>
      <c r="I208" s="51"/>
      <c r="J208" s="50"/>
      <c r="K208" s="51"/>
      <c r="L208" s="51"/>
      <c r="M208" s="52"/>
      <c r="P208" s="296"/>
      <c r="Q208" s="296"/>
      <c r="R208" s="296"/>
      <c r="T208" s="296"/>
      <c r="U208" s="283"/>
      <c r="V208" s="291"/>
      <c r="W208" s="291"/>
      <c r="Z208" s="282"/>
    </row>
    <row r="209" spans="1:29" x14ac:dyDescent="0.3">
      <c r="A209" s="27">
        <f t="shared" si="28"/>
        <v>191</v>
      </c>
      <c r="D209" s="27" t="s">
        <v>101</v>
      </c>
      <c r="F209" s="27" t="s">
        <v>61</v>
      </c>
      <c r="G209" s="62">
        <v>0.01</v>
      </c>
      <c r="H209" s="62">
        <v>0.01</v>
      </c>
      <c r="I209" s="62"/>
      <c r="J209" s="50"/>
      <c r="K209" s="51" t="s">
        <v>69</v>
      </c>
      <c r="L209" s="51"/>
      <c r="M209" s="52"/>
      <c r="N209" s="306">
        <f>H209-G209</f>
        <v>0</v>
      </c>
      <c r="O209" s="284">
        <f>(N209/G209)</f>
        <v>0</v>
      </c>
      <c r="P209" s="296"/>
      <c r="Q209" s="297">
        <f>(P209*G209)/1000</f>
        <v>0</v>
      </c>
      <c r="R209" s="297">
        <f>(P209*H209)/1000</f>
        <v>0</v>
      </c>
      <c r="S209" s="298">
        <f>R209-Q209</f>
        <v>0</v>
      </c>
      <c r="T209" s="297">
        <f>(P209*I209)/1000</f>
        <v>0</v>
      </c>
      <c r="U209" s="298">
        <f>R209-T209</f>
        <v>0</v>
      </c>
      <c r="V209" s="291" t="s">
        <v>150</v>
      </c>
      <c r="W209" s="291" t="s">
        <v>150</v>
      </c>
      <c r="Z209" s="282"/>
    </row>
    <row r="210" spans="1:29" x14ac:dyDescent="0.3">
      <c r="A210" s="27">
        <f t="shared" si="28"/>
        <v>192</v>
      </c>
      <c r="D210" s="27" t="s">
        <v>102</v>
      </c>
      <c r="F210" s="27" t="s">
        <v>61</v>
      </c>
      <c r="G210" s="62">
        <v>0.02</v>
      </c>
      <c r="H210" s="62">
        <v>0.02</v>
      </c>
      <c r="I210" s="62"/>
      <c r="J210" s="50"/>
      <c r="K210" s="51" t="s">
        <v>69</v>
      </c>
      <c r="L210" s="51"/>
      <c r="M210" s="52"/>
      <c r="N210" s="306">
        <f>H210-G210</f>
        <v>0</v>
      </c>
      <c r="O210" s="284">
        <f>(N210/G210)</f>
        <v>0</v>
      </c>
      <c r="P210" s="296"/>
      <c r="Q210" s="297">
        <f>(P210*G210)/1000</f>
        <v>0</v>
      </c>
      <c r="R210" s="297">
        <f>(P210*H210)/1000</f>
        <v>0</v>
      </c>
      <c r="S210" s="298">
        <f>R210-Q210</f>
        <v>0</v>
      </c>
      <c r="T210" s="297">
        <f>(P210*I210)/1000</f>
        <v>0</v>
      </c>
      <c r="U210" s="298">
        <f>R210-T210</f>
        <v>0</v>
      </c>
      <c r="V210" s="291" t="s">
        <v>150</v>
      </c>
      <c r="W210" s="291" t="s">
        <v>150</v>
      </c>
      <c r="Z210" s="282"/>
    </row>
    <row r="211" spans="1:29" x14ac:dyDescent="0.3">
      <c r="A211" s="27">
        <f t="shared" si="28"/>
        <v>193</v>
      </c>
      <c r="G211" s="62"/>
      <c r="H211" s="62"/>
      <c r="I211" s="62"/>
      <c r="J211" s="50"/>
      <c r="K211" s="51"/>
      <c r="L211" s="51"/>
      <c r="M211" s="52"/>
      <c r="N211" s="306"/>
      <c r="P211" s="296"/>
      <c r="Q211" s="297"/>
      <c r="R211" s="297"/>
      <c r="S211" s="298"/>
      <c r="T211" s="297"/>
      <c r="U211" s="298"/>
      <c r="V211" s="291"/>
      <c r="W211" s="291"/>
      <c r="Z211" s="282"/>
    </row>
    <row r="212" spans="1:29" x14ac:dyDescent="0.3">
      <c r="A212" s="27">
        <f t="shared" si="28"/>
        <v>194</v>
      </c>
      <c r="C212" s="27" t="s">
        <v>109</v>
      </c>
      <c r="F212" s="27" t="s">
        <v>61</v>
      </c>
      <c r="G212" s="63">
        <v>1.0800000000000001E-2</v>
      </c>
      <c r="H212" s="64">
        <f>I212</f>
        <v>9.5999999999999992E-3</v>
      </c>
      <c r="I212" s="65">
        <v>9.5999999999999992E-3</v>
      </c>
      <c r="J212" s="42" t="s">
        <v>110</v>
      </c>
      <c r="K212" s="66" t="s">
        <v>111</v>
      </c>
      <c r="L212" s="51"/>
      <c r="M212" s="52"/>
      <c r="N212" s="295"/>
      <c r="P212" s="296"/>
      <c r="Q212" s="296"/>
      <c r="R212" s="296"/>
      <c r="T212" s="296"/>
      <c r="U212" s="283"/>
      <c r="V212" s="291"/>
      <c r="W212" s="291"/>
      <c r="Z212" s="282"/>
    </row>
    <row r="213" spans="1:29" ht="14.4" thickBot="1" x14ac:dyDescent="0.35">
      <c r="B213" s="31"/>
      <c r="C213" s="31"/>
      <c r="D213" s="31"/>
      <c r="E213" s="31"/>
      <c r="F213" s="31"/>
      <c r="G213" s="52"/>
      <c r="H213" s="52"/>
      <c r="I213" s="52"/>
      <c r="J213" s="59"/>
      <c r="K213" s="52"/>
      <c r="L213" s="52"/>
      <c r="M213" s="52"/>
      <c r="N213" s="300"/>
      <c r="O213" s="301"/>
      <c r="P213" s="302"/>
      <c r="Q213" s="303">
        <f>SUM(Q184:Q212)</f>
        <v>2546.3517401197651</v>
      </c>
      <c r="R213" s="303">
        <f>SUM(R184:R212)</f>
        <v>3119.8647727378611</v>
      </c>
      <c r="S213" s="303">
        <f>SUM(S184:S212)</f>
        <v>573.51303261809562</v>
      </c>
      <c r="T213" s="303">
        <f>SUM(T184:T212)</f>
        <v>3109.357211808634</v>
      </c>
      <c r="U213" s="303">
        <f>SUM(U184:U212)</f>
        <v>10.507560929226827</v>
      </c>
      <c r="V213" s="291"/>
      <c r="W213" s="291"/>
      <c r="Z213" s="282"/>
    </row>
    <row r="214" spans="1:29" ht="14.4" thickTop="1" x14ac:dyDescent="0.3">
      <c r="A214" s="27">
        <f>+A212+1</f>
        <v>195</v>
      </c>
      <c r="B214" s="48"/>
      <c r="M214" s="31"/>
      <c r="P214" s="296"/>
      <c r="Q214" s="296"/>
      <c r="R214" s="296"/>
      <c r="S214" s="296"/>
      <c r="T214" s="296"/>
      <c r="U214" s="283"/>
      <c r="V214" s="291"/>
      <c r="W214" s="291"/>
      <c r="Z214" s="282"/>
    </row>
    <row r="215" spans="1:29" x14ac:dyDescent="0.3">
      <c r="A215" s="27">
        <f t="shared" si="28"/>
        <v>196</v>
      </c>
      <c r="B215" s="48" t="s">
        <v>160</v>
      </c>
      <c r="C215" s="27" t="s">
        <v>65</v>
      </c>
      <c r="M215" s="31"/>
      <c r="P215" s="296"/>
      <c r="Q215" s="296"/>
      <c r="R215" s="296"/>
      <c r="T215" s="296"/>
      <c r="U215" s="283"/>
      <c r="V215" s="291"/>
      <c r="W215" s="291"/>
      <c r="Z215" s="282"/>
    </row>
    <row r="216" spans="1:29" x14ac:dyDescent="0.3">
      <c r="A216" s="27">
        <f t="shared" si="28"/>
        <v>197</v>
      </c>
      <c r="D216" s="27" t="s">
        <v>99</v>
      </c>
      <c r="F216" s="27" t="s">
        <v>60</v>
      </c>
      <c r="G216" s="49">
        <v>362.08</v>
      </c>
      <c r="H216" s="49">
        <v>472.70387599788171</v>
      </c>
      <c r="I216" s="49">
        <v>390.44721729205196</v>
      </c>
      <c r="J216" s="50" t="s">
        <v>151</v>
      </c>
      <c r="K216" s="51" t="s">
        <v>152</v>
      </c>
      <c r="L216" s="51"/>
      <c r="M216" s="52"/>
      <c r="N216" s="295">
        <f>H216-G216</f>
        <v>110.62387599788173</v>
      </c>
      <c r="O216" s="284">
        <f>(N216/G216)</f>
        <v>0.30552329871266498</v>
      </c>
      <c r="P216" s="296"/>
      <c r="Q216" s="296"/>
      <c r="R216" s="296"/>
      <c r="T216" s="296"/>
      <c r="U216" s="283"/>
      <c r="V216" s="291" t="s">
        <v>160</v>
      </c>
      <c r="W216" s="291" t="s">
        <v>160</v>
      </c>
      <c r="Z216" s="282"/>
      <c r="AC216" s="27" t="b">
        <f t="shared" ref="AC216:AC219" si="29">H216&gt;=I216</f>
        <v>1</v>
      </c>
    </row>
    <row r="217" spans="1:29" x14ac:dyDescent="0.3">
      <c r="A217" s="27">
        <f t="shared" si="28"/>
        <v>198</v>
      </c>
      <c r="D217" s="27" t="s">
        <v>101</v>
      </c>
      <c r="F217" s="27" t="s">
        <v>60</v>
      </c>
      <c r="G217" s="49">
        <v>522.96</v>
      </c>
      <c r="H217" s="49">
        <v>665.44</v>
      </c>
      <c r="I217" s="49">
        <v>527.26296818704463</v>
      </c>
      <c r="J217" s="50" t="s">
        <v>151</v>
      </c>
      <c r="K217" s="51" t="s">
        <v>69</v>
      </c>
      <c r="L217" s="51"/>
      <c r="M217" s="52"/>
      <c r="N217" s="295">
        <f>H217-G217</f>
        <v>142.48000000000002</v>
      </c>
      <c r="O217" s="284">
        <f>(N217/G217)</f>
        <v>0.27244913568915408</v>
      </c>
      <c r="P217" s="296">
        <v>23.538461538461522</v>
      </c>
      <c r="Q217" s="297">
        <f>(P217*G217)/1000</f>
        <v>12.309673846153839</v>
      </c>
      <c r="R217" s="297">
        <f>(P217*H217)/1000</f>
        <v>15.663433846153838</v>
      </c>
      <c r="S217" s="298">
        <f>R217-Q217</f>
        <v>3.3537599999999994</v>
      </c>
      <c r="T217" s="297">
        <f>(P217*I217)/1000</f>
        <v>12.410959097325811</v>
      </c>
      <c r="U217" s="298">
        <f>R217-T217</f>
        <v>3.2524747488280266</v>
      </c>
      <c r="V217" s="291" t="s">
        <v>160</v>
      </c>
      <c r="W217" s="291" t="s">
        <v>160</v>
      </c>
      <c r="Z217" s="282"/>
      <c r="AC217" s="27" t="b">
        <f t="shared" si="29"/>
        <v>1</v>
      </c>
    </row>
    <row r="218" spans="1:29" x14ac:dyDescent="0.3">
      <c r="A218" s="27">
        <f t="shared" si="28"/>
        <v>199</v>
      </c>
      <c r="D218" s="27" t="s">
        <v>102</v>
      </c>
      <c r="F218" s="27" t="s">
        <v>60</v>
      </c>
      <c r="G218" s="49">
        <v>1209.99</v>
      </c>
      <c r="H218" s="49">
        <v>1539.64</v>
      </c>
      <c r="I218" s="49">
        <v>702.34549607832673</v>
      </c>
      <c r="J218" s="50" t="s">
        <v>151</v>
      </c>
      <c r="K218" s="51" t="s">
        <v>69</v>
      </c>
      <c r="L218" s="51"/>
      <c r="M218" s="52"/>
      <c r="N218" s="295">
        <f>H218-G218</f>
        <v>329.65000000000009</v>
      </c>
      <c r="O218" s="284">
        <f>(N218/G218)</f>
        <v>0.27244026810138933</v>
      </c>
      <c r="P218" s="296">
        <v>11.769230769230761</v>
      </c>
      <c r="Q218" s="297">
        <f>(P218*G218)/1000</f>
        <v>14.240651538461529</v>
      </c>
      <c r="R218" s="297">
        <f>(P218*H218)/1000</f>
        <v>18.120378461538451</v>
      </c>
      <c r="S218" s="298">
        <f>R218-Q218</f>
        <v>3.8797269230769214</v>
      </c>
      <c r="T218" s="297">
        <f>(P218*I218)/1000</f>
        <v>8.2660662230756863</v>
      </c>
      <c r="U218" s="298">
        <f>R218-T218</f>
        <v>9.8543122384627644</v>
      </c>
      <c r="V218" s="291" t="s">
        <v>160</v>
      </c>
      <c r="W218" s="291" t="s">
        <v>160</v>
      </c>
      <c r="Z218" s="282"/>
      <c r="AC218" s="27" t="b">
        <f t="shared" si="29"/>
        <v>1</v>
      </c>
    </row>
    <row r="219" spans="1:29" x14ac:dyDescent="0.3">
      <c r="A219" s="27">
        <f t="shared" si="28"/>
        <v>200</v>
      </c>
      <c r="D219" s="27" t="s">
        <v>153</v>
      </c>
      <c r="F219" s="27" t="s">
        <v>60</v>
      </c>
      <c r="G219" s="49">
        <v>338.79</v>
      </c>
      <c r="H219" s="49">
        <v>442.29823837086383</v>
      </c>
      <c r="I219" s="49"/>
      <c r="J219" s="50"/>
      <c r="K219" s="51" t="s">
        <v>152</v>
      </c>
      <c r="L219" s="51"/>
      <c r="M219" s="52"/>
      <c r="N219" s="295">
        <f>H219-G219</f>
        <v>103.50823837086381</v>
      </c>
      <c r="O219" s="284">
        <f>(N219/G219)</f>
        <v>0.30552329871266509</v>
      </c>
      <c r="P219" s="296">
        <v>0</v>
      </c>
      <c r="Q219" s="297">
        <f>(P219*G219)/1000</f>
        <v>0</v>
      </c>
      <c r="R219" s="297">
        <f>(P219*H219)/1000</f>
        <v>0</v>
      </c>
      <c r="S219" s="298">
        <f>R219-Q219</f>
        <v>0</v>
      </c>
      <c r="T219" s="297">
        <f>(P219*I219)/1000</f>
        <v>0</v>
      </c>
      <c r="U219" s="298">
        <f>R219-T219</f>
        <v>0</v>
      </c>
      <c r="V219" s="291" t="s">
        <v>160</v>
      </c>
      <c r="W219" s="291" t="s">
        <v>160</v>
      </c>
      <c r="Z219" s="282"/>
      <c r="AC219" s="27" t="b">
        <f t="shared" si="29"/>
        <v>1</v>
      </c>
    </row>
    <row r="220" spans="1:29" x14ac:dyDescent="0.3">
      <c r="A220" s="27">
        <f t="shared" si="28"/>
        <v>201</v>
      </c>
      <c r="G220" s="56"/>
      <c r="H220" s="56"/>
      <c r="I220" s="56"/>
      <c r="J220" s="50"/>
      <c r="K220" s="51"/>
      <c r="L220" s="51"/>
      <c r="M220" s="52"/>
      <c r="P220" s="296"/>
      <c r="Q220" s="296"/>
      <c r="R220" s="296"/>
      <c r="T220" s="296"/>
      <c r="U220" s="283"/>
      <c r="V220" s="291"/>
      <c r="W220" s="291"/>
      <c r="Z220" s="282"/>
    </row>
    <row r="221" spans="1:29" x14ac:dyDescent="0.3">
      <c r="A221" s="27">
        <f t="shared" si="28"/>
        <v>202</v>
      </c>
      <c r="C221" s="68" t="s">
        <v>75</v>
      </c>
      <c r="D221" s="68"/>
      <c r="F221" s="27" t="s">
        <v>78</v>
      </c>
      <c r="G221" s="56">
        <v>1.337</v>
      </c>
      <c r="H221" s="56">
        <v>1.6559999999999999</v>
      </c>
      <c r="I221" s="56">
        <v>0.60799999999999998</v>
      </c>
      <c r="J221" s="50" t="s">
        <v>151</v>
      </c>
      <c r="K221" s="51" t="s">
        <v>69</v>
      </c>
      <c r="L221" s="56"/>
      <c r="M221" s="60"/>
      <c r="N221" s="295">
        <f>H221-G221</f>
        <v>0.31899999999999995</v>
      </c>
      <c r="O221" s="284">
        <f>(N221/G221)</f>
        <v>0.23859386686611814</v>
      </c>
      <c r="P221" s="296">
        <v>67357.5</v>
      </c>
      <c r="Q221" s="297">
        <f>(P221*G221*10)/1000</f>
        <v>900.56977499999994</v>
      </c>
      <c r="R221" s="297">
        <f>(P221*H221*10)/1000</f>
        <v>1115.4402</v>
      </c>
      <c r="S221" s="298">
        <f>R221-Q221</f>
        <v>214.87042500000007</v>
      </c>
      <c r="T221" s="297">
        <f>(P221*I221*10)/1000</f>
        <v>409.53359999999998</v>
      </c>
      <c r="U221" s="298">
        <f>R221-T221</f>
        <v>705.90660000000003</v>
      </c>
      <c r="V221" s="291" t="s">
        <v>160</v>
      </c>
      <c r="W221" s="291" t="s">
        <v>160</v>
      </c>
      <c r="Z221" s="282"/>
    </row>
    <row r="222" spans="1:29" x14ac:dyDescent="0.3">
      <c r="A222" s="27">
        <f t="shared" si="28"/>
        <v>203</v>
      </c>
      <c r="C222" s="69"/>
      <c r="D222" s="68"/>
      <c r="G222" s="51"/>
      <c r="H222" s="51"/>
      <c r="I222" s="51"/>
      <c r="J222" s="50"/>
      <c r="K222" s="51"/>
      <c r="L222" s="51"/>
      <c r="M222" s="52"/>
      <c r="P222" s="296"/>
      <c r="Q222" s="296"/>
      <c r="R222" s="296"/>
      <c r="T222" s="296"/>
      <c r="U222" s="283"/>
      <c r="V222" s="291"/>
      <c r="W222" s="291"/>
      <c r="Z222" s="282"/>
    </row>
    <row r="223" spans="1:29" x14ac:dyDescent="0.3">
      <c r="A223" s="27">
        <f t="shared" si="28"/>
        <v>204</v>
      </c>
      <c r="C223" s="68" t="s">
        <v>154</v>
      </c>
      <c r="D223" s="68"/>
      <c r="G223" s="51"/>
      <c r="H223" s="51"/>
      <c r="I223" s="51"/>
      <c r="J223" s="50"/>
      <c r="K223" s="51"/>
      <c r="L223" s="51"/>
      <c r="M223" s="52"/>
      <c r="P223" s="296"/>
      <c r="Q223" s="296"/>
      <c r="R223" s="296"/>
      <c r="T223" s="296"/>
      <c r="U223" s="283"/>
      <c r="V223" s="291"/>
      <c r="W223" s="291"/>
      <c r="Z223" s="282"/>
    </row>
    <row r="224" spans="1:29" x14ac:dyDescent="0.3">
      <c r="A224" s="27">
        <f t="shared" si="28"/>
        <v>205</v>
      </c>
      <c r="D224" s="68" t="s">
        <v>155</v>
      </c>
      <c r="F224" s="27" t="s">
        <v>119</v>
      </c>
      <c r="G224" s="49">
        <v>2.72</v>
      </c>
      <c r="H224" s="49">
        <v>3.43</v>
      </c>
      <c r="I224" s="49">
        <v>6.2299999999999995</v>
      </c>
      <c r="J224" s="50" t="s">
        <v>151</v>
      </c>
      <c r="K224" s="51" t="s">
        <v>69</v>
      </c>
      <c r="L224" s="51"/>
      <c r="M224" s="52"/>
      <c r="N224" s="295">
        <f>H224-G224</f>
        <v>0.71</v>
      </c>
      <c r="O224" s="284">
        <f>(N224/G224)</f>
        <v>0.26102941176470584</v>
      </c>
      <c r="P224" s="296">
        <v>114000</v>
      </c>
      <c r="Q224" s="297">
        <f>(P224*G224)/1000</f>
        <v>310.08</v>
      </c>
      <c r="R224" s="297">
        <f>(P224*H224)/1000</f>
        <v>391.02</v>
      </c>
      <c r="S224" s="298">
        <f>R224-Q224</f>
        <v>80.94</v>
      </c>
      <c r="T224" s="297">
        <f>(P224*I224)/1000</f>
        <v>710.22</v>
      </c>
      <c r="U224" s="298">
        <f>R224-T224</f>
        <v>-319.20000000000005</v>
      </c>
      <c r="V224" s="291" t="s">
        <v>160</v>
      </c>
      <c r="W224" s="291" t="s">
        <v>160</v>
      </c>
      <c r="Z224" s="282"/>
    </row>
    <row r="225" spans="1:26" x14ac:dyDescent="0.3">
      <c r="A225" s="27">
        <f t="shared" si="28"/>
        <v>206</v>
      </c>
      <c r="C225" s="68"/>
      <c r="G225" s="51"/>
      <c r="H225" s="51"/>
      <c r="I225" s="51"/>
      <c r="J225" s="50"/>
      <c r="K225" s="51"/>
      <c r="L225" s="51"/>
      <c r="M225" s="52"/>
      <c r="N225" s="295"/>
      <c r="P225" s="296"/>
      <c r="Q225" s="296"/>
      <c r="R225" s="296"/>
      <c r="T225" s="296"/>
      <c r="U225" s="283"/>
      <c r="V225" s="291"/>
      <c r="W225" s="291"/>
      <c r="Z225" s="282"/>
    </row>
    <row r="226" spans="1:26" x14ac:dyDescent="0.3">
      <c r="A226" s="27">
        <f t="shared" si="28"/>
        <v>207</v>
      </c>
      <c r="C226" s="68" t="s">
        <v>156</v>
      </c>
      <c r="D226" s="68"/>
      <c r="G226" s="51"/>
      <c r="H226" s="51"/>
      <c r="I226" s="51"/>
      <c r="J226" s="50"/>
      <c r="K226" s="51"/>
      <c r="L226" s="51"/>
      <c r="M226" s="52"/>
      <c r="P226" s="296"/>
      <c r="Q226" s="296"/>
      <c r="R226" s="296"/>
      <c r="T226" s="296"/>
      <c r="U226" s="283"/>
      <c r="V226" s="291"/>
      <c r="W226" s="291"/>
      <c r="Z226" s="282"/>
    </row>
    <row r="227" spans="1:26" x14ac:dyDescent="0.3">
      <c r="A227" s="27">
        <f t="shared" si="28"/>
        <v>208</v>
      </c>
      <c r="C227" s="68"/>
      <c r="D227" s="68" t="s">
        <v>157</v>
      </c>
      <c r="G227" s="51"/>
      <c r="H227" s="51"/>
      <c r="I227" s="51"/>
      <c r="J227" s="50"/>
      <c r="L227" s="51"/>
      <c r="M227" s="52"/>
      <c r="P227" s="296"/>
      <c r="Q227" s="296"/>
      <c r="R227" s="296"/>
      <c r="T227" s="296"/>
      <c r="U227" s="283"/>
      <c r="V227" s="291"/>
      <c r="W227" s="291"/>
      <c r="Z227" s="282"/>
    </row>
    <row r="228" spans="1:26" x14ac:dyDescent="0.3">
      <c r="A228" s="27">
        <f t="shared" si="28"/>
        <v>209</v>
      </c>
      <c r="C228" s="68"/>
      <c r="D228" s="68" t="s">
        <v>158</v>
      </c>
      <c r="G228" s="51"/>
      <c r="H228" s="51"/>
      <c r="I228" s="51"/>
      <c r="J228" s="50"/>
      <c r="K228" s="51"/>
      <c r="L228" s="51"/>
      <c r="M228" s="52"/>
      <c r="P228" s="296"/>
      <c r="Q228" s="296"/>
      <c r="R228" s="296"/>
      <c r="T228" s="296"/>
      <c r="U228" s="283"/>
      <c r="V228" s="291"/>
      <c r="W228" s="291"/>
      <c r="Z228" s="282"/>
    </row>
    <row r="229" spans="1:26" x14ac:dyDescent="0.3">
      <c r="A229" s="27">
        <f t="shared" si="28"/>
        <v>210</v>
      </c>
      <c r="C229" s="68"/>
      <c r="D229" s="70" t="s">
        <v>155</v>
      </c>
      <c r="F229" s="27" t="s">
        <v>119</v>
      </c>
      <c r="G229" s="71">
        <v>1.5269999999999999</v>
      </c>
      <c r="H229" s="71">
        <v>1.9570000000000001</v>
      </c>
      <c r="I229" s="71">
        <v>2.1240000000000001</v>
      </c>
      <c r="J229" s="50" t="s">
        <v>151</v>
      </c>
      <c r="K229" s="51" t="s">
        <v>69</v>
      </c>
      <c r="L229" s="51"/>
      <c r="M229" s="52"/>
      <c r="N229" s="295">
        <f>H229-G229</f>
        <v>0.43000000000000016</v>
      </c>
      <c r="O229" s="284">
        <f>(N229/G229)</f>
        <v>0.28159790438768839</v>
      </c>
      <c r="P229" s="296">
        <v>643560.93599999987</v>
      </c>
      <c r="Q229" s="297">
        <f>(P229*G229)/1000</f>
        <v>982.7175492719997</v>
      </c>
      <c r="R229" s="297">
        <f>(P229*H229)/1000</f>
        <v>1259.4487517519999</v>
      </c>
      <c r="S229" s="298">
        <f>R229-Q229</f>
        <v>276.73120248000021</v>
      </c>
      <c r="T229" s="297">
        <f>(P229*I229)/1000</f>
        <v>1366.9234280639998</v>
      </c>
      <c r="U229" s="298">
        <f>R229-T229</f>
        <v>-107.47467631199993</v>
      </c>
      <c r="V229" s="291" t="s">
        <v>160</v>
      </c>
      <c r="W229" s="291" t="s">
        <v>160</v>
      </c>
      <c r="Z229" s="282"/>
    </row>
    <row r="230" spans="1:26" x14ac:dyDescent="0.3">
      <c r="A230" s="27">
        <f t="shared" si="28"/>
        <v>211</v>
      </c>
      <c r="D230" s="68" t="s">
        <v>159</v>
      </c>
      <c r="F230" s="27" t="s">
        <v>119</v>
      </c>
      <c r="G230" s="71">
        <v>0.72799999999999998</v>
      </c>
      <c r="H230" s="71">
        <v>0.93100000000000005</v>
      </c>
      <c r="I230" s="71">
        <v>1.0109999999999999</v>
      </c>
      <c r="J230" s="50" t="s">
        <v>151</v>
      </c>
      <c r="K230" s="51" t="s">
        <v>69</v>
      </c>
      <c r="L230" s="51"/>
      <c r="M230" s="52"/>
      <c r="N230" s="295">
        <f>H230-G230</f>
        <v>0.20300000000000007</v>
      </c>
      <c r="O230" s="284">
        <f>(N230/G230)</f>
        <v>0.27884615384615397</v>
      </c>
      <c r="P230" s="296">
        <v>1761820.1407062972</v>
      </c>
      <c r="Q230" s="297">
        <f>(P230*G230)/1000</f>
        <v>1282.6050624341844</v>
      </c>
      <c r="R230" s="297">
        <f>(P230*H230)/1000</f>
        <v>1640.2545509975628</v>
      </c>
      <c r="S230" s="298">
        <f>R230-Q230</f>
        <v>357.64948856337833</v>
      </c>
      <c r="T230" s="297">
        <f>(P230*I230)/1000</f>
        <v>1781.2001622540665</v>
      </c>
      <c r="U230" s="298">
        <f>R230-T230</f>
        <v>-140.94561125650375</v>
      </c>
      <c r="V230" s="291" t="s">
        <v>160</v>
      </c>
      <c r="W230" s="291" t="s">
        <v>160</v>
      </c>
      <c r="Z230" s="282"/>
    </row>
    <row r="231" spans="1:26" x14ac:dyDescent="0.3">
      <c r="A231" s="27">
        <f t="shared" si="28"/>
        <v>212</v>
      </c>
      <c r="G231" s="51"/>
      <c r="H231" s="51"/>
      <c r="I231" s="51"/>
      <c r="J231" s="50"/>
      <c r="K231" s="51"/>
      <c r="L231" s="51"/>
      <c r="M231" s="52"/>
      <c r="P231" s="296"/>
      <c r="Q231" s="296"/>
      <c r="R231" s="296"/>
      <c r="T231" s="296"/>
      <c r="U231" s="283"/>
      <c r="V231" s="291"/>
      <c r="W231" s="291"/>
      <c r="Z231" s="282"/>
    </row>
    <row r="232" spans="1:26" x14ac:dyDescent="0.3">
      <c r="A232" s="27">
        <f t="shared" si="28"/>
        <v>213</v>
      </c>
      <c r="C232" s="27" t="s">
        <v>161</v>
      </c>
      <c r="J232" s="50"/>
      <c r="L232" s="51"/>
      <c r="M232" s="52"/>
      <c r="P232" s="296"/>
      <c r="Q232" s="296"/>
      <c r="R232" s="296"/>
      <c r="T232" s="296"/>
      <c r="U232" s="283"/>
      <c r="V232" s="291"/>
      <c r="W232" s="291"/>
      <c r="Z232" s="282"/>
    </row>
    <row r="233" spans="1:26" x14ac:dyDescent="0.3">
      <c r="A233" s="27">
        <f t="shared" si="28"/>
        <v>214</v>
      </c>
      <c r="D233" s="68" t="s">
        <v>162</v>
      </c>
      <c r="F233" s="27" t="s">
        <v>119</v>
      </c>
      <c r="G233" s="71">
        <v>1.17</v>
      </c>
      <c r="H233" s="71">
        <f>I233</f>
        <v>0.46200000000000002</v>
      </c>
      <c r="I233" s="254">
        <v>0.46200000000000002</v>
      </c>
      <c r="J233" s="42" t="s">
        <v>151</v>
      </c>
      <c r="K233" s="51" t="s">
        <v>135</v>
      </c>
      <c r="M233" s="31"/>
      <c r="N233" s="315">
        <f>H233-G233</f>
        <v>-0.70799999999999996</v>
      </c>
      <c r="O233" s="284">
        <f>(N233/G233)</f>
        <v>-0.60512820512820509</v>
      </c>
      <c r="P233" s="296"/>
      <c r="Q233" s="297">
        <f>(P233*G233)/1000</f>
        <v>0</v>
      </c>
      <c r="R233" s="297">
        <f>(P233*H233)/1000</f>
        <v>0</v>
      </c>
      <c r="S233" s="298">
        <f>R233-Q233</f>
        <v>0</v>
      </c>
      <c r="T233" s="297">
        <f>(P233*I233)/1000</f>
        <v>0</v>
      </c>
      <c r="U233" s="298">
        <f>R233-T233</f>
        <v>0</v>
      </c>
      <c r="V233" s="291" t="s">
        <v>160</v>
      </c>
      <c r="W233" s="291" t="s">
        <v>160</v>
      </c>
      <c r="Z233" s="282"/>
    </row>
    <row r="234" spans="1:26" x14ac:dyDescent="0.3">
      <c r="A234" s="27">
        <f t="shared" si="28"/>
        <v>215</v>
      </c>
      <c r="D234" s="68" t="s">
        <v>163</v>
      </c>
      <c r="F234" s="27" t="s">
        <v>119</v>
      </c>
      <c r="G234" s="71">
        <v>0.55700000000000005</v>
      </c>
      <c r="H234" s="71">
        <f>I234</f>
        <v>0.22</v>
      </c>
      <c r="I234" s="254">
        <v>0.22</v>
      </c>
      <c r="J234" s="42" t="s">
        <v>151</v>
      </c>
      <c r="K234" s="51" t="s">
        <v>135</v>
      </c>
      <c r="M234" s="31"/>
      <c r="N234" s="315">
        <f>H234-G234</f>
        <v>-0.33700000000000008</v>
      </c>
      <c r="O234" s="284">
        <f>(N234/G234)</f>
        <v>-0.60502692998204677</v>
      </c>
      <c r="P234" s="296"/>
      <c r="Q234" s="297">
        <f>(P234*G234)/1000</f>
        <v>0</v>
      </c>
      <c r="R234" s="297">
        <f>(P234*H234)/1000</f>
        <v>0</v>
      </c>
      <c r="S234" s="298">
        <f>R234-Q234</f>
        <v>0</v>
      </c>
      <c r="T234" s="297">
        <f>(P234*I234)/1000</f>
        <v>0</v>
      </c>
      <c r="U234" s="298">
        <f>R234-T234</f>
        <v>0</v>
      </c>
      <c r="V234" s="291" t="s">
        <v>160</v>
      </c>
      <c r="W234" s="291" t="s">
        <v>160</v>
      </c>
      <c r="Z234" s="282"/>
    </row>
    <row r="235" spans="1:26" x14ac:dyDescent="0.3">
      <c r="A235" s="27">
        <f t="shared" si="28"/>
        <v>216</v>
      </c>
      <c r="M235" s="31"/>
      <c r="P235" s="296"/>
      <c r="Q235" s="296"/>
      <c r="R235" s="296"/>
      <c r="T235" s="296"/>
      <c r="U235" s="283"/>
      <c r="V235" s="291"/>
      <c r="W235" s="291"/>
      <c r="Z235" s="282"/>
    </row>
    <row r="236" spans="1:26" x14ac:dyDescent="0.3">
      <c r="A236" s="27">
        <f t="shared" si="28"/>
        <v>217</v>
      </c>
      <c r="D236" s="27" t="s">
        <v>123</v>
      </c>
      <c r="M236" s="31"/>
      <c r="P236" s="296"/>
      <c r="Q236" s="296"/>
      <c r="R236" s="296"/>
      <c r="T236" s="296"/>
      <c r="U236" s="283"/>
      <c r="V236" s="291"/>
      <c r="W236" s="291"/>
      <c r="Z236" s="282"/>
    </row>
    <row r="237" spans="1:26" x14ac:dyDescent="0.3">
      <c r="A237" s="27">
        <f t="shared" si="28"/>
        <v>218</v>
      </c>
      <c r="D237" s="54" t="s">
        <v>101</v>
      </c>
      <c r="F237" s="27" t="s">
        <v>119</v>
      </c>
      <c r="G237" s="49">
        <v>1.31</v>
      </c>
      <c r="H237" s="49">
        <f>I237</f>
        <v>1.3</v>
      </c>
      <c r="I237" s="58">
        <v>1.3</v>
      </c>
      <c r="J237" s="50" t="s">
        <v>124</v>
      </c>
      <c r="K237" s="51" t="s">
        <v>106</v>
      </c>
      <c r="M237" s="31"/>
      <c r="N237" s="308">
        <f>H237-G237</f>
        <v>-1.0000000000000009E-2</v>
      </c>
      <c r="O237" s="284">
        <f>(N237/G237)</f>
        <v>-7.6335877862595486E-3</v>
      </c>
      <c r="P237" s="296">
        <v>0</v>
      </c>
      <c r="Q237" s="297">
        <f>(P237*G237)/1000</f>
        <v>0</v>
      </c>
      <c r="R237" s="297">
        <f>(P237*H237)/1000</f>
        <v>0</v>
      </c>
      <c r="S237" s="298">
        <f>R237-Q237</f>
        <v>0</v>
      </c>
      <c r="T237" s="297">
        <f>(P237*I237)/1000</f>
        <v>0</v>
      </c>
      <c r="U237" s="298">
        <f>R237-T237</f>
        <v>0</v>
      </c>
      <c r="V237" s="291" t="s">
        <v>160</v>
      </c>
      <c r="W237" s="291" t="s">
        <v>160</v>
      </c>
      <c r="Z237" s="282"/>
    </row>
    <row r="238" spans="1:26" x14ac:dyDescent="0.3">
      <c r="A238" s="27">
        <f t="shared" si="28"/>
        <v>219</v>
      </c>
      <c r="D238" s="54" t="s">
        <v>125</v>
      </c>
      <c r="F238" s="27" t="s">
        <v>119</v>
      </c>
      <c r="G238" s="49">
        <v>5.42</v>
      </c>
      <c r="H238" s="49">
        <f t="shared" ref="H238:H239" si="30">I238</f>
        <v>6.18</v>
      </c>
      <c r="I238" s="58">
        <v>6.18</v>
      </c>
      <c r="J238" s="50" t="s">
        <v>124</v>
      </c>
      <c r="K238" s="51" t="s">
        <v>106</v>
      </c>
      <c r="L238" s="51"/>
      <c r="M238" s="52"/>
      <c r="P238" s="296"/>
      <c r="Q238" s="313"/>
      <c r="R238" s="313"/>
      <c r="T238" s="313"/>
      <c r="U238" s="283"/>
      <c r="V238" s="291" t="s">
        <v>160</v>
      </c>
      <c r="W238" s="291" t="s">
        <v>160</v>
      </c>
      <c r="Z238" s="282"/>
    </row>
    <row r="239" spans="1:26" x14ac:dyDescent="0.3">
      <c r="A239" s="27">
        <f t="shared" si="28"/>
        <v>220</v>
      </c>
      <c r="D239" s="54" t="s">
        <v>126</v>
      </c>
      <c r="F239" s="27" t="s">
        <v>119</v>
      </c>
      <c r="G239" s="49">
        <v>7.5</v>
      </c>
      <c r="H239" s="49">
        <f t="shared" si="30"/>
        <v>8.61</v>
      </c>
      <c r="I239" s="58">
        <v>8.61</v>
      </c>
      <c r="J239" s="50" t="s">
        <v>124</v>
      </c>
      <c r="K239" s="51" t="s">
        <v>106</v>
      </c>
      <c r="L239" s="51"/>
      <c r="M239" s="52"/>
      <c r="P239" s="296"/>
      <c r="Q239" s="313"/>
      <c r="R239" s="313"/>
      <c r="T239" s="313"/>
      <c r="U239" s="283"/>
      <c r="V239" s="291"/>
      <c r="W239" s="291"/>
      <c r="Z239" s="282"/>
    </row>
    <row r="240" spans="1:26" x14ac:dyDescent="0.3">
      <c r="A240" s="27">
        <f t="shared" si="28"/>
        <v>221</v>
      </c>
      <c r="D240" s="27" t="s">
        <v>104</v>
      </c>
      <c r="F240" s="27" t="s">
        <v>119</v>
      </c>
      <c r="G240" s="49">
        <v>1.39</v>
      </c>
      <c r="H240" s="49">
        <f>I240</f>
        <v>1.96</v>
      </c>
      <c r="I240" s="49">
        <v>1.96</v>
      </c>
      <c r="J240" s="50" t="s">
        <v>105</v>
      </c>
      <c r="K240" s="51" t="s">
        <v>106</v>
      </c>
      <c r="M240" s="31"/>
      <c r="N240" s="308">
        <f>H240-G240</f>
        <v>0.57000000000000006</v>
      </c>
      <c r="O240" s="284">
        <f>(N240/G240)</f>
        <v>0.41007194244604322</v>
      </c>
      <c r="P240" s="296"/>
      <c r="Q240" s="296"/>
      <c r="R240" s="296"/>
      <c r="T240" s="296"/>
      <c r="U240" s="283"/>
      <c r="V240" s="291" t="s">
        <v>160</v>
      </c>
      <c r="W240" s="291" t="s">
        <v>160</v>
      </c>
      <c r="Z240" s="282"/>
    </row>
    <row r="241" spans="1:29" x14ac:dyDescent="0.3">
      <c r="A241" s="27">
        <f t="shared" si="28"/>
        <v>222</v>
      </c>
      <c r="G241" s="55"/>
      <c r="H241" s="55"/>
      <c r="I241" s="55"/>
      <c r="M241" s="31"/>
      <c r="N241" s="295"/>
      <c r="P241" s="296"/>
      <c r="Q241" s="296"/>
      <c r="R241" s="296"/>
      <c r="T241" s="296"/>
      <c r="U241" s="283"/>
      <c r="V241" s="291"/>
      <c r="W241" s="291"/>
      <c r="Z241" s="282"/>
    </row>
    <row r="242" spans="1:29" x14ac:dyDescent="0.3">
      <c r="A242" s="27">
        <f t="shared" si="28"/>
        <v>223</v>
      </c>
      <c r="C242" s="27" t="s">
        <v>107</v>
      </c>
      <c r="G242" s="51"/>
      <c r="H242" s="51"/>
      <c r="I242" s="51"/>
      <c r="J242" s="50"/>
      <c r="K242" s="51"/>
      <c r="L242" s="51"/>
      <c r="M242" s="52"/>
      <c r="P242" s="296"/>
      <c r="Q242" s="296"/>
      <c r="R242" s="296"/>
      <c r="T242" s="296"/>
      <c r="U242" s="283"/>
      <c r="V242" s="291"/>
      <c r="W242" s="291"/>
      <c r="Z242" s="282"/>
    </row>
    <row r="243" spans="1:29" x14ac:dyDescent="0.3">
      <c r="A243" s="27">
        <f t="shared" si="28"/>
        <v>224</v>
      </c>
      <c r="D243" s="27" t="s">
        <v>101</v>
      </c>
      <c r="F243" s="27" t="s">
        <v>61</v>
      </c>
      <c r="G243" s="62">
        <v>0.01</v>
      </c>
      <c r="H243" s="62">
        <v>0.01</v>
      </c>
      <c r="I243" s="62"/>
      <c r="J243" s="50"/>
      <c r="K243" s="51"/>
      <c r="L243" s="51"/>
      <c r="M243" s="52"/>
      <c r="N243" s="306">
        <f>H243-G243</f>
        <v>0</v>
      </c>
      <c r="O243" s="284">
        <f>(N243/G243)</f>
        <v>0</v>
      </c>
      <c r="P243" s="296"/>
      <c r="Q243" s="297">
        <f>(P243*G243)/1000</f>
        <v>0</v>
      </c>
      <c r="R243" s="297">
        <f>(P243*H243)/1000</f>
        <v>0</v>
      </c>
      <c r="S243" s="298">
        <f>R243-Q243</f>
        <v>0</v>
      </c>
      <c r="T243" s="297">
        <f>(P243*I243)/1000</f>
        <v>0</v>
      </c>
      <c r="U243" s="298">
        <f>R243-T243</f>
        <v>0</v>
      </c>
      <c r="V243" s="291" t="s">
        <v>160</v>
      </c>
      <c r="W243" s="291" t="s">
        <v>160</v>
      </c>
      <c r="Z243" s="282"/>
    </row>
    <row r="244" spans="1:29" x14ac:dyDescent="0.3">
      <c r="A244" s="27">
        <f t="shared" si="28"/>
        <v>225</v>
      </c>
      <c r="D244" s="27" t="s">
        <v>102</v>
      </c>
      <c r="F244" s="27" t="s">
        <v>61</v>
      </c>
      <c r="G244" s="62">
        <v>0.02</v>
      </c>
      <c r="H244" s="62">
        <v>0.02</v>
      </c>
      <c r="I244" s="62"/>
      <c r="J244" s="50"/>
      <c r="K244" s="51"/>
      <c r="L244" s="51"/>
      <c r="M244" s="52"/>
      <c r="N244" s="306">
        <f>H244-G244</f>
        <v>0</v>
      </c>
      <c r="O244" s="284">
        <f>(N244/G244)</f>
        <v>0</v>
      </c>
      <c r="P244" s="296"/>
      <c r="Q244" s="297">
        <f>(P244*G244)/1000</f>
        <v>0</v>
      </c>
      <c r="R244" s="297">
        <f>(P244*H244)/1000</f>
        <v>0</v>
      </c>
      <c r="S244" s="298">
        <f>R244-Q244</f>
        <v>0</v>
      </c>
      <c r="T244" s="297">
        <f>(P244*I244)/1000</f>
        <v>0</v>
      </c>
      <c r="U244" s="298">
        <f>R244-T244</f>
        <v>0</v>
      </c>
      <c r="V244" s="291" t="s">
        <v>160</v>
      </c>
      <c r="W244" s="291" t="s">
        <v>160</v>
      </c>
      <c r="Z244" s="282"/>
    </row>
    <row r="245" spans="1:29" x14ac:dyDescent="0.3">
      <c r="A245" s="27">
        <f t="shared" si="28"/>
        <v>226</v>
      </c>
      <c r="G245" s="62"/>
      <c r="H245" s="62"/>
      <c r="I245" s="62"/>
      <c r="J245" s="50"/>
      <c r="K245" s="51"/>
      <c r="L245" s="51"/>
      <c r="M245" s="52"/>
      <c r="N245" s="306"/>
      <c r="P245" s="296"/>
      <c r="Q245" s="297"/>
      <c r="R245" s="297"/>
      <c r="S245" s="298"/>
      <c r="T245" s="297"/>
      <c r="U245" s="298"/>
      <c r="V245" s="291"/>
      <c r="W245" s="291"/>
      <c r="Z245" s="282"/>
    </row>
    <row r="246" spans="1:29" x14ac:dyDescent="0.3">
      <c r="A246" s="27">
        <f t="shared" si="28"/>
        <v>227</v>
      </c>
      <c r="C246" s="27" t="s">
        <v>109</v>
      </c>
      <c r="F246" s="27" t="s">
        <v>61</v>
      </c>
      <c r="G246" s="63">
        <v>1.0800000000000001E-2</v>
      </c>
      <c r="H246" s="64">
        <f>I246</f>
        <v>9.5999999999999992E-3</v>
      </c>
      <c r="I246" s="65">
        <v>9.5999999999999992E-3</v>
      </c>
      <c r="J246" s="42" t="s">
        <v>110</v>
      </c>
      <c r="K246" s="66" t="s">
        <v>111</v>
      </c>
      <c r="M246" s="31"/>
      <c r="N246" s="295"/>
      <c r="P246" s="296"/>
      <c r="Q246" s="296"/>
      <c r="R246" s="296"/>
      <c r="T246" s="296"/>
      <c r="U246" s="283"/>
      <c r="V246" s="291"/>
      <c r="W246" s="291"/>
      <c r="Z246" s="282"/>
    </row>
    <row r="247" spans="1:29" ht="14.4" thickBot="1" x14ac:dyDescent="0.35">
      <c r="B247" s="31"/>
      <c r="C247" s="31"/>
      <c r="D247" s="31"/>
      <c r="E247" s="31"/>
      <c r="F247" s="31"/>
      <c r="G247" s="31"/>
      <c r="H247" s="31"/>
      <c r="I247" s="31"/>
      <c r="J247" s="44"/>
      <c r="K247" s="31"/>
      <c r="L247" s="31"/>
      <c r="M247" s="31"/>
      <c r="N247" s="300"/>
      <c r="O247" s="301"/>
      <c r="P247" s="302"/>
      <c r="Q247" s="303">
        <f>SUM(Q214:Q246)</f>
        <v>3502.5227120907994</v>
      </c>
      <c r="R247" s="303">
        <f>SUM(R214:R246)</f>
        <v>4439.9473150572549</v>
      </c>
      <c r="S247" s="303">
        <f>SUM(S214:S246)</f>
        <v>937.4246029664555</v>
      </c>
      <c r="T247" s="303">
        <f>SUM(T214:T246)</f>
        <v>4288.5542156384681</v>
      </c>
      <c r="U247" s="303">
        <f>SUM(U214:U246)</f>
        <v>151.39309941878707</v>
      </c>
      <c r="V247" s="291"/>
      <c r="W247" s="291"/>
      <c r="Z247" s="282"/>
    </row>
    <row r="248" spans="1:29" ht="14.4" thickTop="1" x14ac:dyDescent="0.3">
      <c r="A248" s="27">
        <f>+A246+1</f>
        <v>228</v>
      </c>
      <c r="B248" s="48"/>
      <c r="M248" s="31"/>
      <c r="P248" s="296"/>
      <c r="Q248" s="296"/>
      <c r="R248" s="296"/>
      <c r="S248" s="296"/>
      <c r="T248" s="296"/>
      <c r="U248" s="283"/>
      <c r="V248" s="291"/>
      <c r="W248" s="291"/>
      <c r="Z248" s="282"/>
    </row>
    <row r="249" spans="1:29" x14ac:dyDescent="0.3">
      <c r="A249" s="27">
        <f t="shared" si="28"/>
        <v>229</v>
      </c>
      <c r="B249" s="48" t="s">
        <v>164</v>
      </c>
      <c r="C249" s="27" t="s">
        <v>65</v>
      </c>
      <c r="M249" s="31"/>
      <c r="P249" s="296"/>
      <c r="Q249" s="296"/>
      <c r="R249" s="296"/>
      <c r="T249" s="296"/>
      <c r="U249" s="283"/>
      <c r="V249" s="291"/>
      <c r="W249" s="291"/>
      <c r="Z249" s="282"/>
    </row>
    <row r="250" spans="1:29" x14ac:dyDescent="0.3">
      <c r="A250" s="27">
        <f t="shared" si="28"/>
        <v>230</v>
      </c>
      <c r="D250" s="27" t="s">
        <v>99</v>
      </c>
      <c r="F250" s="27" t="s">
        <v>60</v>
      </c>
      <c r="G250" s="51">
        <v>120.08</v>
      </c>
      <c r="H250" s="49">
        <v>156.7672377094168</v>
      </c>
      <c r="I250" s="49">
        <v>82.321758637420231</v>
      </c>
      <c r="J250" s="50" t="s">
        <v>151</v>
      </c>
      <c r="K250" s="51" t="s">
        <v>152</v>
      </c>
      <c r="L250" s="51"/>
      <c r="M250" s="52"/>
      <c r="N250" s="308">
        <f>H250-G250</f>
        <v>36.687237709416806</v>
      </c>
      <c r="O250" s="284">
        <f>(N250/G250)</f>
        <v>0.30552329871266493</v>
      </c>
      <c r="P250" s="296"/>
      <c r="Q250" s="297">
        <f>(P250*G250)/1000</f>
        <v>0</v>
      </c>
      <c r="R250" s="297">
        <f>(P250*H250)/1000</f>
        <v>0</v>
      </c>
      <c r="S250" s="298">
        <f>R250-Q250</f>
        <v>0</v>
      </c>
      <c r="T250" s="297">
        <f>(P250*I250)/1000</f>
        <v>0</v>
      </c>
      <c r="U250" s="298">
        <f>R250-T250</f>
        <v>0</v>
      </c>
      <c r="V250" s="291" t="s">
        <v>164</v>
      </c>
      <c r="W250" s="291" t="s">
        <v>164</v>
      </c>
      <c r="Z250" s="282"/>
      <c r="AC250" s="27" t="b">
        <f t="shared" ref="AC250:AC253" si="31">H250&gt;=I250</f>
        <v>1</v>
      </c>
    </row>
    <row r="251" spans="1:29" x14ac:dyDescent="0.3">
      <c r="A251" s="27">
        <f t="shared" si="28"/>
        <v>231</v>
      </c>
      <c r="D251" s="27" t="s">
        <v>101</v>
      </c>
      <c r="F251" s="27" t="s">
        <v>60</v>
      </c>
      <c r="G251" s="51">
        <v>280.95</v>
      </c>
      <c r="H251" s="51">
        <v>432.09</v>
      </c>
      <c r="I251" s="49">
        <v>219.13750953241291</v>
      </c>
      <c r="J251" s="50" t="s">
        <v>151</v>
      </c>
      <c r="K251" s="51" t="s">
        <v>69</v>
      </c>
      <c r="L251" s="51"/>
      <c r="M251" s="52"/>
      <c r="N251" s="308">
        <f>H251-G251</f>
        <v>151.13999999999999</v>
      </c>
      <c r="O251" s="284">
        <f>(N251/G251)</f>
        <v>0.5379604911906033</v>
      </c>
      <c r="P251" s="296">
        <v>0</v>
      </c>
      <c r="Q251" s="297">
        <f>(P251*G251)/1000</f>
        <v>0</v>
      </c>
      <c r="R251" s="297">
        <f>(P251*H251)/1000</f>
        <v>0</v>
      </c>
      <c r="S251" s="298">
        <f>R251-Q251</f>
        <v>0</v>
      </c>
      <c r="T251" s="297">
        <f>(P251*I251)/1000</f>
        <v>0</v>
      </c>
      <c r="U251" s="298">
        <f>R251-T251</f>
        <v>0</v>
      </c>
      <c r="V251" s="291" t="s">
        <v>164</v>
      </c>
      <c r="W251" s="291" t="s">
        <v>164</v>
      </c>
      <c r="Z251" s="282"/>
      <c r="AC251" s="27" t="b">
        <f t="shared" si="31"/>
        <v>1</v>
      </c>
    </row>
    <row r="252" spans="1:29" x14ac:dyDescent="0.3">
      <c r="A252" s="27">
        <f t="shared" si="28"/>
        <v>232</v>
      </c>
      <c r="D252" s="27" t="s">
        <v>102</v>
      </c>
      <c r="F252" s="27" t="s">
        <v>60</v>
      </c>
      <c r="G252" s="51">
        <v>968</v>
      </c>
      <c r="H252" s="51">
        <v>1488.73</v>
      </c>
      <c r="I252" s="49">
        <v>394.22003742369503</v>
      </c>
      <c r="J252" s="50" t="s">
        <v>151</v>
      </c>
      <c r="K252" s="51" t="s">
        <v>69</v>
      </c>
      <c r="L252" s="51"/>
      <c r="M252" s="52"/>
      <c r="N252" s="308">
        <f>H252-G252</f>
        <v>520.73</v>
      </c>
      <c r="O252" s="284">
        <f>(N252/G252)</f>
        <v>0.53794421487603306</v>
      </c>
      <c r="P252" s="296">
        <v>0</v>
      </c>
      <c r="Q252" s="297">
        <f>(P252*G252)/1000</f>
        <v>0</v>
      </c>
      <c r="R252" s="297">
        <f>(P252*H252)/1000</f>
        <v>0</v>
      </c>
      <c r="S252" s="298">
        <f>R252-Q252</f>
        <v>0</v>
      </c>
      <c r="T252" s="297">
        <f>(P252*I252)/1000</f>
        <v>0</v>
      </c>
      <c r="U252" s="298">
        <f>R252-T252</f>
        <v>0</v>
      </c>
      <c r="V252" s="291" t="s">
        <v>164</v>
      </c>
      <c r="W252" s="291" t="s">
        <v>164</v>
      </c>
      <c r="Z252" s="282"/>
      <c r="AC252" s="27" t="b">
        <f t="shared" si="31"/>
        <v>1</v>
      </c>
    </row>
    <row r="253" spans="1:29" x14ac:dyDescent="0.3">
      <c r="A253" s="27">
        <f t="shared" si="28"/>
        <v>233</v>
      </c>
      <c r="D253" s="27" t="s">
        <v>153</v>
      </c>
      <c r="F253" s="27" t="s">
        <v>60</v>
      </c>
      <c r="G253" s="51">
        <v>96.8</v>
      </c>
      <c r="H253" s="51">
        <v>145.94</v>
      </c>
      <c r="I253" s="49"/>
      <c r="J253" s="50"/>
      <c r="K253" s="51" t="s">
        <v>69</v>
      </c>
      <c r="L253" s="51"/>
      <c r="M253" s="52"/>
      <c r="N253" s="308">
        <f>H253-G253</f>
        <v>49.14</v>
      </c>
      <c r="O253" s="284">
        <f>(N253/G253)</f>
        <v>0.50764462809917354</v>
      </c>
      <c r="P253" s="296">
        <v>12.099999999999996</v>
      </c>
      <c r="Q253" s="297">
        <f>(P253*G253)/1000</f>
        <v>1.1712799999999994</v>
      </c>
      <c r="R253" s="297">
        <f>(P253*H253)/1000</f>
        <v>1.7658739999999993</v>
      </c>
      <c r="S253" s="298">
        <f>R253-Q253</f>
        <v>0.59459399999999984</v>
      </c>
      <c r="T253" s="297">
        <f>(P253*I253)/1000</f>
        <v>0</v>
      </c>
      <c r="U253" s="298">
        <f>R253-T253</f>
        <v>1.7658739999999993</v>
      </c>
      <c r="V253" s="291" t="s">
        <v>164</v>
      </c>
      <c r="W253" s="291" t="s">
        <v>164</v>
      </c>
      <c r="Z253" s="282"/>
      <c r="AC253" s="27" t="b">
        <f t="shared" si="31"/>
        <v>1</v>
      </c>
    </row>
    <row r="254" spans="1:29" x14ac:dyDescent="0.3">
      <c r="A254" s="27">
        <f t="shared" si="28"/>
        <v>234</v>
      </c>
      <c r="G254" s="51"/>
      <c r="H254" s="51"/>
      <c r="I254" s="56"/>
      <c r="J254" s="50"/>
      <c r="K254" s="51"/>
      <c r="L254" s="51"/>
      <c r="M254" s="52"/>
      <c r="P254" s="296"/>
      <c r="Q254" s="296"/>
      <c r="R254" s="296"/>
      <c r="T254" s="296"/>
      <c r="U254" s="283"/>
      <c r="V254" s="291"/>
      <c r="W254" s="291"/>
      <c r="Z254" s="282"/>
    </row>
    <row r="255" spans="1:29" x14ac:dyDescent="0.3">
      <c r="A255" s="27">
        <f t="shared" si="28"/>
        <v>235</v>
      </c>
      <c r="C255" s="68" t="s">
        <v>75</v>
      </c>
      <c r="D255" s="68"/>
      <c r="F255" s="27" t="s">
        <v>78</v>
      </c>
      <c r="G255" s="56">
        <v>1.343</v>
      </c>
      <c r="H255" s="56">
        <v>1.7600000000000002</v>
      </c>
      <c r="I255" s="56">
        <v>0.60799999999999998</v>
      </c>
      <c r="J255" s="50" t="s">
        <v>151</v>
      </c>
      <c r="K255" s="51" t="s">
        <v>69</v>
      </c>
      <c r="L255" s="56"/>
      <c r="M255" s="60"/>
      <c r="N255" s="295">
        <f>H255-G255</f>
        <v>0.41700000000000026</v>
      </c>
      <c r="O255" s="284">
        <f>(N255/G255)</f>
        <v>0.31049888309754303</v>
      </c>
      <c r="P255" s="296">
        <v>72451.900000000009</v>
      </c>
      <c r="Q255" s="297">
        <f>(P255*G255*10)/1000</f>
        <v>973.02901700000018</v>
      </c>
      <c r="R255" s="297">
        <f>(P255*H255*10)/1000</f>
        <v>1275.1534400000003</v>
      </c>
      <c r="S255" s="298">
        <f>R255-Q255</f>
        <v>302.12442300000009</v>
      </c>
      <c r="T255" s="297">
        <f>(P255*I255*10)/1000</f>
        <v>440.50755200000009</v>
      </c>
      <c r="U255" s="298">
        <f>R255-T255</f>
        <v>834.64588800000024</v>
      </c>
      <c r="V255" s="291" t="s">
        <v>164</v>
      </c>
      <c r="W255" s="291" t="s">
        <v>164</v>
      </c>
      <c r="Z255" s="282"/>
    </row>
    <row r="256" spans="1:29" x14ac:dyDescent="0.3">
      <c r="A256" s="27">
        <f t="shared" si="28"/>
        <v>236</v>
      </c>
      <c r="C256" s="69"/>
      <c r="D256" s="68"/>
      <c r="G256" s="51"/>
      <c r="H256" s="51"/>
      <c r="I256" s="51"/>
      <c r="J256" s="50"/>
      <c r="K256" s="51"/>
      <c r="L256" s="51"/>
      <c r="M256" s="52"/>
      <c r="P256" s="296"/>
      <c r="Q256" s="296"/>
      <c r="R256" s="296"/>
      <c r="T256" s="296"/>
      <c r="U256" s="283"/>
      <c r="V256" s="291"/>
      <c r="W256" s="291"/>
      <c r="Z256" s="282"/>
    </row>
    <row r="257" spans="1:26" x14ac:dyDescent="0.3">
      <c r="A257" s="27">
        <f t="shared" si="28"/>
        <v>237</v>
      </c>
      <c r="C257" s="68" t="s">
        <v>154</v>
      </c>
      <c r="D257" s="68"/>
      <c r="G257" s="51"/>
      <c r="H257" s="51"/>
      <c r="I257" s="51"/>
      <c r="J257" s="50"/>
      <c r="K257" s="51"/>
      <c r="L257" s="51"/>
      <c r="M257" s="52"/>
      <c r="P257" s="296"/>
      <c r="Q257" s="296"/>
      <c r="R257" s="296"/>
      <c r="T257" s="296"/>
      <c r="U257" s="283"/>
      <c r="V257" s="291"/>
      <c r="W257" s="291"/>
      <c r="Z257" s="282"/>
    </row>
    <row r="258" spans="1:26" x14ac:dyDescent="0.3">
      <c r="A258" s="27">
        <f t="shared" si="28"/>
        <v>238</v>
      </c>
      <c r="D258" s="68" t="s">
        <v>155</v>
      </c>
      <c r="F258" s="27" t="s">
        <v>119</v>
      </c>
      <c r="G258" s="51">
        <v>2.72</v>
      </c>
      <c r="H258" s="51">
        <v>3.43</v>
      </c>
      <c r="I258" s="51">
        <v>6.2299999999999995</v>
      </c>
      <c r="J258" s="50" t="s">
        <v>151</v>
      </c>
      <c r="K258" s="51" t="s">
        <v>69</v>
      </c>
      <c r="L258" s="51"/>
      <c r="M258" s="52"/>
      <c r="N258" s="308">
        <f>H258-G258</f>
        <v>0.71</v>
      </c>
      <c r="O258" s="284">
        <f>(N258/G258)</f>
        <v>0.26102941176470584</v>
      </c>
      <c r="P258" s="296">
        <v>266652</v>
      </c>
      <c r="Q258" s="297">
        <f>(P258*G258)/1000</f>
        <v>725.29344000000003</v>
      </c>
      <c r="R258" s="297">
        <f>(P258*H258)/1000</f>
        <v>914.61635999999999</v>
      </c>
      <c r="S258" s="298">
        <f>R258-Q258</f>
        <v>189.32291999999995</v>
      </c>
      <c r="T258" s="297">
        <f>(P258*I258)/1000</f>
        <v>1661.2419600000001</v>
      </c>
      <c r="U258" s="298">
        <f>R258-T258</f>
        <v>-746.62560000000008</v>
      </c>
      <c r="V258" s="291" t="s">
        <v>164</v>
      </c>
      <c r="W258" s="291" t="s">
        <v>164</v>
      </c>
      <c r="Z258" s="282"/>
    </row>
    <row r="259" spans="1:26" x14ac:dyDescent="0.3">
      <c r="A259" s="27">
        <f t="shared" si="28"/>
        <v>239</v>
      </c>
      <c r="C259" s="68"/>
      <c r="G259" s="51"/>
      <c r="H259" s="51"/>
      <c r="I259" s="51"/>
      <c r="J259" s="50"/>
      <c r="K259" s="51"/>
      <c r="L259" s="51"/>
      <c r="M259" s="52"/>
      <c r="P259" s="296"/>
      <c r="Q259" s="296"/>
      <c r="R259" s="296"/>
      <c r="T259" s="296"/>
      <c r="U259" s="283"/>
      <c r="V259" s="291"/>
      <c r="W259" s="291"/>
      <c r="Z259" s="282"/>
    </row>
    <row r="260" spans="1:26" x14ac:dyDescent="0.3">
      <c r="A260" s="27">
        <f t="shared" si="28"/>
        <v>240</v>
      </c>
      <c r="C260" s="68" t="s">
        <v>156</v>
      </c>
      <c r="D260" s="68"/>
      <c r="G260" s="51"/>
      <c r="H260" s="51"/>
      <c r="I260" s="51"/>
      <c r="J260" s="50"/>
      <c r="K260" s="51"/>
      <c r="L260" s="51"/>
      <c r="M260" s="52"/>
      <c r="P260" s="296"/>
      <c r="Q260" s="296"/>
      <c r="R260" s="296"/>
      <c r="T260" s="296"/>
      <c r="U260" s="283"/>
      <c r="V260" s="291"/>
      <c r="W260" s="291"/>
      <c r="Z260" s="282"/>
    </row>
    <row r="261" spans="1:26" x14ac:dyDescent="0.3">
      <c r="A261" s="27">
        <f t="shared" si="28"/>
        <v>241</v>
      </c>
      <c r="C261" s="68"/>
      <c r="D261" s="68" t="s">
        <v>157</v>
      </c>
      <c r="G261" s="51"/>
      <c r="H261" s="51"/>
      <c r="I261" s="51"/>
      <c r="J261" s="50"/>
      <c r="K261" s="51"/>
      <c r="L261" s="51"/>
      <c r="M261" s="52"/>
      <c r="P261" s="296"/>
      <c r="Q261" s="296"/>
      <c r="R261" s="296"/>
      <c r="T261" s="296"/>
      <c r="U261" s="283"/>
      <c r="V261" s="291"/>
      <c r="W261" s="291"/>
      <c r="Z261" s="282"/>
    </row>
    <row r="262" spans="1:26" x14ac:dyDescent="0.3">
      <c r="A262" s="27">
        <f t="shared" si="28"/>
        <v>242</v>
      </c>
      <c r="C262" s="68"/>
      <c r="D262" s="68" t="s">
        <v>158</v>
      </c>
      <c r="G262" s="51"/>
      <c r="H262" s="51"/>
      <c r="I262" s="51"/>
      <c r="J262" s="50"/>
      <c r="K262" s="51"/>
      <c r="L262" s="51"/>
      <c r="M262" s="52"/>
      <c r="P262" s="296"/>
      <c r="Q262" s="296"/>
      <c r="R262" s="296"/>
      <c r="T262" s="296"/>
      <c r="U262" s="283"/>
      <c r="V262" s="291"/>
      <c r="W262" s="291"/>
      <c r="Z262" s="282"/>
    </row>
    <row r="263" spans="1:26" x14ac:dyDescent="0.3">
      <c r="A263" s="27">
        <f t="shared" si="28"/>
        <v>243</v>
      </c>
      <c r="C263" s="68"/>
      <c r="D263" s="70" t="s">
        <v>155</v>
      </c>
      <c r="F263" s="27" t="s">
        <v>119</v>
      </c>
      <c r="G263" s="71">
        <v>1.5269999999999999</v>
      </c>
      <c r="H263" s="71">
        <v>1.9570000000000001</v>
      </c>
      <c r="I263" s="71">
        <v>2.1240000000000001</v>
      </c>
      <c r="J263" s="50" t="s">
        <v>151</v>
      </c>
      <c r="K263" s="51" t="s">
        <v>69</v>
      </c>
      <c r="L263" s="51"/>
      <c r="M263" s="52"/>
      <c r="N263" s="315">
        <f>H263-G263</f>
        <v>0.43000000000000016</v>
      </c>
      <c r="O263" s="284">
        <f>(N263/G263)</f>
        <v>0.28159790438768839</v>
      </c>
      <c r="P263" s="296">
        <v>0</v>
      </c>
      <c r="Q263" s="297">
        <f>(P263*G263)/1000</f>
        <v>0</v>
      </c>
      <c r="R263" s="297">
        <f>(P263*H263)/1000</f>
        <v>0</v>
      </c>
      <c r="S263" s="298">
        <f>R263-Q263</f>
        <v>0</v>
      </c>
      <c r="T263" s="297">
        <f>(P263*I263)/1000</f>
        <v>0</v>
      </c>
      <c r="U263" s="298">
        <f>R263-T263</f>
        <v>0</v>
      </c>
      <c r="V263" s="291" t="s">
        <v>164</v>
      </c>
      <c r="W263" s="291" t="s">
        <v>164</v>
      </c>
      <c r="Z263" s="282"/>
    </row>
    <row r="264" spans="1:26" x14ac:dyDescent="0.3">
      <c r="A264" s="27">
        <f t="shared" si="28"/>
        <v>244</v>
      </c>
      <c r="D264" s="68" t="s">
        <v>159</v>
      </c>
      <c r="F264" s="27" t="s">
        <v>119</v>
      </c>
      <c r="G264" s="71">
        <v>0.72799999999999998</v>
      </c>
      <c r="H264" s="71">
        <v>0.93100000000000005</v>
      </c>
      <c r="I264" s="71">
        <v>1.0109999999999999</v>
      </c>
      <c r="J264" s="50" t="s">
        <v>151</v>
      </c>
      <c r="K264" s="51" t="s">
        <v>69</v>
      </c>
      <c r="L264" s="51"/>
      <c r="M264" s="52"/>
      <c r="N264" s="315">
        <f>H264-G264</f>
        <v>0.20300000000000007</v>
      </c>
      <c r="O264" s="284">
        <f>(N264/G264)</f>
        <v>0.27884615384615397</v>
      </c>
      <c r="P264" s="296">
        <v>2035653.2099715918</v>
      </c>
      <c r="Q264" s="297">
        <f>(P264*G264)/1000</f>
        <v>1481.955536859319</v>
      </c>
      <c r="R264" s="297">
        <f>(P264*H264)/1000</f>
        <v>1895.193138483552</v>
      </c>
      <c r="S264" s="298">
        <f>R264-Q264</f>
        <v>413.23760162423309</v>
      </c>
      <c r="T264" s="297">
        <f>(P264*I264)/1000</f>
        <v>2058.0453952812791</v>
      </c>
      <c r="U264" s="298">
        <f>R264-T264</f>
        <v>-162.85225679772702</v>
      </c>
      <c r="V264" s="291" t="s">
        <v>164</v>
      </c>
      <c r="W264" s="291" t="s">
        <v>164</v>
      </c>
      <c r="Z264" s="282"/>
    </row>
    <row r="265" spans="1:26" x14ac:dyDescent="0.3">
      <c r="A265" s="27">
        <f t="shared" si="28"/>
        <v>245</v>
      </c>
      <c r="G265" s="71"/>
      <c r="H265" s="71"/>
      <c r="I265" s="51"/>
      <c r="J265" s="50"/>
      <c r="K265" s="51"/>
      <c r="L265" s="51"/>
      <c r="M265" s="52"/>
      <c r="P265" s="296"/>
      <c r="Q265" s="296"/>
      <c r="R265" s="296"/>
      <c r="T265" s="296"/>
      <c r="U265" s="283"/>
      <c r="V265" s="291"/>
      <c r="W265" s="291"/>
      <c r="Z265" s="282"/>
    </row>
    <row r="266" spans="1:26" x14ac:dyDescent="0.3">
      <c r="A266" s="27">
        <f t="shared" si="28"/>
        <v>246</v>
      </c>
      <c r="C266" s="27" t="s">
        <v>165</v>
      </c>
      <c r="G266" s="71"/>
      <c r="H266" s="71"/>
      <c r="I266" s="51"/>
      <c r="J266" s="50"/>
      <c r="K266" s="51"/>
      <c r="L266" s="51"/>
      <c r="M266" s="52"/>
      <c r="P266" s="296"/>
      <c r="Q266" s="296"/>
      <c r="R266" s="296"/>
      <c r="T266" s="296"/>
      <c r="U266" s="283"/>
      <c r="V266" s="291"/>
      <c r="W266" s="291"/>
      <c r="Z266" s="282"/>
    </row>
    <row r="267" spans="1:26" x14ac:dyDescent="0.3">
      <c r="A267" s="27">
        <f t="shared" si="28"/>
        <v>247</v>
      </c>
      <c r="D267" s="68" t="s">
        <v>162</v>
      </c>
      <c r="F267" s="27" t="s">
        <v>119</v>
      </c>
      <c r="G267" s="71">
        <v>0.877</v>
      </c>
      <c r="H267" s="71">
        <f>I267</f>
        <v>0.58199999999999996</v>
      </c>
      <c r="I267" s="254">
        <v>0.58199999999999996</v>
      </c>
      <c r="J267" s="42" t="s">
        <v>151</v>
      </c>
      <c r="K267" s="51" t="s">
        <v>135</v>
      </c>
      <c r="M267" s="31"/>
      <c r="N267" s="315">
        <f>H267-G267</f>
        <v>-0.29500000000000004</v>
      </c>
      <c r="O267" s="284">
        <f>(N267/G267)</f>
        <v>-0.33637400228050174</v>
      </c>
      <c r="P267" s="296"/>
      <c r="Q267" s="296"/>
      <c r="R267" s="296"/>
      <c r="S267" s="298">
        <f>R267-Q267</f>
        <v>0</v>
      </c>
      <c r="T267" s="296"/>
      <c r="U267" s="298">
        <f>R267-T267</f>
        <v>0</v>
      </c>
      <c r="V267" s="291" t="s">
        <v>164</v>
      </c>
      <c r="W267" s="291" t="s">
        <v>164</v>
      </c>
      <c r="Z267" s="282"/>
    </row>
    <row r="268" spans="1:26" x14ac:dyDescent="0.3">
      <c r="A268" s="27">
        <f t="shared" si="28"/>
        <v>248</v>
      </c>
      <c r="D268" s="68" t="s">
        <v>163</v>
      </c>
      <c r="F268" s="27" t="s">
        <v>119</v>
      </c>
      <c r="G268" s="71">
        <v>0.41799999999999998</v>
      </c>
      <c r="H268" s="71">
        <f>I268</f>
        <v>0.27700000000000002</v>
      </c>
      <c r="I268" s="254">
        <v>0.27700000000000002</v>
      </c>
      <c r="J268" s="42" t="s">
        <v>151</v>
      </c>
      <c r="K268" s="51" t="s">
        <v>135</v>
      </c>
      <c r="M268" s="31"/>
      <c r="N268" s="315">
        <f>H268-G268</f>
        <v>-0.14099999999999996</v>
      </c>
      <c r="O268" s="284">
        <f>(N268/G268)</f>
        <v>-0.33732057416267935</v>
      </c>
      <c r="P268" s="296"/>
      <c r="Q268" s="296"/>
      <c r="R268" s="296"/>
      <c r="S268" s="298">
        <f>R268-Q268</f>
        <v>0</v>
      </c>
      <c r="T268" s="296"/>
      <c r="U268" s="298">
        <f>R268-T268</f>
        <v>0</v>
      </c>
      <c r="V268" s="291" t="s">
        <v>164</v>
      </c>
      <c r="W268" s="291" t="s">
        <v>164</v>
      </c>
      <c r="Z268" s="282"/>
    </row>
    <row r="269" spans="1:26" x14ac:dyDescent="0.3">
      <c r="A269" s="27">
        <f t="shared" si="28"/>
        <v>249</v>
      </c>
      <c r="M269" s="31"/>
      <c r="P269" s="296"/>
      <c r="Q269" s="296"/>
      <c r="R269" s="296"/>
      <c r="T269" s="296"/>
      <c r="U269" s="283"/>
      <c r="V269" s="291"/>
      <c r="W269" s="291"/>
      <c r="Z269" s="282"/>
    </row>
    <row r="270" spans="1:26" x14ac:dyDescent="0.3">
      <c r="A270" s="27">
        <f t="shared" ref="A270:A295" si="32">+A269+1</f>
        <v>250</v>
      </c>
      <c r="D270" s="27" t="s">
        <v>123</v>
      </c>
      <c r="M270" s="31"/>
      <c r="P270" s="296"/>
      <c r="Q270" s="296"/>
      <c r="R270" s="296"/>
      <c r="T270" s="296"/>
      <c r="U270" s="283"/>
      <c r="V270" s="291"/>
      <c r="W270" s="291"/>
      <c r="Z270" s="282"/>
    </row>
    <row r="271" spans="1:26" x14ac:dyDescent="0.3">
      <c r="A271" s="27">
        <f t="shared" si="32"/>
        <v>251</v>
      </c>
      <c r="D271" s="54" t="s">
        <v>101</v>
      </c>
      <c r="F271" s="27" t="s">
        <v>119</v>
      </c>
      <c r="G271" s="49">
        <v>1.31</v>
      </c>
      <c r="H271" s="49">
        <f>I271</f>
        <v>1.3</v>
      </c>
      <c r="I271" s="58">
        <v>1.3</v>
      </c>
      <c r="J271" s="50" t="s">
        <v>124</v>
      </c>
      <c r="K271" s="51" t="s">
        <v>106</v>
      </c>
      <c r="M271" s="31"/>
      <c r="N271" s="315">
        <f>H271-G271</f>
        <v>-1.0000000000000009E-2</v>
      </c>
      <c r="O271" s="284">
        <f>(N271/G271)</f>
        <v>-7.6335877862595486E-3</v>
      </c>
      <c r="P271" s="296">
        <v>0</v>
      </c>
      <c r="Q271" s="297">
        <f>(P271*G271)/1000</f>
        <v>0</v>
      </c>
      <c r="R271" s="297">
        <f>(P271*H271)/1000</f>
        <v>0</v>
      </c>
      <c r="S271" s="298">
        <f>R271-Q271</f>
        <v>0</v>
      </c>
      <c r="T271" s="297">
        <f>(P271*I271)/1000</f>
        <v>0</v>
      </c>
      <c r="U271" s="298">
        <f>R271-T271</f>
        <v>0</v>
      </c>
      <c r="V271" s="291" t="s">
        <v>164</v>
      </c>
      <c r="W271" s="291" t="s">
        <v>164</v>
      </c>
      <c r="Z271" s="282"/>
    </row>
    <row r="272" spans="1:26" x14ac:dyDescent="0.3">
      <c r="A272" s="27">
        <f t="shared" si="32"/>
        <v>252</v>
      </c>
      <c r="D272" s="54" t="s">
        <v>125</v>
      </c>
      <c r="F272" s="27" t="s">
        <v>119</v>
      </c>
      <c r="G272" s="49">
        <v>5.42</v>
      </c>
      <c r="H272" s="49">
        <f t="shared" ref="H272:H273" si="33">I272</f>
        <v>6.18</v>
      </c>
      <c r="I272" s="58">
        <v>6.18</v>
      </c>
      <c r="J272" s="50" t="s">
        <v>124</v>
      </c>
      <c r="K272" s="51" t="s">
        <v>106</v>
      </c>
      <c r="L272" s="51"/>
      <c r="M272" s="52"/>
      <c r="P272" s="296"/>
      <c r="Q272" s="313"/>
      <c r="R272" s="313"/>
      <c r="T272" s="313"/>
      <c r="U272" s="283"/>
      <c r="V272" s="291"/>
      <c r="W272" s="291"/>
      <c r="Z272" s="282"/>
    </row>
    <row r="273" spans="1:26" x14ac:dyDescent="0.3">
      <c r="A273" s="27">
        <f t="shared" si="32"/>
        <v>253</v>
      </c>
      <c r="D273" s="54" t="s">
        <v>126</v>
      </c>
      <c r="F273" s="27" t="s">
        <v>119</v>
      </c>
      <c r="G273" s="49">
        <v>7.5</v>
      </c>
      <c r="H273" s="49">
        <f t="shared" si="33"/>
        <v>8.61</v>
      </c>
      <c r="I273" s="58">
        <v>8.61</v>
      </c>
      <c r="J273" s="50" t="s">
        <v>124</v>
      </c>
      <c r="K273" s="51" t="s">
        <v>106</v>
      </c>
      <c r="L273" s="51"/>
      <c r="M273" s="52"/>
      <c r="P273" s="296"/>
      <c r="Q273" s="313"/>
      <c r="R273" s="313"/>
      <c r="T273" s="313"/>
      <c r="U273" s="283"/>
      <c r="V273" s="291"/>
      <c r="W273" s="291"/>
      <c r="Z273" s="282"/>
    </row>
    <row r="274" spans="1:26" x14ac:dyDescent="0.3">
      <c r="A274" s="27">
        <f t="shared" si="32"/>
        <v>254</v>
      </c>
      <c r="D274" s="27" t="s">
        <v>104</v>
      </c>
      <c r="F274" s="27" t="s">
        <v>119</v>
      </c>
      <c r="G274" s="49">
        <v>1.39</v>
      </c>
      <c r="H274" s="49">
        <f>I274</f>
        <v>1.96</v>
      </c>
      <c r="I274" s="49">
        <v>1.96</v>
      </c>
      <c r="J274" s="50" t="s">
        <v>105</v>
      </c>
      <c r="K274" s="51" t="s">
        <v>106</v>
      </c>
      <c r="M274" s="31"/>
      <c r="N274" s="308">
        <f>H274-G274</f>
        <v>0.57000000000000006</v>
      </c>
      <c r="O274" s="284">
        <f>(N274/G274)</f>
        <v>0.41007194244604322</v>
      </c>
      <c r="P274" s="296"/>
      <c r="Q274" s="296"/>
      <c r="R274" s="296"/>
      <c r="T274" s="296"/>
      <c r="U274" s="283"/>
      <c r="V274" s="291" t="s">
        <v>164</v>
      </c>
      <c r="W274" s="291" t="s">
        <v>164</v>
      </c>
      <c r="Z274" s="282"/>
    </row>
    <row r="275" spans="1:26" x14ac:dyDescent="0.3">
      <c r="A275" s="27">
        <f t="shared" si="32"/>
        <v>255</v>
      </c>
      <c r="G275" s="55"/>
      <c r="H275" s="55"/>
      <c r="I275" s="55"/>
      <c r="M275" s="31"/>
      <c r="N275" s="295"/>
      <c r="P275" s="296"/>
      <c r="Q275" s="296"/>
      <c r="R275" s="296"/>
      <c r="T275" s="296"/>
      <c r="U275" s="283"/>
      <c r="V275" s="291"/>
      <c r="W275" s="291"/>
      <c r="Z275" s="282"/>
    </row>
    <row r="276" spans="1:26" x14ac:dyDescent="0.3">
      <c r="A276" s="27">
        <f t="shared" si="32"/>
        <v>256</v>
      </c>
      <c r="C276" s="27" t="s">
        <v>107</v>
      </c>
      <c r="G276" s="51"/>
      <c r="H276" s="51"/>
      <c r="I276" s="51"/>
      <c r="J276" s="50"/>
      <c r="K276" s="51"/>
      <c r="L276" s="51"/>
      <c r="M276" s="52"/>
      <c r="P276" s="296"/>
      <c r="Q276" s="296"/>
      <c r="R276" s="296"/>
      <c r="T276" s="296"/>
      <c r="U276" s="283"/>
      <c r="V276" s="291"/>
      <c r="W276" s="291"/>
      <c r="Z276" s="282"/>
    </row>
    <row r="277" spans="1:26" x14ac:dyDescent="0.3">
      <c r="A277" s="27">
        <f t="shared" si="32"/>
        <v>257</v>
      </c>
      <c r="D277" s="27" t="s">
        <v>101</v>
      </c>
      <c r="F277" s="27" t="s">
        <v>61</v>
      </c>
      <c r="G277" s="62">
        <v>0.01</v>
      </c>
      <c r="H277" s="62">
        <v>0.01</v>
      </c>
      <c r="I277" s="62"/>
      <c r="J277" s="50"/>
      <c r="K277" s="51"/>
      <c r="L277" s="51"/>
      <c r="M277" s="52"/>
      <c r="N277" s="306">
        <f>H277-G277</f>
        <v>0</v>
      </c>
      <c r="O277" s="284">
        <f>(N277/G277)</f>
        <v>0</v>
      </c>
      <c r="P277" s="296"/>
      <c r="Q277" s="297">
        <f>(P277*G277)/1000</f>
        <v>0</v>
      </c>
      <c r="R277" s="297">
        <f>(P277*H277)/1000</f>
        <v>0</v>
      </c>
      <c r="S277" s="298">
        <f>R277-Q277</f>
        <v>0</v>
      </c>
      <c r="T277" s="297">
        <f>(P277*I277)/1000</f>
        <v>0</v>
      </c>
      <c r="U277" s="298">
        <f>R277-T277</f>
        <v>0</v>
      </c>
      <c r="V277" s="291" t="s">
        <v>164</v>
      </c>
      <c r="W277" s="291" t="s">
        <v>164</v>
      </c>
      <c r="Z277" s="282"/>
    </row>
    <row r="278" spans="1:26" x14ac:dyDescent="0.3">
      <c r="A278" s="27">
        <f t="shared" si="32"/>
        <v>258</v>
      </c>
      <c r="D278" s="27" t="s">
        <v>102</v>
      </c>
      <c r="F278" s="27" t="s">
        <v>61</v>
      </c>
      <c r="G278" s="62">
        <v>0.02</v>
      </c>
      <c r="H278" s="62">
        <v>0.02</v>
      </c>
      <c r="I278" s="62"/>
      <c r="J278" s="50"/>
      <c r="K278" s="51"/>
      <c r="L278" s="51"/>
      <c r="M278" s="52"/>
      <c r="N278" s="306">
        <f>H278-G278</f>
        <v>0</v>
      </c>
      <c r="O278" s="284">
        <f>(N278/G278)</f>
        <v>0</v>
      </c>
      <c r="P278" s="296"/>
      <c r="Q278" s="297">
        <f>(P278*G278)/1000</f>
        <v>0</v>
      </c>
      <c r="R278" s="297">
        <f>(P278*H278)/1000</f>
        <v>0</v>
      </c>
      <c r="S278" s="298">
        <f>R278-Q278</f>
        <v>0</v>
      </c>
      <c r="T278" s="297">
        <f>(P278*I278)/1000</f>
        <v>0</v>
      </c>
      <c r="U278" s="298">
        <f>R278-T278</f>
        <v>0</v>
      </c>
      <c r="V278" s="291" t="s">
        <v>164</v>
      </c>
      <c r="W278" s="291" t="s">
        <v>164</v>
      </c>
      <c r="Z278" s="282"/>
    </row>
    <row r="279" spans="1:26" x14ac:dyDescent="0.3">
      <c r="A279" s="27">
        <f t="shared" si="32"/>
        <v>259</v>
      </c>
      <c r="G279" s="62"/>
      <c r="H279" s="62"/>
      <c r="I279" s="62"/>
      <c r="J279" s="50"/>
      <c r="K279" s="51"/>
      <c r="L279" s="51"/>
      <c r="M279" s="52"/>
      <c r="N279" s="306"/>
      <c r="P279" s="296"/>
      <c r="Q279" s="297"/>
      <c r="R279" s="297"/>
      <c r="S279" s="298"/>
      <c r="T279" s="297"/>
      <c r="U279" s="298"/>
      <c r="V279" s="291"/>
      <c r="W279" s="291"/>
      <c r="Z279" s="282"/>
    </row>
    <row r="280" spans="1:26" x14ac:dyDescent="0.3">
      <c r="A280" s="27">
        <f t="shared" si="32"/>
        <v>260</v>
      </c>
      <c r="C280" s="27" t="s">
        <v>109</v>
      </c>
      <c r="F280" s="27" t="s">
        <v>61</v>
      </c>
      <c r="G280" s="63">
        <v>1.0800000000000001E-2</v>
      </c>
      <c r="H280" s="64">
        <f>I280</f>
        <v>9.5999999999999992E-3</v>
      </c>
      <c r="I280" s="65">
        <v>9.5999999999999992E-3</v>
      </c>
      <c r="J280" s="42" t="s">
        <v>110</v>
      </c>
      <c r="K280" s="66" t="s">
        <v>111</v>
      </c>
      <c r="L280" s="51"/>
      <c r="M280" s="52"/>
      <c r="N280" s="295"/>
      <c r="P280" s="296"/>
      <c r="Q280" s="296"/>
      <c r="R280" s="296"/>
      <c r="T280" s="296"/>
      <c r="U280" s="283"/>
      <c r="V280" s="291"/>
      <c r="W280" s="291"/>
      <c r="Z280" s="282"/>
    </row>
    <row r="281" spans="1:26" ht="14.4" thickBot="1" x14ac:dyDescent="0.35">
      <c r="B281" s="31"/>
      <c r="C281" s="31"/>
      <c r="D281" s="31"/>
      <c r="E281" s="31"/>
      <c r="F281" s="31"/>
      <c r="G281" s="31"/>
      <c r="H281" s="31"/>
      <c r="I281" s="31"/>
      <c r="J281" s="44"/>
      <c r="K281" s="31"/>
      <c r="L281" s="31"/>
      <c r="M281" s="31"/>
      <c r="N281" s="300"/>
      <c r="O281" s="301"/>
      <c r="P281" s="302"/>
      <c r="Q281" s="303">
        <f>SUM(Q248:Q280)</f>
        <v>3181.449273859319</v>
      </c>
      <c r="R281" s="303">
        <f>SUM(R248:R280)</f>
        <v>4086.7288124835522</v>
      </c>
      <c r="S281" s="303">
        <f>SUM(S248:S280)</f>
        <v>905.27953862423306</v>
      </c>
      <c r="T281" s="303">
        <f>SUM(T248:T280)</f>
        <v>4159.7949072812789</v>
      </c>
      <c r="U281" s="303">
        <f>SUM(U248:U280)</f>
        <v>-73.066094797726805</v>
      </c>
      <c r="V281" s="291"/>
      <c r="W281" s="291"/>
      <c r="Z281" s="282"/>
    </row>
    <row r="282" spans="1:26" ht="14.4" thickTop="1" x14ac:dyDescent="0.3">
      <c r="A282" s="27">
        <f>A280+1</f>
        <v>261</v>
      </c>
      <c r="B282" s="48"/>
      <c r="C282" s="74"/>
      <c r="D282" s="74"/>
      <c r="E282" s="74"/>
      <c r="G282" s="49"/>
      <c r="H282" s="49"/>
      <c r="I282" s="49"/>
      <c r="J282" s="50"/>
      <c r="K282" s="51"/>
      <c r="L282" s="51"/>
      <c r="M282" s="52"/>
      <c r="N282" s="295"/>
      <c r="P282" s="296"/>
      <c r="Q282" s="296"/>
      <c r="R282" s="296"/>
      <c r="T282" s="296"/>
      <c r="U282" s="283"/>
      <c r="V282" s="291"/>
      <c r="W282" s="291"/>
      <c r="Z282" s="282"/>
    </row>
    <row r="283" spans="1:26" x14ac:dyDescent="0.3">
      <c r="A283" s="27">
        <f t="shared" si="32"/>
        <v>262</v>
      </c>
      <c r="B283" s="48" t="s">
        <v>166</v>
      </c>
      <c r="C283" s="74" t="s">
        <v>167</v>
      </c>
      <c r="D283" s="74"/>
      <c r="E283" s="74"/>
      <c r="F283" s="27" t="s">
        <v>60</v>
      </c>
      <c r="G283" s="49">
        <v>58</v>
      </c>
      <c r="H283" s="49">
        <v>58</v>
      </c>
      <c r="I283" s="49">
        <v>145.13</v>
      </c>
      <c r="J283" s="50" t="s">
        <v>168</v>
      </c>
      <c r="K283" s="51" t="s">
        <v>169</v>
      </c>
      <c r="L283" s="51"/>
      <c r="M283" s="52"/>
      <c r="N283" s="295">
        <f t="shared" ref="N283:N287" si="34">H283-G283</f>
        <v>0</v>
      </c>
      <c r="O283" s="284">
        <f t="shared" ref="O283:O287" si="35">(N283/G283)</f>
        <v>0</v>
      </c>
      <c r="P283" s="296"/>
      <c r="R283" s="283"/>
      <c r="T283" s="283"/>
      <c r="U283" s="283"/>
      <c r="V283" s="291"/>
      <c r="W283" s="291"/>
      <c r="Z283" s="282"/>
    </row>
    <row r="284" spans="1:26" x14ac:dyDescent="0.3">
      <c r="A284" s="27">
        <f t="shared" si="32"/>
        <v>263</v>
      </c>
      <c r="C284" s="74" t="s">
        <v>170</v>
      </c>
      <c r="D284" s="74"/>
      <c r="E284" s="74"/>
      <c r="F284" s="27" t="s">
        <v>60</v>
      </c>
      <c r="G284" s="49">
        <v>12</v>
      </c>
      <c r="H284" s="49">
        <v>12</v>
      </c>
      <c r="I284" s="49">
        <v>6.06</v>
      </c>
      <c r="J284" s="50" t="s">
        <v>168</v>
      </c>
      <c r="K284" s="51" t="s">
        <v>169</v>
      </c>
      <c r="L284" s="51"/>
      <c r="M284" s="52"/>
      <c r="N284" s="295">
        <f t="shared" si="34"/>
        <v>0</v>
      </c>
      <c r="O284" s="284">
        <f t="shared" si="35"/>
        <v>0</v>
      </c>
      <c r="P284" s="296"/>
      <c r="Q284" s="296"/>
      <c r="R284" s="296"/>
      <c r="T284" s="296"/>
      <c r="U284" s="283"/>
      <c r="V284" s="291"/>
      <c r="W284" s="291"/>
      <c r="Z284" s="282"/>
    </row>
    <row r="285" spans="1:26" x14ac:dyDescent="0.3">
      <c r="A285" s="27">
        <f t="shared" si="32"/>
        <v>264</v>
      </c>
      <c r="C285" s="74" t="s">
        <v>171</v>
      </c>
      <c r="D285" s="74"/>
      <c r="E285" s="74"/>
      <c r="F285" s="27" t="s">
        <v>60</v>
      </c>
      <c r="G285" s="49">
        <v>12</v>
      </c>
      <c r="H285" s="49">
        <v>12</v>
      </c>
      <c r="I285" s="49">
        <v>6.06</v>
      </c>
      <c r="J285" s="50" t="s">
        <v>168</v>
      </c>
      <c r="K285" s="51" t="s">
        <v>169</v>
      </c>
      <c r="L285" s="51"/>
      <c r="M285" s="52"/>
      <c r="N285" s="295">
        <f t="shared" si="34"/>
        <v>0</v>
      </c>
      <c r="O285" s="284">
        <f t="shared" si="35"/>
        <v>0</v>
      </c>
      <c r="P285" s="296"/>
      <c r="Q285" s="296"/>
      <c r="R285" s="296"/>
      <c r="T285" s="296"/>
      <c r="U285" s="283"/>
      <c r="V285" s="291"/>
      <c r="W285" s="291"/>
      <c r="Z285" s="282"/>
    </row>
    <row r="286" spans="1:26" x14ac:dyDescent="0.3">
      <c r="A286" s="27">
        <f t="shared" si="32"/>
        <v>265</v>
      </c>
      <c r="C286" s="74" t="s">
        <v>172</v>
      </c>
      <c r="D286" s="74"/>
      <c r="E286" s="74"/>
      <c r="F286" s="27" t="s">
        <v>60</v>
      </c>
      <c r="G286" s="49">
        <v>4</v>
      </c>
      <c r="H286" s="49">
        <v>4</v>
      </c>
      <c r="I286" s="49">
        <v>3.79</v>
      </c>
      <c r="J286" s="50" t="s">
        <v>168</v>
      </c>
      <c r="K286" s="51" t="s">
        <v>169</v>
      </c>
      <c r="L286" s="51"/>
      <c r="M286" s="52"/>
      <c r="N286" s="295">
        <f t="shared" si="34"/>
        <v>0</v>
      </c>
      <c r="O286" s="284">
        <f t="shared" si="35"/>
        <v>0</v>
      </c>
      <c r="P286" s="296"/>
      <c r="R286" s="283"/>
      <c r="T286" s="283"/>
      <c r="U286" s="283"/>
      <c r="V286" s="291"/>
      <c r="W286" s="291"/>
      <c r="Z286" s="282"/>
    </row>
    <row r="287" spans="1:26" x14ac:dyDescent="0.3">
      <c r="A287" s="27">
        <f t="shared" si="32"/>
        <v>266</v>
      </c>
      <c r="C287" s="74" t="s">
        <v>173</v>
      </c>
      <c r="D287" s="74"/>
      <c r="E287" s="74"/>
      <c r="F287" s="27" t="s">
        <v>60</v>
      </c>
      <c r="G287" s="49">
        <v>200</v>
      </c>
      <c r="H287" s="49">
        <v>200</v>
      </c>
      <c r="I287" s="49">
        <v>98.91</v>
      </c>
      <c r="J287" s="50" t="s">
        <v>168</v>
      </c>
      <c r="K287" s="51" t="s">
        <v>169</v>
      </c>
      <c r="L287" s="51"/>
      <c r="M287" s="52"/>
      <c r="N287" s="295">
        <f t="shared" si="34"/>
        <v>0</v>
      </c>
      <c r="O287" s="284">
        <f t="shared" si="35"/>
        <v>0</v>
      </c>
      <c r="Q287" s="285"/>
      <c r="U287" s="283"/>
      <c r="V287" s="294"/>
      <c r="W287" s="294"/>
      <c r="Z287" s="282"/>
    </row>
    <row r="288" spans="1:26" x14ac:dyDescent="0.3">
      <c r="A288" s="27">
        <f t="shared" si="32"/>
        <v>267</v>
      </c>
      <c r="C288" s="74" t="s">
        <v>174</v>
      </c>
      <c r="D288" s="74"/>
      <c r="E288" s="74"/>
      <c r="F288" s="74"/>
      <c r="G288" s="75"/>
      <c r="H288" s="75"/>
      <c r="I288" s="75"/>
      <c r="J288" s="50"/>
      <c r="K288" s="51"/>
      <c r="L288" s="51"/>
      <c r="M288" s="52"/>
      <c r="N288" s="295"/>
      <c r="Q288" s="285"/>
      <c r="U288" s="283"/>
      <c r="V288" s="294"/>
      <c r="W288" s="294"/>
      <c r="Z288" s="282"/>
    </row>
    <row r="289" spans="1:26" x14ac:dyDescent="0.3">
      <c r="A289" s="27">
        <f t="shared" si="32"/>
        <v>268</v>
      </c>
      <c r="C289" s="74"/>
      <c r="D289" s="74" t="s">
        <v>175</v>
      </c>
      <c r="E289" s="74"/>
      <c r="F289" s="27" t="s">
        <v>60</v>
      </c>
      <c r="G289" s="75">
        <v>5</v>
      </c>
      <c r="H289" s="75">
        <f>+G289</f>
        <v>5</v>
      </c>
      <c r="I289" s="75"/>
      <c r="J289" s="50"/>
      <c r="K289" s="51" t="s">
        <v>169</v>
      </c>
      <c r="L289" s="51"/>
      <c r="M289" s="52"/>
      <c r="N289" s="295">
        <f>H289-G289</f>
        <v>0</v>
      </c>
      <c r="O289" s="284">
        <f>(N289/G289)</f>
        <v>0</v>
      </c>
      <c r="Q289" s="285"/>
      <c r="U289" s="283"/>
      <c r="V289" s="294"/>
      <c r="W289" s="294"/>
      <c r="Z289" s="282"/>
    </row>
    <row r="290" spans="1:26" x14ac:dyDescent="0.3">
      <c r="A290" s="27">
        <f t="shared" si="32"/>
        <v>269</v>
      </c>
      <c r="C290" s="74"/>
      <c r="D290" s="74" t="s">
        <v>176</v>
      </c>
      <c r="E290" s="74"/>
      <c r="F290" s="74" t="s">
        <v>61</v>
      </c>
      <c r="G290" s="76">
        <v>1.4999999999999999E-2</v>
      </c>
      <c r="H290" s="76">
        <f>+G290</f>
        <v>1.4999999999999999E-2</v>
      </c>
      <c r="I290" s="76"/>
      <c r="J290" s="50"/>
      <c r="K290" s="51" t="s">
        <v>169</v>
      </c>
      <c r="L290" s="51"/>
      <c r="M290" s="52"/>
      <c r="N290" s="306">
        <f>H290-G290</f>
        <v>0</v>
      </c>
      <c r="O290" s="284">
        <f>(N290/G290)</f>
        <v>0</v>
      </c>
      <c r="Q290" s="285"/>
      <c r="U290" s="283"/>
      <c r="V290" s="294"/>
      <c r="W290" s="294"/>
      <c r="Z290" s="282"/>
    </row>
    <row r="291" spans="1:26" x14ac:dyDescent="0.3">
      <c r="A291" s="27">
        <f t="shared" si="32"/>
        <v>270</v>
      </c>
      <c r="C291" s="27" t="s">
        <v>177</v>
      </c>
      <c r="D291" s="74"/>
      <c r="E291" s="74"/>
      <c r="F291" s="74"/>
      <c r="G291" s="49"/>
      <c r="H291" s="49"/>
      <c r="I291" s="49"/>
      <c r="J291" s="50"/>
      <c r="K291" s="51"/>
      <c r="L291" s="51"/>
      <c r="M291" s="52"/>
      <c r="Q291" s="285"/>
      <c r="U291" s="283"/>
      <c r="V291" s="294"/>
      <c r="W291" s="294"/>
      <c r="Z291" s="282"/>
    </row>
    <row r="292" spans="1:26" x14ac:dyDescent="0.3">
      <c r="A292" s="27">
        <f t="shared" si="32"/>
        <v>271</v>
      </c>
      <c r="D292" s="27" t="s">
        <v>178</v>
      </c>
      <c r="F292" s="27" t="s">
        <v>60</v>
      </c>
      <c r="G292" s="75">
        <v>25</v>
      </c>
      <c r="H292" s="75">
        <f>+G292</f>
        <v>25</v>
      </c>
      <c r="I292" s="75"/>
      <c r="J292" s="50"/>
      <c r="K292" s="51" t="s">
        <v>179</v>
      </c>
      <c r="L292" s="51"/>
      <c r="M292" s="52"/>
      <c r="O292" s="284">
        <f>(N292/G292)</f>
        <v>0</v>
      </c>
      <c r="Q292" s="285"/>
      <c r="U292" s="283"/>
      <c r="V292" s="294"/>
      <c r="W292" s="294"/>
      <c r="Z292" s="282"/>
    </row>
    <row r="293" spans="1:26" x14ac:dyDescent="0.3">
      <c r="A293" s="27">
        <f t="shared" si="32"/>
        <v>272</v>
      </c>
      <c r="C293" s="74"/>
      <c r="D293" s="27" t="s">
        <v>180</v>
      </c>
      <c r="E293" s="74"/>
      <c r="F293" s="27" t="s">
        <v>60</v>
      </c>
      <c r="G293" s="75">
        <v>30</v>
      </c>
      <c r="H293" s="75">
        <f>+G293</f>
        <v>30</v>
      </c>
      <c r="I293" s="75"/>
      <c r="J293" s="50"/>
      <c r="K293" s="51" t="s">
        <v>179</v>
      </c>
      <c r="L293" s="51"/>
      <c r="M293" s="52"/>
      <c r="O293" s="284">
        <f>(N293/G293)</f>
        <v>0</v>
      </c>
      <c r="Q293" s="285"/>
      <c r="U293" s="283"/>
      <c r="V293" s="294"/>
      <c r="W293" s="294"/>
      <c r="Z293" s="282"/>
    </row>
    <row r="294" spans="1:26" x14ac:dyDescent="0.3">
      <c r="A294" s="27">
        <f t="shared" si="32"/>
        <v>273</v>
      </c>
      <c r="C294" s="74"/>
      <c r="D294" s="27" t="s">
        <v>181</v>
      </c>
      <c r="E294" s="74"/>
      <c r="F294" s="27" t="s">
        <v>60</v>
      </c>
      <c r="G294" s="75">
        <v>40</v>
      </c>
      <c r="H294" s="75">
        <f>+G294</f>
        <v>40</v>
      </c>
      <c r="I294" s="75"/>
      <c r="J294" s="50"/>
      <c r="K294" s="51" t="s">
        <v>179</v>
      </c>
      <c r="L294" s="51"/>
      <c r="M294" s="52"/>
      <c r="O294" s="284">
        <f>(N294/G294)</f>
        <v>0</v>
      </c>
      <c r="Q294" s="285"/>
      <c r="U294" s="283"/>
      <c r="V294" s="294"/>
      <c r="W294" s="294"/>
      <c r="Z294" s="282"/>
    </row>
    <row r="295" spans="1:26" x14ac:dyDescent="0.3">
      <c r="A295" s="27">
        <f t="shared" si="32"/>
        <v>274</v>
      </c>
      <c r="D295" s="27" t="s">
        <v>182</v>
      </c>
      <c r="F295" s="27" t="s">
        <v>60</v>
      </c>
      <c r="G295" s="75">
        <v>0.05</v>
      </c>
      <c r="H295" s="75">
        <f>+G295</f>
        <v>0.05</v>
      </c>
      <c r="I295" s="75"/>
      <c r="J295" s="50"/>
      <c r="K295" s="51" t="s">
        <v>179</v>
      </c>
      <c r="L295" s="51"/>
      <c r="M295" s="52"/>
      <c r="O295" s="284">
        <f>(N295/G295)</f>
        <v>0</v>
      </c>
      <c r="Q295" s="285"/>
      <c r="U295" s="283"/>
      <c r="V295" s="294"/>
      <c r="W295" s="294"/>
      <c r="Z295" s="282"/>
    </row>
    <row r="296" spans="1:26" x14ac:dyDescent="0.3">
      <c r="B296" s="31"/>
      <c r="C296" s="72"/>
      <c r="D296" s="72"/>
      <c r="E296" s="72"/>
      <c r="F296" s="72"/>
      <c r="G296" s="73"/>
      <c r="H296" s="73"/>
      <c r="I296" s="73"/>
      <c r="J296" s="59"/>
      <c r="K296" s="52"/>
      <c r="L296" s="52"/>
      <c r="M296" s="52"/>
      <c r="Q296" s="285"/>
      <c r="U296" s="283"/>
      <c r="V296" s="294"/>
      <c r="W296" s="294"/>
      <c r="Z296" s="282"/>
    </row>
    <row r="297" spans="1:26" x14ac:dyDescent="0.3">
      <c r="A297" s="27">
        <f>+A295+1</f>
        <v>275</v>
      </c>
      <c r="B297" s="48"/>
      <c r="C297" s="74"/>
      <c r="D297" s="74"/>
      <c r="E297" s="74"/>
      <c r="G297" s="49"/>
      <c r="H297" s="49"/>
      <c r="I297" s="49"/>
      <c r="J297" s="50"/>
      <c r="K297" s="51"/>
      <c r="L297" s="51"/>
      <c r="M297" s="52"/>
      <c r="N297" s="295"/>
      <c r="P297" s="296"/>
      <c r="Q297" s="296"/>
      <c r="R297" s="296"/>
      <c r="T297" s="296"/>
      <c r="U297" s="283"/>
      <c r="V297" s="291"/>
      <c r="W297" s="291"/>
      <c r="Z297" s="282"/>
    </row>
    <row r="298" spans="1:26" x14ac:dyDescent="0.3">
      <c r="A298" s="27">
        <f>+A297+1</f>
        <v>276</v>
      </c>
      <c r="B298" s="48" t="s">
        <v>183</v>
      </c>
      <c r="C298" s="27" t="s">
        <v>184</v>
      </c>
      <c r="F298" s="27" t="s">
        <v>60</v>
      </c>
      <c r="G298" s="49">
        <v>310</v>
      </c>
      <c r="H298" s="49">
        <v>310</v>
      </c>
      <c r="I298" s="49">
        <v>266.13</v>
      </c>
      <c r="J298" s="50" t="s">
        <v>168</v>
      </c>
      <c r="K298" s="51" t="s">
        <v>169</v>
      </c>
      <c r="L298" s="51"/>
      <c r="M298" s="52"/>
      <c r="N298" s="295">
        <f>H298-G298</f>
        <v>0</v>
      </c>
      <c r="O298" s="284">
        <f>(N298/G298)</f>
        <v>0</v>
      </c>
      <c r="Q298" s="285"/>
      <c r="U298" s="283"/>
      <c r="V298" s="294"/>
      <c r="W298" s="294"/>
      <c r="Z298" s="282"/>
    </row>
    <row r="299" spans="1:26" x14ac:dyDescent="0.3">
      <c r="B299" s="31"/>
      <c r="C299" s="31"/>
      <c r="D299" s="31"/>
      <c r="E299" s="31"/>
      <c r="F299" s="31"/>
      <c r="G299" s="73"/>
      <c r="H299" s="73"/>
      <c r="I299" s="73"/>
      <c r="J299" s="59"/>
      <c r="K299" s="52"/>
      <c r="L299" s="52"/>
      <c r="M299" s="52"/>
      <c r="Q299" s="285"/>
      <c r="V299" s="294"/>
      <c r="W299" s="294"/>
      <c r="Z299" s="282"/>
    </row>
    <row r="306" ht="3.75" customHeight="1" x14ac:dyDescent="0.3"/>
  </sheetData>
  <pageMargins left="0.5" right="0.5" top="0.75" bottom="0.25" header="0.5" footer="0.25"/>
  <pageSetup scale="13" firstPageNumber="7" orientation="landscape" r:id="rId1"/>
  <headerFooter>
    <oddHeader xml:space="preserve">&amp;RDEF’s Response to OPC POD 1 (1-26)
Q7
Page &amp;P of &amp;N
</oddHeader>
    <oddFooter>&amp;R20240025-OPCPOD1-00004294</oddFooter>
  </headerFooter>
  <rowBreaks count="5" manualBreakCount="5">
    <brk id="55" max="11" man="1"/>
    <brk id="102" max="11" man="1"/>
    <brk id="138" max="11" man="1"/>
    <brk id="183" max="11" man="1"/>
    <brk id="24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7BF9-74DD-435D-A391-62ED7F403AB0}">
  <sheetPr>
    <tabColor theme="4" tint="-0.499984740745262"/>
    <pageSetUpPr fitToPage="1"/>
  </sheetPr>
  <dimension ref="A1:AC58"/>
  <sheetViews>
    <sheetView tabSelected="1" view="pageBreakPreview" topLeftCell="A24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1.109375" style="78" customWidth="1"/>
    <col min="2" max="2" width="7.33203125" style="78" customWidth="1"/>
    <col min="3" max="3" width="2.6640625" style="78" customWidth="1"/>
    <col min="4" max="4" width="3.88671875" style="78" customWidth="1"/>
    <col min="5" max="5" width="48.5546875" style="78" customWidth="1"/>
    <col min="6" max="6" width="9.109375" style="78" customWidth="1"/>
    <col min="7" max="7" width="18.109375" style="78" customWidth="1"/>
    <col min="8" max="8" width="18" style="78" customWidth="1"/>
    <col min="9" max="9" width="16.6640625" style="78" customWidth="1"/>
    <col min="10" max="10" width="37.88671875" style="78" customWidth="1"/>
    <col min="11" max="27" width="1.109375" style="78" customWidth="1"/>
    <col min="28" max="16384" width="9.109375" style="78"/>
  </cols>
  <sheetData>
    <row r="1" spans="1:29" ht="18" x14ac:dyDescent="0.35">
      <c r="A1" s="77"/>
      <c r="B1" s="24">
        <v>2027</v>
      </c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77"/>
    </row>
    <row r="2" spans="1:29" x14ac:dyDescent="0.3">
      <c r="A2" s="77"/>
      <c r="J2" s="30" t="s">
        <v>37</v>
      </c>
      <c r="AA2" s="77"/>
    </row>
    <row r="3" spans="1:29" x14ac:dyDescent="0.3">
      <c r="A3" s="77"/>
      <c r="J3" s="33" t="str">
        <f>"DOCKET NO.  " &amp; +"20240025-EI"</f>
        <v>DOCKET NO.  20240025-EI</v>
      </c>
      <c r="AA3" s="77"/>
    </row>
    <row r="4" spans="1:29" x14ac:dyDescent="0.3">
      <c r="A4" s="77"/>
      <c r="J4" s="33" t="s">
        <v>38</v>
      </c>
      <c r="AA4" s="77"/>
    </row>
    <row r="5" spans="1:29" x14ac:dyDescent="0.3">
      <c r="A5" s="77"/>
      <c r="J5" s="30" t="s">
        <v>185</v>
      </c>
      <c r="AA5" s="77"/>
    </row>
    <row r="6" spans="1:29" x14ac:dyDescent="0.3">
      <c r="A6" s="77"/>
      <c r="J6" s="37" t="s">
        <v>13</v>
      </c>
      <c r="AA6" s="77"/>
    </row>
    <row r="7" spans="1:29" x14ac:dyDescent="0.3">
      <c r="A7" s="77"/>
      <c r="J7" s="79"/>
      <c r="AA7" s="77"/>
    </row>
    <row r="8" spans="1:29" s="83" customFormat="1" ht="15.6" x14ac:dyDescent="0.3">
      <c r="A8" s="80"/>
      <c r="B8" s="81" t="s">
        <v>186</v>
      </c>
      <c r="C8" s="81"/>
      <c r="D8" s="82"/>
      <c r="E8" s="82"/>
      <c r="F8" s="82"/>
      <c r="G8" s="82"/>
      <c r="H8" s="82"/>
      <c r="I8" s="82"/>
      <c r="J8" s="82"/>
      <c r="AA8" s="80"/>
    </row>
    <row r="9" spans="1:29" x14ac:dyDescent="0.3">
      <c r="A9" s="77"/>
      <c r="B9" s="84"/>
      <c r="C9" s="84"/>
      <c r="D9" s="85">
        <v>-1</v>
      </c>
      <c r="E9" s="85"/>
      <c r="F9" s="86"/>
      <c r="G9" s="87">
        <f>+D9-1</f>
        <v>-2</v>
      </c>
      <c r="H9" s="87">
        <f>+G9-1</f>
        <v>-3</v>
      </c>
      <c r="I9" s="87">
        <f>+H9-1</f>
        <v>-4</v>
      </c>
      <c r="J9" s="87">
        <f>+I9-1</f>
        <v>-5</v>
      </c>
      <c r="AA9" s="77"/>
    </row>
    <row r="10" spans="1:29" x14ac:dyDescent="0.3">
      <c r="A10" s="77"/>
      <c r="B10" s="88" t="s">
        <v>54</v>
      </c>
      <c r="C10" s="88" t="s">
        <v>187</v>
      </c>
      <c r="D10" s="89"/>
      <c r="E10" s="90"/>
      <c r="F10" s="88"/>
      <c r="G10" s="91" t="s">
        <v>188</v>
      </c>
      <c r="H10" s="91" t="s">
        <v>189</v>
      </c>
      <c r="I10" s="91" t="s">
        <v>190</v>
      </c>
      <c r="J10" s="91" t="s">
        <v>58</v>
      </c>
      <c r="AA10" s="77"/>
    </row>
    <row r="11" spans="1:29" ht="5.4" customHeight="1" x14ac:dyDescent="0.3">
      <c r="A11" s="77"/>
      <c r="C11" s="92"/>
      <c r="D11" s="93"/>
      <c r="E11" s="93"/>
      <c r="F11" s="93"/>
      <c r="G11" s="93"/>
      <c r="H11" s="93"/>
      <c r="I11" s="93"/>
      <c r="J11" s="93"/>
      <c r="AA11" s="77"/>
    </row>
    <row r="12" spans="1:29" ht="12.75" customHeight="1" x14ac:dyDescent="0.3">
      <c r="A12" s="77"/>
      <c r="B12" s="94">
        <v>1</v>
      </c>
      <c r="C12" s="95" t="s">
        <v>191</v>
      </c>
      <c r="AA12" s="77"/>
    </row>
    <row r="13" spans="1:29" x14ac:dyDescent="0.3">
      <c r="A13" s="77"/>
      <c r="B13" s="94">
        <f>+B12+1</f>
        <v>2</v>
      </c>
      <c r="D13" s="96" t="s">
        <v>192</v>
      </c>
      <c r="AA13" s="77"/>
    </row>
    <row r="14" spans="1:29" x14ac:dyDescent="0.3">
      <c r="A14" s="77"/>
      <c r="B14" s="94">
        <f>+B13+1</f>
        <v>3</v>
      </c>
      <c r="E14" s="78" t="s">
        <v>193</v>
      </c>
      <c r="G14" s="97">
        <f>'[1]MFR E-6b'!H53</f>
        <v>3.4292790783419789</v>
      </c>
      <c r="J14" s="98" t="s">
        <v>194</v>
      </c>
      <c r="AA14" s="77"/>
      <c r="AC14" s="277"/>
    </row>
    <row r="15" spans="1:29" x14ac:dyDescent="0.3">
      <c r="A15" s="77"/>
      <c r="B15" s="94">
        <f>+B14+1</f>
        <v>4</v>
      </c>
      <c r="E15" s="78" t="s">
        <v>195</v>
      </c>
      <c r="G15" s="97">
        <f>'[1]MFR E-6b'!H55</f>
        <v>8.7465114183528279</v>
      </c>
      <c r="J15" s="98" t="s">
        <v>194</v>
      </c>
      <c r="AA15" s="77"/>
      <c r="AC15" s="277"/>
    </row>
    <row r="16" spans="1:29" x14ac:dyDescent="0.3">
      <c r="A16" s="77"/>
      <c r="B16" s="94">
        <f>+B15+1</f>
        <v>5</v>
      </c>
      <c r="E16" s="78" t="s">
        <v>196</v>
      </c>
      <c r="G16" s="97">
        <f>'[1]MFR E-6b'!H52</f>
        <v>2.267207906983379</v>
      </c>
      <c r="J16" s="98" t="s">
        <v>194</v>
      </c>
      <c r="AA16" s="77"/>
      <c r="AC16" s="277"/>
    </row>
    <row r="17" spans="1:27" x14ac:dyDescent="0.3">
      <c r="A17" s="77"/>
      <c r="B17" s="94">
        <f>+B16+1</f>
        <v>6</v>
      </c>
      <c r="E17" s="78" t="s">
        <v>197</v>
      </c>
      <c r="G17" s="99">
        <f>SUM(G14:G16)</f>
        <v>14.442998403678185</v>
      </c>
      <c r="AA17" s="77"/>
    </row>
    <row r="18" spans="1:27" x14ac:dyDescent="0.3">
      <c r="A18" s="77"/>
      <c r="B18" s="94">
        <f t="shared" ref="B18:B52" si="0">+B17+1</f>
        <v>7</v>
      </c>
      <c r="G18" s="100"/>
      <c r="AA18" s="77"/>
    </row>
    <row r="19" spans="1:27" x14ac:dyDescent="0.3">
      <c r="A19" s="77"/>
      <c r="B19" s="94">
        <f t="shared" si="0"/>
        <v>8</v>
      </c>
      <c r="D19" s="96" t="s">
        <v>198</v>
      </c>
      <c r="AA19" s="77"/>
    </row>
    <row r="20" spans="1:27" x14ac:dyDescent="0.3">
      <c r="A20" s="77"/>
      <c r="B20" s="94">
        <f t="shared" si="0"/>
        <v>9</v>
      </c>
      <c r="E20" s="101" t="s">
        <v>199</v>
      </c>
      <c r="G20" s="102">
        <v>1379693</v>
      </c>
      <c r="J20" s="78" t="s">
        <v>200</v>
      </c>
      <c r="AA20" s="77"/>
    </row>
    <row r="21" spans="1:27" x14ac:dyDescent="0.3">
      <c r="A21" s="77"/>
      <c r="B21" s="94">
        <f t="shared" si="0"/>
        <v>10</v>
      </c>
      <c r="E21" s="101" t="s">
        <v>201</v>
      </c>
      <c r="G21" s="102">
        <v>2809569</v>
      </c>
      <c r="J21" s="78" t="s">
        <v>200</v>
      </c>
      <c r="AA21" s="77"/>
    </row>
    <row r="22" spans="1:27" x14ac:dyDescent="0.3">
      <c r="A22" s="77"/>
      <c r="B22" s="94">
        <f t="shared" si="0"/>
        <v>11</v>
      </c>
      <c r="E22" s="101" t="s">
        <v>202</v>
      </c>
      <c r="G22" s="103">
        <f>+G20/G21*0</f>
        <v>0</v>
      </c>
      <c r="J22" s="78" t="s">
        <v>203</v>
      </c>
      <c r="AA22" s="77"/>
    </row>
    <row r="23" spans="1:27" x14ac:dyDescent="0.3">
      <c r="A23" s="77"/>
      <c r="B23" s="94">
        <f t="shared" si="0"/>
        <v>12</v>
      </c>
      <c r="G23" s="104"/>
      <c r="AA23" s="77"/>
    </row>
    <row r="24" spans="1:27" x14ac:dyDescent="0.3">
      <c r="A24" s="77"/>
      <c r="B24" s="94">
        <f t="shared" si="0"/>
        <v>13</v>
      </c>
      <c r="D24" s="96" t="s">
        <v>204</v>
      </c>
      <c r="G24" s="104"/>
      <c r="AA24" s="77"/>
    </row>
    <row r="25" spans="1:27" x14ac:dyDescent="0.3">
      <c r="A25" s="77"/>
      <c r="B25" s="94">
        <f t="shared" si="0"/>
        <v>14</v>
      </c>
      <c r="E25" s="78" t="s">
        <v>205</v>
      </c>
      <c r="G25" s="105">
        <f>'[1]MFR E-6b'!H21</f>
        <v>233448.70817797538</v>
      </c>
      <c r="J25" s="98" t="s">
        <v>206</v>
      </c>
      <c r="AA25" s="77"/>
    </row>
    <row r="26" spans="1:27" x14ac:dyDescent="0.3">
      <c r="A26" s="77"/>
      <c r="B26" s="94">
        <f t="shared" si="0"/>
        <v>15</v>
      </c>
      <c r="E26" s="101" t="s">
        <v>207</v>
      </c>
      <c r="G26" s="12">
        <f>'[1]MFR E-6b'!H34</f>
        <v>22064517.351241626</v>
      </c>
      <c r="J26" s="98" t="s">
        <v>194</v>
      </c>
      <c r="AA26" s="77"/>
    </row>
    <row r="27" spans="1:27" x14ac:dyDescent="0.3">
      <c r="A27" s="77"/>
      <c r="B27" s="94">
        <f t="shared" si="0"/>
        <v>16</v>
      </c>
      <c r="E27" s="101" t="s">
        <v>208</v>
      </c>
      <c r="G27" s="97">
        <f>+G25*1000/G26</f>
        <v>10.580277123752206</v>
      </c>
      <c r="J27" s="78" t="s">
        <v>209</v>
      </c>
      <c r="AA27" s="77"/>
    </row>
    <row r="28" spans="1:27" x14ac:dyDescent="0.3">
      <c r="A28" s="77"/>
      <c r="B28" s="94">
        <f t="shared" si="0"/>
        <v>17</v>
      </c>
      <c r="E28" s="101" t="s">
        <v>210</v>
      </c>
      <c r="G28" s="106">
        <f>G22</f>
        <v>0</v>
      </c>
      <c r="J28" s="78" t="s">
        <v>211</v>
      </c>
      <c r="AA28" s="77"/>
    </row>
    <row r="29" spans="1:27" x14ac:dyDescent="0.3">
      <c r="A29" s="77"/>
      <c r="B29" s="94">
        <f t="shared" si="0"/>
        <v>18</v>
      </c>
      <c r="E29" s="101" t="s">
        <v>212</v>
      </c>
      <c r="G29" s="99">
        <f>ROUND(G27*G28,2)</f>
        <v>0</v>
      </c>
      <c r="J29" s="78" t="s">
        <v>213</v>
      </c>
      <c r="AA29" s="77"/>
    </row>
    <row r="30" spans="1:27" x14ac:dyDescent="0.3">
      <c r="A30" s="77"/>
      <c r="B30" s="94">
        <f t="shared" si="0"/>
        <v>19</v>
      </c>
      <c r="E30" s="107"/>
      <c r="G30" s="108"/>
      <c r="AA30" s="77"/>
    </row>
    <row r="31" spans="1:27" ht="14.4" thickBot="1" x14ac:dyDescent="0.35">
      <c r="A31" s="77"/>
      <c r="B31" s="94">
        <f t="shared" si="0"/>
        <v>20</v>
      </c>
      <c r="D31" s="109" t="s">
        <v>214</v>
      </c>
      <c r="E31" s="107"/>
      <c r="G31" s="110">
        <f>ROUND(+G29+G17,2)</f>
        <v>14.44</v>
      </c>
      <c r="J31" s="78" t="s">
        <v>215</v>
      </c>
      <c r="AA31" s="77"/>
    </row>
    <row r="32" spans="1:27" ht="14.4" thickTop="1" x14ac:dyDescent="0.3">
      <c r="A32" s="77"/>
      <c r="B32" s="94">
        <f t="shared" si="0"/>
        <v>21</v>
      </c>
      <c r="AA32" s="77"/>
    </row>
    <row r="33" spans="1:27" x14ac:dyDescent="0.3">
      <c r="A33" s="77"/>
      <c r="B33" s="94">
        <f t="shared" si="0"/>
        <v>22</v>
      </c>
      <c r="AA33" s="77"/>
    </row>
    <row r="34" spans="1:27" x14ac:dyDescent="0.3">
      <c r="A34" s="77"/>
      <c r="B34" s="94">
        <f t="shared" si="0"/>
        <v>23</v>
      </c>
      <c r="AA34" s="77"/>
    </row>
    <row r="35" spans="1:27" x14ac:dyDescent="0.3">
      <c r="A35" s="77"/>
      <c r="B35" s="94">
        <f t="shared" si="0"/>
        <v>24</v>
      </c>
      <c r="C35" s="95" t="s">
        <v>216</v>
      </c>
      <c r="E35" s="101"/>
      <c r="G35" s="105"/>
      <c r="H35" s="105"/>
      <c r="I35" s="105"/>
      <c r="J35" s="98"/>
      <c r="AA35" s="77"/>
    </row>
    <row r="36" spans="1:27" x14ac:dyDescent="0.3">
      <c r="A36" s="77"/>
      <c r="B36" s="94">
        <f t="shared" si="0"/>
        <v>25</v>
      </c>
      <c r="D36" s="96" t="s">
        <v>217</v>
      </c>
      <c r="E36" s="101"/>
      <c r="G36" s="105"/>
      <c r="H36" s="105"/>
      <c r="I36" s="105"/>
      <c r="AA36" s="77"/>
    </row>
    <row r="37" spans="1:27" x14ac:dyDescent="0.3">
      <c r="A37" s="77"/>
      <c r="B37" s="94">
        <f t="shared" si="0"/>
        <v>26</v>
      </c>
      <c r="E37" s="101" t="s">
        <v>218</v>
      </c>
      <c r="G37" s="105">
        <f>SUM('[1]MFR E-6b'!H16:H19,'[1]MFR E-6b'!H21)-(G25*G28)</f>
        <v>2074776.333734687</v>
      </c>
      <c r="H37" s="105">
        <f>SUM('[1]MFR E-6b'!I16:I19,'[1]MFR E-6b'!I21)</f>
        <v>184091.09728533329</v>
      </c>
      <c r="I37" s="105">
        <f>SUM('[1]MFR E-6b'!K16:K19,'[1]MFR E-6b'!K21)-('[1]E-13c - prior to updates'!N213/1000)</f>
        <v>876661.17120704846</v>
      </c>
      <c r="J37" s="78" t="s">
        <v>219</v>
      </c>
      <c r="AA37" s="77"/>
    </row>
    <row r="38" spans="1:27" x14ac:dyDescent="0.3">
      <c r="A38" s="77"/>
      <c r="B38" s="94">
        <f t="shared" si="0"/>
        <v>27</v>
      </c>
      <c r="E38" s="101" t="s">
        <v>220</v>
      </c>
      <c r="G38" s="111">
        <f>'[1]MFR E-6b'!H38</f>
        <v>20982468.502792321</v>
      </c>
      <c r="H38" s="111">
        <f>'[1]MFR E-6b'!I38</f>
        <v>2219055.273830398</v>
      </c>
      <c r="I38" s="111">
        <f>'[1]MFR E-6b'!K38</f>
        <v>13340883.857992882</v>
      </c>
      <c r="J38" s="98" t="s">
        <v>194</v>
      </c>
      <c r="AA38" s="77"/>
    </row>
    <row r="39" spans="1:27" ht="14.4" thickBot="1" x14ac:dyDescent="0.35">
      <c r="A39" s="77"/>
      <c r="B39" s="94">
        <f t="shared" si="0"/>
        <v>28</v>
      </c>
      <c r="E39" s="101" t="s">
        <v>221</v>
      </c>
      <c r="G39" s="112">
        <f>+G37/G38*100</f>
        <v>9.8881422529412024</v>
      </c>
      <c r="H39" s="112">
        <f>+H37/H38*100</f>
        <v>8.2959221185854677</v>
      </c>
      <c r="I39" s="112">
        <f>+I37/I38*100</f>
        <v>6.571237562208573</v>
      </c>
      <c r="J39" s="78" t="s">
        <v>222</v>
      </c>
      <c r="AA39" s="77"/>
    </row>
    <row r="40" spans="1:27" ht="14.4" thickTop="1" x14ac:dyDescent="0.3">
      <c r="A40" s="77"/>
      <c r="B40" s="94">
        <f t="shared" si="0"/>
        <v>29</v>
      </c>
      <c r="AA40" s="77"/>
    </row>
    <row r="41" spans="1:27" x14ac:dyDescent="0.3">
      <c r="A41" s="77"/>
      <c r="B41" s="94">
        <f t="shared" si="0"/>
        <v>30</v>
      </c>
      <c r="D41" s="96" t="s">
        <v>223</v>
      </c>
      <c r="AA41" s="77"/>
    </row>
    <row r="42" spans="1:27" x14ac:dyDescent="0.3">
      <c r="A42" s="77"/>
      <c r="B42" s="94">
        <f t="shared" si="0"/>
        <v>31</v>
      </c>
      <c r="E42" s="78" t="s">
        <v>224</v>
      </c>
      <c r="G42" s="113">
        <f>SUM('[1]MFR E-13c'!J26,'[1]MFR E-13c'!J31)/SUM('[1]MFR E-13c'!J28,'[1]MFR E-13c'!J33)</f>
        <v>0.7182931297828643</v>
      </c>
      <c r="J42" s="78" t="s">
        <v>225</v>
      </c>
      <c r="AA42" s="77"/>
    </row>
    <row r="43" spans="1:27" x14ac:dyDescent="0.3">
      <c r="A43" s="77"/>
      <c r="B43" s="94">
        <f t="shared" si="0"/>
        <v>32</v>
      </c>
      <c r="E43" s="78" t="s">
        <v>226</v>
      </c>
      <c r="G43" s="113">
        <f>1-G42</f>
        <v>0.2817068702171357</v>
      </c>
      <c r="H43" s="114"/>
      <c r="J43" s="78" t="s">
        <v>225</v>
      </c>
      <c r="AA43" s="77"/>
    </row>
    <row r="44" spans="1:27" x14ac:dyDescent="0.3">
      <c r="A44" s="77"/>
      <c r="B44" s="94">
        <f t="shared" si="0"/>
        <v>33</v>
      </c>
      <c r="E44" s="78" t="s">
        <v>227</v>
      </c>
      <c r="G44" s="114">
        <v>1</v>
      </c>
      <c r="H44" s="115" t="s">
        <v>228</v>
      </c>
      <c r="J44" s="78" t="s">
        <v>229</v>
      </c>
      <c r="AA44" s="77"/>
    </row>
    <row r="45" spans="1:27" x14ac:dyDescent="0.3">
      <c r="A45" s="77"/>
      <c r="B45" s="94">
        <f t="shared" si="0"/>
        <v>34</v>
      </c>
      <c r="E45" s="78" t="s">
        <v>230</v>
      </c>
      <c r="G45" s="116">
        <v>0.1573</v>
      </c>
      <c r="H45" s="117">
        <v>0.1573</v>
      </c>
      <c r="J45" s="78" t="s">
        <v>231</v>
      </c>
      <c r="AA45" s="77"/>
    </row>
    <row r="46" spans="1:27" x14ac:dyDescent="0.3">
      <c r="A46" s="77"/>
      <c r="B46" s="94">
        <f t="shared" si="0"/>
        <v>35</v>
      </c>
      <c r="E46" s="78" t="s">
        <v>232</v>
      </c>
      <c r="G46" s="116">
        <v>0.19</v>
      </c>
      <c r="H46" s="117">
        <v>0.30459999999999998</v>
      </c>
      <c r="J46" s="78" t="s">
        <v>233</v>
      </c>
      <c r="AA46" s="77"/>
    </row>
    <row r="47" spans="1:27" x14ac:dyDescent="0.3">
      <c r="A47" s="77"/>
      <c r="B47" s="94">
        <f t="shared" si="0"/>
        <v>36</v>
      </c>
      <c r="E47" s="78" t="s">
        <v>234</v>
      </c>
      <c r="G47" s="116">
        <v>-4.2299999999999997E-2</v>
      </c>
      <c r="H47" s="118">
        <v>-4.2299999999999997E-2</v>
      </c>
      <c r="J47" s="78" t="s">
        <v>231</v>
      </c>
      <c r="AA47" s="77"/>
    </row>
    <row r="48" spans="1:27" x14ac:dyDescent="0.3">
      <c r="A48" s="77"/>
      <c r="B48" s="94">
        <f t="shared" si="0"/>
        <v>37</v>
      </c>
      <c r="E48" s="78" t="s">
        <v>235</v>
      </c>
      <c r="G48" s="116">
        <v>-6.7799999999999999E-2</v>
      </c>
      <c r="H48" s="119">
        <v>-6.7799999999999999E-2</v>
      </c>
      <c r="J48" s="78" t="s">
        <v>231</v>
      </c>
      <c r="AA48" s="77"/>
    </row>
    <row r="49" spans="1:27" x14ac:dyDescent="0.3">
      <c r="A49" s="77"/>
      <c r="B49" s="94">
        <f t="shared" si="0"/>
        <v>38</v>
      </c>
      <c r="G49" s="114"/>
      <c r="AA49" s="77"/>
    </row>
    <row r="50" spans="1:27" x14ac:dyDescent="0.3">
      <c r="A50" s="77"/>
      <c r="B50" s="94">
        <f t="shared" si="0"/>
        <v>39</v>
      </c>
      <c r="E50" s="78" t="s">
        <v>236</v>
      </c>
      <c r="G50" s="120">
        <f>ROUND((G39-(1*G43))*(1+G45),3)</f>
        <v>11.118</v>
      </c>
      <c r="H50" s="120"/>
      <c r="J50" s="78" t="s">
        <v>237</v>
      </c>
      <c r="AA50" s="77"/>
    </row>
    <row r="51" spans="1:27" x14ac:dyDescent="0.3">
      <c r="A51" s="77"/>
      <c r="B51" s="94">
        <f t="shared" si="0"/>
        <v>40</v>
      </c>
      <c r="E51" s="78" t="s">
        <v>238</v>
      </c>
      <c r="G51" s="120">
        <f>ROUND((G39+(1*G42))*(1+G46),3)</f>
        <v>12.622</v>
      </c>
      <c r="H51" s="121"/>
      <c r="J51" s="78" t="s">
        <v>239</v>
      </c>
      <c r="AA51" s="77"/>
    </row>
    <row r="52" spans="1:27" x14ac:dyDescent="0.3">
      <c r="A52" s="77"/>
      <c r="B52" s="94">
        <f t="shared" si="0"/>
        <v>41</v>
      </c>
      <c r="E52" s="78" t="s">
        <v>240</v>
      </c>
      <c r="G52" s="120">
        <f>ROUND((G39-(1*G43))*(1+G47),3)</f>
        <v>9.1999999999999993</v>
      </c>
      <c r="H52" s="120"/>
      <c r="J52" s="78" t="s">
        <v>241</v>
      </c>
      <c r="AA52" s="77"/>
    </row>
    <row r="53" spans="1:27" x14ac:dyDescent="0.3">
      <c r="A53" s="77"/>
      <c r="B53" s="94">
        <f>+B52+1</f>
        <v>42</v>
      </c>
      <c r="E53" s="78" t="s">
        <v>242</v>
      </c>
      <c r="G53" s="120">
        <f>ROUND((G39+(1*G42))*(1+G48),3)</f>
        <v>9.8870000000000005</v>
      </c>
      <c r="H53" s="121"/>
      <c r="J53" s="78" t="s">
        <v>243</v>
      </c>
      <c r="AA53" s="77"/>
    </row>
    <row r="54" spans="1:27" x14ac:dyDescent="0.3">
      <c r="A54" s="77"/>
      <c r="AA54" s="77"/>
    </row>
    <row r="55" spans="1:27" x14ac:dyDescent="0.3">
      <c r="G55" s="121"/>
      <c r="I55" s="122"/>
    </row>
    <row r="57" spans="1:27" x14ac:dyDescent="0.3">
      <c r="G57" s="121"/>
    </row>
    <row r="58" spans="1:27" x14ac:dyDescent="0.3">
      <c r="G58" s="121"/>
    </row>
  </sheetData>
  <pageMargins left="0.5" right="0.5" top="0.75" bottom="0.25" header="0.5" footer="0.25"/>
  <pageSetup scale="72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E841-FFB8-4A8F-B0FD-35A57852AD95}">
  <sheetPr>
    <tabColor theme="4" tint="-0.499984740745262"/>
    <pageSetUpPr fitToPage="1"/>
  </sheetPr>
  <dimension ref="A1:AC58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1.109375" style="78" customWidth="1"/>
    <col min="2" max="2" width="7.33203125" style="78" customWidth="1"/>
    <col min="3" max="3" width="2.6640625" style="78" customWidth="1"/>
    <col min="4" max="4" width="3.88671875" style="78" customWidth="1"/>
    <col min="5" max="5" width="48.5546875" style="78" customWidth="1"/>
    <col min="6" max="6" width="9.109375" style="78" customWidth="1"/>
    <col min="7" max="7" width="18.109375" style="78" customWidth="1"/>
    <col min="8" max="8" width="18" style="78" customWidth="1"/>
    <col min="9" max="9" width="16.6640625" style="78" customWidth="1"/>
    <col min="10" max="10" width="37.88671875" style="78" customWidth="1"/>
    <col min="11" max="27" width="1.109375" style="78" customWidth="1"/>
    <col min="28" max="16384" width="9.109375" style="78"/>
  </cols>
  <sheetData>
    <row r="1" spans="1:29" ht="18" x14ac:dyDescent="0.35">
      <c r="A1" s="77"/>
      <c r="B1" s="24">
        <v>2026</v>
      </c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77"/>
    </row>
    <row r="2" spans="1:29" x14ac:dyDescent="0.3">
      <c r="A2" s="77"/>
      <c r="J2" s="30" t="s">
        <v>37</v>
      </c>
      <c r="AA2" s="77"/>
    </row>
    <row r="3" spans="1:29" x14ac:dyDescent="0.3">
      <c r="A3" s="77"/>
      <c r="J3" s="33" t="str">
        <f>"DOCKET NO.  " &amp; +"20240025-EI"</f>
        <v>DOCKET NO.  20240025-EI</v>
      </c>
      <c r="AA3" s="77"/>
    </row>
    <row r="4" spans="1:29" x14ac:dyDescent="0.3">
      <c r="A4" s="77"/>
      <c r="J4" s="33" t="s">
        <v>38</v>
      </c>
      <c r="AA4" s="77"/>
    </row>
    <row r="5" spans="1:29" x14ac:dyDescent="0.3">
      <c r="A5" s="77"/>
      <c r="J5" s="30" t="s">
        <v>185</v>
      </c>
      <c r="AA5" s="77"/>
    </row>
    <row r="6" spans="1:29" x14ac:dyDescent="0.3">
      <c r="A6" s="77"/>
      <c r="J6" s="37" t="s">
        <v>11</v>
      </c>
      <c r="AA6" s="77"/>
    </row>
    <row r="7" spans="1:29" x14ac:dyDescent="0.3">
      <c r="A7" s="77"/>
      <c r="J7" s="79"/>
      <c r="AA7" s="77"/>
    </row>
    <row r="8" spans="1:29" s="83" customFormat="1" ht="15.6" x14ac:dyDescent="0.3">
      <c r="A8" s="80"/>
      <c r="B8" s="81" t="s">
        <v>186</v>
      </c>
      <c r="C8" s="81"/>
      <c r="D8" s="82"/>
      <c r="E8" s="82"/>
      <c r="F8" s="82"/>
      <c r="G8" s="82"/>
      <c r="H8" s="82"/>
      <c r="I8" s="82"/>
      <c r="J8" s="82"/>
      <c r="AA8" s="80"/>
    </row>
    <row r="9" spans="1:29" x14ac:dyDescent="0.3">
      <c r="A9" s="77"/>
      <c r="B9" s="84"/>
      <c r="C9" s="84"/>
      <c r="D9" s="85">
        <v>-1</v>
      </c>
      <c r="E9" s="85"/>
      <c r="F9" s="86"/>
      <c r="G9" s="87">
        <f>+D9-1</f>
        <v>-2</v>
      </c>
      <c r="H9" s="87">
        <f>+G9-1</f>
        <v>-3</v>
      </c>
      <c r="I9" s="87">
        <f>+H9-1</f>
        <v>-4</v>
      </c>
      <c r="J9" s="87">
        <f>+I9-1</f>
        <v>-5</v>
      </c>
      <c r="AA9" s="77"/>
    </row>
    <row r="10" spans="1:29" x14ac:dyDescent="0.3">
      <c r="A10" s="77"/>
      <c r="B10" s="88" t="s">
        <v>54</v>
      </c>
      <c r="C10" s="88" t="s">
        <v>187</v>
      </c>
      <c r="D10" s="89"/>
      <c r="E10" s="90"/>
      <c r="F10" s="88"/>
      <c r="G10" s="91" t="s">
        <v>188</v>
      </c>
      <c r="H10" s="91" t="s">
        <v>189</v>
      </c>
      <c r="I10" s="91" t="s">
        <v>190</v>
      </c>
      <c r="J10" s="91" t="s">
        <v>58</v>
      </c>
      <c r="AA10" s="77"/>
    </row>
    <row r="11" spans="1:29" ht="5.4" customHeight="1" x14ac:dyDescent="0.3">
      <c r="A11" s="77"/>
      <c r="C11" s="92"/>
      <c r="D11" s="93"/>
      <c r="E11" s="93"/>
      <c r="F11" s="93"/>
      <c r="G11" s="93"/>
      <c r="H11" s="93"/>
      <c r="I11" s="93"/>
      <c r="J11" s="93"/>
      <c r="AA11" s="77"/>
    </row>
    <row r="12" spans="1:29" ht="12.75" customHeight="1" x14ac:dyDescent="0.3">
      <c r="A12" s="77"/>
      <c r="B12" s="94">
        <v>1</v>
      </c>
      <c r="C12" s="95" t="s">
        <v>191</v>
      </c>
      <c r="AA12" s="77"/>
    </row>
    <row r="13" spans="1:29" x14ac:dyDescent="0.3">
      <c r="A13" s="77"/>
      <c r="B13" s="94">
        <f>+B12+1</f>
        <v>2</v>
      </c>
      <c r="D13" s="96" t="s">
        <v>192</v>
      </c>
      <c r="AA13" s="77"/>
    </row>
    <row r="14" spans="1:29" x14ac:dyDescent="0.3">
      <c r="A14" s="77"/>
      <c r="B14" s="94">
        <f>+B13+1</f>
        <v>3</v>
      </c>
      <c r="E14" s="78" t="s">
        <v>193</v>
      </c>
      <c r="G14" s="97">
        <f>'[2]MFR E-6b'!H53</f>
        <v>3.2432131504564348</v>
      </c>
      <c r="J14" s="98" t="s">
        <v>194</v>
      </c>
      <c r="AA14" s="77"/>
      <c r="AC14" s="277"/>
    </row>
    <row r="15" spans="1:29" x14ac:dyDescent="0.3">
      <c r="A15" s="77"/>
      <c r="B15" s="94">
        <f>+B14+1</f>
        <v>4</v>
      </c>
      <c r="E15" s="78" t="s">
        <v>195</v>
      </c>
      <c r="G15" s="97">
        <f>'[2]MFR E-6b'!H55</f>
        <v>8.5472974790457954</v>
      </c>
      <c r="J15" s="98" t="s">
        <v>194</v>
      </c>
      <c r="AA15" s="77"/>
      <c r="AC15" s="277"/>
    </row>
    <row r="16" spans="1:29" x14ac:dyDescent="0.3">
      <c r="A16" s="77"/>
      <c r="B16" s="94">
        <f>+B15+1</f>
        <v>5</v>
      </c>
      <c r="E16" s="78" t="s">
        <v>196</v>
      </c>
      <c r="G16" s="97">
        <f>'[2]MFR E-6b'!H52</f>
        <v>2.158986448918923</v>
      </c>
      <c r="J16" s="98" t="s">
        <v>194</v>
      </c>
      <c r="AA16" s="77"/>
      <c r="AC16" s="277"/>
    </row>
    <row r="17" spans="1:27" x14ac:dyDescent="0.3">
      <c r="A17" s="77"/>
      <c r="B17" s="94">
        <f>+B16+1</f>
        <v>6</v>
      </c>
      <c r="E17" s="78" t="s">
        <v>197</v>
      </c>
      <c r="G17" s="99">
        <f>SUM(G14:G16)</f>
        <v>13.949497078421153</v>
      </c>
      <c r="AA17" s="77"/>
    </row>
    <row r="18" spans="1:27" x14ac:dyDescent="0.3">
      <c r="A18" s="77"/>
      <c r="B18" s="94">
        <f t="shared" ref="B18:B52" si="0">+B17+1</f>
        <v>7</v>
      </c>
      <c r="G18" s="100"/>
      <c r="AA18" s="77"/>
    </row>
    <row r="19" spans="1:27" x14ac:dyDescent="0.3">
      <c r="A19" s="77"/>
      <c r="B19" s="94">
        <f t="shared" si="0"/>
        <v>8</v>
      </c>
      <c r="D19" s="96" t="s">
        <v>198</v>
      </c>
      <c r="AA19" s="77"/>
    </row>
    <row r="20" spans="1:27" x14ac:dyDescent="0.3">
      <c r="A20" s="77"/>
      <c r="B20" s="94">
        <f t="shared" si="0"/>
        <v>9</v>
      </c>
      <c r="E20" s="101" t="s">
        <v>199</v>
      </c>
      <c r="G20" s="102">
        <v>1379693</v>
      </c>
      <c r="J20" s="78" t="s">
        <v>200</v>
      </c>
      <c r="AA20" s="77"/>
    </row>
    <row r="21" spans="1:27" x14ac:dyDescent="0.3">
      <c r="A21" s="77"/>
      <c r="B21" s="94">
        <f t="shared" si="0"/>
        <v>10</v>
      </c>
      <c r="E21" s="101" t="s">
        <v>201</v>
      </c>
      <c r="G21" s="102">
        <v>2809569</v>
      </c>
      <c r="J21" s="78" t="s">
        <v>200</v>
      </c>
      <c r="AA21" s="77"/>
    </row>
    <row r="22" spans="1:27" x14ac:dyDescent="0.3">
      <c r="A22" s="77"/>
      <c r="B22" s="94">
        <f t="shared" si="0"/>
        <v>11</v>
      </c>
      <c r="E22" s="101" t="s">
        <v>202</v>
      </c>
      <c r="G22" s="103">
        <f>+G20/G21*0</f>
        <v>0</v>
      </c>
      <c r="J22" s="78" t="s">
        <v>203</v>
      </c>
      <c r="AA22" s="77"/>
    </row>
    <row r="23" spans="1:27" x14ac:dyDescent="0.3">
      <c r="A23" s="77"/>
      <c r="B23" s="94">
        <f t="shared" si="0"/>
        <v>12</v>
      </c>
      <c r="G23" s="104"/>
      <c r="AA23" s="77"/>
    </row>
    <row r="24" spans="1:27" x14ac:dyDescent="0.3">
      <c r="A24" s="77"/>
      <c r="B24" s="94">
        <f t="shared" si="0"/>
        <v>13</v>
      </c>
      <c r="D24" s="96" t="s">
        <v>204</v>
      </c>
      <c r="G24" s="104"/>
      <c r="AA24" s="77"/>
    </row>
    <row r="25" spans="1:27" x14ac:dyDescent="0.3">
      <c r="A25" s="77"/>
      <c r="B25" s="94">
        <f t="shared" si="0"/>
        <v>14</v>
      </c>
      <c r="E25" s="78" t="s">
        <v>205</v>
      </c>
      <c r="G25" s="105">
        <f>'[2]MFR E-6b'!H21</f>
        <v>222194.76362305431</v>
      </c>
      <c r="J25" s="98" t="s">
        <v>206</v>
      </c>
      <c r="AA25" s="77"/>
    </row>
    <row r="26" spans="1:27" x14ac:dyDescent="0.3">
      <c r="A26" s="77"/>
      <c r="B26" s="94">
        <f t="shared" si="0"/>
        <v>15</v>
      </c>
      <c r="E26" s="101" t="s">
        <v>207</v>
      </c>
      <c r="G26" s="12">
        <f>'[2]MFR E-6b'!H34</f>
        <v>21696377.792271525</v>
      </c>
      <c r="J26" s="98" t="s">
        <v>194</v>
      </c>
      <c r="AA26" s="77"/>
    </row>
    <row r="27" spans="1:27" x14ac:dyDescent="0.3">
      <c r="A27" s="77"/>
      <c r="B27" s="94">
        <f t="shared" si="0"/>
        <v>16</v>
      </c>
      <c r="E27" s="101" t="s">
        <v>208</v>
      </c>
      <c r="G27" s="97">
        <f>+G25*1000/G26</f>
        <v>10.241099493676884</v>
      </c>
      <c r="J27" s="78" t="s">
        <v>209</v>
      </c>
      <c r="AA27" s="77"/>
    </row>
    <row r="28" spans="1:27" x14ac:dyDescent="0.3">
      <c r="A28" s="77"/>
      <c r="B28" s="94">
        <f t="shared" si="0"/>
        <v>17</v>
      </c>
      <c r="E28" s="101" t="s">
        <v>210</v>
      </c>
      <c r="G28" s="106">
        <f>G22</f>
        <v>0</v>
      </c>
      <c r="J28" s="78" t="s">
        <v>211</v>
      </c>
      <c r="AA28" s="77"/>
    </row>
    <row r="29" spans="1:27" x14ac:dyDescent="0.3">
      <c r="A29" s="77"/>
      <c r="B29" s="94">
        <f t="shared" si="0"/>
        <v>18</v>
      </c>
      <c r="E29" s="101" t="s">
        <v>212</v>
      </c>
      <c r="G29" s="99">
        <f>ROUND(G27*G28,2)</f>
        <v>0</v>
      </c>
      <c r="J29" s="78" t="s">
        <v>213</v>
      </c>
      <c r="AA29" s="77"/>
    </row>
    <row r="30" spans="1:27" x14ac:dyDescent="0.3">
      <c r="A30" s="77"/>
      <c r="B30" s="94">
        <f t="shared" si="0"/>
        <v>19</v>
      </c>
      <c r="E30" s="107"/>
      <c r="G30" s="108"/>
      <c r="AA30" s="77"/>
    </row>
    <row r="31" spans="1:27" ht="14.4" thickBot="1" x14ac:dyDescent="0.35">
      <c r="A31" s="77"/>
      <c r="B31" s="94">
        <f t="shared" si="0"/>
        <v>20</v>
      </c>
      <c r="D31" s="109" t="s">
        <v>214</v>
      </c>
      <c r="E31" s="107"/>
      <c r="G31" s="110">
        <f>ROUND(+G29+G17,2)</f>
        <v>13.95</v>
      </c>
      <c r="J31" s="78" t="s">
        <v>215</v>
      </c>
      <c r="AA31" s="77"/>
    </row>
    <row r="32" spans="1:27" ht="14.4" thickTop="1" x14ac:dyDescent="0.3">
      <c r="A32" s="77"/>
      <c r="B32" s="94">
        <f t="shared" si="0"/>
        <v>21</v>
      </c>
      <c r="AA32" s="77"/>
    </row>
    <row r="33" spans="1:27" x14ac:dyDescent="0.3">
      <c r="A33" s="77"/>
      <c r="B33" s="94">
        <f t="shared" si="0"/>
        <v>22</v>
      </c>
      <c r="AA33" s="77"/>
    </row>
    <row r="34" spans="1:27" x14ac:dyDescent="0.3">
      <c r="A34" s="77"/>
      <c r="B34" s="94">
        <f t="shared" si="0"/>
        <v>23</v>
      </c>
      <c r="AA34" s="77"/>
    </row>
    <row r="35" spans="1:27" x14ac:dyDescent="0.3">
      <c r="A35" s="77"/>
      <c r="B35" s="94">
        <f t="shared" si="0"/>
        <v>24</v>
      </c>
      <c r="C35" s="95" t="s">
        <v>216</v>
      </c>
      <c r="E35" s="101"/>
      <c r="G35" s="105"/>
      <c r="H35" s="105"/>
      <c r="I35" s="105"/>
      <c r="J35" s="98"/>
      <c r="AA35" s="77"/>
    </row>
    <row r="36" spans="1:27" x14ac:dyDescent="0.3">
      <c r="A36" s="77"/>
      <c r="B36" s="94">
        <f t="shared" si="0"/>
        <v>25</v>
      </c>
      <c r="D36" s="96" t="s">
        <v>217</v>
      </c>
      <c r="E36" s="101"/>
      <c r="G36" s="105"/>
      <c r="H36" s="105"/>
      <c r="I36" s="105"/>
      <c r="AA36" s="77"/>
    </row>
    <row r="37" spans="1:27" x14ac:dyDescent="0.3">
      <c r="A37" s="77"/>
      <c r="B37" s="94">
        <f t="shared" si="0"/>
        <v>26</v>
      </c>
      <c r="E37" s="101" t="s">
        <v>218</v>
      </c>
      <c r="G37" s="105">
        <f>SUM('[2]MFR E-6b'!H16:H19,'[2]MFR E-6b'!H21)-(G25*G28)</f>
        <v>1979343.7012048459</v>
      </c>
      <c r="H37" s="105">
        <f>SUM('[2]MFR E-6b'!I16:I19,'[2]MFR E-6b'!I21)</f>
        <v>180216.25934612149</v>
      </c>
      <c r="I37" s="105">
        <f>SUM('[2]MFR E-6b'!K16:K19,'[2]MFR E-6b'!K21)-('[2]E-13c - prior to updates'!N213/1000)</f>
        <v>858262.12919021561</v>
      </c>
      <c r="J37" s="78" t="s">
        <v>219</v>
      </c>
      <c r="AA37" s="77"/>
    </row>
    <row r="38" spans="1:27" x14ac:dyDescent="0.3">
      <c r="A38" s="77"/>
      <c r="B38" s="94">
        <f t="shared" si="0"/>
        <v>27</v>
      </c>
      <c r="E38" s="101" t="s">
        <v>220</v>
      </c>
      <c r="G38" s="111">
        <f>'[2]MFR E-6b'!H38</f>
        <v>21036571.744844668</v>
      </c>
      <c r="H38" s="111">
        <f>'[2]MFR E-6b'!I38</f>
        <v>2207981.4668647805</v>
      </c>
      <c r="I38" s="111">
        <f>'[2]MFR E-6b'!K38</f>
        <v>13274257.005823161</v>
      </c>
      <c r="J38" s="98" t="s">
        <v>194</v>
      </c>
      <c r="AA38" s="77"/>
    </row>
    <row r="39" spans="1:27" ht="14.4" thickBot="1" x14ac:dyDescent="0.35">
      <c r="A39" s="77"/>
      <c r="B39" s="94">
        <f t="shared" si="0"/>
        <v>28</v>
      </c>
      <c r="E39" s="101" t="s">
        <v>221</v>
      </c>
      <c r="G39" s="112">
        <f>+G37/G38*100</f>
        <v>9.409060208158273</v>
      </c>
      <c r="H39" s="112">
        <f>+H37/H38*100</f>
        <v>8.1620367766047988</v>
      </c>
      <c r="I39" s="112">
        <f>+I37/I38*100</f>
        <v>6.4656133206831274</v>
      </c>
      <c r="J39" s="78" t="s">
        <v>222</v>
      </c>
      <c r="AA39" s="77"/>
    </row>
    <row r="40" spans="1:27" ht="14.4" thickTop="1" x14ac:dyDescent="0.3">
      <c r="A40" s="77"/>
      <c r="B40" s="94">
        <f t="shared" si="0"/>
        <v>29</v>
      </c>
      <c r="AA40" s="77"/>
    </row>
    <row r="41" spans="1:27" x14ac:dyDescent="0.3">
      <c r="A41" s="77"/>
      <c r="B41" s="94">
        <f t="shared" si="0"/>
        <v>30</v>
      </c>
      <c r="D41" s="96" t="s">
        <v>223</v>
      </c>
      <c r="AA41" s="77"/>
    </row>
    <row r="42" spans="1:27" x14ac:dyDescent="0.3">
      <c r="A42" s="77"/>
      <c r="B42" s="94">
        <f t="shared" si="0"/>
        <v>31</v>
      </c>
      <c r="E42" s="78" t="s">
        <v>224</v>
      </c>
      <c r="G42" s="113">
        <f>SUM('[2]MFR E-13c'!J26,'[2]MFR E-13c'!J31)/SUM('[2]MFR E-13c'!J28,'[2]MFR E-13c'!J33)</f>
        <v>0.71798975681109467</v>
      </c>
      <c r="J42" s="78" t="s">
        <v>225</v>
      </c>
      <c r="AA42" s="77"/>
    </row>
    <row r="43" spans="1:27" x14ac:dyDescent="0.3">
      <c r="A43" s="77"/>
      <c r="B43" s="94">
        <f t="shared" si="0"/>
        <v>32</v>
      </c>
      <c r="E43" s="78" t="s">
        <v>226</v>
      </c>
      <c r="G43" s="113">
        <f>1-G42</f>
        <v>0.28201024318890533</v>
      </c>
      <c r="H43" s="114"/>
      <c r="J43" s="78" t="s">
        <v>225</v>
      </c>
      <c r="AA43" s="77"/>
    </row>
    <row r="44" spans="1:27" x14ac:dyDescent="0.3">
      <c r="A44" s="77"/>
      <c r="B44" s="94">
        <f t="shared" si="0"/>
        <v>33</v>
      </c>
      <c r="E44" s="78" t="s">
        <v>227</v>
      </c>
      <c r="G44" s="114">
        <v>1</v>
      </c>
      <c r="H44" s="115" t="s">
        <v>228</v>
      </c>
      <c r="J44" s="78" t="s">
        <v>229</v>
      </c>
      <c r="AA44" s="77"/>
    </row>
    <row r="45" spans="1:27" x14ac:dyDescent="0.3">
      <c r="A45" s="77"/>
      <c r="B45" s="94">
        <f t="shared" si="0"/>
        <v>34</v>
      </c>
      <c r="E45" s="78" t="s">
        <v>230</v>
      </c>
      <c r="G45" s="116">
        <v>0.1573</v>
      </c>
      <c r="H45" s="117">
        <v>0.1573</v>
      </c>
      <c r="J45" s="78" t="s">
        <v>231</v>
      </c>
      <c r="AA45" s="77"/>
    </row>
    <row r="46" spans="1:27" x14ac:dyDescent="0.3">
      <c r="A46" s="77"/>
      <c r="B46" s="94">
        <f t="shared" si="0"/>
        <v>35</v>
      </c>
      <c r="E46" s="78" t="s">
        <v>232</v>
      </c>
      <c r="G46" s="116">
        <v>0.19</v>
      </c>
      <c r="H46" s="117">
        <v>0.30459999999999998</v>
      </c>
      <c r="J46" s="78" t="s">
        <v>233</v>
      </c>
      <c r="AA46" s="77"/>
    </row>
    <row r="47" spans="1:27" x14ac:dyDescent="0.3">
      <c r="A47" s="77"/>
      <c r="B47" s="94">
        <f t="shared" si="0"/>
        <v>36</v>
      </c>
      <c r="E47" s="78" t="s">
        <v>234</v>
      </c>
      <c r="G47" s="116">
        <v>-4.2299999999999997E-2</v>
      </c>
      <c r="H47" s="118">
        <v>-4.2299999999999997E-2</v>
      </c>
      <c r="J47" s="78" t="s">
        <v>231</v>
      </c>
      <c r="AA47" s="77"/>
    </row>
    <row r="48" spans="1:27" x14ac:dyDescent="0.3">
      <c r="A48" s="77"/>
      <c r="B48" s="94">
        <f t="shared" si="0"/>
        <v>37</v>
      </c>
      <c r="E48" s="78" t="s">
        <v>235</v>
      </c>
      <c r="G48" s="116">
        <v>-6.7799999999999999E-2</v>
      </c>
      <c r="H48" s="119">
        <v>-6.7799999999999999E-2</v>
      </c>
      <c r="J48" s="78" t="s">
        <v>231</v>
      </c>
      <c r="AA48" s="77"/>
    </row>
    <row r="49" spans="1:27" x14ac:dyDescent="0.3">
      <c r="A49" s="77"/>
      <c r="B49" s="94">
        <f t="shared" si="0"/>
        <v>38</v>
      </c>
      <c r="G49" s="114"/>
      <c r="AA49" s="77"/>
    </row>
    <row r="50" spans="1:27" x14ac:dyDescent="0.3">
      <c r="A50" s="77"/>
      <c r="B50" s="94">
        <f t="shared" si="0"/>
        <v>39</v>
      </c>
      <c r="E50" s="78" t="s">
        <v>236</v>
      </c>
      <c r="G50" s="120">
        <f>ROUND((G39-(1*G43))*(1+G45),3)</f>
        <v>10.563000000000001</v>
      </c>
      <c r="H50" s="120"/>
      <c r="J50" s="78" t="s">
        <v>237</v>
      </c>
      <c r="AA50" s="77"/>
    </row>
    <row r="51" spans="1:27" x14ac:dyDescent="0.3">
      <c r="A51" s="77"/>
      <c r="B51" s="94">
        <f t="shared" si="0"/>
        <v>40</v>
      </c>
      <c r="E51" s="78" t="s">
        <v>238</v>
      </c>
      <c r="G51" s="120">
        <f>ROUND((G39+(1*G42))*(1+G46),3)</f>
        <v>12.051</v>
      </c>
      <c r="H51" s="121"/>
      <c r="J51" s="78" t="s">
        <v>239</v>
      </c>
      <c r="AA51" s="77"/>
    </row>
    <row r="52" spans="1:27" x14ac:dyDescent="0.3">
      <c r="A52" s="77"/>
      <c r="B52" s="94">
        <f t="shared" si="0"/>
        <v>41</v>
      </c>
      <c r="E52" s="78" t="s">
        <v>240</v>
      </c>
      <c r="G52" s="120">
        <f>ROUND((G39-(1*G43))*(1+G47),3)</f>
        <v>8.7409999999999997</v>
      </c>
      <c r="H52" s="120"/>
      <c r="J52" s="78" t="s">
        <v>241</v>
      </c>
      <c r="AA52" s="77"/>
    </row>
    <row r="53" spans="1:27" x14ac:dyDescent="0.3">
      <c r="A53" s="77"/>
      <c r="B53" s="94">
        <f>+B52+1</f>
        <v>42</v>
      </c>
      <c r="E53" s="78" t="s">
        <v>242</v>
      </c>
      <c r="G53" s="120">
        <f>ROUND((G39+(1*G42))*(1+G48),3)</f>
        <v>9.44</v>
      </c>
      <c r="H53" s="121"/>
      <c r="J53" s="78" t="s">
        <v>243</v>
      </c>
      <c r="AA53" s="77"/>
    </row>
    <row r="54" spans="1:27" x14ac:dyDescent="0.3">
      <c r="A54" s="77"/>
      <c r="AA54" s="77"/>
    </row>
    <row r="55" spans="1:27" x14ac:dyDescent="0.3">
      <c r="G55" s="121"/>
      <c r="I55" s="122"/>
    </row>
    <row r="57" spans="1:27" x14ac:dyDescent="0.3">
      <c r="G57" s="121"/>
    </row>
    <row r="58" spans="1:27" x14ac:dyDescent="0.3">
      <c r="G58" s="121"/>
    </row>
  </sheetData>
  <pageMargins left="0.5" right="0.5" top="0.75" bottom="0.25" header="0.5" footer="0.25"/>
  <pageSetup scale="72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B601-8018-46EF-B282-9A612FB09C02}">
  <sheetPr>
    <tabColor theme="4" tint="-0.499984740745262"/>
    <pageSetUpPr fitToPage="1"/>
  </sheetPr>
  <dimension ref="A1:AC58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3.8" x14ac:dyDescent="0.3"/>
  <cols>
    <col min="1" max="1" width="1.109375" style="78" customWidth="1"/>
    <col min="2" max="2" width="7.33203125" style="78" customWidth="1"/>
    <col min="3" max="3" width="2.6640625" style="78" customWidth="1"/>
    <col min="4" max="4" width="3.88671875" style="78" customWidth="1"/>
    <col min="5" max="5" width="48.5546875" style="78" customWidth="1"/>
    <col min="6" max="6" width="9.109375" style="78" customWidth="1"/>
    <col min="7" max="7" width="18.109375" style="78" customWidth="1"/>
    <col min="8" max="8" width="18" style="78" customWidth="1"/>
    <col min="9" max="9" width="16.6640625" style="78" customWidth="1"/>
    <col min="10" max="10" width="37.88671875" style="78" customWidth="1"/>
    <col min="11" max="27" width="1.109375" style="78" customWidth="1"/>
    <col min="28" max="16384" width="9.109375" style="78"/>
  </cols>
  <sheetData>
    <row r="1" spans="1:29" ht="18" x14ac:dyDescent="0.35">
      <c r="A1" s="77"/>
      <c r="B1" s="24">
        <v>2025</v>
      </c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77"/>
    </row>
    <row r="2" spans="1:29" x14ac:dyDescent="0.3">
      <c r="A2" s="77"/>
      <c r="J2" s="30" t="s">
        <v>37</v>
      </c>
      <c r="AA2" s="77"/>
    </row>
    <row r="3" spans="1:29" x14ac:dyDescent="0.3">
      <c r="A3" s="77"/>
      <c r="J3" s="33" t="str">
        <f>"DOCKET NO.  " &amp; +"20240025-EI"</f>
        <v>DOCKET NO.  20240025-EI</v>
      </c>
      <c r="AA3" s="77"/>
    </row>
    <row r="4" spans="1:29" x14ac:dyDescent="0.3">
      <c r="A4" s="77"/>
      <c r="J4" s="33" t="s">
        <v>38</v>
      </c>
      <c r="AA4" s="77"/>
    </row>
    <row r="5" spans="1:29" x14ac:dyDescent="0.3">
      <c r="A5" s="77"/>
      <c r="J5" s="30" t="s">
        <v>185</v>
      </c>
      <c r="AA5" s="77"/>
    </row>
    <row r="6" spans="1:29" x14ac:dyDescent="0.3">
      <c r="A6" s="77"/>
      <c r="J6" s="37" t="s">
        <v>8</v>
      </c>
      <c r="AA6" s="77"/>
    </row>
    <row r="7" spans="1:29" x14ac:dyDescent="0.3">
      <c r="A7" s="77"/>
      <c r="J7" s="79"/>
      <c r="AA7" s="77"/>
    </row>
    <row r="8" spans="1:29" s="83" customFormat="1" ht="15.6" x14ac:dyDescent="0.3">
      <c r="A8" s="80"/>
      <c r="B8" s="81" t="s">
        <v>186</v>
      </c>
      <c r="C8" s="81"/>
      <c r="D8" s="82"/>
      <c r="E8" s="82"/>
      <c r="F8" s="82"/>
      <c r="G8" s="82"/>
      <c r="H8" s="82"/>
      <c r="I8" s="82"/>
      <c r="J8" s="82"/>
      <c r="AA8" s="80"/>
    </row>
    <row r="9" spans="1:29" x14ac:dyDescent="0.3">
      <c r="A9" s="77"/>
      <c r="B9" s="84"/>
      <c r="C9" s="84"/>
      <c r="D9" s="85">
        <v>-1</v>
      </c>
      <c r="E9" s="85"/>
      <c r="F9" s="86"/>
      <c r="G9" s="87">
        <f>+D9-1</f>
        <v>-2</v>
      </c>
      <c r="H9" s="87">
        <f>+G9-1</f>
        <v>-3</v>
      </c>
      <c r="I9" s="87">
        <f>+H9-1</f>
        <v>-4</v>
      </c>
      <c r="J9" s="87">
        <f>+I9-1</f>
        <v>-5</v>
      </c>
      <c r="AA9" s="77"/>
    </row>
    <row r="10" spans="1:29" x14ac:dyDescent="0.3">
      <c r="A10" s="77"/>
      <c r="B10" s="88" t="s">
        <v>54</v>
      </c>
      <c r="C10" s="88" t="s">
        <v>187</v>
      </c>
      <c r="D10" s="89"/>
      <c r="E10" s="90"/>
      <c r="F10" s="88"/>
      <c r="G10" s="91" t="s">
        <v>188</v>
      </c>
      <c r="H10" s="91" t="s">
        <v>189</v>
      </c>
      <c r="I10" s="91" t="s">
        <v>190</v>
      </c>
      <c r="J10" s="91" t="s">
        <v>58</v>
      </c>
      <c r="AA10" s="77"/>
    </row>
    <row r="11" spans="1:29" ht="5.4" customHeight="1" x14ac:dyDescent="0.3">
      <c r="A11" s="77"/>
      <c r="C11" s="92"/>
      <c r="D11" s="93"/>
      <c r="E11" s="93"/>
      <c r="F11" s="93"/>
      <c r="G11" s="93"/>
      <c r="H11" s="93"/>
      <c r="I11" s="93"/>
      <c r="J11" s="93"/>
      <c r="AA11" s="77"/>
    </row>
    <row r="12" spans="1:29" ht="12.75" customHeight="1" x14ac:dyDescent="0.3">
      <c r="A12" s="77"/>
      <c r="B12" s="94">
        <v>1</v>
      </c>
      <c r="C12" s="95" t="s">
        <v>191</v>
      </c>
      <c r="AA12" s="77"/>
    </row>
    <row r="13" spans="1:29" x14ac:dyDescent="0.3">
      <c r="A13" s="77"/>
      <c r="B13" s="94">
        <f>+B12+1</f>
        <v>2</v>
      </c>
      <c r="D13" s="96" t="s">
        <v>192</v>
      </c>
      <c r="AA13" s="77"/>
    </row>
    <row r="14" spans="1:29" x14ac:dyDescent="0.3">
      <c r="A14" s="77"/>
      <c r="B14" s="94">
        <f>+B13+1</f>
        <v>3</v>
      </c>
      <c r="E14" s="78" t="s">
        <v>193</v>
      </c>
      <c r="G14" s="97">
        <v>3.063506777188318</v>
      </c>
      <c r="J14" s="98" t="s">
        <v>194</v>
      </c>
      <c r="AA14" s="77"/>
      <c r="AC14" s="277"/>
    </row>
    <row r="15" spans="1:29" x14ac:dyDescent="0.3">
      <c r="A15" s="77"/>
      <c r="B15" s="94">
        <f>+B14+1</f>
        <v>4</v>
      </c>
      <c r="E15" s="78" t="s">
        <v>195</v>
      </c>
      <c r="G15" s="97">
        <v>8.501729485090662</v>
      </c>
      <c r="J15" s="98" t="s">
        <v>194</v>
      </c>
      <c r="AA15" s="77"/>
      <c r="AC15" s="277"/>
    </row>
    <row r="16" spans="1:29" x14ac:dyDescent="0.3">
      <c r="A16" s="77"/>
      <c r="B16" s="94">
        <f>+B15+1</f>
        <v>5</v>
      </c>
      <c r="E16" s="78" t="s">
        <v>196</v>
      </c>
      <c r="G16" s="97">
        <v>2.1011489129028829</v>
      </c>
      <c r="J16" s="98" t="s">
        <v>194</v>
      </c>
      <c r="AA16" s="77"/>
      <c r="AC16" s="277"/>
    </row>
    <row r="17" spans="1:27" x14ac:dyDescent="0.3">
      <c r="A17" s="77"/>
      <c r="B17" s="94">
        <f>+B16+1</f>
        <v>6</v>
      </c>
      <c r="E17" s="78" t="s">
        <v>197</v>
      </c>
      <c r="G17" s="99">
        <f>SUM(G14:G16)</f>
        <v>13.666385175181862</v>
      </c>
      <c r="AA17" s="77"/>
    </row>
    <row r="18" spans="1:27" x14ac:dyDescent="0.3">
      <c r="A18" s="77"/>
      <c r="B18" s="94">
        <f t="shared" ref="B18:B52" si="0">+B17+1</f>
        <v>7</v>
      </c>
      <c r="G18" s="100"/>
      <c r="AA18" s="77"/>
    </row>
    <row r="19" spans="1:27" x14ac:dyDescent="0.3">
      <c r="A19" s="77"/>
      <c r="B19" s="94">
        <f t="shared" si="0"/>
        <v>8</v>
      </c>
      <c r="D19" s="96" t="s">
        <v>198</v>
      </c>
      <c r="AA19" s="77"/>
    </row>
    <row r="20" spans="1:27" x14ac:dyDescent="0.3">
      <c r="A20" s="77"/>
      <c r="B20" s="94">
        <f t="shared" si="0"/>
        <v>9</v>
      </c>
      <c r="E20" s="101" t="s">
        <v>199</v>
      </c>
      <c r="G20" s="102">
        <v>1379693</v>
      </c>
      <c r="J20" s="78" t="s">
        <v>200</v>
      </c>
      <c r="AA20" s="77"/>
    </row>
    <row r="21" spans="1:27" x14ac:dyDescent="0.3">
      <c r="A21" s="77"/>
      <c r="B21" s="94">
        <f t="shared" si="0"/>
        <v>10</v>
      </c>
      <c r="E21" s="101" t="s">
        <v>201</v>
      </c>
      <c r="G21" s="102">
        <v>2809569</v>
      </c>
      <c r="J21" s="78" t="s">
        <v>200</v>
      </c>
      <c r="AA21" s="77"/>
    </row>
    <row r="22" spans="1:27" x14ac:dyDescent="0.3">
      <c r="A22" s="77"/>
      <c r="B22" s="94">
        <f t="shared" si="0"/>
        <v>11</v>
      </c>
      <c r="E22" s="101" t="s">
        <v>202</v>
      </c>
      <c r="G22" s="103">
        <f>+G20/G21*0</f>
        <v>0</v>
      </c>
      <c r="J22" s="78" t="s">
        <v>203</v>
      </c>
      <c r="AA22" s="77"/>
    </row>
    <row r="23" spans="1:27" x14ac:dyDescent="0.3">
      <c r="A23" s="77"/>
      <c r="B23" s="94">
        <f t="shared" si="0"/>
        <v>12</v>
      </c>
      <c r="G23" s="104"/>
      <c r="AA23" s="77"/>
    </row>
    <row r="24" spans="1:27" x14ac:dyDescent="0.3">
      <c r="A24" s="77"/>
      <c r="B24" s="94">
        <f t="shared" si="0"/>
        <v>13</v>
      </c>
      <c r="D24" s="96" t="s">
        <v>204</v>
      </c>
      <c r="G24" s="104"/>
      <c r="AA24" s="77"/>
    </row>
    <row r="25" spans="1:27" x14ac:dyDescent="0.3">
      <c r="A25" s="77"/>
      <c r="B25" s="94">
        <f t="shared" si="0"/>
        <v>14</v>
      </c>
      <c r="E25" s="78" t="s">
        <v>205</v>
      </c>
      <c r="G25" s="105">
        <v>215528.02726205962</v>
      </c>
      <c r="J25" s="98" t="s">
        <v>206</v>
      </c>
      <c r="AA25" s="77"/>
    </row>
    <row r="26" spans="1:27" x14ac:dyDescent="0.3">
      <c r="A26" s="77"/>
      <c r="B26" s="94">
        <f t="shared" si="0"/>
        <v>15</v>
      </c>
      <c r="E26" s="101" t="s">
        <v>207</v>
      </c>
      <c r="G26" s="12">
        <v>21321603.501903247</v>
      </c>
      <c r="J26" s="98" t="s">
        <v>194</v>
      </c>
      <c r="AA26" s="77"/>
    </row>
    <row r="27" spans="1:27" x14ac:dyDescent="0.3">
      <c r="A27" s="77"/>
      <c r="B27" s="94">
        <f t="shared" si="0"/>
        <v>16</v>
      </c>
      <c r="E27" s="101" t="s">
        <v>208</v>
      </c>
      <c r="G27" s="97">
        <f>+G25*1000/G26</f>
        <v>10.108434257433817</v>
      </c>
      <c r="J27" s="78" t="s">
        <v>209</v>
      </c>
      <c r="AA27" s="77"/>
    </row>
    <row r="28" spans="1:27" x14ac:dyDescent="0.3">
      <c r="A28" s="77"/>
      <c r="B28" s="94">
        <f t="shared" si="0"/>
        <v>17</v>
      </c>
      <c r="E28" s="101" t="s">
        <v>210</v>
      </c>
      <c r="G28" s="106">
        <f>G22</f>
        <v>0</v>
      </c>
      <c r="J28" s="78" t="s">
        <v>211</v>
      </c>
      <c r="AA28" s="77"/>
    </row>
    <row r="29" spans="1:27" x14ac:dyDescent="0.3">
      <c r="A29" s="77"/>
      <c r="B29" s="94">
        <f t="shared" si="0"/>
        <v>18</v>
      </c>
      <c r="E29" s="101" t="s">
        <v>212</v>
      </c>
      <c r="G29" s="99">
        <f>ROUND(G27*G28,2)</f>
        <v>0</v>
      </c>
      <c r="J29" s="78" t="s">
        <v>213</v>
      </c>
      <c r="AA29" s="77"/>
    </row>
    <row r="30" spans="1:27" x14ac:dyDescent="0.3">
      <c r="A30" s="77"/>
      <c r="B30" s="94">
        <f t="shared" si="0"/>
        <v>19</v>
      </c>
      <c r="E30" s="107"/>
      <c r="G30" s="108"/>
      <c r="AA30" s="77"/>
    </row>
    <row r="31" spans="1:27" ht="14.4" thickBot="1" x14ac:dyDescent="0.35">
      <c r="A31" s="77"/>
      <c r="B31" s="94">
        <f t="shared" si="0"/>
        <v>20</v>
      </c>
      <c r="D31" s="109" t="s">
        <v>214</v>
      </c>
      <c r="E31" s="107"/>
      <c r="G31" s="110">
        <f>ROUND(+G29+G17,2)</f>
        <v>13.67</v>
      </c>
      <c r="J31" s="78" t="s">
        <v>215</v>
      </c>
      <c r="AA31" s="77"/>
    </row>
    <row r="32" spans="1:27" ht="14.4" thickTop="1" x14ac:dyDescent="0.3">
      <c r="A32" s="77"/>
      <c r="B32" s="94">
        <f t="shared" si="0"/>
        <v>21</v>
      </c>
      <c r="AA32" s="77"/>
    </row>
    <row r="33" spans="1:27" x14ac:dyDescent="0.3">
      <c r="A33" s="77"/>
      <c r="B33" s="94">
        <f t="shared" si="0"/>
        <v>22</v>
      </c>
      <c r="AA33" s="77"/>
    </row>
    <row r="34" spans="1:27" x14ac:dyDescent="0.3">
      <c r="A34" s="77"/>
      <c r="B34" s="94">
        <f t="shared" si="0"/>
        <v>23</v>
      </c>
      <c r="AA34" s="77"/>
    </row>
    <row r="35" spans="1:27" x14ac:dyDescent="0.3">
      <c r="A35" s="77"/>
      <c r="B35" s="94">
        <f t="shared" si="0"/>
        <v>24</v>
      </c>
      <c r="C35" s="95" t="s">
        <v>216</v>
      </c>
      <c r="E35" s="101"/>
      <c r="G35" s="105"/>
      <c r="H35" s="105"/>
      <c r="I35" s="105"/>
      <c r="J35" s="98"/>
      <c r="AA35" s="77"/>
    </row>
    <row r="36" spans="1:27" x14ac:dyDescent="0.3">
      <c r="A36" s="77"/>
      <c r="B36" s="94">
        <f t="shared" si="0"/>
        <v>25</v>
      </c>
      <c r="D36" s="96" t="s">
        <v>217</v>
      </c>
      <c r="E36" s="101"/>
      <c r="G36" s="105"/>
      <c r="H36" s="105"/>
      <c r="I36" s="105"/>
      <c r="AA36" s="77"/>
    </row>
    <row r="37" spans="1:27" x14ac:dyDescent="0.3">
      <c r="A37" s="77"/>
      <c r="B37" s="94">
        <f t="shared" si="0"/>
        <v>26</v>
      </c>
      <c r="E37" s="101" t="s">
        <v>218</v>
      </c>
      <c r="G37" s="105">
        <v>1912183.2867949498</v>
      </c>
      <c r="H37" s="105">
        <v>172835.43548534697</v>
      </c>
      <c r="I37" s="105">
        <v>823246.01904837694</v>
      </c>
      <c r="J37" s="78" t="s">
        <v>219</v>
      </c>
      <c r="AA37" s="77"/>
    </row>
    <row r="38" spans="1:27" x14ac:dyDescent="0.3">
      <c r="A38" s="77"/>
      <c r="B38" s="94">
        <f t="shared" si="0"/>
        <v>27</v>
      </c>
      <c r="E38" s="101" t="s">
        <v>220</v>
      </c>
      <c r="G38" s="111">
        <v>21024272.36356286</v>
      </c>
      <c r="H38" s="111">
        <v>2198186.991346309</v>
      </c>
      <c r="I38" s="111">
        <v>13207897.222804066</v>
      </c>
      <c r="J38" s="98" t="s">
        <v>194</v>
      </c>
      <c r="AA38" s="77"/>
    </row>
    <row r="39" spans="1:27" ht="14.4" thickBot="1" x14ac:dyDescent="0.35">
      <c r="A39" s="77"/>
      <c r="B39" s="94">
        <f t="shared" si="0"/>
        <v>28</v>
      </c>
      <c r="E39" s="101" t="s">
        <v>221</v>
      </c>
      <c r="G39" s="112">
        <f>+G37/G38*100</f>
        <v>9.0951223125750236</v>
      </c>
      <c r="H39" s="112">
        <f>+H37/H38*100</f>
        <v>7.8626357159675306</v>
      </c>
      <c r="I39" s="112">
        <f>+I37/I38*100</f>
        <v>6.2329832308734456</v>
      </c>
      <c r="J39" s="78" t="s">
        <v>222</v>
      </c>
      <c r="AA39" s="77"/>
    </row>
    <row r="40" spans="1:27" ht="14.4" thickTop="1" x14ac:dyDescent="0.3">
      <c r="A40" s="77"/>
      <c r="B40" s="94">
        <f t="shared" si="0"/>
        <v>29</v>
      </c>
      <c r="AA40" s="77"/>
    </row>
    <row r="41" spans="1:27" x14ac:dyDescent="0.3">
      <c r="A41" s="77"/>
      <c r="B41" s="94">
        <f t="shared" si="0"/>
        <v>30</v>
      </c>
      <c r="D41" s="96" t="s">
        <v>223</v>
      </c>
      <c r="AA41" s="77"/>
    </row>
    <row r="42" spans="1:27" x14ac:dyDescent="0.3">
      <c r="A42" s="77"/>
      <c r="B42" s="94">
        <f t="shared" si="0"/>
        <v>31</v>
      </c>
      <c r="E42" s="78" t="s">
        <v>224</v>
      </c>
      <c r="G42" s="113">
        <v>0.71888776356132211</v>
      </c>
      <c r="J42" s="78" t="s">
        <v>225</v>
      </c>
      <c r="AA42" s="77"/>
    </row>
    <row r="43" spans="1:27" x14ac:dyDescent="0.3">
      <c r="A43" s="77"/>
      <c r="B43" s="94">
        <f t="shared" si="0"/>
        <v>32</v>
      </c>
      <c r="E43" s="78" t="s">
        <v>226</v>
      </c>
      <c r="G43" s="113">
        <f>1-G42</f>
        <v>0.28111223643867789</v>
      </c>
      <c r="H43" s="114"/>
      <c r="J43" s="78" t="s">
        <v>225</v>
      </c>
      <c r="AA43" s="77"/>
    </row>
    <row r="44" spans="1:27" x14ac:dyDescent="0.3">
      <c r="A44" s="77"/>
      <c r="B44" s="94">
        <f t="shared" si="0"/>
        <v>33</v>
      </c>
      <c r="E44" s="78" t="s">
        <v>227</v>
      </c>
      <c r="G44" s="114">
        <v>1</v>
      </c>
      <c r="H44" s="115" t="s">
        <v>228</v>
      </c>
      <c r="J44" s="78" t="s">
        <v>229</v>
      </c>
      <c r="AA44" s="77"/>
    </row>
    <row r="45" spans="1:27" x14ac:dyDescent="0.3">
      <c r="A45" s="77"/>
      <c r="B45" s="94">
        <f t="shared" si="0"/>
        <v>34</v>
      </c>
      <c r="E45" s="78" t="s">
        <v>230</v>
      </c>
      <c r="G45" s="116">
        <v>0.1573</v>
      </c>
      <c r="H45" s="117">
        <v>0.1573</v>
      </c>
      <c r="J45" s="78" t="s">
        <v>231</v>
      </c>
      <c r="AA45" s="77"/>
    </row>
    <row r="46" spans="1:27" x14ac:dyDescent="0.3">
      <c r="A46" s="77"/>
      <c r="B46" s="94">
        <f t="shared" si="0"/>
        <v>35</v>
      </c>
      <c r="E46" s="78" t="s">
        <v>232</v>
      </c>
      <c r="G46" s="116">
        <v>0.19</v>
      </c>
      <c r="H46" s="117">
        <v>0.30459999999999998</v>
      </c>
      <c r="J46" s="78" t="s">
        <v>233</v>
      </c>
      <c r="AA46" s="77"/>
    </row>
    <row r="47" spans="1:27" x14ac:dyDescent="0.3">
      <c r="A47" s="77"/>
      <c r="B47" s="94">
        <f t="shared" si="0"/>
        <v>36</v>
      </c>
      <c r="E47" s="78" t="s">
        <v>234</v>
      </c>
      <c r="G47" s="116">
        <v>-4.2299999999999997E-2</v>
      </c>
      <c r="H47" s="118">
        <v>-4.2299999999999997E-2</v>
      </c>
      <c r="J47" s="78" t="s">
        <v>231</v>
      </c>
      <c r="AA47" s="77"/>
    </row>
    <row r="48" spans="1:27" x14ac:dyDescent="0.3">
      <c r="A48" s="77"/>
      <c r="B48" s="94">
        <f t="shared" si="0"/>
        <v>37</v>
      </c>
      <c r="E48" s="78" t="s">
        <v>235</v>
      </c>
      <c r="G48" s="116">
        <v>-6.7799999999999999E-2</v>
      </c>
      <c r="H48" s="119">
        <v>-6.7799999999999999E-2</v>
      </c>
      <c r="J48" s="78" t="s">
        <v>231</v>
      </c>
      <c r="AA48" s="77"/>
    </row>
    <row r="49" spans="1:27" x14ac:dyDescent="0.3">
      <c r="A49" s="77"/>
      <c r="B49" s="94">
        <f t="shared" si="0"/>
        <v>38</v>
      </c>
      <c r="G49" s="114"/>
      <c r="AA49" s="77"/>
    </row>
    <row r="50" spans="1:27" x14ac:dyDescent="0.3">
      <c r="A50" s="77"/>
      <c r="B50" s="94">
        <f t="shared" si="0"/>
        <v>39</v>
      </c>
      <c r="E50" s="78" t="s">
        <v>236</v>
      </c>
      <c r="G50" s="120">
        <f>ROUND((G39-(1*G43))*(1+G45),3)</f>
        <v>10.199999999999999</v>
      </c>
      <c r="H50" s="120"/>
      <c r="J50" s="78" t="s">
        <v>237</v>
      </c>
      <c r="AA50" s="77"/>
    </row>
    <row r="51" spans="1:27" x14ac:dyDescent="0.3">
      <c r="A51" s="77"/>
      <c r="B51" s="94">
        <f t="shared" si="0"/>
        <v>40</v>
      </c>
      <c r="E51" s="78" t="s">
        <v>238</v>
      </c>
      <c r="G51" s="120">
        <f>ROUND((G39+(1*G42))*(1+G46),3)</f>
        <v>11.679</v>
      </c>
      <c r="H51" s="121"/>
      <c r="J51" s="78" t="s">
        <v>239</v>
      </c>
      <c r="AA51" s="77"/>
    </row>
    <row r="52" spans="1:27" x14ac:dyDescent="0.3">
      <c r="A52" s="77"/>
      <c r="B52" s="94">
        <f t="shared" si="0"/>
        <v>41</v>
      </c>
      <c r="E52" s="78" t="s">
        <v>240</v>
      </c>
      <c r="G52" s="120">
        <f>ROUND((G39-(1*G43))*(1+G47),3)</f>
        <v>8.4410000000000007</v>
      </c>
      <c r="H52" s="120"/>
      <c r="J52" s="78" t="s">
        <v>241</v>
      </c>
      <c r="AA52" s="77"/>
    </row>
    <row r="53" spans="1:27" x14ac:dyDescent="0.3">
      <c r="A53" s="77"/>
      <c r="B53" s="94">
        <f>+B52+1</f>
        <v>42</v>
      </c>
      <c r="E53" s="78" t="s">
        <v>242</v>
      </c>
      <c r="G53" s="120">
        <f>ROUND((G39+(1*G42))*(1+G48),3)</f>
        <v>9.1489999999999991</v>
      </c>
      <c r="H53" s="121"/>
      <c r="J53" s="78" t="s">
        <v>243</v>
      </c>
      <c r="AA53" s="77"/>
    </row>
    <row r="54" spans="1:27" x14ac:dyDescent="0.3">
      <c r="A54" s="77"/>
      <c r="AA54" s="77"/>
    </row>
    <row r="55" spans="1:27" x14ac:dyDescent="0.3">
      <c r="G55" s="121"/>
      <c r="I55" s="122"/>
    </row>
    <row r="57" spans="1:27" x14ac:dyDescent="0.3">
      <c r="G57" s="121"/>
    </row>
    <row r="58" spans="1:27" x14ac:dyDescent="0.3">
      <c r="G58" s="121"/>
    </row>
  </sheetData>
  <pageMargins left="0.5" right="0.5" top="0.75" bottom="0.25" header="0.5" footer="0.25"/>
  <pageSetup scale="72" orientation="landscape" r:id="rId1"/>
  <headerFooter>
    <oddHeader xml:space="preserve">&amp;RDEF’s Response to OPC POD 1 (1-26)
Q7
Page &amp;P of &amp;N
</oddHeader>
    <oddFooter>&amp;R20240025-OPCPOD1-00004294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A242-D172-426E-83C3-AFB09F385839}">
  <sheetPr>
    <tabColor theme="7" tint="-0.499984740745262"/>
    <pageSetUpPr fitToPage="1"/>
  </sheetPr>
  <dimension ref="A1:AC281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4.4" x14ac:dyDescent="0.3"/>
  <cols>
    <col min="1" max="1" width="4.6640625" style="156" customWidth="1"/>
    <col min="2" max="2" width="1.33203125" style="125" customWidth="1"/>
    <col min="3" max="3" width="4.6640625" style="125" customWidth="1"/>
    <col min="4" max="4" width="10.44140625" style="125" customWidth="1"/>
    <col min="5" max="5" width="18" style="125" customWidth="1"/>
    <col min="6" max="6" width="3.88671875" style="125" customWidth="1"/>
    <col min="7" max="7" width="10.6640625" style="125" bestFit="1" customWidth="1"/>
    <col min="8" max="8" width="11" style="125" bestFit="1" customWidth="1"/>
    <col min="9" max="11" width="10.6640625" style="125" bestFit="1" customWidth="1"/>
    <col min="12" max="12" width="10.44140625" style="125" bestFit="1" customWidth="1"/>
    <col min="13" max="13" width="35" style="125" bestFit="1" customWidth="1"/>
    <col min="14" max="14" width="10.44140625" style="125" customWidth="1"/>
    <col min="15" max="23" width="0.5546875" style="125" customWidth="1"/>
    <col min="24" max="24" width="8.33203125" style="125" customWidth="1"/>
    <col min="25" max="28" width="8.33203125" style="126" customWidth="1"/>
    <col min="29" max="29" width="1.33203125" style="141" customWidth="1"/>
    <col min="30" max="16384" width="9.109375" style="126"/>
  </cols>
  <sheetData>
    <row r="1" spans="1:29" x14ac:dyDescent="0.3">
      <c r="A1" s="123" t="s">
        <v>244</v>
      </c>
      <c r="B1" s="124"/>
      <c r="C1" s="124"/>
      <c r="AC1" s="127"/>
    </row>
    <row r="2" spans="1:29" x14ac:dyDescent="0.3">
      <c r="A2" s="378">
        <v>2027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9"/>
    </row>
    <row r="3" spans="1:29" x14ac:dyDescent="0.3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132"/>
      <c r="O3" s="131"/>
      <c r="P3" s="133"/>
      <c r="Q3" s="131"/>
      <c r="R3" s="131"/>
      <c r="S3" s="131"/>
      <c r="T3" s="131"/>
      <c r="U3" s="131"/>
      <c r="V3" s="131"/>
      <c r="W3" s="131"/>
      <c r="X3" s="131"/>
      <c r="AC3" s="129"/>
    </row>
    <row r="4" spans="1:29" x14ac:dyDescent="0.3">
      <c r="A4" s="134"/>
      <c r="B4" s="131"/>
      <c r="C4" s="131"/>
      <c r="D4" s="135"/>
      <c r="E4" s="131"/>
      <c r="F4" s="131"/>
      <c r="G4" s="131"/>
      <c r="H4" s="131"/>
      <c r="I4" s="131"/>
      <c r="J4" s="131"/>
      <c r="K4" s="131"/>
      <c r="L4" s="134"/>
      <c r="M4" s="30" t="s">
        <v>37</v>
      </c>
      <c r="N4" s="131"/>
      <c r="O4" s="134"/>
      <c r="P4" s="131"/>
      <c r="Q4" s="131"/>
      <c r="R4" s="131"/>
      <c r="S4" s="131"/>
      <c r="T4" s="131"/>
      <c r="U4" s="131"/>
      <c r="V4" s="131"/>
      <c r="W4" s="131"/>
      <c r="X4" s="131"/>
      <c r="AC4" s="129"/>
    </row>
    <row r="5" spans="1:29" x14ac:dyDescent="0.3">
      <c r="A5" s="134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33" t="str">
        <f>"DOCKET NO.  " &amp; +"20240025-EI"</f>
        <v>DOCKET NO.  20240025-EI</v>
      </c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4" t="s">
        <v>245</v>
      </c>
      <c r="AC5" s="136" t="s">
        <v>245</v>
      </c>
    </row>
    <row r="6" spans="1:29" x14ac:dyDescent="0.3">
      <c r="A6" s="134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3" t="s">
        <v>38</v>
      </c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AC6" s="129"/>
    </row>
    <row r="7" spans="1:29" x14ac:dyDescent="0.3">
      <c r="A7" s="134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30" t="s">
        <v>246</v>
      </c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AC7" s="129"/>
    </row>
    <row r="8" spans="1:29" x14ac:dyDescent="0.3">
      <c r="A8" s="134"/>
      <c r="B8" s="131"/>
      <c r="C8" s="137"/>
      <c r="D8" s="131"/>
      <c r="E8" s="131"/>
      <c r="F8" s="131"/>
      <c r="G8" s="131"/>
      <c r="H8" s="131"/>
      <c r="I8" s="131"/>
      <c r="J8" s="131"/>
      <c r="K8" s="131"/>
      <c r="L8" s="134"/>
      <c r="M8" s="79" t="s">
        <v>247</v>
      </c>
      <c r="N8" s="131"/>
      <c r="O8" s="134"/>
      <c r="P8" s="131"/>
      <c r="Q8" s="131"/>
      <c r="R8" s="131"/>
      <c r="S8" s="131"/>
      <c r="T8" s="131"/>
      <c r="U8" s="131"/>
      <c r="V8" s="131"/>
      <c r="W8" s="131"/>
      <c r="X8" s="131"/>
      <c r="AC8" s="129"/>
    </row>
    <row r="9" spans="1:29" ht="15.6" x14ac:dyDescent="0.3">
      <c r="A9" s="138" t="s">
        <v>248</v>
      </c>
      <c r="B9" s="139"/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37" t="s">
        <v>13</v>
      </c>
      <c r="N9" s="82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9" ht="15.6" x14ac:dyDescent="0.3">
      <c r="A10" s="142"/>
      <c r="B10" s="279"/>
      <c r="C10" s="27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82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9" ht="15.6" x14ac:dyDescent="0.3">
      <c r="A11" s="142"/>
      <c r="B11" s="279"/>
      <c r="C11" s="279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82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9" ht="15.6" x14ac:dyDescent="0.3">
      <c r="A12" s="375" t="s">
        <v>249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82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9" x14ac:dyDescent="0.3">
      <c r="A13" s="143"/>
      <c r="B13" s="109"/>
      <c r="C13" s="109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AC13" s="127"/>
    </row>
    <row r="14" spans="1:29" x14ac:dyDescent="0.3">
      <c r="A14" s="144"/>
      <c r="B14" s="145"/>
      <c r="C14" s="145"/>
      <c r="D14" s="376">
        <v>-1</v>
      </c>
      <c r="E14" s="376"/>
      <c r="F14" s="146"/>
      <c r="G14" s="278">
        <f>+D14-1</f>
        <v>-2</v>
      </c>
      <c r="H14" s="278">
        <f t="shared" ref="H14:M14" si="0">+G14-1</f>
        <v>-3</v>
      </c>
      <c r="I14" s="278">
        <f t="shared" si="0"/>
        <v>-4</v>
      </c>
      <c r="J14" s="278">
        <f t="shared" si="0"/>
        <v>-5</v>
      </c>
      <c r="K14" s="278">
        <f t="shared" si="0"/>
        <v>-6</v>
      </c>
      <c r="L14" s="278">
        <f t="shared" si="0"/>
        <v>-7</v>
      </c>
      <c r="M14" s="278">
        <f t="shared" si="0"/>
        <v>-8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9" x14ac:dyDescent="0.3">
      <c r="A15" s="147"/>
      <c r="B15" s="148"/>
      <c r="C15" s="148"/>
      <c r="D15" s="148"/>
      <c r="E15" s="148"/>
      <c r="F15" s="148"/>
      <c r="G15" s="148"/>
      <c r="H15" s="149"/>
      <c r="I15" s="148"/>
      <c r="J15" s="149"/>
      <c r="K15" s="78"/>
      <c r="L15" s="78"/>
      <c r="M15" s="78"/>
      <c r="N15" s="14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9" ht="27.6" x14ac:dyDescent="0.3">
      <c r="A16" s="147"/>
      <c r="B16" s="148"/>
      <c r="C16" s="148"/>
      <c r="D16" s="148"/>
      <c r="E16" s="148"/>
      <c r="F16" s="148"/>
      <c r="G16" s="149" t="s">
        <v>250</v>
      </c>
      <c r="H16" s="150" t="s">
        <v>102</v>
      </c>
      <c r="I16" s="151" t="s">
        <v>251</v>
      </c>
      <c r="J16" s="149" t="s">
        <v>252</v>
      </c>
      <c r="K16" s="151" t="s">
        <v>250</v>
      </c>
      <c r="L16" s="151" t="s">
        <v>253</v>
      </c>
      <c r="M16" s="152" t="s">
        <v>254</v>
      </c>
      <c r="N16" s="14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x14ac:dyDescent="0.3">
      <c r="A17" s="153" t="s">
        <v>54</v>
      </c>
      <c r="B17" s="154"/>
      <c r="C17" s="154"/>
      <c r="D17" s="155"/>
      <c r="E17" s="155"/>
      <c r="F17" s="155"/>
      <c r="G17" s="172" t="s">
        <v>255</v>
      </c>
      <c r="H17" s="173"/>
      <c r="I17" s="173" t="s">
        <v>101</v>
      </c>
      <c r="J17" s="173" t="s">
        <v>99</v>
      </c>
      <c r="K17" s="173" t="s">
        <v>256</v>
      </c>
      <c r="L17" s="173"/>
      <c r="M17" s="8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x14ac:dyDescent="0.3">
      <c r="A18" s="156">
        <v>1</v>
      </c>
      <c r="D18"/>
      <c r="E18"/>
      <c r="F18"/>
      <c r="G18"/>
      <c r="H18"/>
      <c r="I18"/>
      <c r="J18"/>
      <c r="K18"/>
      <c r="L18"/>
      <c r="M18"/>
    </row>
    <row r="19" spans="1:24" ht="15" thickBot="1" x14ac:dyDescent="0.35">
      <c r="D19" s="365" t="s">
        <v>257</v>
      </c>
      <c r="E19" s="365"/>
      <c r="F19" s="365"/>
      <c r="G19" s="365"/>
      <c r="H19" s="365"/>
      <c r="I19" s="365"/>
      <c r="J19" s="365"/>
      <c r="K19" s="365"/>
      <c r="L19" s="365"/>
      <c r="M19" s="365"/>
      <c r="N19" s="131"/>
    </row>
    <row r="20" spans="1:24" x14ac:dyDescent="0.3">
      <c r="D20"/>
      <c r="E20"/>
      <c r="F20" s="317"/>
      <c r="G20" s="366">
        <v>682746888.07150412</v>
      </c>
      <c r="H20" s="366">
        <v>379904273.54247433</v>
      </c>
      <c r="I20" s="366">
        <v>758486408.22874939</v>
      </c>
      <c r="J20" s="366">
        <v>0</v>
      </c>
      <c r="K20" s="366">
        <v>337117321.98214173</v>
      </c>
      <c r="L20" s="366">
        <v>-17339967.065218806</v>
      </c>
      <c r="M20" s="367">
        <v>2140914924.7596502</v>
      </c>
      <c r="N20" s="131"/>
    </row>
    <row r="21" spans="1:24" x14ac:dyDescent="0.3">
      <c r="A21" s="156">
        <v>2</v>
      </c>
      <c r="D21"/>
      <c r="E21"/>
      <c r="F21" s="317"/>
      <c r="G21" s="318"/>
      <c r="H21" s="318"/>
      <c r="I21" s="318"/>
      <c r="J21" s="318"/>
      <c r="K21" s="318"/>
      <c r="L21" s="318"/>
      <c r="M21" s="317"/>
      <c r="N21" s="131"/>
    </row>
    <row r="22" spans="1:24" ht="15" thickBot="1" x14ac:dyDescent="0.35">
      <c r="D22" s="365" t="s">
        <v>258</v>
      </c>
      <c r="E22" s="365"/>
      <c r="F22" s="365"/>
      <c r="G22" s="365"/>
      <c r="H22" s="365"/>
      <c r="I22" s="365"/>
      <c r="J22" s="365"/>
      <c r="K22" s="365"/>
      <c r="L22" s="365"/>
      <c r="M22" s="365"/>
      <c r="N22" s="131"/>
    </row>
    <row r="23" spans="1:24" x14ac:dyDescent="0.3">
      <c r="D23"/>
      <c r="E23"/>
      <c r="F23" s="317"/>
      <c r="G23" s="368" t="s">
        <v>259</v>
      </c>
      <c r="H23" s="368" t="s">
        <v>260</v>
      </c>
      <c r="I23" s="368" t="s">
        <v>261</v>
      </c>
      <c r="J23" s="368" t="s">
        <v>261</v>
      </c>
      <c r="K23" s="368" t="s">
        <v>262</v>
      </c>
      <c r="L23" s="368" t="s">
        <v>263</v>
      </c>
      <c r="M23"/>
      <c r="N23" s="131"/>
    </row>
    <row r="24" spans="1:24" ht="15.6" x14ac:dyDescent="0.3">
      <c r="A24" s="156">
        <v>3</v>
      </c>
      <c r="D24"/>
      <c r="E24"/>
      <c r="F24" s="317"/>
      <c r="G24" s="318"/>
      <c r="H24" s="318"/>
      <c r="I24" s="318"/>
      <c r="J24" s="318"/>
      <c r="K24" s="318"/>
      <c r="L24" s="318"/>
      <c r="M24" s="317"/>
      <c r="N24" s="82"/>
    </row>
    <row r="25" spans="1:24" ht="16.2" thickBot="1" x14ac:dyDescent="0.35">
      <c r="A25" s="156">
        <v>4</v>
      </c>
      <c r="D25" s="365" t="s">
        <v>264</v>
      </c>
      <c r="E25" s="365"/>
      <c r="F25" s="365"/>
      <c r="G25" s="365"/>
      <c r="H25" s="365"/>
      <c r="I25" s="365"/>
      <c r="J25" s="365"/>
      <c r="K25" s="365"/>
      <c r="L25" s="365"/>
      <c r="M25" s="365"/>
      <c r="N25" s="82"/>
    </row>
    <row r="26" spans="1:24" ht="15.6" x14ac:dyDescent="0.3">
      <c r="A26" s="156">
        <v>5</v>
      </c>
      <c r="D26">
        <v>1</v>
      </c>
      <c r="E26" t="s">
        <v>265</v>
      </c>
      <c r="F26" s="320"/>
      <c r="G26" s="369">
        <v>2.490299254061072</v>
      </c>
      <c r="H26" s="369">
        <v>1.6447207459538091</v>
      </c>
      <c r="I26" s="369">
        <v>1.679985104055159</v>
      </c>
      <c r="J26" s="369">
        <v>1.679985104055159</v>
      </c>
      <c r="K26" s="369">
        <v>1.3622293597931883</v>
      </c>
      <c r="L26" s="369">
        <v>1</v>
      </c>
      <c r="M26" s="317"/>
      <c r="N26" s="82"/>
    </row>
    <row r="27" spans="1:24" ht="15.6" x14ac:dyDescent="0.3">
      <c r="A27" s="156">
        <v>6</v>
      </c>
      <c r="D27">
        <v>2</v>
      </c>
      <c r="E27" t="s">
        <v>266</v>
      </c>
      <c r="F27" s="320"/>
      <c r="G27" s="369">
        <v>0.78203961486374551</v>
      </c>
      <c r="H27" s="369">
        <v>0.96960809507935608</v>
      </c>
      <c r="I27" s="369">
        <v>0.96774178609498318</v>
      </c>
      <c r="J27" s="369">
        <v>0.96774178609498318</v>
      </c>
      <c r="K27" s="369">
        <v>0.99944772468847709</v>
      </c>
      <c r="L27" s="369">
        <v>1</v>
      </c>
      <c r="M27" s="317"/>
      <c r="N27" s="82"/>
    </row>
    <row r="28" spans="1:24" x14ac:dyDescent="0.3">
      <c r="A28" s="156">
        <v>7</v>
      </c>
      <c r="D28">
        <v>3</v>
      </c>
      <c r="E28" t="s">
        <v>267</v>
      </c>
      <c r="F28" s="320"/>
      <c r="G28" s="369">
        <v>0.52989903387328763</v>
      </c>
      <c r="H28" s="369">
        <v>0.55449388383653153</v>
      </c>
      <c r="I28" s="369">
        <v>0.48625107454688149</v>
      </c>
      <c r="J28" s="369">
        <v>0.48625107454688149</v>
      </c>
      <c r="K28" s="369">
        <v>0.79790281105090721</v>
      </c>
      <c r="L28" s="369">
        <v>1</v>
      </c>
      <c r="M28" s="317"/>
      <c r="N28" s="78"/>
    </row>
    <row r="29" spans="1:24" x14ac:dyDescent="0.3">
      <c r="A29" s="156">
        <v>8</v>
      </c>
      <c r="D29">
        <v>4</v>
      </c>
      <c r="E29" t="s">
        <v>136</v>
      </c>
      <c r="F29" s="320"/>
      <c r="G29" s="369">
        <v>0</v>
      </c>
      <c r="H29" s="369">
        <v>0</v>
      </c>
      <c r="I29" s="369">
        <v>0</v>
      </c>
      <c r="J29" s="369">
        <v>0</v>
      </c>
      <c r="K29" s="369">
        <v>0</v>
      </c>
      <c r="L29" s="369">
        <v>0</v>
      </c>
      <c r="M29" s="317"/>
      <c r="N29" s="78"/>
    </row>
    <row r="30" spans="1:24" x14ac:dyDescent="0.3">
      <c r="D30">
        <v>5</v>
      </c>
      <c r="E30" t="s">
        <v>136</v>
      </c>
      <c r="F30" s="320"/>
      <c r="G30" s="369">
        <v>0</v>
      </c>
      <c r="H30" s="369">
        <v>0</v>
      </c>
      <c r="I30" s="369">
        <v>0</v>
      </c>
      <c r="J30" s="369">
        <v>0</v>
      </c>
      <c r="K30" s="369">
        <v>0</v>
      </c>
      <c r="L30" s="369">
        <v>0</v>
      </c>
      <c r="M30" s="317"/>
      <c r="N30" s="148"/>
    </row>
    <row r="31" spans="1:24" x14ac:dyDescent="0.3">
      <c r="D31">
        <v>6</v>
      </c>
      <c r="E31" t="s">
        <v>136</v>
      </c>
      <c r="F31" s="320"/>
      <c r="G31" s="369">
        <v>0</v>
      </c>
      <c r="H31" s="369">
        <v>0</v>
      </c>
      <c r="I31" s="369">
        <v>0</v>
      </c>
      <c r="J31" s="369">
        <v>0</v>
      </c>
      <c r="K31" s="369">
        <v>0</v>
      </c>
      <c r="L31" s="369">
        <v>0</v>
      </c>
      <c r="M31" s="317"/>
    </row>
    <row r="32" spans="1:24" x14ac:dyDescent="0.3">
      <c r="A32" s="156">
        <v>9</v>
      </c>
      <c r="D32"/>
      <c r="E32"/>
      <c r="F32" s="317"/>
      <c r="G32" s="318"/>
      <c r="H32" s="318"/>
      <c r="I32" s="318"/>
      <c r="J32" s="318"/>
      <c r="K32" s="318"/>
      <c r="L32" s="318"/>
      <c r="M32" s="317"/>
    </row>
    <row r="33" spans="1:27" ht="15" thickBot="1" x14ac:dyDescent="0.35">
      <c r="A33" s="156">
        <v>10</v>
      </c>
      <c r="D33" s="365" t="s">
        <v>268</v>
      </c>
      <c r="E33" s="365"/>
      <c r="F33" s="365"/>
      <c r="G33" s="365"/>
      <c r="H33" s="365"/>
      <c r="I33" s="365"/>
      <c r="J33" s="365"/>
      <c r="K33" s="365"/>
      <c r="L33" s="365"/>
      <c r="M33" s="365"/>
    </row>
    <row r="34" spans="1:27" x14ac:dyDescent="0.3">
      <c r="A34" s="156">
        <v>11</v>
      </c>
      <c r="D34">
        <v>1</v>
      </c>
      <c r="E34" t="s">
        <v>265</v>
      </c>
      <c r="F34" s="320"/>
      <c r="G34" s="322"/>
      <c r="H34" s="323"/>
      <c r="I34" s="318"/>
      <c r="J34" s="318"/>
      <c r="K34" s="318"/>
      <c r="L34" s="318"/>
      <c r="M34" s="366">
        <v>3351639.6175284781</v>
      </c>
      <c r="N34" s="131"/>
    </row>
    <row r="35" spans="1:27" x14ac:dyDescent="0.3">
      <c r="A35" s="156">
        <v>12</v>
      </c>
      <c r="D35">
        <v>2</v>
      </c>
      <c r="E35" t="s">
        <v>266</v>
      </c>
      <c r="F35" s="320"/>
      <c r="G35" s="322"/>
      <c r="H35" s="322"/>
      <c r="I35" s="322"/>
      <c r="J35" s="322"/>
      <c r="K35" s="322"/>
      <c r="L35" s="322"/>
      <c r="M35" s="366">
        <v>14630174.148049297</v>
      </c>
      <c r="N35" s="131"/>
    </row>
    <row r="36" spans="1:27" x14ac:dyDescent="0.3">
      <c r="A36" s="156">
        <v>13</v>
      </c>
      <c r="D36">
        <v>3</v>
      </c>
      <c r="E36" t="s">
        <v>267</v>
      </c>
      <c r="F36" s="320"/>
      <c r="G36" s="322"/>
      <c r="H36" s="322"/>
      <c r="I36" s="322"/>
      <c r="J36" s="322"/>
      <c r="K36" s="322"/>
      <c r="L36" s="322"/>
      <c r="M36" s="366">
        <v>3517519.2344222423</v>
      </c>
      <c r="N36" s="131"/>
    </row>
    <row r="37" spans="1:27" x14ac:dyDescent="0.3">
      <c r="A37" s="156">
        <v>14</v>
      </c>
      <c r="D37">
        <v>4</v>
      </c>
      <c r="E37" t="s">
        <v>136</v>
      </c>
      <c r="F37" s="320"/>
      <c r="G37" s="322"/>
      <c r="H37" s="322"/>
      <c r="I37" s="322"/>
      <c r="J37" s="322"/>
      <c r="K37" s="322"/>
      <c r="L37" s="322"/>
      <c r="M37" s="366">
        <v>0</v>
      </c>
      <c r="N37" s="131"/>
    </row>
    <row r="38" spans="1:27" x14ac:dyDescent="0.3">
      <c r="D38">
        <v>5</v>
      </c>
      <c r="E38" t="s">
        <v>136</v>
      </c>
      <c r="F38" s="320"/>
      <c r="G38" s="322"/>
      <c r="H38" s="322"/>
      <c r="I38" s="322"/>
      <c r="J38" s="322"/>
      <c r="K38" s="322"/>
      <c r="L38" s="322"/>
      <c r="M38" s="366">
        <v>0</v>
      </c>
      <c r="N38" s="131"/>
    </row>
    <row r="39" spans="1:27" ht="15.6" x14ac:dyDescent="0.3">
      <c r="D39">
        <v>6</v>
      </c>
      <c r="E39" t="s">
        <v>136</v>
      </c>
      <c r="F39" s="320"/>
      <c r="G39" s="322"/>
      <c r="H39" s="322"/>
      <c r="I39" s="322"/>
      <c r="J39" s="322"/>
      <c r="K39" s="322"/>
      <c r="L39" s="322"/>
      <c r="M39" s="366">
        <v>0</v>
      </c>
      <c r="N39" s="82"/>
    </row>
    <row r="40" spans="1:27" ht="15.6" x14ac:dyDescent="0.3">
      <c r="A40" s="156">
        <v>15</v>
      </c>
      <c r="D40"/>
      <c r="E40"/>
      <c r="F40" s="317"/>
      <c r="G40" s="318"/>
      <c r="H40" s="318"/>
      <c r="I40" s="318"/>
      <c r="J40" s="318"/>
      <c r="K40" s="318"/>
      <c r="L40" s="318"/>
      <c r="M40" s="317"/>
      <c r="N40" s="82"/>
    </row>
    <row r="41" spans="1:27" ht="16.2" thickBot="1" x14ac:dyDescent="0.35">
      <c r="D41" s="365" t="s">
        <v>269</v>
      </c>
      <c r="E41" s="365"/>
      <c r="F41" s="365"/>
      <c r="G41" s="365"/>
      <c r="H41" s="365"/>
      <c r="I41" s="365"/>
      <c r="J41" s="365"/>
      <c r="K41" s="365"/>
      <c r="L41" s="365"/>
      <c r="M41" s="365"/>
      <c r="N41" s="82"/>
    </row>
    <row r="42" spans="1:27" ht="15.6" x14ac:dyDescent="0.3">
      <c r="D42"/>
      <c r="E42"/>
      <c r="F42" s="317"/>
      <c r="G42" s="370">
        <v>3.1532898175637052</v>
      </c>
      <c r="H42" s="370">
        <v>1.7548765944921283</v>
      </c>
      <c r="I42" s="370">
        <v>3.5279532077983533</v>
      </c>
      <c r="J42" s="370">
        <v>0</v>
      </c>
      <c r="K42" s="370">
        <v>1.5327392020138886</v>
      </c>
      <c r="L42" s="370">
        <v>-8.0653511740195818E-2</v>
      </c>
      <c r="M42" s="317"/>
      <c r="N42" s="82"/>
    </row>
    <row r="43" spans="1:27" x14ac:dyDescent="0.3">
      <c r="A43" s="156">
        <v>16</v>
      </c>
      <c r="D43"/>
      <c r="E43"/>
      <c r="F43" s="317"/>
      <c r="G43" s="318"/>
      <c r="H43" s="318"/>
      <c r="I43" s="318"/>
      <c r="J43" s="318"/>
      <c r="K43" s="318"/>
      <c r="L43" s="318"/>
      <c r="M43" s="317"/>
      <c r="N43" s="78"/>
    </row>
    <row r="44" spans="1:27" ht="15" thickBot="1" x14ac:dyDescent="0.35">
      <c r="A44" s="156">
        <v>17</v>
      </c>
      <c r="D44" s="365" t="s">
        <v>270</v>
      </c>
      <c r="E44" s="365"/>
      <c r="F44" s="365"/>
      <c r="G44" s="365"/>
      <c r="H44" s="365"/>
      <c r="I44" s="365"/>
      <c r="J44" s="365"/>
      <c r="K44" s="365"/>
      <c r="L44" s="365"/>
      <c r="M44" s="365"/>
      <c r="N44" s="78"/>
      <c r="Z44" s="126" t="s">
        <v>271</v>
      </c>
    </row>
    <row r="45" spans="1:27" x14ac:dyDescent="0.3">
      <c r="A45" s="156">
        <v>18</v>
      </c>
      <c r="D45">
        <v>1</v>
      </c>
      <c r="E45" t="s">
        <v>265</v>
      </c>
      <c r="F45" s="325"/>
      <c r="G45" s="370">
        <v>7.8526352805172692</v>
      </c>
      <c r="H45" s="370">
        <v>2.8862819415499734</v>
      </c>
      <c r="I45" s="370">
        <v>5.9269088369048486</v>
      </c>
      <c r="J45" s="370">
        <v>0</v>
      </c>
      <c r="K45" s="370">
        <v>2.0879423418893017</v>
      </c>
      <c r="L45" s="370">
        <v>-8.0653511740195818E-2</v>
      </c>
      <c r="M45" s="371">
        <v>18.673114889121202</v>
      </c>
      <c r="N45" s="148"/>
      <c r="X45" s="168">
        <f>M45/M46</f>
        <v>2.0672274672389248</v>
      </c>
      <c r="Z45" s="168">
        <f>AA45/AA46</f>
        <v>1.45</v>
      </c>
      <c r="AA45" s="327">
        <v>15.058397077594424</v>
      </c>
    </row>
    <row r="46" spans="1:27" x14ac:dyDescent="0.3">
      <c r="A46" s="156">
        <v>19</v>
      </c>
      <c r="D46">
        <v>2</v>
      </c>
      <c r="E46" t="s">
        <v>266</v>
      </c>
      <c r="F46" s="325"/>
      <c r="G46" s="370">
        <v>2.4659975544812904</v>
      </c>
      <c r="H46" s="370">
        <v>1.7015425518848601</v>
      </c>
      <c r="I46" s="370">
        <v>3.4141477385743038</v>
      </c>
      <c r="J46" s="370">
        <v>0</v>
      </c>
      <c r="K46" s="370">
        <v>1.5318927079936129</v>
      </c>
      <c r="L46" s="370">
        <v>-8.0653511740195818E-2</v>
      </c>
      <c r="M46" s="371">
        <v>9.0329270411938722</v>
      </c>
      <c r="X46" s="168">
        <f>M46/M46</f>
        <v>1</v>
      </c>
      <c r="Z46" s="168">
        <v>1</v>
      </c>
      <c r="AA46" s="327">
        <v>10.385101432823742</v>
      </c>
    </row>
    <row r="47" spans="1:27" x14ac:dyDescent="0.3">
      <c r="A47" s="156">
        <v>20</v>
      </c>
      <c r="D47">
        <v>3</v>
      </c>
      <c r="E47" t="s">
        <v>267</v>
      </c>
      <c r="F47" s="325"/>
      <c r="G47" s="370">
        <v>1.6709252278494828</v>
      </c>
      <c r="H47" s="370">
        <v>0.97306833853376629</v>
      </c>
      <c r="I47" s="370">
        <v>1.7154710382430667</v>
      </c>
      <c r="J47" s="370">
        <v>0</v>
      </c>
      <c r="K47" s="370">
        <v>1.222976917894806</v>
      </c>
      <c r="L47" s="370">
        <v>-8.0653511740195818E-2</v>
      </c>
      <c r="M47" s="371">
        <v>5.5017880107809267</v>
      </c>
      <c r="X47" s="168">
        <f>M47/M46</f>
        <v>0.6090814179822891</v>
      </c>
      <c r="Z47" s="168">
        <f>AA47/AA46</f>
        <v>0.60908141798228899</v>
      </c>
      <c r="AA47" s="327">
        <v>6.3253723065941863</v>
      </c>
    </row>
    <row r="48" spans="1:27" x14ac:dyDescent="0.3">
      <c r="A48" s="156">
        <v>21</v>
      </c>
      <c r="D48">
        <v>4</v>
      </c>
      <c r="E48" t="s">
        <v>136</v>
      </c>
      <c r="F48" s="325"/>
      <c r="G48" s="370">
        <v>0</v>
      </c>
      <c r="H48" s="370">
        <v>0</v>
      </c>
      <c r="I48" s="370">
        <v>0</v>
      </c>
      <c r="J48" s="370">
        <v>0</v>
      </c>
      <c r="K48" s="370">
        <v>0</v>
      </c>
      <c r="L48" s="370">
        <v>0</v>
      </c>
      <c r="M48" s="372">
        <v>0</v>
      </c>
    </row>
    <row r="49" spans="1:29" x14ac:dyDescent="0.3">
      <c r="D49">
        <v>5</v>
      </c>
      <c r="E49" t="s">
        <v>136</v>
      </c>
      <c r="F49" s="325"/>
      <c r="G49" s="370">
        <v>0</v>
      </c>
      <c r="H49" s="370">
        <v>0</v>
      </c>
      <c r="I49" s="370">
        <v>0</v>
      </c>
      <c r="J49" s="370">
        <v>0</v>
      </c>
      <c r="K49" s="370">
        <v>0</v>
      </c>
      <c r="L49" s="370">
        <v>0</v>
      </c>
      <c r="M49" s="372">
        <v>0</v>
      </c>
      <c r="N49" s="131"/>
    </row>
    <row r="50" spans="1:29" x14ac:dyDescent="0.3">
      <c r="D50">
        <v>6</v>
      </c>
      <c r="E50" t="s">
        <v>136</v>
      </c>
      <c r="F50" s="325"/>
      <c r="G50" s="370">
        <v>0</v>
      </c>
      <c r="H50" s="370">
        <v>0</v>
      </c>
      <c r="I50" s="370">
        <v>0</v>
      </c>
      <c r="J50" s="370">
        <v>0</v>
      </c>
      <c r="K50" s="370">
        <v>0</v>
      </c>
      <c r="L50" s="370">
        <v>0</v>
      </c>
      <c r="M50" s="372">
        <v>0</v>
      </c>
      <c r="N50" s="131"/>
    </row>
    <row r="51" spans="1:29" x14ac:dyDescent="0.3">
      <c r="A51" s="156">
        <v>22</v>
      </c>
      <c r="D51"/>
      <c r="E51"/>
      <c r="F51" s="317"/>
      <c r="G51" s="318"/>
      <c r="H51" s="318"/>
      <c r="I51" s="318"/>
      <c r="J51" s="318"/>
      <c r="K51" s="318"/>
      <c r="L51" s="318"/>
      <c r="M51" s="317"/>
      <c r="N51" s="131"/>
    </row>
    <row r="52" spans="1:29" ht="15" thickBot="1" x14ac:dyDescent="0.35">
      <c r="A52" s="156">
        <v>23</v>
      </c>
      <c r="D52" s="365" t="s">
        <v>272</v>
      </c>
      <c r="E52" s="365"/>
      <c r="F52" s="365"/>
      <c r="G52" s="365"/>
      <c r="H52" s="365"/>
      <c r="I52" s="365"/>
      <c r="J52" s="365"/>
      <c r="K52" s="365"/>
      <c r="L52" s="365"/>
      <c r="M52" s="365"/>
      <c r="N52" s="131"/>
    </row>
    <row r="53" spans="1:29" x14ac:dyDescent="0.3">
      <c r="D53"/>
      <c r="E53" t="s">
        <v>273</v>
      </c>
      <c r="F53" s="317"/>
      <c r="G53" s="373">
        <v>682746888.07150424</v>
      </c>
      <c r="H53" s="373">
        <v>379904273.54247433</v>
      </c>
      <c r="I53" s="373">
        <v>758486408.22874963</v>
      </c>
      <c r="J53" s="373">
        <v>0</v>
      </c>
      <c r="K53" s="373">
        <v>337117321.98214173</v>
      </c>
      <c r="L53" s="373">
        <v>-17339967.065218806</v>
      </c>
      <c r="M53" s="374">
        <v>2140914924.7596509</v>
      </c>
      <c r="N53" s="131"/>
    </row>
    <row r="54" spans="1:29" x14ac:dyDescent="0.3">
      <c r="D54" s="126"/>
      <c r="E54" s="126" t="s">
        <v>274</v>
      </c>
      <c r="F54" s="158"/>
      <c r="G54" s="159" t="b">
        <v>1</v>
      </c>
      <c r="H54" s="159" t="b">
        <v>1</v>
      </c>
      <c r="I54" s="159" t="b">
        <v>1</v>
      </c>
      <c r="J54" s="159" t="b">
        <v>1</v>
      </c>
      <c r="K54" s="159" t="b">
        <v>1</v>
      </c>
      <c r="L54" s="159" t="b">
        <v>1</v>
      </c>
      <c r="M54" s="159" t="b">
        <v>1</v>
      </c>
      <c r="N54" s="156"/>
      <c r="O54" s="131"/>
      <c r="P54" s="131"/>
      <c r="Q54" s="131"/>
      <c r="R54" s="131"/>
      <c r="S54" s="131"/>
      <c r="T54" s="131"/>
      <c r="U54" s="131"/>
      <c r="V54" s="131"/>
      <c r="W54" s="131"/>
      <c r="X54" s="131"/>
    </row>
    <row r="55" spans="1:29" ht="15" thickBot="1" x14ac:dyDescent="0.35">
      <c r="A55" s="170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0"/>
    </row>
    <row r="56" spans="1:29" x14ac:dyDescent="0.3">
      <c r="A56" s="134"/>
      <c r="B56" s="131"/>
      <c r="C56" s="131"/>
      <c r="D56" s="135"/>
      <c r="E56" s="131"/>
      <c r="F56" s="131"/>
      <c r="G56" s="131"/>
      <c r="H56" s="131"/>
      <c r="I56" s="131"/>
      <c r="J56" s="131"/>
      <c r="K56" s="131"/>
      <c r="L56" s="134"/>
      <c r="M56" s="30" t="s">
        <v>37</v>
      </c>
      <c r="N56" s="131"/>
      <c r="O56" s="134"/>
      <c r="P56" s="131"/>
      <c r="Q56" s="131"/>
      <c r="R56" s="131"/>
      <c r="S56" s="131"/>
      <c r="T56" s="131"/>
      <c r="U56" s="131"/>
      <c r="V56" s="131"/>
      <c r="W56" s="131"/>
      <c r="X56" s="131"/>
      <c r="AC56" s="129"/>
    </row>
    <row r="57" spans="1:29" x14ac:dyDescent="0.3">
      <c r="A57" s="134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33" t="str">
        <f>M5</f>
        <v>DOCKET NO.  20240025-EI</v>
      </c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4" t="s">
        <v>245</v>
      </c>
      <c r="AC57" s="136" t="s">
        <v>245</v>
      </c>
    </row>
    <row r="58" spans="1:29" x14ac:dyDescent="0.3">
      <c r="A58" s="134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33" t="s">
        <v>38</v>
      </c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AC58" s="129"/>
    </row>
    <row r="59" spans="1:29" x14ac:dyDescent="0.3">
      <c r="A59" s="134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30" t="s">
        <v>246</v>
      </c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AC59" s="129"/>
    </row>
    <row r="60" spans="1:29" x14ac:dyDescent="0.3">
      <c r="A60" s="134"/>
      <c r="B60" s="131"/>
      <c r="C60" s="137"/>
      <c r="D60" s="131"/>
      <c r="E60" s="131"/>
      <c r="F60" s="131"/>
      <c r="G60" s="131"/>
      <c r="H60" s="131"/>
      <c r="I60" s="131"/>
      <c r="J60" s="131"/>
      <c r="K60" s="131"/>
      <c r="L60" s="134"/>
      <c r="M60" s="79" t="s">
        <v>275</v>
      </c>
      <c r="N60" s="131"/>
      <c r="O60" s="134"/>
      <c r="P60" s="131"/>
      <c r="Q60" s="131"/>
      <c r="R60" s="131"/>
      <c r="S60" s="131"/>
      <c r="T60" s="131"/>
      <c r="U60" s="131"/>
      <c r="V60" s="131"/>
      <c r="W60" s="131"/>
      <c r="X60" s="131"/>
      <c r="AC60" s="129"/>
    </row>
    <row r="61" spans="1:29" ht="15.6" x14ac:dyDescent="0.3">
      <c r="A61" s="138" t="s">
        <v>248</v>
      </c>
      <c r="B61" s="139"/>
      <c r="C61" s="139"/>
      <c r="D61" s="140"/>
      <c r="E61" s="140"/>
      <c r="F61" s="140"/>
      <c r="G61" s="140"/>
      <c r="H61" s="140"/>
      <c r="I61" s="140"/>
      <c r="J61" s="140"/>
      <c r="K61" s="140"/>
      <c r="L61" s="140"/>
      <c r="M61" s="37" t="s">
        <v>13</v>
      </c>
      <c r="N61" s="82"/>
      <c r="O61" s="83"/>
      <c r="P61" s="83"/>
      <c r="Q61" s="83"/>
      <c r="R61" s="83"/>
      <c r="S61" s="83"/>
      <c r="T61" s="83"/>
      <c r="U61" s="83"/>
      <c r="V61" s="83"/>
      <c r="W61" s="83"/>
      <c r="X61" s="83"/>
    </row>
    <row r="62" spans="1:29" ht="15.6" x14ac:dyDescent="0.3">
      <c r="A62" s="142"/>
      <c r="B62" s="279"/>
      <c r="C62" s="279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82"/>
      <c r="O62" s="83"/>
      <c r="P62" s="83"/>
      <c r="Q62" s="83"/>
      <c r="R62" s="83"/>
      <c r="S62" s="83"/>
      <c r="T62" s="83"/>
      <c r="U62" s="83"/>
      <c r="V62" s="83"/>
      <c r="W62" s="83"/>
      <c r="X62" s="83"/>
    </row>
    <row r="63" spans="1:29" ht="15.6" x14ac:dyDescent="0.3">
      <c r="A63" s="142"/>
      <c r="B63" s="279"/>
      <c r="C63" s="27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82"/>
      <c r="O63" s="83"/>
      <c r="P63" s="83"/>
      <c r="Q63" s="83"/>
      <c r="R63" s="83"/>
      <c r="S63" s="83"/>
      <c r="T63" s="83"/>
      <c r="U63" s="83"/>
      <c r="V63" s="83"/>
      <c r="W63" s="83"/>
      <c r="X63" s="83"/>
    </row>
    <row r="64" spans="1:29" ht="15.6" x14ac:dyDescent="0.3">
      <c r="A64" s="375" t="s">
        <v>276</v>
      </c>
      <c r="B64" s="375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82"/>
      <c r="O64" s="83"/>
      <c r="P64" s="83"/>
      <c r="Q64" s="83"/>
      <c r="R64" s="83"/>
      <c r="S64" s="83"/>
      <c r="T64" s="83"/>
      <c r="U64" s="83"/>
      <c r="V64" s="83"/>
      <c r="W64" s="83"/>
      <c r="X64" s="83"/>
    </row>
    <row r="65" spans="1:24" x14ac:dyDescent="0.3">
      <c r="A65" s="143"/>
      <c r="B65" s="109"/>
      <c r="C65" s="109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spans="1:24" x14ac:dyDescent="0.3">
      <c r="A66" s="144"/>
      <c r="B66" s="145"/>
      <c r="C66" s="145"/>
      <c r="D66" s="376">
        <v>-1</v>
      </c>
      <c r="E66" s="376"/>
      <c r="F66" s="146"/>
      <c r="G66" s="278">
        <f>+D66-1</f>
        <v>-2</v>
      </c>
      <c r="H66" s="278">
        <f t="shared" ref="H66:M66" si="1">+G66-1</f>
        <v>-3</v>
      </c>
      <c r="I66" s="278">
        <f t="shared" si="1"/>
        <v>-4</v>
      </c>
      <c r="J66" s="278">
        <f t="shared" si="1"/>
        <v>-5</v>
      </c>
      <c r="K66" s="278">
        <f t="shared" si="1"/>
        <v>-6</v>
      </c>
      <c r="L66" s="278">
        <f t="shared" si="1"/>
        <v>-7</v>
      </c>
      <c r="M66" s="278">
        <f t="shared" si="1"/>
        <v>-8</v>
      </c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x14ac:dyDescent="0.3">
      <c r="A67" s="147"/>
      <c r="B67" s="148"/>
      <c r="C67" s="148"/>
      <c r="D67" s="148"/>
      <c r="E67" s="148"/>
      <c r="F67" s="148"/>
      <c r="G67" s="148"/>
      <c r="H67" s="149"/>
      <c r="I67" s="148"/>
      <c r="J67" s="149"/>
      <c r="K67" s="78"/>
      <c r="L67" s="78"/>
      <c r="M67" s="78"/>
      <c r="N67" s="148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spans="1:24" ht="27.6" x14ac:dyDescent="0.3">
      <c r="A68" s="147"/>
      <c r="B68" s="148"/>
      <c r="C68" s="148"/>
      <c r="D68" s="148"/>
      <c r="E68" s="148"/>
      <c r="F68" s="148"/>
      <c r="G68" s="149" t="s">
        <v>250</v>
      </c>
      <c r="H68" s="150" t="s">
        <v>102</v>
      </c>
      <c r="I68" s="151" t="s">
        <v>251</v>
      </c>
      <c r="J68" s="149" t="s">
        <v>252</v>
      </c>
      <c r="K68" s="151" t="s">
        <v>250</v>
      </c>
      <c r="L68" s="151" t="s">
        <v>253</v>
      </c>
      <c r="M68" s="152" t="s">
        <v>254</v>
      </c>
      <c r="N68" s="148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spans="1:24" x14ac:dyDescent="0.3">
      <c r="A69" s="153" t="s">
        <v>54</v>
      </c>
      <c r="B69" s="154"/>
      <c r="C69" s="154"/>
      <c r="D69" s="155"/>
      <c r="E69" s="155"/>
      <c r="F69" s="155"/>
      <c r="G69" s="172" t="s">
        <v>255</v>
      </c>
      <c r="H69" s="173"/>
      <c r="I69" s="173" t="s">
        <v>101</v>
      </c>
      <c r="J69" s="173" t="s">
        <v>99</v>
      </c>
      <c r="K69" s="173" t="s">
        <v>256</v>
      </c>
      <c r="L69" s="173"/>
      <c r="M69" s="88"/>
      <c r="N69" s="151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spans="1:24" x14ac:dyDescent="0.3">
      <c r="D70" s="157" t="s">
        <v>257</v>
      </c>
      <c r="E70" s="157"/>
      <c r="F70" s="157"/>
      <c r="G70" s="157"/>
      <c r="H70" s="157"/>
      <c r="I70" s="157"/>
      <c r="J70" s="157"/>
      <c r="K70" s="157"/>
      <c r="L70" s="157"/>
      <c r="M70" s="157"/>
      <c r="N70" s="151"/>
    </row>
    <row r="71" spans="1:24" x14ac:dyDescent="0.3">
      <c r="A71" s="156">
        <v>1</v>
      </c>
      <c r="D71" s="126"/>
      <c r="E71" s="126"/>
      <c r="F71" s="158"/>
      <c r="G71" s="159">
        <v>3155456.8120271396</v>
      </c>
      <c r="H71" s="159">
        <v>1755813.701396802</v>
      </c>
      <c r="I71" s="159">
        <v>3641990.4948388459</v>
      </c>
      <c r="J71" s="159">
        <v>0</v>
      </c>
      <c r="K71" s="159">
        <v>1899122.2572862578</v>
      </c>
      <c r="L71" s="159">
        <v>1099073.0244509564</v>
      </c>
      <c r="M71" s="367">
        <v>11551456.290000001</v>
      </c>
      <c r="N71" s="151"/>
      <c r="X71" s="174"/>
    </row>
    <row r="72" spans="1:24" x14ac:dyDescent="0.3">
      <c r="D72" s="126"/>
      <c r="E72" s="126"/>
      <c r="F72" s="158"/>
      <c r="G72" s="161"/>
      <c r="H72" s="161"/>
      <c r="I72" s="161"/>
      <c r="J72" s="161"/>
      <c r="K72" s="161"/>
      <c r="L72" s="161"/>
      <c r="M72" s="158"/>
      <c r="N72" s="151"/>
      <c r="X72" s="174"/>
    </row>
    <row r="73" spans="1:24" x14ac:dyDescent="0.3">
      <c r="D73" s="157" t="s">
        <v>258</v>
      </c>
      <c r="E73" s="157"/>
      <c r="F73" s="157"/>
      <c r="G73" s="157"/>
      <c r="H73" s="157"/>
      <c r="I73" s="157"/>
      <c r="J73" s="157"/>
      <c r="K73" s="157"/>
      <c r="L73" s="157"/>
      <c r="M73" s="157"/>
      <c r="N73" s="151"/>
    </row>
    <row r="74" spans="1:24" x14ac:dyDescent="0.3">
      <c r="A74" s="156">
        <v>2</v>
      </c>
      <c r="D74" s="126"/>
      <c r="E74" s="126"/>
      <c r="F74" s="158"/>
      <c r="G74" s="162" t="s">
        <v>259</v>
      </c>
      <c r="H74" s="162" t="s">
        <v>260</v>
      </c>
      <c r="I74" s="162" t="s">
        <v>261</v>
      </c>
      <c r="J74" s="162" t="s">
        <v>261</v>
      </c>
      <c r="K74" s="162" t="s">
        <v>262</v>
      </c>
      <c r="L74" s="162" t="s">
        <v>263</v>
      </c>
      <c r="M74" s="126"/>
      <c r="N74" s="151"/>
      <c r="X74" s="174"/>
    </row>
    <row r="75" spans="1:24" x14ac:dyDescent="0.3">
      <c r="D75" s="126"/>
      <c r="E75" s="126"/>
      <c r="F75" s="158"/>
      <c r="G75" s="161"/>
      <c r="H75" s="161"/>
      <c r="I75" s="161"/>
      <c r="J75" s="161"/>
      <c r="K75" s="161"/>
      <c r="L75" s="161"/>
      <c r="M75" s="158"/>
      <c r="N75" s="151"/>
      <c r="X75" s="174"/>
    </row>
    <row r="76" spans="1:24" x14ac:dyDescent="0.3">
      <c r="D76" s="157" t="s">
        <v>264</v>
      </c>
      <c r="E76" s="157"/>
      <c r="F76" s="157"/>
      <c r="G76" s="157"/>
      <c r="H76" s="157"/>
      <c r="I76" s="157"/>
      <c r="J76" s="157"/>
      <c r="K76" s="157"/>
      <c r="L76" s="157"/>
      <c r="M76" s="157"/>
      <c r="N76" s="151"/>
    </row>
    <row r="77" spans="1:24" x14ac:dyDescent="0.3">
      <c r="A77" s="156">
        <v>3</v>
      </c>
      <c r="D77" s="126">
        <v>1</v>
      </c>
      <c r="E77" s="126" t="s">
        <v>265</v>
      </c>
      <c r="F77" s="163"/>
      <c r="G77" s="164">
        <v>2.490299254061072</v>
      </c>
      <c r="H77" s="164">
        <v>1.6447207459538091</v>
      </c>
      <c r="I77" s="164">
        <v>0.85753774971865815</v>
      </c>
      <c r="J77" s="164">
        <v>0.85753774971865815</v>
      </c>
      <c r="K77" s="175">
        <v>1.3622293597931883</v>
      </c>
      <c r="L77" s="164">
        <v>1</v>
      </c>
      <c r="M77" s="158"/>
      <c r="N77" s="151"/>
      <c r="X77" s="174"/>
    </row>
    <row r="78" spans="1:24" x14ac:dyDescent="0.3">
      <c r="A78" s="156">
        <v>4</v>
      </c>
      <c r="D78" s="126">
        <v>2</v>
      </c>
      <c r="E78" s="126" t="s">
        <v>266</v>
      </c>
      <c r="F78" s="163"/>
      <c r="G78" s="164">
        <v>0.78203961486374551</v>
      </c>
      <c r="H78" s="164">
        <v>0.96960809507935608</v>
      </c>
      <c r="I78" s="164">
        <v>1.1225175683621031</v>
      </c>
      <c r="J78" s="164">
        <v>1.1225175683621031</v>
      </c>
      <c r="K78" s="175">
        <v>0.99944772468847709</v>
      </c>
      <c r="L78" s="164">
        <v>1</v>
      </c>
      <c r="M78" s="158"/>
      <c r="N78" s="151"/>
      <c r="X78" s="174"/>
    </row>
    <row r="79" spans="1:24" x14ac:dyDescent="0.3">
      <c r="A79" s="156">
        <v>5</v>
      </c>
      <c r="D79" s="126">
        <v>3</v>
      </c>
      <c r="E79" s="126" t="s">
        <v>277</v>
      </c>
      <c r="F79" s="163"/>
      <c r="G79" s="164">
        <v>0.52989903387328763</v>
      </c>
      <c r="H79" s="164">
        <v>0.55449388383653153</v>
      </c>
      <c r="I79" s="164">
        <v>0.59336797534990238</v>
      </c>
      <c r="J79" s="164">
        <v>0.59336797534990238</v>
      </c>
      <c r="K79" s="175">
        <v>0.79790281105090721</v>
      </c>
      <c r="L79" s="164">
        <v>1</v>
      </c>
      <c r="M79" s="158"/>
      <c r="N79" s="151"/>
      <c r="X79" s="174"/>
    </row>
    <row r="80" spans="1:24" x14ac:dyDescent="0.3">
      <c r="A80" s="156">
        <v>6</v>
      </c>
      <c r="D80" s="126">
        <v>4</v>
      </c>
      <c r="E80" s="126" t="s">
        <v>136</v>
      </c>
      <c r="F80" s="163"/>
      <c r="G80" s="164">
        <v>0</v>
      </c>
      <c r="H80" s="164">
        <v>0</v>
      </c>
      <c r="I80" s="164">
        <v>0</v>
      </c>
      <c r="J80" s="164">
        <v>0</v>
      </c>
      <c r="K80" s="164">
        <v>0</v>
      </c>
      <c r="L80" s="164">
        <v>0</v>
      </c>
      <c r="M80" s="158"/>
      <c r="N80" s="151"/>
      <c r="X80" s="174"/>
    </row>
    <row r="81" spans="1:27" x14ac:dyDescent="0.3">
      <c r="A81" s="156">
        <v>7</v>
      </c>
      <c r="D81" s="126">
        <v>5</v>
      </c>
      <c r="E81" s="126" t="s">
        <v>136</v>
      </c>
      <c r="F81" s="163"/>
      <c r="G81" s="164">
        <v>0</v>
      </c>
      <c r="H81" s="164">
        <v>0</v>
      </c>
      <c r="I81" s="164">
        <v>0</v>
      </c>
      <c r="J81" s="164">
        <v>0</v>
      </c>
      <c r="K81" s="164">
        <v>0</v>
      </c>
      <c r="L81" s="164">
        <v>0</v>
      </c>
      <c r="M81" s="158"/>
      <c r="N81" s="151"/>
      <c r="X81" s="174"/>
    </row>
    <row r="82" spans="1:27" x14ac:dyDescent="0.3">
      <c r="A82" s="156">
        <v>8</v>
      </c>
      <c r="D82" s="126">
        <v>6</v>
      </c>
      <c r="E82" s="126" t="s">
        <v>136</v>
      </c>
      <c r="F82" s="163"/>
      <c r="G82" s="164">
        <v>0</v>
      </c>
      <c r="H82" s="164">
        <v>0</v>
      </c>
      <c r="I82" s="164">
        <v>0</v>
      </c>
      <c r="J82" s="164">
        <v>0</v>
      </c>
      <c r="K82" s="164">
        <v>0</v>
      </c>
      <c r="L82" s="164">
        <v>0</v>
      </c>
      <c r="M82" s="158"/>
      <c r="N82" s="151"/>
      <c r="X82" s="174"/>
    </row>
    <row r="83" spans="1:27" x14ac:dyDescent="0.3">
      <c r="D83" s="126"/>
      <c r="E83" s="126"/>
      <c r="F83" s="158"/>
      <c r="G83" s="161"/>
      <c r="H83" s="161"/>
      <c r="I83" s="161"/>
      <c r="J83" s="161"/>
      <c r="K83" s="161"/>
      <c r="L83" s="161"/>
      <c r="M83" s="158"/>
      <c r="N83" s="151"/>
      <c r="X83" s="174"/>
    </row>
    <row r="84" spans="1:27" x14ac:dyDescent="0.3">
      <c r="D84" s="157" t="s">
        <v>278</v>
      </c>
      <c r="E84" s="157"/>
      <c r="F84" s="157"/>
      <c r="G84" s="157"/>
      <c r="H84" s="157"/>
      <c r="I84" s="157"/>
      <c r="J84" s="157"/>
      <c r="K84" s="157"/>
      <c r="L84" s="157"/>
      <c r="M84" s="157"/>
      <c r="N84" s="151"/>
    </row>
    <row r="85" spans="1:27" x14ac:dyDescent="0.3">
      <c r="A85" s="156">
        <v>9</v>
      </c>
      <c r="D85" s="126">
        <v>1</v>
      </c>
      <c r="E85" s="126" t="s">
        <v>265</v>
      </c>
      <c r="F85" s="163"/>
      <c r="G85" s="161"/>
      <c r="H85" s="165"/>
      <c r="I85" s="161"/>
      <c r="J85" s="161"/>
      <c r="K85" s="161"/>
      <c r="L85" s="161"/>
      <c r="M85" s="159">
        <v>18036.43745426516</v>
      </c>
      <c r="N85" s="151"/>
      <c r="X85" s="174"/>
    </row>
    <row r="86" spans="1:27" x14ac:dyDescent="0.3">
      <c r="A86" s="156">
        <v>10</v>
      </c>
      <c r="D86" s="126">
        <v>2</v>
      </c>
      <c r="E86" s="126" t="s">
        <v>266</v>
      </c>
      <c r="F86" s="163"/>
      <c r="G86" s="161"/>
      <c r="H86" s="161"/>
      <c r="I86" s="161"/>
      <c r="J86" s="161"/>
      <c r="K86" s="161"/>
      <c r="L86" s="161"/>
      <c r="M86" s="159">
        <v>98918.567868847487</v>
      </c>
      <c r="N86" s="151"/>
      <c r="X86" s="174"/>
    </row>
    <row r="87" spans="1:27" x14ac:dyDescent="0.3">
      <c r="A87" s="156">
        <v>11</v>
      </c>
      <c r="D87" s="126">
        <v>3</v>
      </c>
      <c r="E87" s="126" t="s">
        <v>277</v>
      </c>
      <c r="F87" s="163"/>
      <c r="G87" s="161"/>
      <c r="H87" s="161"/>
      <c r="I87" s="161"/>
      <c r="J87" s="161"/>
      <c r="K87" s="161"/>
      <c r="L87" s="161"/>
      <c r="M87" s="159">
        <v>23484.994676888065</v>
      </c>
      <c r="N87" s="151"/>
      <c r="X87" s="174"/>
    </row>
    <row r="88" spans="1:27" x14ac:dyDescent="0.3">
      <c r="A88" s="156">
        <v>12</v>
      </c>
      <c r="D88" s="126">
        <v>4</v>
      </c>
      <c r="E88" s="126" t="s">
        <v>136</v>
      </c>
      <c r="F88" s="163"/>
      <c r="G88" s="161"/>
      <c r="H88" s="161"/>
      <c r="I88" s="161"/>
      <c r="J88" s="161"/>
      <c r="K88" s="161"/>
      <c r="L88" s="161"/>
      <c r="M88" s="159">
        <v>0</v>
      </c>
      <c r="N88" s="151"/>
      <c r="X88" s="174"/>
    </row>
    <row r="89" spans="1:27" x14ac:dyDescent="0.3">
      <c r="A89" s="156">
        <v>13</v>
      </c>
      <c r="D89" s="126">
        <v>5</v>
      </c>
      <c r="E89" s="126" t="s">
        <v>136</v>
      </c>
      <c r="F89" s="163"/>
      <c r="G89" s="161"/>
      <c r="H89" s="161"/>
      <c r="I89" s="161"/>
      <c r="J89" s="161"/>
      <c r="K89" s="161"/>
      <c r="L89" s="161"/>
      <c r="M89" s="159">
        <v>0</v>
      </c>
      <c r="N89" s="151"/>
      <c r="X89" s="174"/>
    </row>
    <row r="90" spans="1:27" x14ac:dyDescent="0.3">
      <c r="A90" s="156">
        <v>14</v>
      </c>
      <c r="D90" s="126">
        <v>6</v>
      </c>
      <c r="E90" s="126" t="s">
        <v>136</v>
      </c>
      <c r="F90" s="163"/>
      <c r="G90" s="161"/>
      <c r="H90" s="161"/>
      <c r="I90" s="161"/>
      <c r="J90" s="161"/>
      <c r="K90" s="161"/>
      <c r="L90" s="161"/>
      <c r="M90" s="159">
        <v>0</v>
      </c>
      <c r="N90" s="151"/>
      <c r="X90" s="174"/>
    </row>
    <row r="91" spans="1:27" x14ac:dyDescent="0.3">
      <c r="D91" s="126"/>
      <c r="E91" s="126"/>
      <c r="F91" s="158"/>
      <c r="G91" s="161"/>
      <c r="H91" s="161"/>
      <c r="I91" s="161"/>
      <c r="J91" s="161"/>
      <c r="K91" s="161"/>
      <c r="L91" s="161"/>
      <c r="M91" s="158"/>
      <c r="N91" s="151"/>
      <c r="X91" s="174"/>
    </row>
    <row r="92" spans="1:27" x14ac:dyDescent="0.3">
      <c r="D92" s="157" t="s">
        <v>269</v>
      </c>
      <c r="E92" s="157"/>
      <c r="F92" s="157"/>
      <c r="G92" s="157"/>
      <c r="H92" s="157"/>
      <c r="I92" s="157"/>
      <c r="J92" s="157"/>
      <c r="K92" s="157"/>
      <c r="L92" s="157"/>
      <c r="M92" s="157"/>
      <c r="N92" s="151"/>
    </row>
    <row r="93" spans="1:27" x14ac:dyDescent="0.3">
      <c r="A93" s="156">
        <v>15</v>
      </c>
      <c r="D93" s="126"/>
      <c r="E93" s="126"/>
      <c r="F93" s="158"/>
      <c r="G93" s="166">
        <v>2.3422500473075876</v>
      </c>
      <c r="H93" s="166">
        <v>1.2668260354548984</v>
      </c>
      <c r="I93" s="166">
        <v>2.5932715001700597</v>
      </c>
      <c r="J93" s="166">
        <v>0</v>
      </c>
      <c r="K93" s="166">
        <v>1.3357878529659666</v>
      </c>
      <c r="L93" s="166">
        <v>0.78259258363069695</v>
      </c>
      <c r="M93" s="158"/>
      <c r="N93" s="151"/>
      <c r="X93" s="174"/>
    </row>
    <row r="94" spans="1:27" x14ac:dyDescent="0.3">
      <c r="D94" s="126"/>
      <c r="E94" s="126"/>
      <c r="F94" s="158"/>
      <c r="G94" s="161"/>
      <c r="H94" s="161"/>
      <c r="I94" s="161"/>
      <c r="J94" s="161"/>
      <c r="K94" s="161"/>
      <c r="L94" s="161"/>
      <c r="M94" s="158"/>
      <c r="N94" s="151"/>
      <c r="X94" s="174"/>
    </row>
    <row r="95" spans="1:27" x14ac:dyDescent="0.3">
      <c r="D95" s="157" t="s">
        <v>270</v>
      </c>
      <c r="E95" s="157"/>
      <c r="F95" s="157"/>
      <c r="G95" s="157"/>
      <c r="H95" s="157"/>
      <c r="I95" s="157"/>
      <c r="J95" s="157"/>
      <c r="K95" s="157"/>
      <c r="L95" s="157"/>
      <c r="M95" s="157"/>
      <c r="N95" s="151"/>
      <c r="Z95" s="126" t="s">
        <v>271</v>
      </c>
    </row>
    <row r="96" spans="1:27" x14ac:dyDescent="0.3">
      <c r="A96" s="156">
        <v>16</v>
      </c>
      <c r="D96" s="126">
        <v>1</v>
      </c>
      <c r="E96" s="126" t="s">
        <v>265</v>
      </c>
      <c r="F96" s="167"/>
      <c r="G96" s="166">
        <v>5.8329035456345961</v>
      </c>
      <c r="H96" s="166">
        <v>2.0835750620270872</v>
      </c>
      <c r="I96" s="166">
        <v>2.2238282066653619</v>
      </c>
      <c r="J96" s="166">
        <v>0</v>
      </c>
      <c r="K96" s="166">
        <v>1.8196494317653462</v>
      </c>
      <c r="L96" s="166">
        <v>0.78259258363069695</v>
      </c>
      <c r="M96" s="371">
        <v>12.74254882972309</v>
      </c>
      <c r="N96" s="151"/>
      <c r="X96" s="168">
        <f>M96/M97</f>
        <v>1.5753533237792272</v>
      </c>
      <c r="Z96" s="168">
        <f>AA96/AA97</f>
        <v>1.45</v>
      </c>
      <c r="AA96">
        <v>12.169451163312567</v>
      </c>
    </row>
    <row r="97" spans="1:29" x14ac:dyDescent="0.3">
      <c r="A97" s="156">
        <v>17</v>
      </c>
      <c r="D97" s="126">
        <v>2</v>
      </c>
      <c r="E97" s="126" t="s">
        <v>266</v>
      </c>
      <c r="F97" s="167"/>
      <c r="G97" s="166">
        <v>1.8317323249110156</v>
      </c>
      <c r="H97" s="166">
        <v>1.2283247790343568</v>
      </c>
      <c r="I97" s="166">
        <v>2.9109928184736389</v>
      </c>
      <c r="J97" s="166">
        <v>0</v>
      </c>
      <c r="K97" s="166">
        <v>1.3350501303133413</v>
      </c>
      <c r="L97" s="166">
        <v>0.78259258363069695</v>
      </c>
      <c r="M97" s="371">
        <v>8.0886926363630494</v>
      </c>
      <c r="X97" s="168">
        <f>M97/M97</f>
        <v>1</v>
      </c>
      <c r="Z97" s="168">
        <v>1</v>
      </c>
      <c r="AA97">
        <v>8.3927249402155635</v>
      </c>
    </row>
    <row r="98" spans="1:29" x14ac:dyDescent="0.3">
      <c r="A98" s="156">
        <v>18</v>
      </c>
      <c r="D98" s="126">
        <v>3</v>
      </c>
      <c r="E98" s="126" t="s">
        <v>277</v>
      </c>
      <c r="F98" s="167"/>
      <c r="G98" s="166">
        <v>1.2411560371579529</v>
      </c>
      <c r="H98" s="166">
        <v>0.70244728854462224</v>
      </c>
      <c r="I98" s="166">
        <v>1.5387642595885123</v>
      </c>
      <c r="J98" s="166">
        <v>0</v>
      </c>
      <c r="K98" s="166">
        <v>1.0658288828492006</v>
      </c>
      <c r="L98" s="166">
        <v>0.78259258363069695</v>
      </c>
      <c r="M98" s="371">
        <v>5.3307890517709851</v>
      </c>
      <c r="X98" s="168">
        <f>M98/M97</f>
        <v>0.65904210870941049</v>
      </c>
      <c r="Z98" s="168">
        <f>AA98/AA97</f>
        <v>0.65904210870941049</v>
      </c>
      <c r="AA98">
        <v>5.5311591424177262</v>
      </c>
    </row>
    <row r="99" spans="1:29" x14ac:dyDescent="0.3">
      <c r="A99" s="156">
        <v>19</v>
      </c>
      <c r="D99" s="126">
        <v>4</v>
      </c>
      <c r="E99" s="126" t="s">
        <v>136</v>
      </c>
      <c r="F99" s="167"/>
      <c r="G99" s="166">
        <v>0</v>
      </c>
      <c r="H99" s="166">
        <v>0</v>
      </c>
      <c r="I99" s="166">
        <v>0</v>
      </c>
      <c r="J99" s="166">
        <v>0</v>
      </c>
      <c r="K99" s="166">
        <v>0</v>
      </c>
      <c r="L99" s="166">
        <v>0</v>
      </c>
      <c r="M99" s="169">
        <v>0</v>
      </c>
      <c r="X99" s="174"/>
    </row>
    <row r="100" spans="1:29" x14ac:dyDescent="0.3">
      <c r="A100" s="156">
        <v>20</v>
      </c>
      <c r="D100" s="126">
        <v>5</v>
      </c>
      <c r="E100" s="126" t="s">
        <v>136</v>
      </c>
      <c r="F100" s="167"/>
      <c r="G100" s="166">
        <v>0</v>
      </c>
      <c r="H100" s="166">
        <v>0</v>
      </c>
      <c r="I100" s="166">
        <v>0</v>
      </c>
      <c r="J100" s="166">
        <v>0</v>
      </c>
      <c r="K100" s="166">
        <v>0</v>
      </c>
      <c r="L100" s="166">
        <v>0</v>
      </c>
      <c r="M100" s="169">
        <v>0</v>
      </c>
      <c r="X100" s="174"/>
    </row>
    <row r="101" spans="1:29" x14ac:dyDescent="0.3">
      <c r="A101" s="156">
        <v>21</v>
      </c>
      <c r="D101" s="126">
        <v>6</v>
      </c>
      <c r="E101" s="126" t="s">
        <v>136</v>
      </c>
      <c r="F101" s="167"/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9">
        <v>0</v>
      </c>
      <c r="X101" s="174"/>
    </row>
    <row r="102" spans="1:29" x14ac:dyDescent="0.3">
      <c r="D102" s="126"/>
      <c r="E102" s="126"/>
      <c r="F102" s="158"/>
      <c r="G102" s="161"/>
      <c r="H102" s="161"/>
      <c r="I102" s="161"/>
      <c r="J102" s="161"/>
      <c r="K102" s="161"/>
      <c r="L102" s="161"/>
      <c r="M102" s="158"/>
      <c r="X102" s="174"/>
    </row>
    <row r="103" spans="1:29" ht="15" thickBot="1" x14ac:dyDescent="0.35">
      <c r="D103" s="157" t="s">
        <v>272</v>
      </c>
      <c r="E103" s="157"/>
      <c r="F103" s="157"/>
      <c r="G103" s="157"/>
      <c r="H103" s="157"/>
      <c r="I103" s="157"/>
      <c r="J103" s="157"/>
      <c r="K103" s="157"/>
      <c r="L103" s="157"/>
      <c r="M103" s="157"/>
    </row>
    <row r="104" spans="1:29" x14ac:dyDescent="0.3">
      <c r="A104" s="156">
        <v>22</v>
      </c>
      <c r="D104" s="126"/>
      <c r="E104" s="126" t="s">
        <v>273</v>
      </c>
      <c r="F104" s="158"/>
      <c r="G104" s="159">
        <v>3155456.8120271396</v>
      </c>
      <c r="H104" s="159">
        <v>1755813.7013968022</v>
      </c>
      <c r="I104" s="159">
        <v>3641990.494838845</v>
      </c>
      <c r="J104" s="159">
        <v>0</v>
      </c>
      <c r="K104" s="159">
        <v>1899122.2572862578</v>
      </c>
      <c r="L104" s="159">
        <v>1099073.0244509564</v>
      </c>
      <c r="M104" s="367">
        <v>11551456.290000001</v>
      </c>
    </row>
    <row r="105" spans="1:29" x14ac:dyDescent="0.3">
      <c r="A105" s="156">
        <v>23</v>
      </c>
      <c r="D105" s="126"/>
      <c r="E105" s="126" t="s">
        <v>274</v>
      </c>
      <c r="F105" s="158"/>
      <c r="G105" s="159" t="b">
        <v>1</v>
      </c>
      <c r="H105" s="159" t="b">
        <v>1</v>
      </c>
      <c r="I105" s="159" t="b">
        <v>1</v>
      </c>
      <c r="J105" s="159" t="b">
        <v>1</v>
      </c>
      <c r="K105" s="159" t="b">
        <v>1</v>
      </c>
      <c r="L105" s="159" t="b">
        <v>1</v>
      </c>
      <c r="M105" s="159" t="b">
        <v>1</v>
      </c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</row>
    <row r="107" spans="1:29" ht="15" thickBot="1" x14ac:dyDescent="0.35">
      <c r="A107" s="170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0"/>
    </row>
    <row r="109" spans="1:29" x14ac:dyDescent="0.3">
      <c r="A109" s="134"/>
      <c r="B109" s="131"/>
      <c r="C109" s="131"/>
      <c r="D109" s="135"/>
      <c r="E109" s="131"/>
      <c r="F109" s="131"/>
      <c r="G109" s="131"/>
      <c r="H109" s="131"/>
      <c r="I109" s="131"/>
      <c r="J109" s="131"/>
      <c r="K109" s="131"/>
      <c r="L109" s="134"/>
      <c r="M109" s="30" t="s">
        <v>37</v>
      </c>
      <c r="N109" s="131"/>
      <c r="O109" s="134"/>
      <c r="P109" s="131"/>
      <c r="Q109" s="131"/>
      <c r="R109" s="131"/>
      <c r="S109" s="131"/>
      <c r="T109" s="131"/>
      <c r="U109" s="131"/>
      <c r="V109" s="131"/>
      <c r="W109" s="131"/>
      <c r="X109" s="131"/>
      <c r="AC109" s="129"/>
    </row>
    <row r="110" spans="1:29" x14ac:dyDescent="0.3">
      <c r="A110" s="134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33" t="str">
        <f>M57</f>
        <v>DOCKET NO.  20240025-EI</v>
      </c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4" t="s">
        <v>245</v>
      </c>
      <c r="AC110" s="136" t="s">
        <v>245</v>
      </c>
    </row>
    <row r="111" spans="1:29" x14ac:dyDescent="0.3">
      <c r="A111" s="134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33" t="s">
        <v>38</v>
      </c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AC111" s="129"/>
    </row>
    <row r="112" spans="1:29" x14ac:dyDescent="0.3">
      <c r="A112" s="134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30" t="s">
        <v>246</v>
      </c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AC112" s="129"/>
    </row>
    <row r="113" spans="1:29" x14ac:dyDescent="0.3">
      <c r="A113" s="134"/>
      <c r="B113" s="131"/>
      <c r="C113" s="137"/>
      <c r="D113" s="131"/>
      <c r="E113" s="131"/>
      <c r="F113" s="131"/>
      <c r="G113" s="131"/>
      <c r="H113" s="131"/>
      <c r="I113" s="131"/>
      <c r="J113" s="131"/>
      <c r="K113" s="131"/>
      <c r="L113" s="134"/>
      <c r="M113" s="79" t="s">
        <v>279</v>
      </c>
      <c r="N113" s="131"/>
      <c r="O113" s="134"/>
      <c r="P113" s="131"/>
      <c r="Q113" s="131"/>
      <c r="R113" s="131"/>
      <c r="S113" s="131"/>
      <c r="T113" s="131"/>
      <c r="U113" s="131"/>
      <c r="V113" s="131"/>
      <c r="W113" s="131"/>
      <c r="X113" s="131"/>
      <c r="AC113" s="129"/>
    </row>
    <row r="114" spans="1:29" ht="15.6" x14ac:dyDescent="0.3">
      <c r="A114" s="138" t="s">
        <v>248</v>
      </c>
      <c r="B114" s="139"/>
      <c r="C114" s="139"/>
      <c r="D114" s="140"/>
      <c r="E114" s="140"/>
      <c r="F114" s="140"/>
      <c r="G114" s="140"/>
      <c r="H114" s="140"/>
      <c r="I114" s="140"/>
      <c r="J114" s="140"/>
      <c r="K114" s="140"/>
      <c r="L114" s="140"/>
      <c r="M114" s="37" t="s">
        <v>13</v>
      </c>
      <c r="N114" s="82"/>
      <c r="O114" s="83"/>
      <c r="P114" s="83"/>
      <c r="Q114" s="83"/>
      <c r="R114" s="83"/>
      <c r="S114" s="83"/>
      <c r="T114" s="83"/>
      <c r="U114" s="83"/>
      <c r="V114" s="83"/>
      <c r="W114" s="83"/>
      <c r="X114" s="83"/>
    </row>
    <row r="115" spans="1:29" ht="15.6" x14ac:dyDescent="0.3">
      <c r="A115" s="142"/>
      <c r="B115" s="279"/>
      <c r="C115" s="279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82"/>
      <c r="O115" s="83"/>
      <c r="P115" s="83"/>
      <c r="Q115" s="83"/>
      <c r="R115" s="83"/>
      <c r="S115" s="83"/>
      <c r="T115" s="83"/>
      <c r="U115" s="83"/>
      <c r="V115" s="83"/>
      <c r="W115" s="83"/>
      <c r="X115" s="83"/>
    </row>
    <row r="116" spans="1:29" ht="15.6" x14ac:dyDescent="0.3">
      <c r="A116" s="142"/>
      <c r="B116" s="279"/>
      <c r="C116" s="279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82"/>
      <c r="O116" s="83"/>
      <c r="P116" s="83"/>
      <c r="Q116" s="83"/>
      <c r="R116" s="83"/>
      <c r="S116" s="83"/>
      <c r="T116" s="83"/>
      <c r="U116" s="83"/>
      <c r="V116" s="83"/>
      <c r="W116" s="83"/>
      <c r="X116" s="83"/>
    </row>
    <row r="117" spans="1:29" ht="15.6" x14ac:dyDescent="0.3">
      <c r="A117" s="375" t="s">
        <v>280</v>
      </c>
      <c r="B117" s="375"/>
      <c r="C117" s="375"/>
      <c r="D117" s="375"/>
      <c r="E117" s="375"/>
      <c r="F117" s="375"/>
      <c r="G117" s="375"/>
      <c r="H117" s="375"/>
      <c r="I117" s="375"/>
      <c r="J117" s="375"/>
      <c r="K117" s="375"/>
      <c r="L117" s="375"/>
      <c r="M117" s="375"/>
      <c r="N117" s="82"/>
      <c r="O117" s="83"/>
      <c r="P117" s="83"/>
      <c r="Q117" s="83"/>
      <c r="R117" s="83"/>
      <c r="S117" s="83"/>
      <c r="T117" s="83"/>
      <c r="U117" s="83"/>
      <c r="V117" s="83"/>
      <c r="W117" s="83"/>
      <c r="X117" s="83"/>
    </row>
    <row r="118" spans="1:29" x14ac:dyDescent="0.3">
      <c r="A118" s="143"/>
      <c r="B118" s="109"/>
      <c r="C118" s="109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</row>
    <row r="119" spans="1:29" x14ac:dyDescent="0.3">
      <c r="A119" s="144"/>
      <c r="B119" s="145"/>
      <c r="C119" s="145"/>
      <c r="D119" s="376">
        <v>-1</v>
      </c>
      <c r="E119" s="376"/>
      <c r="F119" s="146"/>
      <c r="G119" s="278">
        <f>+D119-1</f>
        <v>-2</v>
      </c>
      <c r="H119" s="278">
        <f t="shared" ref="H119:M119" si="2">+G119-1</f>
        <v>-3</v>
      </c>
      <c r="I119" s="278">
        <f t="shared" si="2"/>
        <v>-4</v>
      </c>
      <c r="J119" s="278">
        <f t="shared" si="2"/>
        <v>-5</v>
      </c>
      <c r="K119" s="278">
        <f t="shared" si="2"/>
        <v>-6</v>
      </c>
      <c r="L119" s="278">
        <f t="shared" si="2"/>
        <v>-7</v>
      </c>
      <c r="M119" s="278">
        <f t="shared" si="2"/>
        <v>-8</v>
      </c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</row>
    <row r="120" spans="1:29" x14ac:dyDescent="0.3">
      <c r="A120" s="147"/>
      <c r="B120" s="148"/>
      <c r="C120" s="148"/>
      <c r="D120" s="148"/>
      <c r="E120" s="148"/>
      <c r="F120" s="148"/>
      <c r="G120" s="148"/>
      <c r="H120" s="149"/>
      <c r="I120" s="148"/>
      <c r="J120" s="149"/>
      <c r="K120" s="78"/>
      <c r="L120" s="78"/>
      <c r="M120" s="78"/>
      <c r="N120" s="148"/>
      <c r="O120" s="78"/>
      <c r="P120" s="78"/>
      <c r="Q120" s="78"/>
      <c r="R120" s="78"/>
      <c r="S120" s="78"/>
      <c r="T120" s="78"/>
      <c r="U120" s="78"/>
      <c r="V120" s="78"/>
      <c r="W120" s="78"/>
      <c r="X120" s="78"/>
    </row>
    <row r="121" spans="1:29" ht="27.6" x14ac:dyDescent="0.3">
      <c r="A121" s="147"/>
      <c r="B121" s="148"/>
      <c r="C121" s="148"/>
      <c r="D121" s="148"/>
      <c r="E121" s="148"/>
      <c r="F121" s="148"/>
      <c r="G121" s="149" t="s">
        <v>250</v>
      </c>
      <c r="H121" s="150" t="s">
        <v>102</v>
      </c>
      <c r="I121" s="151" t="s">
        <v>251</v>
      </c>
      <c r="J121" s="149" t="s">
        <v>252</v>
      </c>
      <c r="K121" s="151" t="s">
        <v>250</v>
      </c>
      <c r="L121" s="151" t="s">
        <v>253</v>
      </c>
      <c r="M121" s="152" t="s">
        <v>254</v>
      </c>
      <c r="N121" s="148"/>
      <c r="O121" s="78"/>
      <c r="P121" s="78"/>
      <c r="Q121" s="78"/>
      <c r="R121" s="78"/>
      <c r="S121" s="78"/>
      <c r="T121" s="78"/>
      <c r="U121" s="78"/>
      <c r="V121" s="78"/>
      <c r="W121" s="78"/>
      <c r="X121" s="78"/>
    </row>
    <row r="122" spans="1:29" x14ac:dyDescent="0.3">
      <c r="A122" s="153" t="s">
        <v>54</v>
      </c>
      <c r="B122" s="154"/>
      <c r="C122" s="154"/>
      <c r="D122" s="155"/>
      <c r="E122" s="155"/>
      <c r="F122" s="155"/>
      <c r="G122" s="172" t="s">
        <v>255</v>
      </c>
      <c r="H122" s="172" t="s">
        <v>255</v>
      </c>
      <c r="I122" s="173" t="s">
        <v>101</v>
      </c>
      <c r="J122" s="173" t="s">
        <v>99</v>
      </c>
      <c r="K122" s="173" t="s">
        <v>256</v>
      </c>
      <c r="L122" s="173"/>
      <c r="M122" s="88"/>
      <c r="N122" s="131"/>
      <c r="O122" s="78"/>
      <c r="P122" s="78"/>
      <c r="Q122" s="78"/>
      <c r="R122" s="78"/>
      <c r="S122" s="78"/>
      <c r="T122" s="78"/>
      <c r="U122" s="78"/>
      <c r="V122" s="78"/>
      <c r="W122" s="78"/>
      <c r="X122" s="78"/>
    </row>
    <row r="123" spans="1:29" ht="15" thickBot="1" x14ac:dyDescent="0.35">
      <c r="D123" s="157" t="s">
        <v>257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131"/>
    </row>
    <row r="124" spans="1:29" x14ac:dyDescent="0.3">
      <c r="A124" s="156">
        <v>1</v>
      </c>
      <c r="D124" s="126"/>
      <c r="E124" s="126"/>
      <c r="F124" s="158"/>
      <c r="G124" s="159">
        <v>87642179.66698961</v>
      </c>
      <c r="H124" s="159">
        <v>48767330.87150649</v>
      </c>
      <c r="I124" s="159">
        <v>75783445.123745173</v>
      </c>
      <c r="J124" s="159">
        <v>0</v>
      </c>
      <c r="K124" s="159">
        <v>137208728.36780852</v>
      </c>
      <c r="L124" s="159">
        <v>4383540.2599502467</v>
      </c>
      <c r="M124" s="160">
        <v>353785224.29000002</v>
      </c>
      <c r="N124" s="131"/>
      <c r="X124" s="174"/>
    </row>
    <row r="125" spans="1:29" x14ac:dyDescent="0.3">
      <c r="D125" s="126"/>
      <c r="E125" s="126"/>
      <c r="F125" s="158"/>
      <c r="G125" s="161"/>
      <c r="H125" s="161"/>
      <c r="I125" s="161"/>
      <c r="J125" s="161"/>
      <c r="K125" s="161"/>
      <c r="L125" s="161"/>
      <c r="M125" s="158"/>
      <c r="N125" s="131"/>
      <c r="X125" s="174"/>
    </row>
    <row r="126" spans="1:29" ht="16.2" thickBot="1" x14ac:dyDescent="0.35">
      <c r="D126" s="157" t="s">
        <v>258</v>
      </c>
      <c r="E126" s="157"/>
      <c r="F126" s="157"/>
      <c r="G126" s="157"/>
      <c r="H126" s="157"/>
      <c r="I126" s="157"/>
      <c r="J126" s="157"/>
      <c r="K126" s="157"/>
      <c r="L126" s="157"/>
      <c r="M126" s="157"/>
      <c r="N126" s="82"/>
    </row>
    <row r="127" spans="1:29" ht="15.6" x14ac:dyDescent="0.3">
      <c r="A127" s="156">
        <v>2</v>
      </c>
      <c r="D127" s="126"/>
      <c r="E127" s="126"/>
      <c r="F127" s="158"/>
      <c r="G127" s="162" t="s">
        <v>259</v>
      </c>
      <c r="H127" s="162" t="s">
        <v>260</v>
      </c>
      <c r="I127" s="162" t="s">
        <v>261</v>
      </c>
      <c r="J127" s="162" t="s">
        <v>261</v>
      </c>
      <c r="K127" s="162" t="s">
        <v>262</v>
      </c>
      <c r="L127" s="162" t="s">
        <v>263</v>
      </c>
      <c r="M127" s="126"/>
      <c r="N127" s="82"/>
      <c r="X127" s="174"/>
    </row>
    <row r="128" spans="1:29" x14ac:dyDescent="0.3">
      <c r="D128" s="126"/>
      <c r="E128" s="126"/>
      <c r="F128" s="158"/>
      <c r="G128" s="161"/>
      <c r="H128" s="161"/>
      <c r="I128" s="161"/>
      <c r="J128" s="161"/>
      <c r="K128" s="161"/>
      <c r="L128" s="161"/>
      <c r="M128" s="158"/>
      <c r="N128" s="131"/>
      <c r="X128" s="174"/>
    </row>
    <row r="129" spans="1:24" ht="15" thickBot="1" x14ac:dyDescent="0.35">
      <c r="D129" s="157" t="s">
        <v>264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131"/>
    </row>
    <row r="130" spans="1:24" x14ac:dyDescent="0.3">
      <c r="A130" s="156">
        <v>3</v>
      </c>
      <c r="D130" s="126">
        <v>1</v>
      </c>
      <c r="E130" s="126" t="s">
        <v>265</v>
      </c>
      <c r="F130" s="163"/>
      <c r="G130" s="164">
        <v>2.490299254061072</v>
      </c>
      <c r="H130" s="164">
        <v>1.6447207459538091</v>
      </c>
      <c r="I130" s="164">
        <v>0.85753774971865815</v>
      </c>
      <c r="J130" s="164">
        <v>0.85753774971865815</v>
      </c>
      <c r="K130" s="175">
        <v>1.3622293597931883</v>
      </c>
      <c r="L130" s="164">
        <v>1</v>
      </c>
      <c r="M130" s="158"/>
      <c r="N130" s="131"/>
      <c r="X130" s="174"/>
    </row>
    <row r="131" spans="1:24" x14ac:dyDescent="0.3">
      <c r="A131" s="156">
        <v>4</v>
      </c>
      <c r="D131" s="126">
        <v>2</v>
      </c>
      <c r="E131" s="126" t="s">
        <v>266</v>
      </c>
      <c r="F131" s="163"/>
      <c r="G131" s="164">
        <v>0.78203961486374551</v>
      </c>
      <c r="H131" s="164">
        <v>0.96960809507935608</v>
      </c>
      <c r="I131" s="164">
        <v>1.1225175683621031</v>
      </c>
      <c r="J131" s="164">
        <v>1.1225175683621031</v>
      </c>
      <c r="K131" s="175">
        <v>0.99944772468847709</v>
      </c>
      <c r="L131" s="164">
        <v>1</v>
      </c>
      <c r="M131" s="158"/>
      <c r="N131" s="131"/>
      <c r="X131" s="174"/>
    </row>
    <row r="132" spans="1:24" ht="15.6" x14ac:dyDescent="0.3">
      <c r="A132" s="156">
        <v>5</v>
      </c>
      <c r="D132" s="126">
        <v>3</v>
      </c>
      <c r="E132" s="126" t="s">
        <v>277</v>
      </c>
      <c r="F132" s="163"/>
      <c r="G132" s="164">
        <v>0.52989903387328763</v>
      </c>
      <c r="H132" s="164">
        <v>0.55449388383653153</v>
      </c>
      <c r="I132" s="164">
        <v>0.59336797534990238</v>
      </c>
      <c r="J132" s="164">
        <v>0.59336797534990238</v>
      </c>
      <c r="K132" s="175">
        <v>0.79790281105090721</v>
      </c>
      <c r="L132" s="164">
        <v>1</v>
      </c>
      <c r="M132" s="158"/>
      <c r="N132" s="82"/>
      <c r="X132" s="174"/>
    </row>
    <row r="133" spans="1:24" ht="15.6" x14ac:dyDescent="0.3">
      <c r="A133" s="156">
        <v>6</v>
      </c>
      <c r="D133" s="126">
        <v>4</v>
      </c>
      <c r="E133" s="126" t="s">
        <v>136</v>
      </c>
      <c r="F133" s="163"/>
      <c r="G133" s="164">
        <v>0</v>
      </c>
      <c r="H133" s="164">
        <v>0</v>
      </c>
      <c r="I133" s="164">
        <v>0</v>
      </c>
      <c r="J133" s="164">
        <v>0</v>
      </c>
      <c r="K133" s="164">
        <v>0</v>
      </c>
      <c r="L133" s="164">
        <v>0</v>
      </c>
      <c r="M133" s="158"/>
      <c r="N133" s="82"/>
      <c r="X133" s="174"/>
    </row>
    <row r="134" spans="1:24" x14ac:dyDescent="0.3">
      <c r="A134" s="156">
        <v>7</v>
      </c>
      <c r="D134" s="126">
        <v>5</v>
      </c>
      <c r="E134" s="126" t="s">
        <v>136</v>
      </c>
      <c r="F134" s="163"/>
      <c r="G134" s="164">
        <v>0</v>
      </c>
      <c r="H134" s="164">
        <v>0</v>
      </c>
      <c r="I134" s="164">
        <v>0</v>
      </c>
      <c r="J134" s="164">
        <v>0</v>
      </c>
      <c r="K134" s="164">
        <v>0</v>
      </c>
      <c r="L134" s="164">
        <v>0</v>
      </c>
      <c r="M134" s="158"/>
      <c r="N134" s="131"/>
      <c r="X134" s="174"/>
    </row>
    <row r="135" spans="1:24" x14ac:dyDescent="0.3">
      <c r="A135" s="156">
        <v>8</v>
      </c>
      <c r="D135" s="126">
        <v>6</v>
      </c>
      <c r="E135" s="126" t="s">
        <v>136</v>
      </c>
      <c r="F135" s="163"/>
      <c r="G135" s="164">
        <v>0</v>
      </c>
      <c r="H135" s="164">
        <v>0</v>
      </c>
      <c r="I135" s="164">
        <v>0</v>
      </c>
      <c r="J135" s="164">
        <v>0</v>
      </c>
      <c r="K135" s="164">
        <v>0</v>
      </c>
      <c r="L135" s="164">
        <v>0</v>
      </c>
      <c r="M135" s="158"/>
      <c r="N135" s="131"/>
      <c r="X135" s="174"/>
    </row>
    <row r="136" spans="1:24" x14ac:dyDescent="0.3">
      <c r="D136" s="126"/>
      <c r="E136" s="126"/>
      <c r="F136" s="158"/>
      <c r="G136" s="161"/>
      <c r="H136" s="161"/>
      <c r="I136" s="161"/>
      <c r="J136" s="161"/>
      <c r="K136" s="161"/>
      <c r="L136" s="161"/>
      <c r="M136" s="158"/>
      <c r="N136" s="131"/>
      <c r="X136" s="174"/>
    </row>
    <row r="137" spans="1:24" ht="15" thickBot="1" x14ac:dyDescent="0.35">
      <c r="D137" s="157" t="s">
        <v>278</v>
      </c>
      <c r="E137" s="157"/>
      <c r="F137" s="157"/>
      <c r="G137" s="157"/>
      <c r="H137" s="157"/>
      <c r="I137" s="157"/>
      <c r="J137" s="157"/>
      <c r="K137" s="157"/>
      <c r="L137" s="157"/>
      <c r="M137" s="157"/>
      <c r="N137" s="131"/>
    </row>
    <row r="138" spans="1:24" ht="15.6" x14ac:dyDescent="0.3">
      <c r="A138" s="156">
        <v>9</v>
      </c>
      <c r="D138" s="126">
        <v>1</v>
      </c>
      <c r="E138" s="126" t="s">
        <v>265</v>
      </c>
      <c r="F138" s="163"/>
      <c r="G138" s="161"/>
      <c r="H138" s="165"/>
      <c r="I138" s="161"/>
      <c r="J138" s="161"/>
      <c r="K138" s="161"/>
      <c r="L138" s="161"/>
      <c r="M138" s="159">
        <v>1269353.4032497795</v>
      </c>
      <c r="N138" s="82"/>
      <c r="X138" s="174"/>
    </row>
    <row r="139" spans="1:24" ht="15.6" x14ac:dyDescent="0.3">
      <c r="A139" s="156">
        <v>10</v>
      </c>
      <c r="D139" s="126">
        <v>2</v>
      </c>
      <c r="E139" s="126" t="s">
        <v>266</v>
      </c>
      <c r="F139" s="163"/>
      <c r="G139" s="161"/>
      <c r="H139" s="161"/>
      <c r="I139" s="161"/>
      <c r="J139" s="161"/>
      <c r="K139" s="161"/>
      <c r="L139" s="161"/>
      <c r="M139" s="159">
        <v>6961608.7482521925</v>
      </c>
      <c r="N139" s="82"/>
      <c r="X139" s="174"/>
    </row>
    <row r="140" spans="1:24" x14ac:dyDescent="0.3">
      <c r="A140" s="156">
        <v>11</v>
      </c>
      <c r="D140" s="126">
        <v>3</v>
      </c>
      <c r="E140" s="126" t="s">
        <v>277</v>
      </c>
      <c r="F140" s="163"/>
      <c r="G140" s="161"/>
      <c r="H140" s="161"/>
      <c r="I140" s="161"/>
      <c r="J140" s="161"/>
      <c r="K140" s="161"/>
      <c r="L140" s="161"/>
      <c r="M140" s="159">
        <v>1652807.4346168251</v>
      </c>
      <c r="N140" s="131"/>
      <c r="X140" s="174"/>
    </row>
    <row r="141" spans="1:24" x14ac:dyDescent="0.3">
      <c r="A141" s="156">
        <v>12</v>
      </c>
      <c r="D141" s="126">
        <v>4</v>
      </c>
      <c r="E141" s="126" t="s">
        <v>136</v>
      </c>
      <c r="F141" s="163"/>
      <c r="G141" s="161"/>
      <c r="H141" s="161"/>
      <c r="I141" s="161"/>
      <c r="J141" s="161"/>
      <c r="K141" s="161"/>
      <c r="L141" s="161"/>
      <c r="M141" s="159">
        <v>0</v>
      </c>
      <c r="N141" s="131"/>
      <c r="X141" s="174"/>
    </row>
    <row r="142" spans="1:24" x14ac:dyDescent="0.3">
      <c r="A142" s="156">
        <v>13</v>
      </c>
      <c r="D142" s="126">
        <v>5</v>
      </c>
      <c r="E142" s="126" t="s">
        <v>136</v>
      </c>
      <c r="F142" s="163"/>
      <c r="G142" s="161"/>
      <c r="H142" s="161"/>
      <c r="I142" s="161"/>
      <c r="J142" s="161"/>
      <c r="K142" s="161"/>
      <c r="L142" s="161"/>
      <c r="M142" s="159">
        <v>0</v>
      </c>
      <c r="N142" s="131"/>
      <c r="X142" s="174"/>
    </row>
    <row r="143" spans="1:24" x14ac:dyDescent="0.3">
      <c r="A143" s="156">
        <v>14</v>
      </c>
      <c r="D143" s="126">
        <v>6</v>
      </c>
      <c r="E143" s="126" t="s">
        <v>136</v>
      </c>
      <c r="F143" s="163"/>
      <c r="G143" s="161"/>
      <c r="H143" s="161"/>
      <c r="I143" s="161"/>
      <c r="J143" s="161"/>
      <c r="K143" s="161"/>
      <c r="L143" s="161"/>
      <c r="M143" s="159">
        <v>0</v>
      </c>
      <c r="N143" s="131"/>
      <c r="X143" s="174"/>
    </row>
    <row r="144" spans="1:24" ht="15.6" x14ac:dyDescent="0.3">
      <c r="D144" s="126"/>
      <c r="E144" s="126"/>
      <c r="F144" s="158"/>
      <c r="G144" s="161"/>
      <c r="H144" s="161"/>
      <c r="I144" s="161"/>
      <c r="J144" s="161"/>
      <c r="K144" s="161"/>
      <c r="L144" s="161"/>
      <c r="M144" s="158"/>
      <c r="N144" s="82"/>
      <c r="X144" s="174"/>
    </row>
    <row r="145" spans="1:27" ht="16.2" thickBot="1" x14ac:dyDescent="0.35">
      <c r="D145" s="157" t="s">
        <v>269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82"/>
    </row>
    <row r="146" spans="1:27" x14ac:dyDescent="0.3">
      <c r="A146" s="156">
        <v>15</v>
      </c>
      <c r="D146" s="126"/>
      <c r="E146" s="126"/>
      <c r="F146" s="158"/>
      <c r="G146" s="166">
        <v>0.92438394573681359</v>
      </c>
      <c r="H146" s="166">
        <v>0.49996055494604891</v>
      </c>
      <c r="I146" s="166">
        <v>0.76674637610106677</v>
      </c>
      <c r="J146" s="166">
        <v>0</v>
      </c>
      <c r="K146" s="166">
        <v>1.3713064349604442</v>
      </c>
      <c r="L146" s="166">
        <v>4.4350894886366878E-2</v>
      </c>
      <c r="M146" s="158"/>
      <c r="N146" s="131"/>
      <c r="X146" s="174"/>
    </row>
    <row r="147" spans="1:27" x14ac:dyDescent="0.3">
      <c r="D147" s="126"/>
      <c r="E147" s="126"/>
      <c r="F147" s="158"/>
      <c r="G147" s="161"/>
      <c r="H147" s="161"/>
      <c r="I147" s="161"/>
      <c r="J147" s="161"/>
      <c r="K147" s="161"/>
      <c r="L147" s="161"/>
      <c r="M147" s="158"/>
      <c r="N147" s="131"/>
      <c r="X147" s="174"/>
    </row>
    <row r="148" spans="1:27" ht="15" thickBot="1" x14ac:dyDescent="0.35">
      <c r="D148" s="157" t="s">
        <v>270</v>
      </c>
      <c r="E148" s="157"/>
      <c r="F148" s="157"/>
      <c r="G148" s="157"/>
      <c r="H148" s="157"/>
      <c r="I148" s="157"/>
      <c r="J148" s="157"/>
      <c r="K148" s="157"/>
      <c r="L148" s="157"/>
      <c r="M148" s="157"/>
      <c r="N148" s="131"/>
      <c r="Z148" s="126" t="s">
        <v>271</v>
      </c>
    </row>
    <row r="149" spans="1:27" x14ac:dyDescent="0.3">
      <c r="A149" s="156">
        <v>16</v>
      </c>
      <c r="D149" s="126">
        <v>1</v>
      </c>
      <c r="E149" s="126" t="s">
        <v>265</v>
      </c>
      <c r="F149" s="167"/>
      <c r="G149" s="166">
        <v>2.3019926505344173</v>
      </c>
      <c r="H149" s="166">
        <v>0.82229549687834591</v>
      </c>
      <c r="I149" s="166">
        <v>0.65751396196664469</v>
      </c>
      <c r="J149" s="166">
        <v>0</v>
      </c>
      <c r="K149" s="166">
        <v>1.8680338869764452</v>
      </c>
      <c r="L149" s="166">
        <v>4.4350894886366878E-2</v>
      </c>
      <c r="M149" s="176">
        <v>5.6941868912422198</v>
      </c>
      <c r="N149" s="131"/>
      <c r="X149" s="168">
        <f>M149/M150</f>
        <v>1.6347306550948133</v>
      </c>
      <c r="Z149" s="168">
        <f>AA149/AA150</f>
        <v>1.45</v>
      </c>
      <c r="AA149" s="331">
        <v>5.2078112669656242</v>
      </c>
    </row>
    <row r="150" spans="1:27" ht="15.6" x14ac:dyDescent="0.3">
      <c r="A150" s="156">
        <v>17</v>
      </c>
      <c r="D150" s="126">
        <v>2</v>
      </c>
      <c r="E150" s="126" t="s">
        <v>266</v>
      </c>
      <c r="F150" s="167"/>
      <c r="G150" s="166">
        <v>0.72290486491024708</v>
      </c>
      <c r="H150" s="166">
        <v>0.48476580129605623</v>
      </c>
      <c r="I150" s="166">
        <v>0.86068627765142403</v>
      </c>
      <c r="J150" s="166">
        <v>0</v>
      </c>
      <c r="K150" s="166">
        <v>1.3705490962718831</v>
      </c>
      <c r="L150" s="166">
        <v>4.4350894886366878E-2</v>
      </c>
      <c r="M150" s="176">
        <v>3.483256935015977</v>
      </c>
      <c r="N150" s="82"/>
      <c r="X150" s="168">
        <f>M150/M150</f>
        <v>1</v>
      </c>
      <c r="Z150" s="168">
        <v>1</v>
      </c>
      <c r="AA150" s="331">
        <v>3.5915939772176722</v>
      </c>
    </row>
    <row r="151" spans="1:27" ht="15.6" x14ac:dyDescent="0.3">
      <c r="A151" s="156">
        <v>18</v>
      </c>
      <c r="D151" s="126">
        <v>3</v>
      </c>
      <c r="E151" s="126" t="s">
        <v>277</v>
      </c>
      <c r="F151" s="167"/>
      <c r="G151" s="166">
        <v>0.48983015977391509</v>
      </c>
      <c r="H151" s="166">
        <v>0.27722506987710227</v>
      </c>
      <c r="I151" s="166">
        <v>0.45496274479396476</v>
      </c>
      <c r="J151" s="166">
        <v>0</v>
      </c>
      <c r="K151" s="166">
        <v>1.0941692592671366</v>
      </c>
      <c r="L151" s="166">
        <v>4.4350894886366878E-2</v>
      </c>
      <c r="M151" s="176">
        <v>2.3605381285984857</v>
      </c>
      <c r="N151" s="82"/>
      <c r="X151" s="168">
        <f>M151/M150</f>
        <v>0.67768131166805767</v>
      </c>
      <c r="Z151" s="168">
        <f>AA151/AA150</f>
        <v>0.67768131166805767</v>
      </c>
      <c r="AA151" s="331">
        <v>2.4339561174599682</v>
      </c>
    </row>
    <row r="152" spans="1:27" x14ac:dyDescent="0.3">
      <c r="A152" s="156">
        <v>19</v>
      </c>
      <c r="D152" s="126">
        <v>4</v>
      </c>
      <c r="E152" s="126" t="s">
        <v>136</v>
      </c>
      <c r="F152" s="167"/>
      <c r="G152" s="166">
        <v>0</v>
      </c>
      <c r="H152" s="166">
        <v>0</v>
      </c>
      <c r="I152" s="166">
        <v>0</v>
      </c>
      <c r="J152" s="166">
        <v>0</v>
      </c>
      <c r="K152" s="166">
        <v>0</v>
      </c>
      <c r="L152" s="166">
        <v>0</v>
      </c>
      <c r="M152" s="169">
        <v>0</v>
      </c>
      <c r="N152" s="131"/>
      <c r="X152" s="174"/>
    </row>
    <row r="153" spans="1:27" x14ac:dyDescent="0.3">
      <c r="A153" s="156">
        <v>20</v>
      </c>
      <c r="D153" s="126">
        <v>5</v>
      </c>
      <c r="E153" s="126" t="s">
        <v>136</v>
      </c>
      <c r="F153" s="167"/>
      <c r="G153" s="166">
        <v>0</v>
      </c>
      <c r="H153" s="166">
        <v>0</v>
      </c>
      <c r="I153" s="166">
        <v>0</v>
      </c>
      <c r="J153" s="166">
        <v>0</v>
      </c>
      <c r="K153" s="166">
        <v>0</v>
      </c>
      <c r="L153" s="166">
        <v>0</v>
      </c>
      <c r="M153" s="169">
        <v>0</v>
      </c>
      <c r="N153" s="131"/>
    </row>
    <row r="154" spans="1:27" x14ac:dyDescent="0.3">
      <c r="A154" s="156">
        <v>21</v>
      </c>
      <c r="D154" s="126">
        <v>6</v>
      </c>
      <c r="E154" s="126" t="s">
        <v>136</v>
      </c>
      <c r="F154" s="167"/>
      <c r="G154" s="166">
        <v>0</v>
      </c>
      <c r="H154" s="166">
        <v>0</v>
      </c>
      <c r="I154" s="166">
        <v>0</v>
      </c>
      <c r="J154" s="166">
        <v>0</v>
      </c>
      <c r="K154" s="166">
        <v>0</v>
      </c>
      <c r="L154" s="166">
        <v>0</v>
      </c>
      <c r="M154" s="169">
        <v>0</v>
      </c>
      <c r="N154" s="131"/>
      <c r="X154" s="174"/>
    </row>
    <row r="155" spans="1:27" x14ac:dyDescent="0.3">
      <c r="D155" s="126"/>
      <c r="E155" s="126"/>
      <c r="F155" s="158"/>
      <c r="G155" s="161"/>
      <c r="H155" s="161"/>
      <c r="I155" s="161"/>
      <c r="J155" s="161"/>
      <c r="K155" s="161"/>
      <c r="L155" s="161"/>
      <c r="M155" s="158"/>
      <c r="N155" s="131"/>
      <c r="X155" s="174"/>
    </row>
    <row r="156" spans="1:27" ht="16.2" thickBot="1" x14ac:dyDescent="0.35">
      <c r="D156" s="157" t="s">
        <v>272</v>
      </c>
      <c r="E156" s="157"/>
      <c r="F156" s="157"/>
      <c r="G156" s="157"/>
      <c r="H156" s="157"/>
      <c r="I156" s="157"/>
      <c r="J156" s="157"/>
      <c r="K156" s="157"/>
      <c r="L156" s="157"/>
      <c r="M156" s="157"/>
      <c r="N156" s="82"/>
    </row>
    <row r="157" spans="1:27" ht="15.6" x14ac:dyDescent="0.3">
      <c r="A157" s="156">
        <v>22</v>
      </c>
      <c r="D157" s="126"/>
      <c r="E157" s="126" t="s">
        <v>273</v>
      </c>
      <c r="F157" s="158"/>
      <c r="G157" s="177">
        <v>87642179.666989625</v>
      </c>
      <c r="H157" s="177">
        <v>48767330.87150649</v>
      </c>
      <c r="I157" s="177">
        <v>75783445.123745173</v>
      </c>
      <c r="J157" s="177">
        <v>0</v>
      </c>
      <c r="K157" s="177">
        <v>137208728.36780849</v>
      </c>
      <c r="L157" s="177">
        <v>4383540.2599502467</v>
      </c>
      <c r="M157" s="178">
        <v>353785224.29000002</v>
      </c>
      <c r="N157" s="82"/>
    </row>
    <row r="158" spans="1:27" x14ac:dyDescent="0.3">
      <c r="A158" s="156">
        <v>23</v>
      </c>
      <c r="D158" s="126"/>
      <c r="E158" s="126" t="s">
        <v>274</v>
      </c>
      <c r="F158" s="158"/>
      <c r="G158" s="159" t="b">
        <v>1</v>
      </c>
      <c r="H158" s="159" t="b">
        <v>1</v>
      </c>
      <c r="I158" s="159" t="b">
        <v>1</v>
      </c>
      <c r="J158" s="159" t="b">
        <v>1</v>
      </c>
      <c r="K158" s="159" t="b">
        <v>1</v>
      </c>
      <c r="L158" s="159" t="b">
        <v>1</v>
      </c>
      <c r="M158" s="159" t="b">
        <v>1</v>
      </c>
      <c r="N158" s="131"/>
    </row>
    <row r="160" spans="1:27" ht="15" thickBot="1" x14ac:dyDescent="0.35">
      <c r="D160" s="157" t="s">
        <v>281</v>
      </c>
      <c r="E160" s="157"/>
      <c r="F160" s="157"/>
      <c r="G160" s="157"/>
      <c r="H160" s="157"/>
      <c r="I160" s="157"/>
      <c r="J160" s="157"/>
      <c r="K160" s="157"/>
      <c r="L160" s="157"/>
      <c r="M160" s="157"/>
    </row>
    <row r="161" spans="1:29" x14ac:dyDescent="0.3">
      <c r="A161" s="156">
        <v>24</v>
      </c>
      <c r="D161" s="126">
        <v>1</v>
      </c>
      <c r="E161" s="126" t="s">
        <v>265</v>
      </c>
      <c r="G161" s="166">
        <v>0</v>
      </c>
      <c r="H161" s="166">
        <v>0</v>
      </c>
      <c r="I161" s="166">
        <v>0</v>
      </c>
      <c r="J161" s="166">
        <v>0</v>
      </c>
      <c r="K161" s="166">
        <v>0</v>
      </c>
      <c r="L161" s="166">
        <v>0</v>
      </c>
      <c r="M161" s="179">
        <v>2.7302629152846203</v>
      </c>
      <c r="X161" s="168">
        <f>M161/SUM($M$161:$M$163)</f>
        <v>0.2477419836139477</v>
      </c>
    </row>
    <row r="162" spans="1:29" x14ac:dyDescent="0.3">
      <c r="A162" s="156">
        <v>25</v>
      </c>
      <c r="D162" s="126">
        <v>2</v>
      </c>
      <c r="E162" s="126" t="s">
        <v>282</v>
      </c>
      <c r="G162" s="166">
        <v>0</v>
      </c>
      <c r="H162" s="166">
        <v>0</v>
      </c>
      <c r="I162" s="166">
        <v>0</v>
      </c>
      <c r="J162" s="166">
        <v>0</v>
      </c>
      <c r="K162" s="166">
        <v>0</v>
      </c>
      <c r="L162" s="166">
        <v>0</v>
      </c>
      <c r="M162" s="179">
        <v>4.8899999999999997</v>
      </c>
      <c r="X162" s="168">
        <f>M162/SUM($M$161:$M$163)</f>
        <v>0.44371488661043984</v>
      </c>
    </row>
    <row r="163" spans="1:29" x14ac:dyDescent="0.3">
      <c r="A163" s="156">
        <v>26</v>
      </c>
      <c r="D163" s="126">
        <v>3</v>
      </c>
      <c r="E163" s="126" t="s">
        <v>120</v>
      </c>
      <c r="G163" s="166">
        <v>0</v>
      </c>
      <c r="H163" s="166">
        <v>0</v>
      </c>
      <c r="I163" s="166">
        <v>0</v>
      </c>
      <c r="J163" s="166">
        <v>0</v>
      </c>
      <c r="K163" s="166">
        <v>0</v>
      </c>
      <c r="L163" s="166">
        <v>0</v>
      </c>
      <c r="M163" s="179">
        <v>3.4003274402812118</v>
      </c>
      <c r="X163" s="168">
        <f>M163/SUM($M$161:$M$163)</f>
        <v>0.30854312977561249</v>
      </c>
    </row>
    <row r="165" spans="1:29" ht="15" thickBot="1" x14ac:dyDescent="0.35">
      <c r="A165" s="170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0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</row>
    <row r="167" spans="1:29" x14ac:dyDescent="0.3">
      <c r="A167" s="134"/>
      <c r="B167" s="131"/>
      <c r="C167" s="131"/>
      <c r="D167" s="135"/>
      <c r="E167" s="131"/>
      <c r="F167" s="131"/>
      <c r="G167" s="131"/>
      <c r="H167" s="131"/>
      <c r="I167" s="131"/>
      <c r="J167" s="131"/>
      <c r="K167" s="131"/>
      <c r="L167" s="134"/>
      <c r="M167" s="30" t="s">
        <v>37</v>
      </c>
      <c r="N167" s="131"/>
      <c r="O167" s="134"/>
      <c r="P167" s="131"/>
      <c r="Q167" s="131"/>
      <c r="R167" s="131"/>
      <c r="S167" s="131"/>
      <c r="T167" s="131"/>
      <c r="U167" s="131"/>
      <c r="V167" s="131"/>
      <c r="W167" s="131"/>
      <c r="X167" s="131"/>
      <c r="AC167" s="129"/>
    </row>
    <row r="168" spans="1:29" x14ac:dyDescent="0.3">
      <c r="A168" s="134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33" t="str">
        <f>M110</f>
        <v>DOCKET NO.  20240025-EI</v>
      </c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4" t="s">
        <v>245</v>
      </c>
      <c r="AC168" s="136" t="s">
        <v>245</v>
      </c>
    </row>
    <row r="169" spans="1:29" x14ac:dyDescent="0.3">
      <c r="A169" s="134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33" t="s">
        <v>38</v>
      </c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AC169" s="129"/>
    </row>
    <row r="170" spans="1:29" x14ac:dyDescent="0.3">
      <c r="A170" s="134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30" t="s">
        <v>246</v>
      </c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AC170" s="129"/>
    </row>
    <row r="171" spans="1:29" x14ac:dyDescent="0.3">
      <c r="A171" s="134"/>
      <c r="B171" s="131"/>
      <c r="C171" s="137"/>
      <c r="D171" s="131"/>
      <c r="E171" s="131"/>
      <c r="F171" s="131"/>
      <c r="G171" s="131"/>
      <c r="H171" s="131"/>
      <c r="I171" s="131"/>
      <c r="J171" s="131"/>
      <c r="K171" s="131"/>
      <c r="L171" s="134"/>
      <c r="M171" s="79" t="s">
        <v>283</v>
      </c>
      <c r="N171" s="131"/>
      <c r="O171" s="134"/>
      <c r="P171" s="131"/>
      <c r="Q171" s="131"/>
      <c r="R171" s="131"/>
      <c r="S171" s="131"/>
      <c r="T171" s="131"/>
      <c r="U171" s="131"/>
      <c r="V171" s="131"/>
      <c r="W171" s="131"/>
      <c r="X171" s="131"/>
      <c r="AC171" s="129"/>
    </row>
    <row r="172" spans="1:29" ht="15.6" x14ac:dyDescent="0.3">
      <c r="A172" s="138" t="s">
        <v>248</v>
      </c>
      <c r="B172" s="139"/>
      <c r="C172" s="139"/>
      <c r="D172" s="140"/>
      <c r="E172" s="140"/>
      <c r="F172" s="140"/>
      <c r="G172" s="140"/>
      <c r="H172" s="140"/>
      <c r="I172" s="140"/>
      <c r="J172" s="140"/>
      <c r="K172" s="140"/>
      <c r="L172" s="140"/>
      <c r="M172" s="37" t="s">
        <v>13</v>
      </c>
      <c r="N172" s="82"/>
      <c r="O172" s="83"/>
      <c r="P172" s="83"/>
      <c r="Q172" s="83"/>
      <c r="R172" s="83"/>
      <c r="S172" s="83"/>
      <c r="T172" s="83"/>
      <c r="U172" s="83"/>
      <c r="V172" s="83"/>
      <c r="W172" s="83"/>
      <c r="X172" s="83"/>
    </row>
    <row r="173" spans="1:29" ht="15.6" x14ac:dyDescent="0.3">
      <c r="A173" s="142"/>
      <c r="B173" s="279"/>
      <c r="C173" s="279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82"/>
      <c r="O173" s="83"/>
      <c r="P173" s="83"/>
      <c r="Q173" s="83"/>
      <c r="R173" s="83"/>
      <c r="S173" s="83"/>
      <c r="T173" s="83"/>
      <c r="U173" s="83"/>
      <c r="V173" s="83"/>
      <c r="W173" s="83"/>
      <c r="X173" s="83"/>
    </row>
    <row r="174" spans="1:29" ht="15.6" x14ac:dyDescent="0.3">
      <c r="A174" s="142"/>
      <c r="B174" s="279"/>
      <c r="C174" s="279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82"/>
      <c r="O174" s="83"/>
      <c r="P174" s="83"/>
      <c r="Q174" s="83"/>
      <c r="R174" s="83"/>
      <c r="S174" s="83"/>
      <c r="T174" s="83"/>
      <c r="U174" s="83"/>
      <c r="V174" s="83"/>
      <c r="W174" s="83"/>
      <c r="X174" s="83"/>
    </row>
    <row r="175" spans="1:29" ht="15.6" x14ac:dyDescent="0.3">
      <c r="A175" s="375" t="s">
        <v>284</v>
      </c>
      <c r="B175" s="375"/>
      <c r="C175" s="375"/>
      <c r="D175" s="375"/>
      <c r="E175" s="375"/>
      <c r="F175" s="375"/>
      <c r="G175" s="375"/>
      <c r="H175" s="375"/>
      <c r="I175" s="375"/>
      <c r="J175" s="375"/>
      <c r="K175" s="375"/>
      <c r="L175" s="375"/>
      <c r="M175" s="375"/>
      <c r="N175" s="82"/>
      <c r="O175" s="83"/>
      <c r="P175" s="83"/>
      <c r="Q175" s="83"/>
      <c r="R175" s="83"/>
      <c r="S175" s="83"/>
      <c r="T175" s="83"/>
      <c r="U175" s="83"/>
      <c r="V175" s="83"/>
      <c r="W175" s="83"/>
      <c r="X175" s="83"/>
    </row>
    <row r="176" spans="1:29" x14ac:dyDescent="0.3">
      <c r="A176" s="143"/>
      <c r="B176" s="109"/>
      <c r="C176" s="109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</row>
    <row r="177" spans="1:24" x14ac:dyDescent="0.3">
      <c r="A177" s="144"/>
      <c r="B177" s="145"/>
      <c r="C177" s="145"/>
      <c r="D177" s="278">
        <v>-1</v>
      </c>
      <c r="E177" s="278"/>
      <c r="F177" s="146"/>
      <c r="G177" s="278">
        <f>+D177-1</f>
        <v>-2</v>
      </c>
      <c r="H177" s="278">
        <f t="shared" ref="H177:M177" si="3">+G177-1</f>
        <v>-3</v>
      </c>
      <c r="I177" s="278">
        <f t="shared" si="3"/>
        <v>-4</v>
      </c>
      <c r="J177" s="278">
        <f t="shared" si="3"/>
        <v>-5</v>
      </c>
      <c r="K177" s="278">
        <f t="shared" si="3"/>
        <v>-6</v>
      </c>
      <c r="L177" s="278">
        <f t="shared" si="3"/>
        <v>-7</v>
      </c>
      <c r="M177" s="278">
        <f t="shared" si="3"/>
        <v>-8</v>
      </c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</row>
    <row r="178" spans="1:24" x14ac:dyDescent="0.3">
      <c r="A178" s="147"/>
      <c r="B178" s="148"/>
      <c r="C178" s="148"/>
      <c r="D178" s="148"/>
      <c r="E178" s="148"/>
      <c r="F178" s="148"/>
      <c r="G178" s="148"/>
      <c r="H178" s="149"/>
      <c r="I178" s="148"/>
      <c r="J178" s="149"/>
      <c r="K178" s="78"/>
      <c r="L178" s="78"/>
      <c r="M178" s="78"/>
      <c r="N178" s="148"/>
      <c r="O178" s="78"/>
      <c r="P178" s="78"/>
      <c r="Q178" s="78"/>
      <c r="R178" s="78"/>
      <c r="S178" s="78"/>
      <c r="T178" s="78"/>
      <c r="U178" s="78"/>
      <c r="V178" s="78"/>
      <c r="W178" s="78"/>
      <c r="X178" s="78"/>
    </row>
    <row r="179" spans="1:24" ht="27.6" x14ac:dyDescent="0.3">
      <c r="A179" s="147"/>
      <c r="B179" s="148"/>
      <c r="C179" s="148"/>
      <c r="D179" s="148"/>
      <c r="E179" s="148"/>
      <c r="F179" s="148"/>
      <c r="G179" s="149" t="s">
        <v>250</v>
      </c>
      <c r="H179" s="150" t="s">
        <v>102</v>
      </c>
      <c r="I179" s="151" t="s">
        <v>251</v>
      </c>
      <c r="J179" s="149" t="s">
        <v>252</v>
      </c>
      <c r="K179" s="151" t="s">
        <v>250</v>
      </c>
      <c r="L179" s="151" t="s">
        <v>253</v>
      </c>
      <c r="M179" s="152" t="s">
        <v>254</v>
      </c>
      <c r="N179" s="148"/>
      <c r="O179" s="78"/>
      <c r="P179" s="78"/>
      <c r="Q179" s="78"/>
      <c r="R179" s="78"/>
      <c r="S179" s="78"/>
      <c r="T179" s="78"/>
      <c r="U179" s="78"/>
      <c r="V179" s="78"/>
      <c r="W179" s="78"/>
      <c r="X179" s="78"/>
    </row>
    <row r="180" spans="1:24" x14ac:dyDescent="0.3">
      <c r="A180" s="153" t="s">
        <v>54</v>
      </c>
      <c r="B180" s="154"/>
      <c r="C180" s="154"/>
      <c r="D180" s="155"/>
      <c r="E180" s="155"/>
      <c r="F180" s="155"/>
      <c r="G180" s="172" t="s">
        <v>255</v>
      </c>
      <c r="H180" s="172" t="s">
        <v>255</v>
      </c>
      <c r="I180" s="173" t="s">
        <v>101</v>
      </c>
      <c r="J180" s="173" t="s">
        <v>99</v>
      </c>
      <c r="K180" s="173" t="s">
        <v>256</v>
      </c>
      <c r="L180" s="173"/>
      <c r="M180" s="88"/>
      <c r="N180" s="151"/>
      <c r="O180" s="78"/>
      <c r="P180" s="78"/>
      <c r="Q180" s="78"/>
      <c r="R180" s="78"/>
      <c r="S180" s="78"/>
      <c r="T180" s="78"/>
      <c r="U180" s="78"/>
      <c r="V180" s="78"/>
      <c r="W180" s="78"/>
      <c r="X180" s="78"/>
    </row>
    <row r="181" spans="1:24" ht="15" thickBot="1" x14ac:dyDescent="0.35">
      <c r="D181" s="157" t="s">
        <v>257</v>
      </c>
      <c r="E181" s="157"/>
      <c r="F181" s="157"/>
      <c r="G181" s="157"/>
      <c r="H181" s="157"/>
      <c r="I181" s="157"/>
      <c r="J181" s="157"/>
      <c r="K181" s="157"/>
      <c r="L181" s="157"/>
      <c r="M181" s="157"/>
      <c r="N181" s="78"/>
    </row>
    <row r="182" spans="1:24" x14ac:dyDescent="0.3">
      <c r="A182" s="156">
        <v>1</v>
      </c>
      <c r="D182" s="126"/>
      <c r="E182" s="126"/>
      <c r="F182" s="158"/>
      <c r="G182" s="159">
        <v>270312.98656596721</v>
      </c>
      <c r="H182" s="159">
        <v>150448.58974521823</v>
      </c>
      <c r="I182" s="159">
        <v>292014.94382075523</v>
      </c>
      <c r="J182" s="159">
        <v>0</v>
      </c>
      <c r="K182" s="159">
        <v>879936.22316657507</v>
      </c>
      <c r="L182" s="159">
        <v>-2159.2332985156681</v>
      </c>
      <c r="M182" s="160">
        <v>1590553.51</v>
      </c>
      <c r="N182" s="148"/>
      <c r="X182" s="174"/>
    </row>
    <row r="183" spans="1:24" x14ac:dyDescent="0.3">
      <c r="D183" s="126"/>
      <c r="E183" s="126"/>
      <c r="F183" s="158"/>
      <c r="G183" s="161"/>
      <c r="H183" s="161"/>
      <c r="I183" s="161"/>
      <c r="J183" s="161"/>
      <c r="K183" s="161"/>
      <c r="L183" s="161"/>
      <c r="M183" s="158"/>
      <c r="N183" s="148"/>
      <c r="X183" s="174"/>
    </row>
    <row r="184" spans="1:24" ht="15" thickBot="1" x14ac:dyDescent="0.35">
      <c r="D184" s="157" t="s">
        <v>258</v>
      </c>
      <c r="E184" s="157"/>
      <c r="F184" s="157"/>
      <c r="G184" s="157"/>
      <c r="H184" s="157"/>
      <c r="I184" s="157"/>
      <c r="J184" s="157"/>
      <c r="K184" s="157"/>
      <c r="L184" s="157"/>
      <c r="M184" s="157"/>
      <c r="N184" s="131"/>
    </row>
    <row r="185" spans="1:24" x14ac:dyDescent="0.3">
      <c r="A185" s="156">
        <v>2</v>
      </c>
      <c r="D185" s="126"/>
      <c r="E185" s="126"/>
      <c r="F185" s="158"/>
      <c r="G185" s="162" t="s">
        <v>259</v>
      </c>
      <c r="H185" s="162" t="s">
        <v>260</v>
      </c>
      <c r="I185" s="162" t="s">
        <v>261</v>
      </c>
      <c r="J185" s="162" t="s">
        <v>261</v>
      </c>
      <c r="K185" s="162" t="s">
        <v>262</v>
      </c>
      <c r="L185" s="162" t="s">
        <v>263</v>
      </c>
      <c r="M185" s="126"/>
      <c r="N185" s="131"/>
      <c r="X185" s="174"/>
    </row>
    <row r="186" spans="1:24" x14ac:dyDescent="0.3">
      <c r="D186" s="126"/>
      <c r="E186" s="126"/>
      <c r="F186" s="158"/>
      <c r="G186" s="161"/>
      <c r="H186" s="161"/>
      <c r="I186" s="161"/>
      <c r="J186" s="161"/>
      <c r="K186" s="161"/>
      <c r="L186" s="161"/>
      <c r="M186" s="158"/>
      <c r="N186" s="131"/>
      <c r="X186" s="174"/>
    </row>
    <row r="187" spans="1:24" ht="15" thickBot="1" x14ac:dyDescent="0.35">
      <c r="D187" s="157" t="s">
        <v>264</v>
      </c>
      <c r="E187" s="157"/>
      <c r="F187" s="157"/>
      <c r="G187" s="157"/>
      <c r="H187" s="157"/>
      <c r="I187" s="157"/>
      <c r="J187" s="157"/>
      <c r="K187" s="157"/>
      <c r="L187" s="157"/>
      <c r="M187" s="157"/>
      <c r="N187" s="131"/>
    </row>
    <row r="188" spans="1:24" ht="15.6" x14ac:dyDescent="0.3">
      <c r="A188" s="156">
        <v>3</v>
      </c>
      <c r="D188" s="126">
        <v>1</v>
      </c>
      <c r="E188" s="126" t="s">
        <v>265</v>
      </c>
      <c r="F188" s="163"/>
      <c r="G188" s="164">
        <v>2.490299254061072</v>
      </c>
      <c r="H188" s="164">
        <v>1.6447207459538091</v>
      </c>
      <c r="I188" s="164">
        <v>0.91826446983474097</v>
      </c>
      <c r="J188" s="164">
        <v>0.91826446983474097</v>
      </c>
      <c r="K188" s="175">
        <v>1.3622293597931883</v>
      </c>
      <c r="L188" s="164">
        <v>1</v>
      </c>
      <c r="M188" s="158"/>
      <c r="N188" s="82"/>
      <c r="X188" s="174"/>
    </row>
    <row r="189" spans="1:24" ht="15.6" x14ac:dyDescent="0.3">
      <c r="A189" s="156">
        <v>4</v>
      </c>
      <c r="D189" s="126">
        <v>2</v>
      </c>
      <c r="E189" s="126" t="s">
        <v>266</v>
      </c>
      <c r="F189" s="163"/>
      <c r="G189" s="164">
        <v>0.78203961486374551</v>
      </c>
      <c r="H189" s="164">
        <v>0.96960809507935608</v>
      </c>
      <c r="I189" s="164">
        <v>1.0668147111832031</v>
      </c>
      <c r="J189" s="164">
        <v>1.0668147111832031</v>
      </c>
      <c r="K189" s="175">
        <v>0.99944772468847709</v>
      </c>
      <c r="L189" s="164">
        <v>1</v>
      </c>
      <c r="M189" s="158"/>
      <c r="N189" s="82"/>
      <c r="X189" s="174"/>
    </row>
    <row r="190" spans="1:24" x14ac:dyDescent="0.3">
      <c r="A190" s="156">
        <v>5</v>
      </c>
      <c r="D190" s="126">
        <v>3</v>
      </c>
      <c r="E190" s="126" t="s">
        <v>277</v>
      </c>
      <c r="F190" s="163"/>
      <c r="G190" s="164">
        <v>0.52989903387328763</v>
      </c>
      <c r="H190" s="164">
        <v>0.55449388383653153</v>
      </c>
      <c r="I190" s="164">
        <v>0.83527839063120013</v>
      </c>
      <c r="J190" s="164">
        <v>0.83527839063120013</v>
      </c>
      <c r="K190" s="175">
        <v>0.79790281105090721</v>
      </c>
      <c r="L190" s="164">
        <v>1</v>
      </c>
      <c r="M190" s="158"/>
      <c r="N190" s="131"/>
      <c r="X190" s="174"/>
    </row>
    <row r="191" spans="1:24" x14ac:dyDescent="0.3">
      <c r="A191" s="156">
        <v>6</v>
      </c>
      <c r="D191" s="126">
        <v>4</v>
      </c>
      <c r="E191" s="126" t="s">
        <v>136</v>
      </c>
      <c r="F191" s="163"/>
      <c r="G191" s="164">
        <v>0</v>
      </c>
      <c r="H191" s="164">
        <v>0</v>
      </c>
      <c r="I191" s="164">
        <v>0</v>
      </c>
      <c r="J191" s="164">
        <v>0</v>
      </c>
      <c r="K191" s="164">
        <v>0</v>
      </c>
      <c r="L191" s="164">
        <v>0</v>
      </c>
      <c r="M191" s="158"/>
      <c r="N191" s="131"/>
      <c r="X191" s="174"/>
    </row>
    <row r="192" spans="1:24" x14ac:dyDescent="0.3">
      <c r="A192" s="156">
        <v>7</v>
      </c>
      <c r="D192" s="126">
        <v>5</v>
      </c>
      <c r="E192" s="126" t="s">
        <v>136</v>
      </c>
      <c r="F192" s="163"/>
      <c r="G192" s="164">
        <v>0</v>
      </c>
      <c r="H192" s="164">
        <v>0</v>
      </c>
      <c r="I192" s="164">
        <v>0</v>
      </c>
      <c r="J192" s="164">
        <v>0</v>
      </c>
      <c r="K192" s="164">
        <v>0</v>
      </c>
      <c r="L192" s="164">
        <v>0</v>
      </c>
      <c r="M192" s="158"/>
      <c r="N192" s="131"/>
      <c r="X192" s="174"/>
    </row>
    <row r="193" spans="1:27" x14ac:dyDescent="0.3">
      <c r="A193" s="156">
        <v>8</v>
      </c>
      <c r="D193" s="126">
        <v>6</v>
      </c>
      <c r="E193" s="126" t="s">
        <v>136</v>
      </c>
      <c r="F193" s="163"/>
      <c r="G193" s="164">
        <v>0</v>
      </c>
      <c r="H193" s="164">
        <v>0</v>
      </c>
      <c r="I193" s="164">
        <v>0</v>
      </c>
      <c r="J193" s="164">
        <v>0</v>
      </c>
      <c r="K193" s="164">
        <v>0</v>
      </c>
      <c r="L193" s="164">
        <v>0</v>
      </c>
      <c r="M193" s="158"/>
      <c r="N193" s="131"/>
      <c r="X193" s="174"/>
    </row>
    <row r="194" spans="1:27" ht="15.6" x14ac:dyDescent="0.3">
      <c r="D194" s="126"/>
      <c r="E194" s="126"/>
      <c r="F194" s="158"/>
      <c r="G194" s="161"/>
      <c r="H194" s="161"/>
      <c r="I194" s="161"/>
      <c r="J194" s="161"/>
      <c r="K194" s="161"/>
      <c r="L194" s="161"/>
      <c r="M194" s="158"/>
      <c r="N194" s="82"/>
      <c r="X194" s="174"/>
    </row>
    <row r="195" spans="1:27" ht="16.2" thickBot="1" x14ac:dyDescent="0.35">
      <c r="D195" s="157" t="s">
        <v>278</v>
      </c>
      <c r="E195" s="157"/>
      <c r="F195" s="157"/>
      <c r="G195" s="157"/>
      <c r="H195" s="157"/>
      <c r="I195" s="157"/>
      <c r="J195" s="157"/>
      <c r="K195" s="157"/>
      <c r="L195" s="157"/>
      <c r="M195" s="157"/>
      <c r="N195" s="82"/>
    </row>
    <row r="196" spans="1:27" x14ac:dyDescent="0.3">
      <c r="A196" s="156">
        <v>9</v>
      </c>
      <c r="D196" s="126">
        <v>1</v>
      </c>
      <c r="E196" s="126" t="s">
        <v>265</v>
      </c>
      <c r="F196" s="163"/>
      <c r="G196" s="161"/>
      <c r="H196" s="165"/>
      <c r="I196" s="161"/>
      <c r="J196" s="161"/>
      <c r="K196" s="161"/>
      <c r="L196" s="161"/>
      <c r="M196" s="159">
        <v>8653.6256403578427</v>
      </c>
      <c r="N196" s="131"/>
      <c r="X196" s="174"/>
    </row>
    <row r="197" spans="1:27" x14ac:dyDescent="0.3">
      <c r="A197" s="156">
        <v>10</v>
      </c>
      <c r="D197" s="126">
        <v>2</v>
      </c>
      <c r="E197" s="126" t="s">
        <v>266</v>
      </c>
      <c r="F197" s="163"/>
      <c r="G197" s="161"/>
      <c r="H197" s="161"/>
      <c r="I197" s="161"/>
      <c r="J197" s="161"/>
      <c r="K197" s="161"/>
      <c r="L197" s="161"/>
      <c r="M197" s="159">
        <v>44547.067266623286</v>
      </c>
      <c r="N197" s="131"/>
      <c r="X197" s="174"/>
    </row>
    <row r="198" spans="1:27" x14ac:dyDescent="0.3">
      <c r="A198" s="156">
        <v>11</v>
      </c>
      <c r="D198" s="126">
        <v>3</v>
      </c>
      <c r="E198" s="126" t="s">
        <v>277</v>
      </c>
      <c r="F198" s="163"/>
      <c r="G198" s="161"/>
      <c r="H198" s="161"/>
      <c r="I198" s="161"/>
      <c r="J198" s="161"/>
      <c r="K198" s="161"/>
      <c r="L198" s="161"/>
      <c r="M198" s="159">
        <v>13775.307093018642</v>
      </c>
      <c r="N198" s="131"/>
      <c r="X198" s="174"/>
    </row>
    <row r="199" spans="1:27" x14ac:dyDescent="0.3">
      <c r="A199" s="156">
        <v>12</v>
      </c>
      <c r="D199" s="126">
        <v>4</v>
      </c>
      <c r="E199" s="126" t="s">
        <v>136</v>
      </c>
      <c r="F199" s="163"/>
      <c r="G199" s="161"/>
      <c r="H199" s="161"/>
      <c r="I199" s="161"/>
      <c r="J199" s="161"/>
      <c r="K199" s="161"/>
      <c r="L199" s="161"/>
      <c r="M199" s="159">
        <v>0</v>
      </c>
      <c r="N199" s="131"/>
      <c r="X199" s="174"/>
    </row>
    <row r="200" spans="1:27" ht="15.6" x14ac:dyDescent="0.3">
      <c r="A200" s="156">
        <v>13</v>
      </c>
      <c r="D200" s="126">
        <v>5</v>
      </c>
      <c r="E200" s="126" t="s">
        <v>136</v>
      </c>
      <c r="F200" s="163"/>
      <c r="G200" s="161"/>
      <c r="H200" s="161"/>
      <c r="I200" s="161"/>
      <c r="J200" s="161"/>
      <c r="K200" s="161"/>
      <c r="L200" s="161"/>
      <c r="M200" s="159">
        <v>0</v>
      </c>
      <c r="N200" s="82"/>
      <c r="X200" s="174"/>
    </row>
    <row r="201" spans="1:27" ht="15.6" x14ac:dyDescent="0.3">
      <c r="A201" s="156">
        <v>14</v>
      </c>
      <c r="D201" s="126">
        <v>6</v>
      </c>
      <c r="E201" s="126" t="s">
        <v>136</v>
      </c>
      <c r="F201" s="163"/>
      <c r="G201" s="161"/>
      <c r="H201" s="161"/>
      <c r="I201" s="161"/>
      <c r="J201" s="161"/>
      <c r="K201" s="161"/>
      <c r="L201" s="161"/>
      <c r="M201" s="159">
        <v>0</v>
      </c>
      <c r="N201" s="82"/>
      <c r="X201" s="174"/>
    </row>
    <row r="202" spans="1:27" x14ac:dyDescent="0.3">
      <c r="D202" s="126"/>
      <c r="E202" s="126"/>
      <c r="F202" s="158"/>
      <c r="G202" s="161"/>
      <c r="H202" s="161"/>
      <c r="I202" s="161"/>
      <c r="J202" s="161"/>
      <c r="K202" s="161"/>
      <c r="L202" s="161"/>
      <c r="M202" s="158"/>
      <c r="N202" s="131"/>
      <c r="X202" s="174"/>
    </row>
    <row r="203" spans="1:27" ht="15" thickBot="1" x14ac:dyDescent="0.35">
      <c r="D203" s="157" t="s">
        <v>269</v>
      </c>
      <c r="E203" s="157"/>
      <c r="F203" s="157"/>
      <c r="G203" s="157"/>
      <c r="H203" s="157"/>
      <c r="I203" s="157"/>
      <c r="J203" s="157"/>
      <c r="K203" s="157"/>
      <c r="L203" s="157"/>
      <c r="M203" s="157"/>
      <c r="N203" s="131"/>
    </row>
    <row r="204" spans="1:27" x14ac:dyDescent="0.3">
      <c r="A204" s="156">
        <v>15</v>
      </c>
      <c r="D204" s="126"/>
      <c r="E204" s="126"/>
      <c r="F204" s="158"/>
      <c r="G204" s="166">
        <v>0.42443841312352398</v>
      </c>
      <c r="H204" s="166">
        <v>0.23123056376544873</v>
      </c>
      <c r="I204" s="166">
        <v>0.43599937861436133</v>
      </c>
      <c r="J204" s="166">
        <v>0</v>
      </c>
      <c r="K204" s="166">
        <v>1.3074435312631802</v>
      </c>
      <c r="L204" s="166">
        <v>-3.2238910931015226E-3</v>
      </c>
      <c r="M204" s="158"/>
      <c r="N204" s="131"/>
      <c r="X204" s="174"/>
    </row>
    <row r="205" spans="1:27" x14ac:dyDescent="0.3">
      <c r="D205" s="126"/>
      <c r="E205" s="126"/>
      <c r="F205" s="158"/>
      <c r="G205" s="161"/>
      <c r="H205" s="161"/>
      <c r="I205" s="161"/>
      <c r="J205" s="161"/>
      <c r="K205" s="161"/>
      <c r="L205" s="161"/>
      <c r="M205" s="158"/>
      <c r="N205" s="131"/>
      <c r="X205" s="174"/>
    </row>
    <row r="206" spans="1:27" ht="16.2" thickBot="1" x14ac:dyDescent="0.35">
      <c r="D206" s="157" t="s">
        <v>270</v>
      </c>
      <c r="E206" s="157"/>
      <c r="F206" s="157"/>
      <c r="G206" s="157"/>
      <c r="H206" s="157"/>
      <c r="I206" s="157"/>
      <c r="J206" s="157"/>
      <c r="K206" s="157"/>
      <c r="L206" s="157"/>
      <c r="M206" s="157"/>
      <c r="N206" s="82"/>
      <c r="Z206" s="126" t="s">
        <v>271</v>
      </c>
    </row>
    <row r="207" spans="1:27" ht="15.6" x14ac:dyDescent="0.3">
      <c r="A207" s="156">
        <v>16</v>
      </c>
      <c r="D207" s="126">
        <v>1</v>
      </c>
      <c r="E207" s="126" t="s">
        <v>265</v>
      </c>
      <c r="F207" s="167"/>
      <c r="G207" s="166">
        <v>1.0569786635963769</v>
      </c>
      <c r="H207" s="166">
        <v>0.38030970532362868</v>
      </c>
      <c r="I207" s="166">
        <v>0.40036273825159302</v>
      </c>
      <c r="J207" s="166">
        <v>0</v>
      </c>
      <c r="K207" s="166">
        <v>1.7810379645583874</v>
      </c>
      <c r="L207" s="166">
        <v>-3.2238910931015226E-3</v>
      </c>
      <c r="M207" s="176">
        <v>3.6154651806368845</v>
      </c>
      <c r="N207" s="82"/>
      <c r="X207" s="168">
        <f>M207/M208</f>
        <v>1.5552001254047523</v>
      </c>
      <c r="Z207" s="168">
        <f>AA207/AA208</f>
        <v>1.45</v>
      </c>
      <c r="AA207" s="331">
        <v>3.4021372485975307</v>
      </c>
    </row>
    <row r="208" spans="1:27" x14ac:dyDescent="0.3">
      <c r="A208" s="156">
        <v>17</v>
      </c>
      <c r="D208" s="126">
        <v>2</v>
      </c>
      <c r="E208" s="126" t="s">
        <v>266</v>
      </c>
      <c r="F208" s="167"/>
      <c r="G208" s="166">
        <v>0.3319276531325</v>
      </c>
      <c r="H208" s="166">
        <v>0.22420302645674231</v>
      </c>
      <c r="I208" s="166">
        <v>0.46513055117253593</v>
      </c>
      <c r="J208" s="166">
        <v>0</v>
      </c>
      <c r="K208" s="166">
        <v>1.3067214624796533</v>
      </c>
      <c r="L208" s="166">
        <v>-3.2238910931015226E-3</v>
      </c>
      <c r="M208" s="176">
        <v>2.3247588021483301</v>
      </c>
      <c r="N208" s="131"/>
      <c r="X208" s="168">
        <f>M208/M208</f>
        <v>1</v>
      </c>
      <c r="Z208" s="168">
        <v>1</v>
      </c>
      <c r="AA208" s="331">
        <v>2.3463015507569178</v>
      </c>
    </row>
    <row r="209" spans="1:28" x14ac:dyDescent="0.3">
      <c r="A209" s="156">
        <v>18</v>
      </c>
      <c r="D209" s="126">
        <v>3</v>
      </c>
      <c r="E209" s="126" t="s">
        <v>277</v>
      </c>
      <c r="F209" s="167"/>
      <c r="G209" s="166">
        <v>0.22490950505286669</v>
      </c>
      <c r="H209" s="166">
        <v>0.12821593336401443</v>
      </c>
      <c r="I209" s="166">
        <v>0.36418085928520705</v>
      </c>
      <c r="J209" s="166">
        <v>0</v>
      </c>
      <c r="K209" s="166">
        <v>1.0432128688852162</v>
      </c>
      <c r="L209" s="166">
        <v>-3.2238910931015226E-3</v>
      </c>
      <c r="M209" s="176">
        <v>1.7572952754942028</v>
      </c>
      <c r="N209" s="131"/>
      <c r="X209" s="168">
        <f>M209/M208</f>
        <v>0.75590434322488453</v>
      </c>
      <c r="Z209" s="168">
        <f>X209</f>
        <v>0.75590434322488453</v>
      </c>
      <c r="AA209" s="331">
        <v>1.7735795327324362</v>
      </c>
      <c r="AB209" s="180"/>
    </row>
    <row r="210" spans="1:28" x14ac:dyDescent="0.3">
      <c r="A210" s="156">
        <v>19</v>
      </c>
      <c r="D210" s="126">
        <v>4</v>
      </c>
      <c r="E210" s="126" t="s">
        <v>136</v>
      </c>
      <c r="F210" s="167"/>
      <c r="G210" s="166">
        <v>0</v>
      </c>
      <c r="H210" s="166">
        <v>0</v>
      </c>
      <c r="I210" s="166">
        <v>0</v>
      </c>
      <c r="J210" s="166">
        <v>0</v>
      </c>
      <c r="K210" s="166">
        <v>0</v>
      </c>
      <c r="L210" s="166">
        <v>0</v>
      </c>
      <c r="M210" s="169">
        <v>0</v>
      </c>
      <c r="N210" s="131"/>
      <c r="X210" s="174"/>
    </row>
    <row r="211" spans="1:28" x14ac:dyDescent="0.3">
      <c r="A211" s="156">
        <v>20</v>
      </c>
      <c r="D211" s="126">
        <v>5</v>
      </c>
      <c r="E211" s="126" t="s">
        <v>136</v>
      </c>
      <c r="F211" s="167"/>
      <c r="G211" s="166">
        <v>0</v>
      </c>
      <c r="H211" s="166">
        <v>0</v>
      </c>
      <c r="I211" s="166">
        <v>0</v>
      </c>
      <c r="J211" s="166">
        <v>0</v>
      </c>
      <c r="K211" s="166">
        <v>0</v>
      </c>
      <c r="L211" s="166">
        <v>0</v>
      </c>
      <c r="M211" s="169">
        <v>0</v>
      </c>
      <c r="N211" s="131"/>
    </row>
    <row r="212" spans="1:28" ht="15.6" x14ac:dyDescent="0.3">
      <c r="A212" s="156">
        <v>21</v>
      </c>
      <c r="D212" s="126">
        <v>6</v>
      </c>
      <c r="E212" s="126" t="s">
        <v>136</v>
      </c>
      <c r="F212" s="167"/>
      <c r="G212" s="166">
        <v>0</v>
      </c>
      <c r="H212" s="166">
        <v>0</v>
      </c>
      <c r="I212" s="166">
        <v>0</v>
      </c>
      <c r="J212" s="166">
        <v>0</v>
      </c>
      <c r="K212" s="166">
        <v>0</v>
      </c>
      <c r="L212" s="166">
        <v>0</v>
      </c>
      <c r="M212" s="169">
        <v>0</v>
      </c>
      <c r="N212" s="82"/>
      <c r="X212" s="174"/>
    </row>
    <row r="213" spans="1:28" ht="15.6" x14ac:dyDescent="0.3">
      <c r="D213" s="126"/>
      <c r="E213" s="126"/>
      <c r="F213" s="158"/>
      <c r="G213" s="161"/>
      <c r="H213" s="161"/>
      <c r="I213" s="161"/>
      <c r="J213" s="161"/>
      <c r="K213" s="161"/>
      <c r="L213" s="161"/>
      <c r="M213" s="158"/>
      <c r="N213" s="82"/>
      <c r="X213" s="174"/>
    </row>
    <row r="214" spans="1:28" ht="15" thickBot="1" x14ac:dyDescent="0.35">
      <c r="D214" s="157" t="s">
        <v>272</v>
      </c>
      <c r="E214" s="157"/>
      <c r="F214" s="157"/>
      <c r="G214" s="157"/>
      <c r="H214" s="157"/>
      <c r="I214" s="157"/>
      <c r="J214" s="157"/>
      <c r="K214" s="157"/>
      <c r="L214" s="157"/>
      <c r="M214" s="157"/>
      <c r="N214" s="131"/>
    </row>
    <row r="215" spans="1:28" x14ac:dyDescent="0.3">
      <c r="A215" s="156">
        <v>22</v>
      </c>
      <c r="D215" s="126"/>
      <c r="E215" s="126" t="s">
        <v>273</v>
      </c>
      <c r="F215" s="158"/>
      <c r="G215" s="159">
        <v>270312.98656596715</v>
      </c>
      <c r="H215" s="159">
        <v>150448.58974521823</v>
      </c>
      <c r="I215" s="159">
        <v>292014.94382075517</v>
      </c>
      <c r="J215" s="159">
        <v>0</v>
      </c>
      <c r="K215" s="159">
        <v>879936.22316657519</v>
      </c>
      <c r="L215" s="159">
        <v>-2159.2332985156681</v>
      </c>
      <c r="M215" s="160">
        <v>1590553.5100000002</v>
      </c>
      <c r="N215" s="131"/>
    </row>
    <row r="216" spans="1:28" x14ac:dyDescent="0.3">
      <c r="A216" s="156">
        <v>23</v>
      </c>
      <c r="D216" s="126"/>
      <c r="E216" s="126" t="s">
        <v>274</v>
      </c>
      <c r="F216" s="158"/>
      <c r="G216" s="159" t="b">
        <v>1</v>
      </c>
      <c r="H216" s="159" t="b">
        <v>1</v>
      </c>
      <c r="I216" s="159" t="b">
        <v>1</v>
      </c>
      <c r="J216" s="159" t="b">
        <v>1</v>
      </c>
      <c r="K216" s="159" t="b">
        <v>1</v>
      </c>
      <c r="L216" s="159" t="b">
        <v>1</v>
      </c>
      <c r="M216" s="159" t="b">
        <v>1</v>
      </c>
      <c r="N216" s="131"/>
    </row>
    <row r="217" spans="1:28" x14ac:dyDescent="0.3">
      <c r="N217" s="131"/>
    </row>
    <row r="218" spans="1:28" ht="15" thickBot="1" x14ac:dyDescent="0.35">
      <c r="D218" s="157" t="s">
        <v>281</v>
      </c>
      <c r="E218" s="157"/>
      <c r="F218" s="157"/>
      <c r="G218" s="157"/>
      <c r="H218" s="157"/>
      <c r="I218" s="157"/>
      <c r="J218" s="157"/>
      <c r="K218" s="157"/>
      <c r="L218" s="157"/>
      <c r="M218" s="157"/>
    </row>
    <row r="219" spans="1:28" x14ac:dyDescent="0.3">
      <c r="A219" s="156">
        <v>24</v>
      </c>
      <c r="D219" s="126">
        <v>1</v>
      </c>
      <c r="E219" s="126" t="s">
        <v>265</v>
      </c>
      <c r="G219" s="166">
        <v>0</v>
      </c>
      <c r="H219" s="166">
        <v>0</v>
      </c>
      <c r="I219" s="166">
        <v>0</v>
      </c>
      <c r="J219" s="166">
        <v>0</v>
      </c>
      <c r="K219" s="166">
        <v>0</v>
      </c>
      <c r="L219" s="166">
        <v>0</v>
      </c>
      <c r="M219" s="179">
        <v>2.7079527233871463</v>
      </c>
      <c r="X219" s="168">
        <f>M219/SUM($M$219:$M$221)</f>
        <v>0.25590179414542019</v>
      </c>
    </row>
    <row r="220" spans="1:28" x14ac:dyDescent="0.3">
      <c r="A220" s="156">
        <v>25</v>
      </c>
      <c r="D220" s="126">
        <v>2</v>
      </c>
      <c r="E220" s="126" t="s">
        <v>282</v>
      </c>
      <c r="G220" s="166">
        <v>0</v>
      </c>
      <c r="H220" s="166">
        <v>0</v>
      </c>
      <c r="I220" s="166">
        <v>0</v>
      </c>
      <c r="J220" s="166">
        <v>0</v>
      </c>
      <c r="K220" s="166">
        <v>0</v>
      </c>
      <c r="L220" s="166">
        <v>0</v>
      </c>
      <c r="M220" s="179">
        <v>5.3859281103530332</v>
      </c>
      <c r="X220" s="168">
        <f>M220/SUM($M$219:$M$221)</f>
        <v>0.50897072710103874</v>
      </c>
    </row>
    <row r="221" spans="1:28" x14ac:dyDescent="0.3">
      <c r="A221" s="156">
        <v>26</v>
      </c>
      <c r="D221" s="126">
        <v>3</v>
      </c>
      <c r="E221" s="126" t="s">
        <v>120</v>
      </c>
      <c r="G221" s="166">
        <v>0</v>
      </c>
      <c r="H221" s="166">
        <v>0</v>
      </c>
      <c r="I221" s="166">
        <v>0</v>
      </c>
      <c r="J221" s="166">
        <v>0</v>
      </c>
      <c r="K221" s="166">
        <v>0</v>
      </c>
      <c r="L221" s="166">
        <v>0</v>
      </c>
      <c r="M221" s="179">
        <v>2.4881189229645742</v>
      </c>
      <c r="X221" s="168">
        <f>M221/SUM($M$219:$M$221)</f>
        <v>0.23512747875354112</v>
      </c>
    </row>
    <row r="223" spans="1:28" ht="15" thickBot="1" x14ac:dyDescent="0.35">
      <c r="A223" s="170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0"/>
    </row>
    <row r="225" spans="1:14" x14ac:dyDescent="0.3">
      <c r="A225" s="134"/>
      <c r="B225" s="131"/>
      <c r="C225" s="131"/>
      <c r="D225" s="135"/>
      <c r="E225" s="131"/>
      <c r="F225" s="131"/>
      <c r="G225" s="131"/>
      <c r="H225" s="131"/>
      <c r="I225" s="131"/>
      <c r="J225" s="131"/>
      <c r="K225" s="131"/>
      <c r="L225" s="134"/>
      <c r="M225" s="30" t="s">
        <v>37</v>
      </c>
      <c r="N225" s="131"/>
    </row>
    <row r="226" spans="1:14" x14ac:dyDescent="0.3">
      <c r="A226" s="134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33" t="str">
        <f>M168</f>
        <v>DOCKET NO.  20240025-EI</v>
      </c>
      <c r="N226" s="131"/>
    </row>
    <row r="227" spans="1:14" x14ac:dyDescent="0.3">
      <c r="A227" s="134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33" t="s">
        <v>38</v>
      </c>
      <c r="N227" s="131"/>
    </row>
    <row r="228" spans="1:14" x14ac:dyDescent="0.3">
      <c r="A228" s="134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30" t="s">
        <v>246</v>
      </c>
      <c r="N228" s="131"/>
    </row>
    <row r="229" spans="1:14" x14ac:dyDescent="0.3">
      <c r="A229" s="134"/>
      <c r="B229" s="131"/>
      <c r="C229" s="181"/>
      <c r="D229" s="131"/>
      <c r="E229" s="131"/>
      <c r="F229" s="131"/>
      <c r="G229" s="131"/>
      <c r="H229" s="131"/>
      <c r="I229" s="131"/>
      <c r="J229" s="131"/>
      <c r="K229" s="131"/>
      <c r="L229" s="134"/>
      <c r="M229" s="79" t="s">
        <v>285</v>
      </c>
      <c r="N229" s="131"/>
    </row>
    <row r="230" spans="1:14" ht="15.6" x14ac:dyDescent="0.3">
      <c r="A230" s="138" t="s">
        <v>248</v>
      </c>
      <c r="B230" s="139"/>
      <c r="C230" s="139"/>
      <c r="D230" s="140"/>
      <c r="E230" s="140"/>
      <c r="F230" s="140"/>
      <c r="G230" s="140"/>
      <c r="H230" s="140"/>
      <c r="I230" s="140"/>
      <c r="J230" s="140"/>
      <c r="K230" s="140"/>
      <c r="L230" s="140"/>
      <c r="M230" s="37" t="s">
        <v>13</v>
      </c>
      <c r="N230" s="82"/>
    </row>
    <row r="231" spans="1:14" ht="15.6" x14ac:dyDescent="0.3">
      <c r="A231" s="142"/>
      <c r="B231" s="279"/>
      <c r="C231" s="279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82"/>
    </row>
    <row r="232" spans="1:14" ht="15.6" x14ac:dyDescent="0.3">
      <c r="A232" s="142"/>
      <c r="B232" s="279"/>
      <c r="C232" s="279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82"/>
    </row>
    <row r="233" spans="1:14" ht="15.6" x14ac:dyDescent="0.3">
      <c r="A233" s="375" t="s">
        <v>286</v>
      </c>
      <c r="B233" s="377"/>
      <c r="C233" s="377"/>
      <c r="D233" s="377"/>
      <c r="E233" s="377"/>
      <c r="F233" s="377"/>
      <c r="G233" s="377"/>
      <c r="H233" s="377"/>
      <c r="I233" s="377"/>
      <c r="J233" s="377"/>
      <c r="K233" s="377"/>
      <c r="L233" s="377"/>
      <c r="M233" s="377"/>
      <c r="N233" s="82"/>
    </row>
    <row r="234" spans="1:14" x14ac:dyDescent="0.3">
      <c r="A234" s="143"/>
      <c r="B234" s="109"/>
      <c r="C234" s="109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</row>
    <row r="235" spans="1:14" x14ac:dyDescent="0.3">
      <c r="A235" s="144"/>
      <c r="B235" s="145"/>
      <c r="C235" s="145"/>
      <c r="D235" s="278">
        <v>-1</v>
      </c>
      <c r="E235" s="278"/>
      <c r="F235" s="146"/>
      <c r="G235" s="278">
        <f>+D235-1</f>
        <v>-2</v>
      </c>
      <c r="H235" s="278">
        <f t="shared" ref="H235:M235" si="4">+G235-1</f>
        <v>-3</v>
      </c>
      <c r="I235" s="278">
        <f t="shared" si="4"/>
        <v>-4</v>
      </c>
      <c r="J235" s="278">
        <f t="shared" si="4"/>
        <v>-5</v>
      </c>
      <c r="K235" s="278">
        <f t="shared" si="4"/>
        <v>-6</v>
      </c>
      <c r="L235" s="278">
        <f t="shared" si="4"/>
        <v>-7</v>
      </c>
      <c r="M235" s="278">
        <f t="shared" si="4"/>
        <v>-8</v>
      </c>
      <c r="N235" s="78"/>
    </row>
    <row r="236" spans="1:14" x14ac:dyDescent="0.3">
      <c r="A236" s="147"/>
      <c r="B236" s="148"/>
      <c r="C236" s="148"/>
      <c r="D236" s="148"/>
      <c r="E236" s="148"/>
      <c r="F236" s="148"/>
      <c r="G236" s="148"/>
      <c r="H236" s="149"/>
      <c r="I236" s="148"/>
      <c r="J236" s="149"/>
      <c r="K236" s="78"/>
      <c r="L236" s="78"/>
      <c r="M236" s="78"/>
      <c r="N236" s="148"/>
    </row>
    <row r="237" spans="1:14" ht="27.6" x14ac:dyDescent="0.3">
      <c r="A237" s="147"/>
      <c r="B237" s="148"/>
      <c r="C237" s="148"/>
      <c r="D237" s="148"/>
      <c r="E237" s="148"/>
      <c r="F237" s="148"/>
      <c r="G237" s="149" t="s">
        <v>250</v>
      </c>
      <c r="H237" s="150" t="s">
        <v>102</v>
      </c>
      <c r="I237" s="151" t="s">
        <v>251</v>
      </c>
      <c r="J237" s="149" t="s">
        <v>252</v>
      </c>
      <c r="K237" s="151" t="s">
        <v>250</v>
      </c>
      <c r="L237" s="151" t="s">
        <v>253</v>
      </c>
      <c r="M237" s="152" t="s">
        <v>254</v>
      </c>
      <c r="N237" s="148"/>
    </row>
    <row r="238" spans="1:14" x14ac:dyDescent="0.3">
      <c r="A238" s="153" t="s">
        <v>54</v>
      </c>
      <c r="B238" s="154"/>
      <c r="C238" s="154"/>
      <c r="D238" s="155"/>
      <c r="E238" s="155"/>
      <c r="F238" s="155"/>
      <c r="G238" s="172" t="s">
        <v>255</v>
      </c>
      <c r="H238" s="172" t="s">
        <v>255</v>
      </c>
      <c r="I238" s="173" t="s">
        <v>101</v>
      </c>
      <c r="J238" s="173" t="s">
        <v>99</v>
      </c>
      <c r="K238" s="173" t="s">
        <v>256</v>
      </c>
      <c r="L238" s="173"/>
      <c r="M238" s="88"/>
      <c r="N238" s="151"/>
    </row>
    <row r="239" spans="1:14" ht="15" thickBot="1" x14ac:dyDescent="0.35">
      <c r="D239" s="157" t="s">
        <v>257</v>
      </c>
      <c r="E239" s="157"/>
      <c r="F239" s="157"/>
      <c r="G239" s="157"/>
      <c r="H239" s="157"/>
      <c r="I239" s="157"/>
      <c r="J239" s="157"/>
      <c r="K239" s="157"/>
      <c r="L239" s="157"/>
      <c r="M239" s="157"/>
      <c r="N239" s="78"/>
    </row>
    <row r="240" spans="1:14" x14ac:dyDescent="0.3">
      <c r="A240" s="156">
        <v>1</v>
      </c>
      <c r="D240" s="126"/>
      <c r="E240" s="126"/>
      <c r="F240" s="158"/>
      <c r="G240" s="159">
        <v>7807668.7728503905</v>
      </c>
      <c r="H240" s="159">
        <v>4344344.8813914619</v>
      </c>
      <c r="I240" s="159">
        <v>3648417.0623962227</v>
      </c>
      <c r="J240" s="159">
        <v>0</v>
      </c>
      <c r="K240" s="159">
        <v>37025219.334693141</v>
      </c>
      <c r="L240" s="159">
        <v>-93310.891331213876</v>
      </c>
      <c r="M240" s="160">
        <v>52732339.160000004</v>
      </c>
      <c r="N240" s="148"/>
    </row>
    <row r="241" spans="1:14" x14ac:dyDescent="0.3">
      <c r="D241" s="126"/>
      <c r="E241" s="126"/>
      <c r="F241" s="158"/>
      <c r="G241" s="161"/>
      <c r="H241" s="161"/>
      <c r="I241" s="161"/>
      <c r="J241" s="161"/>
      <c r="K241" s="161"/>
      <c r="L241" s="161"/>
      <c r="M241" s="158"/>
      <c r="N241" s="148"/>
    </row>
    <row r="242" spans="1:14" ht="15" thickBot="1" x14ac:dyDescent="0.35">
      <c r="D242" s="157" t="s">
        <v>258</v>
      </c>
      <c r="E242" s="157"/>
      <c r="F242" s="157"/>
      <c r="G242" s="157"/>
      <c r="H242" s="157"/>
      <c r="I242" s="157"/>
      <c r="J242" s="157"/>
      <c r="K242" s="157"/>
      <c r="L242" s="157"/>
      <c r="M242" s="157"/>
      <c r="N242" s="131"/>
    </row>
    <row r="243" spans="1:14" x14ac:dyDescent="0.3">
      <c r="A243" s="156">
        <v>2</v>
      </c>
      <c r="D243" s="126"/>
      <c r="E243" s="126"/>
      <c r="F243" s="158"/>
      <c r="G243" s="162" t="s">
        <v>259</v>
      </c>
      <c r="H243" s="162" t="s">
        <v>260</v>
      </c>
      <c r="I243" s="162" t="s">
        <v>261</v>
      </c>
      <c r="J243" s="162" t="s">
        <v>261</v>
      </c>
      <c r="K243" s="162" t="s">
        <v>262</v>
      </c>
      <c r="L243" s="162" t="s">
        <v>263</v>
      </c>
      <c r="M243" s="126"/>
      <c r="N243" s="131"/>
    </row>
    <row r="244" spans="1:14" x14ac:dyDescent="0.3">
      <c r="D244" s="126"/>
      <c r="E244" s="126"/>
      <c r="F244" s="158"/>
      <c r="G244" s="161"/>
      <c r="H244" s="161"/>
      <c r="I244" s="161"/>
      <c r="J244" s="161"/>
      <c r="K244" s="161"/>
      <c r="L244" s="161"/>
      <c r="M244" s="158"/>
      <c r="N244" s="131"/>
    </row>
    <row r="245" spans="1:14" ht="15" thickBot="1" x14ac:dyDescent="0.35">
      <c r="D245" s="157" t="s">
        <v>264</v>
      </c>
      <c r="E245" s="157"/>
      <c r="F245" s="157"/>
      <c r="G245" s="157"/>
      <c r="H245" s="157"/>
      <c r="I245" s="157"/>
      <c r="J245" s="157"/>
      <c r="K245" s="157"/>
      <c r="L245" s="157"/>
      <c r="M245" s="157"/>
      <c r="N245" s="131"/>
    </row>
    <row r="246" spans="1:14" ht="15.6" x14ac:dyDescent="0.3">
      <c r="A246" s="156">
        <v>3</v>
      </c>
      <c r="D246" s="126">
        <v>1</v>
      </c>
      <c r="E246" s="126" t="s">
        <v>265</v>
      </c>
      <c r="F246" s="163"/>
      <c r="G246" s="164">
        <v>2.490299254061072</v>
      </c>
      <c r="H246" s="164">
        <v>1.6447207459538091</v>
      </c>
      <c r="I246" s="164">
        <v>0.91826446983474097</v>
      </c>
      <c r="J246" s="164">
        <v>0.91826446983474097</v>
      </c>
      <c r="K246" s="175">
        <v>1.3622293597931883</v>
      </c>
      <c r="L246" s="164">
        <v>1</v>
      </c>
      <c r="M246" s="158"/>
      <c r="N246" s="82"/>
    </row>
    <row r="247" spans="1:14" ht="15.6" x14ac:dyDescent="0.3">
      <c r="A247" s="156">
        <v>4</v>
      </c>
      <c r="D247" s="126">
        <v>2</v>
      </c>
      <c r="E247" s="126" t="s">
        <v>266</v>
      </c>
      <c r="F247" s="163"/>
      <c r="G247" s="164">
        <v>0.78203961486374551</v>
      </c>
      <c r="H247" s="164">
        <v>0.96960809507935608</v>
      </c>
      <c r="I247" s="164">
        <v>1.0668147111832031</v>
      </c>
      <c r="J247" s="164">
        <v>1.0668147111832031</v>
      </c>
      <c r="K247" s="175">
        <v>0.99944772468847709</v>
      </c>
      <c r="L247" s="164">
        <v>1</v>
      </c>
      <c r="M247" s="158"/>
      <c r="N247" s="82"/>
    </row>
    <row r="248" spans="1:14" x14ac:dyDescent="0.3">
      <c r="A248" s="156">
        <v>5</v>
      </c>
      <c r="D248" s="126">
        <v>3</v>
      </c>
      <c r="E248" s="126" t="s">
        <v>277</v>
      </c>
      <c r="F248" s="163"/>
      <c r="G248" s="164">
        <v>0.52989903387328763</v>
      </c>
      <c r="H248" s="164">
        <v>0.55449388383653153</v>
      </c>
      <c r="I248" s="164">
        <v>0.83527839063120013</v>
      </c>
      <c r="J248" s="164">
        <v>0.83527839063120013</v>
      </c>
      <c r="K248" s="175">
        <v>0.79790281105090721</v>
      </c>
      <c r="L248" s="164">
        <v>1</v>
      </c>
      <c r="M248" s="158"/>
      <c r="N248" s="131"/>
    </row>
    <row r="249" spans="1:14" x14ac:dyDescent="0.3">
      <c r="A249" s="156">
        <v>6</v>
      </c>
      <c r="D249" s="126">
        <v>4</v>
      </c>
      <c r="E249" s="126" t="s">
        <v>136</v>
      </c>
      <c r="F249" s="163"/>
      <c r="G249" s="164">
        <v>0</v>
      </c>
      <c r="H249" s="164">
        <v>0</v>
      </c>
      <c r="I249" s="164">
        <v>0</v>
      </c>
      <c r="J249" s="164">
        <v>0</v>
      </c>
      <c r="K249" s="164">
        <v>0</v>
      </c>
      <c r="L249" s="164">
        <v>0</v>
      </c>
      <c r="M249" s="158"/>
      <c r="N249" s="131"/>
    </row>
    <row r="250" spans="1:14" x14ac:dyDescent="0.3">
      <c r="A250" s="156">
        <v>7</v>
      </c>
      <c r="D250" s="126">
        <v>5</v>
      </c>
      <c r="E250" s="126" t="s">
        <v>136</v>
      </c>
      <c r="F250" s="163"/>
      <c r="G250" s="164">
        <v>0</v>
      </c>
      <c r="H250" s="164">
        <v>0</v>
      </c>
      <c r="I250" s="164">
        <v>0</v>
      </c>
      <c r="J250" s="164">
        <v>0</v>
      </c>
      <c r="K250" s="164">
        <v>0</v>
      </c>
      <c r="L250" s="164">
        <v>0</v>
      </c>
      <c r="M250" s="158"/>
      <c r="N250" s="131"/>
    </row>
    <row r="251" spans="1:14" x14ac:dyDescent="0.3">
      <c r="A251" s="156">
        <v>8</v>
      </c>
      <c r="D251" s="126">
        <v>6</v>
      </c>
      <c r="E251" s="126" t="s">
        <v>136</v>
      </c>
      <c r="F251" s="163"/>
      <c r="G251" s="164">
        <v>0</v>
      </c>
      <c r="H251" s="164">
        <v>0</v>
      </c>
      <c r="I251" s="164">
        <v>0</v>
      </c>
      <c r="J251" s="164">
        <v>0</v>
      </c>
      <c r="K251" s="164">
        <v>0</v>
      </c>
      <c r="L251" s="164">
        <v>0</v>
      </c>
      <c r="M251" s="158"/>
      <c r="N251" s="131"/>
    </row>
    <row r="252" spans="1:14" ht="15.6" x14ac:dyDescent="0.3">
      <c r="D252" s="126"/>
      <c r="E252" s="126"/>
      <c r="F252" s="158"/>
      <c r="G252" s="161"/>
      <c r="H252" s="161"/>
      <c r="I252" s="161"/>
      <c r="J252" s="161"/>
      <c r="K252" s="161"/>
      <c r="L252" s="161"/>
      <c r="M252" s="158"/>
      <c r="N252" s="82"/>
    </row>
    <row r="253" spans="1:14" ht="16.2" thickBot="1" x14ac:dyDescent="0.35">
      <c r="D253" s="157" t="s">
        <v>287</v>
      </c>
      <c r="E253" s="157"/>
      <c r="F253" s="157"/>
      <c r="G253" s="157"/>
      <c r="H253" s="157"/>
      <c r="I253" s="157"/>
      <c r="J253" s="157"/>
      <c r="K253" s="157"/>
      <c r="L253" s="157"/>
      <c r="M253" s="157"/>
      <c r="N253" s="82"/>
    </row>
    <row r="254" spans="1:14" x14ac:dyDescent="0.3">
      <c r="A254" s="156">
        <v>9</v>
      </c>
      <c r="D254" s="126">
        <v>1</v>
      </c>
      <c r="E254" s="126" t="s">
        <v>265</v>
      </c>
      <c r="F254" s="163"/>
      <c r="G254" s="161"/>
      <c r="H254" s="165"/>
      <c r="I254" s="161"/>
      <c r="J254" s="161"/>
      <c r="K254" s="161"/>
      <c r="L254" s="161"/>
      <c r="M254" s="159">
        <v>311663.73327796609</v>
      </c>
      <c r="N254" s="131"/>
    </row>
    <row r="255" spans="1:14" x14ac:dyDescent="0.3">
      <c r="A255" s="156">
        <v>10</v>
      </c>
      <c r="D255" s="126">
        <v>2</v>
      </c>
      <c r="E255" s="126" t="s">
        <v>266</v>
      </c>
      <c r="F255" s="163"/>
      <c r="G255" s="161"/>
      <c r="H255" s="161"/>
      <c r="I255" s="161"/>
      <c r="J255" s="161"/>
      <c r="K255" s="161"/>
      <c r="L255" s="161"/>
      <c r="M255" s="159">
        <v>1604380.1601667597</v>
      </c>
      <c r="N255" s="131"/>
    </row>
    <row r="256" spans="1:14" x14ac:dyDescent="0.3">
      <c r="A256" s="156">
        <v>11</v>
      </c>
      <c r="D256" s="126">
        <v>3</v>
      </c>
      <c r="E256" s="126" t="s">
        <v>277</v>
      </c>
      <c r="F256" s="163"/>
      <c r="G256" s="161"/>
      <c r="H256" s="161"/>
      <c r="I256" s="161"/>
      <c r="J256" s="161"/>
      <c r="K256" s="161"/>
      <c r="L256" s="161"/>
      <c r="M256" s="159">
        <v>496123.10655526607</v>
      </c>
      <c r="N256" s="131"/>
    </row>
    <row r="257" spans="1:27" x14ac:dyDescent="0.3">
      <c r="A257" s="156">
        <v>12</v>
      </c>
      <c r="D257" s="126">
        <v>4</v>
      </c>
      <c r="E257" s="126" t="s">
        <v>136</v>
      </c>
      <c r="F257" s="163"/>
      <c r="G257" s="161"/>
      <c r="H257" s="161"/>
      <c r="I257" s="161"/>
      <c r="J257" s="161"/>
      <c r="K257" s="161"/>
      <c r="L257" s="161"/>
      <c r="M257" s="159">
        <v>0</v>
      </c>
      <c r="N257" s="131"/>
    </row>
    <row r="258" spans="1:27" ht="15.6" x14ac:dyDescent="0.3">
      <c r="A258" s="156">
        <v>13</v>
      </c>
      <c r="D258" s="126">
        <v>5</v>
      </c>
      <c r="E258" s="126" t="s">
        <v>136</v>
      </c>
      <c r="F258" s="163"/>
      <c r="G258" s="161"/>
      <c r="H258" s="161"/>
      <c r="I258" s="161"/>
      <c r="J258" s="161"/>
      <c r="K258" s="161"/>
      <c r="L258" s="161"/>
      <c r="M258" s="159">
        <v>0</v>
      </c>
      <c r="N258" s="82"/>
    </row>
    <row r="259" spans="1:27" ht="15.6" x14ac:dyDescent="0.3">
      <c r="A259" s="156">
        <v>14</v>
      </c>
      <c r="D259" s="126">
        <v>6</v>
      </c>
      <c r="E259" s="126" t="s">
        <v>136</v>
      </c>
      <c r="F259" s="163"/>
      <c r="G259" s="161"/>
      <c r="H259" s="161"/>
      <c r="I259" s="161"/>
      <c r="J259" s="161"/>
      <c r="K259" s="161"/>
      <c r="L259" s="161"/>
      <c r="M259" s="159">
        <v>0</v>
      </c>
      <c r="N259" s="82"/>
    </row>
    <row r="260" spans="1:27" x14ac:dyDescent="0.3">
      <c r="D260" s="126"/>
      <c r="E260" s="126"/>
      <c r="F260" s="158"/>
      <c r="G260" s="161"/>
      <c r="H260" s="161"/>
      <c r="I260" s="161"/>
      <c r="J260" s="161"/>
      <c r="K260" s="161"/>
      <c r="L260" s="161"/>
      <c r="M260" s="158"/>
      <c r="N260" s="131"/>
    </row>
    <row r="261" spans="1:27" ht="15" thickBot="1" x14ac:dyDescent="0.35">
      <c r="D261" s="157" t="s">
        <v>269</v>
      </c>
      <c r="E261" s="157"/>
      <c r="F261" s="157"/>
      <c r="G261" s="157"/>
      <c r="H261" s="157"/>
      <c r="I261" s="157"/>
      <c r="J261" s="157"/>
      <c r="K261" s="157"/>
      <c r="L261" s="157"/>
      <c r="M261" s="157"/>
      <c r="N261" s="131"/>
    </row>
    <row r="262" spans="1:27" x14ac:dyDescent="0.3">
      <c r="A262" s="156">
        <v>15</v>
      </c>
      <c r="D262" s="126"/>
      <c r="E262" s="126"/>
      <c r="F262" s="158"/>
      <c r="G262" s="166">
        <v>0.3403932872955685</v>
      </c>
      <c r="H262" s="166">
        <v>0.18539296353718479</v>
      </c>
      <c r="I262" s="166">
        <v>0.15125060007852756</v>
      </c>
      <c r="J262" s="166">
        <v>0</v>
      </c>
      <c r="K262" s="166">
        <v>1.5275000018464986</v>
      </c>
      <c r="L262" s="166">
        <v>-3.8683429186791049E-3</v>
      </c>
      <c r="M262" s="158"/>
      <c r="N262" s="131"/>
    </row>
    <row r="263" spans="1:27" x14ac:dyDescent="0.3">
      <c r="D263" s="126"/>
      <c r="E263" s="126"/>
      <c r="F263" s="158"/>
      <c r="G263" s="161"/>
      <c r="H263" s="161"/>
      <c r="I263" s="161"/>
      <c r="J263" s="161"/>
      <c r="K263" s="161"/>
      <c r="L263" s="161"/>
      <c r="M263" s="158"/>
      <c r="N263" s="131"/>
    </row>
    <row r="264" spans="1:27" ht="16.2" thickBot="1" x14ac:dyDescent="0.35">
      <c r="D264" s="157" t="s">
        <v>270</v>
      </c>
      <c r="E264" s="157"/>
      <c r="F264" s="157"/>
      <c r="G264" s="157"/>
      <c r="H264" s="157"/>
      <c r="I264" s="157"/>
      <c r="J264" s="157"/>
      <c r="K264" s="157"/>
      <c r="L264" s="157"/>
      <c r="M264" s="157"/>
      <c r="N264" s="82"/>
      <c r="Z264" s="126" t="s">
        <v>271</v>
      </c>
    </row>
    <row r="265" spans="1:27" ht="15.6" x14ac:dyDescent="0.3">
      <c r="A265" s="156">
        <v>16</v>
      </c>
      <c r="D265" s="126">
        <v>1</v>
      </c>
      <c r="E265" s="126" t="s">
        <v>265</v>
      </c>
      <c r="F265" s="167"/>
      <c r="G265" s="166">
        <v>0.84768114943955042</v>
      </c>
      <c r="H265" s="166">
        <v>0.30491965328346593</v>
      </c>
      <c r="I265" s="166">
        <v>0.13888805209329555</v>
      </c>
      <c r="J265" s="166">
        <v>0</v>
      </c>
      <c r="K265" s="166">
        <v>2.0808053495994496</v>
      </c>
      <c r="L265" s="166">
        <v>-3.8683429186791049E-3</v>
      </c>
      <c r="M265" s="176">
        <v>3.3684258614970828</v>
      </c>
      <c r="N265" s="82"/>
      <c r="X265" s="168">
        <f>M265/M266</f>
        <v>1.5813433980886618</v>
      </c>
      <c r="Z265" s="168">
        <f>AA265/AA266</f>
        <v>1.45</v>
      </c>
      <c r="AA265" s="362">
        <v>3.1474326532023538</v>
      </c>
    </row>
    <row r="266" spans="1:27" x14ac:dyDescent="0.3">
      <c r="A266" s="156">
        <v>17</v>
      </c>
      <c r="D266" s="126">
        <v>2</v>
      </c>
      <c r="E266" s="126" t="s">
        <v>266</v>
      </c>
      <c r="F266" s="167"/>
      <c r="G266" s="166">
        <v>0.26620103529883066</v>
      </c>
      <c r="H266" s="166">
        <v>0.17975851821640626</v>
      </c>
      <c r="I266" s="166">
        <v>0.16135636523906055</v>
      </c>
      <c r="J266" s="166">
        <v>0</v>
      </c>
      <c r="K266" s="166">
        <v>1.5266564013071275</v>
      </c>
      <c r="L266" s="166">
        <v>-3.8683429186791049E-3</v>
      </c>
      <c r="M266" s="176">
        <v>2.1301039771427459</v>
      </c>
      <c r="N266" s="131"/>
      <c r="X266" s="168">
        <f>M266/M266</f>
        <v>1</v>
      </c>
      <c r="Z266" s="168">
        <v>1</v>
      </c>
      <c r="AA266" s="362">
        <v>2.1706432091050716</v>
      </c>
    </row>
    <row r="267" spans="1:27" x14ac:dyDescent="0.3">
      <c r="A267" s="156">
        <v>18</v>
      </c>
      <c r="D267" s="126">
        <v>3</v>
      </c>
      <c r="E267" s="126" t="s">
        <v>277</v>
      </c>
      <c r="F267" s="167"/>
      <c r="G267" s="166">
        <v>0.18037407407487419</v>
      </c>
      <c r="H267" s="166">
        <v>0.10279926438769807</v>
      </c>
      <c r="I267" s="166">
        <v>0.12633635781559577</v>
      </c>
      <c r="J267" s="166">
        <v>0</v>
      </c>
      <c r="K267" s="166">
        <v>1.2187965453535872</v>
      </c>
      <c r="L267" s="166">
        <v>-3.8683429186791049E-3</v>
      </c>
      <c r="M267" s="176">
        <v>1.6244378987130761</v>
      </c>
      <c r="N267" s="131"/>
      <c r="X267" s="168">
        <f>M267/M266</f>
        <v>0.76260967358600296</v>
      </c>
      <c r="Z267" s="168">
        <v>0.78977426681713392</v>
      </c>
      <c r="AA267" s="362">
        <v>1.6553535091672924</v>
      </c>
    </row>
    <row r="268" spans="1:27" x14ac:dyDescent="0.3">
      <c r="A268" s="156">
        <v>19</v>
      </c>
      <c r="D268" s="126">
        <v>4</v>
      </c>
      <c r="E268" s="126" t="s">
        <v>136</v>
      </c>
      <c r="F268" s="167"/>
      <c r="G268" s="166">
        <v>0</v>
      </c>
      <c r="H268" s="166">
        <v>0</v>
      </c>
      <c r="I268" s="166">
        <v>0</v>
      </c>
      <c r="J268" s="166">
        <v>0</v>
      </c>
      <c r="K268" s="166">
        <v>0</v>
      </c>
      <c r="L268" s="166">
        <v>0</v>
      </c>
      <c r="M268" s="169">
        <v>0</v>
      </c>
      <c r="N268" s="131"/>
      <c r="X268" s="174"/>
    </row>
    <row r="269" spans="1:27" x14ac:dyDescent="0.3">
      <c r="A269" s="156">
        <v>20</v>
      </c>
      <c r="D269" s="126">
        <v>5</v>
      </c>
      <c r="E269" s="126" t="s">
        <v>136</v>
      </c>
      <c r="F269" s="167"/>
      <c r="G269" s="166">
        <v>0</v>
      </c>
      <c r="H269" s="166">
        <v>0</v>
      </c>
      <c r="I269" s="166">
        <v>0</v>
      </c>
      <c r="J269" s="166">
        <v>0</v>
      </c>
      <c r="K269" s="166">
        <v>0</v>
      </c>
      <c r="L269" s="166">
        <v>0</v>
      </c>
      <c r="M269" s="169">
        <v>0</v>
      </c>
      <c r="N269" s="131"/>
    </row>
    <row r="270" spans="1:27" ht="15.6" x14ac:dyDescent="0.3">
      <c r="A270" s="156">
        <v>21</v>
      </c>
      <c r="D270" s="126">
        <v>6</v>
      </c>
      <c r="E270" s="126" t="s">
        <v>136</v>
      </c>
      <c r="F270" s="167"/>
      <c r="G270" s="166">
        <v>0</v>
      </c>
      <c r="H270" s="166">
        <v>0</v>
      </c>
      <c r="I270" s="166">
        <v>0</v>
      </c>
      <c r="J270" s="166">
        <v>0</v>
      </c>
      <c r="K270" s="166">
        <v>0</v>
      </c>
      <c r="L270" s="166">
        <v>0</v>
      </c>
      <c r="M270" s="169">
        <v>0</v>
      </c>
      <c r="N270" s="82"/>
      <c r="X270" s="174"/>
    </row>
    <row r="271" spans="1:27" ht="15.6" x14ac:dyDescent="0.3">
      <c r="D271" s="126"/>
      <c r="E271" s="126"/>
      <c r="F271" s="158"/>
      <c r="G271" s="161"/>
      <c r="H271" s="161"/>
      <c r="I271" s="161"/>
      <c r="J271" s="161"/>
      <c r="K271" s="161"/>
      <c r="L271" s="161"/>
      <c r="M271" s="158"/>
      <c r="N271" s="82"/>
      <c r="X271" s="174"/>
    </row>
    <row r="272" spans="1:27" ht="15" thickBot="1" x14ac:dyDescent="0.35">
      <c r="D272" s="157" t="s">
        <v>272</v>
      </c>
      <c r="E272" s="157"/>
      <c r="F272" s="157"/>
      <c r="G272" s="157"/>
      <c r="H272" s="157"/>
      <c r="I272" s="157"/>
      <c r="J272" s="157"/>
      <c r="K272" s="157"/>
      <c r="L272" s="157"/>
      <c r="M272" s="157"/>
      <c r="N272" s="131"/>
    </row>
    <row r="273" spans="1:24" x14ac:dyDescent="0.3">
      <c r="A273" s="156">
        <v>22</v>
      </c>
      <c r="D273" s="126"/>
      <c r="E273" s="126" t="s">
        <v>273</v>
      </c>
      <c r="F273" s="158"/>
      <c r="G273" s="159">
        <v>7807668.7728503924</v>
      </c>
      <c r="H273" s="159">
        <v>4344344.8813914619</v>
      </c>
      <c r="I273" s="159">
        <v>3648417.0623962232</v>
      </c>
      <c r="J273" s="159">
        <v>0</v>
      </c>
      <c r="K273" s="159">
        <v>37025219.334693134</v>
      </c>
      <c r="L273" s="159">
        <v>-93310.89133121389</v>
      </c>
      <c r="M273" s="160">
        <v>52732339.160000011</v>
      </c>
      <c r="N273" s="131"/>
    </row>
    <row r="274" spans="1:24" x14ac:dyDescent="0.3">
      <c r="A274" s="156">
        <v>23</v>
      </c>
      <c r="D274" s="126"/>
      <c r="E274" s="126" t="s">
        <v>274</v>
      </c>
      <c r="F274" s="158"/>
      <c r="G274" s="159" t="b">
        <v>1</v>
      </c>
      <c r="H274" s="159" t="b">
        <v>1</v>
      </c>
      <c r="I274" s="159" t="b">
        <v>1</v>
      </c>
      <c r="J274" s="159" t="b">
        <v>1</v>
      </c>
      <c r="K274" s="159" t="b">
        <v>1</v>
      </c>
      <c r="L274" s="159" t="b">
        <v>1</v>
      </c>
      <c r="M274" s="159" t="b">
        <v>1</v>
      </c>
      <c r="N274" s="131"/>
    </row>
    <row r="275" spans="1:24" x14ac:dyDescent="0.3">
      <c r="N275" s="131"/>
    </row>
    <row r="276" spans="1:24" ht="15" thickBot="1" x14ac:dyDescent="0.35">
      <c r="D276" s="157" t="s">
        <v>281</v>
      </c>
      <c r="E276" s="157"/>
      <c r="F276" s="157"/>
      <c r="G276" s="157"/>
      <c r="H276" s="157"/>
      <c r="I276" s="157"/>
      <c r="J276" s="157"/>
      <c r="K276" s="157"/>
      <c r="L276" s="157"/>
      <c r="M276" s="157"/>
    </row>
    <row r="277" spans="1:24" x14ac:dyDescent="0.3">
      <c r="A277" s="156">
        <v>24</v>
      </c>
      <c r="D277" s="126">
        <v>1</v>
      </c>
      <c r="E277" s="126" t="s">
        <v>265</v>
      </c>
      <c r="G277" s="166">
        <v>0</v>
      </c>
      <c r="H277" s="166">
        <v>0</v>
      </c>
      <c r="I277" s="166">
        <v>0</v>
      </c>
      <c r="J277" s="166">
        <v>0</v>
      </c>
      <c r="K277" s="166">
        <v>0</v>
      </c>
      <c r="L277" s="166">
        <v>0</v>
      </c>
      <c r="M277" s="179">
        <v>3</v>
      </c>
      <c r="X277" s="168">
        <f>M277/SUM($M$277:$M$279)</f>
        <v>0.27573689223676523</v>
      </c>
    </row>
    <row r="278" spans="1:24" x14ac:dyDescent="0.3">
      <c r="A278" s="156">
        <v>25</v>
      </c>
      <c r="D278" s="126">
        <v>2</v>
      </c>
      <c r="E278" s="126" t="s">
        <v>282</v>
      </c>
      <c r="G278" s="166">
        <v>0</v>
      </c>
      <c r="H278" s="166">
        <v>0</v>
      </c>
      <c r="I278" s="166">
        <v>0</v>
      </c>
      <c r="J278" s="166">
        <v>0</v>
      </c>
      <c r="K278" s="166">
        <v>0</v>
      </c>
      <c r="L278" s="166">
        <v>0</v>
      </c>
      <c r="M278" s="179">
        <v>5.78</v>
      </c>
      <c r="X278" s="168">
        <f>M278/SUM($M$277:$M$279)</f>
        <v>0.53125307904283436</v>
      </c>
    </row>
    <row r="279" spans="1:24" x14ac:dyDescent="0.3">
      <c r="A279" s="156">
        <v>26</v>
      </c>
      <c r="D279" s="126">
        <v>3</v>
      </c>
      <c r="E279" s="126" t="s">
        <v>120</v>
      </c>
      <c r="G279" s="166">
        <v>0</v>
      </c>
      <c r="H279" s="166">
        <v>0</v>
      </c>
      <c r="I279" s="166">
        <v>0</v>
      </c>
      <c r="J279" s="166">
        <v>0</v>
      </c>
      <c r="K279" s="166">
        <v>0</v>
      </c>
      <c r="L279" s="166">
        <v>0</v>
      </c>
      <c r="M279" s="179">
        <v>2.0999369415682279</v>
      </c>
      <c r="X279" s="168">
        <f>M279/SUM($M$277:$M$279)</f>
        <v>0.1930100287204003</v>
      </c>
    </row>
    <row r="281" spans="1:24" ht="15" thickBot="1" x14ac:dyDescent="0.35">
      <c r="A281" s="170"/>
      <c r="B281" s="171"/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1"/>
      <c r="N281" s="170"/>
    </row>
  </sheetData>
  <mergeCells count="9">
    <mergeCell ref="A117:M117"/>
    <mergeCell ref="D119:E119"/>
    <mergeCell ref="A175:M175"/>
    <mergeCell ref="A233:M233"/>
    <mergeCell ref="A2:M2"/>
    <mergeCell ref="A12:M12"/>
    <mergeCell ref="D14:E14"/>
    <mergeCell ref="A64:M64"/>
    <mergeCell ref="D66:E66"/>
  </mergeCells>
  <conditionalFormatting sqref="G105:M105">
    <cfRule type="cellIs" dxfId="14" priority="5" operator="equal">
      <formula>FALSE</formula>
    </cfRule>
  </conditionalFormatting>
  <conditionalFormatting sqref="G158:M158">
    <cfRule type="cellIs" dxfId="13" priority="4" operator="equal">
      <formula>FALSE</formula>
    </cfRule>
  </conditionalFormatting>
  <conditionalFormatting sqref="G216:M216">
    <cfRule type="cellIs" dxfId="12" priority="3" operator="equal">
      <formula>FALSE</formula>
    </cfRule>
  </conditionalFormatting>
  <conditionalFormatting sqref="G274:M274">
    <cfRule type="cellIs" dxfId="11" priority="2" operator="equal">
      <formula>FALSE</formula>
    </cfRule>
  </conditionalFormatting>
  <conditionalFormatting sqref="G54:M54">
    <cfRule type="cellIs" dxfId="10" priority="1" operator="equal">
      <formula>FALSE</formula>
    </cfRule>
  </conditionalFormatting>
  <pageMargins left="0.5" right="0.5" top="0.75" bottom="0.25" header="0.5" footer="0.25"/>
  <pageSetup scale="13" orientation="landscape" r:id="rId1"/>
  <headerFooter>
    <oddHeader xml:space="preserve">&amp;RDEF’s Response to OPC POD 1 (1-26)
Q7
Page &amp;P of &amp;N
</oddHeader>
    <oddFooter>&amp;R20240025-OPCPOD1-00004294</oddFooter>
  </headerFooter>
  <rowBreaks count="4" manualBreakCount="4">
    <brk id="55" max="12" man="1"/>
    <brk id="108" max="12" man="1"/>
    <brk id="166" max="12" man="1"/>
    <brk id="224" max="12" man="1"/>
  </rowBreaks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3260-1FC3-47E3-A9C7-EA76C7C2B93A}">
  <sheetPr>
    <tabColor theme="7" tint="-0.499984740745262"/>
    <pageSetUpPr fitToPage="1"/>
  </sheetPr>
  <dimension ref="A1:AC281"/>
  <sheetViews>
    <sheetView tabSelected="1" view="pageBreakPreview" zoomScaleNormal="100" zoomScaleSheetLayoutView="100" workbookViewId="0">
      <selection activeCell="N69" sqref="N69"/>
    </sheetView>
  </sheetViews>
  <sheetFormatPr defaultColWidth="9.109375" defaultRowHeight="14.4" x14ac:dyDescent="0.3"/>
  <cols>
    <col min="1" max="1" width="4.6640625" style="156" customWidth="1"/>
    <col min="2" max="2" width="1.33203125" style="125" customWidth="1"/>
    <col min="3" max="3" width="4.6640625" style="125" customWidth="1"/>
    <col min="4" max="4" width="10.44140625" style="125" customWidth="1"/>
    <col min="5" max="5" width="18" style="125" customWidth="1"/>
    <col min="6" max="6" width="3.88671875" style="125" customWidth="1"/>
    <col min="7" max="7" width="10.6640625" style="125" bestFit="1" customWidth="1"/>
    <col min="8" max="8" width="11" style="125" bestFit="1" customWidth="1"/>
    <col min="9" max="11" width="10.6640625" style="125" bestFit="1" customWidth="1"/>
    <col min="12" max="12" width="10.44140625" style="125" bestFit="1" customWidth="1"/>
    <col min="13" max="13" width="35" style="125" bestFit="1" customWidth="1"/>
    <col min="14" max="14" width="10.44140625" style="125" customWidth="1"/>
    <col min="15" max="23" width="0.5546875" style="125" customWidth="1"/>
    <col min="24" max="24" width="8.33203125" style="125" customWidth="1"/>
    <col min="25" max="28" width="8.33203125" style="126" customWidth="1"/>
    <col min="29" max="29" width="1.33203125" style="141" customWidth="1"/>
    <col min="30" max="16384" width="9.109375" style="126"/>
  </cols>
  <sheetData>
    <row r="1" spans="1:29" x14ac:dyDescent="0.3">
      <c r="A1" s="123" t="s">
        <v>244</v>
      </c>
      <c r="B1" s="124"/>
      <c r="C1" s="124"/>
      <c r="AC1" s="127"/>
    </row>
    <row r="2" spans="1:29" x14ac:dyDescent="0.3">
      <c r="A2" s="378">
        <v>2026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9"/>
    </row>
    <row r="3" spans="1:29" x14ac:dyDescent="0.3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132"/>
      <c r="O3" s="131"/>
      <c r="P3" s="133"/>
      <c r="Q3" s="131"/>
      <c r="R3" s="131"/>
      <c r="S3" s="131"/>
      <c r="T3" s="131"/>
      <c r="U3" s="131"/>
      <c r="V3" s="131"/>
      <c r="W3" s="131"/>
      <c r="X3" s="131"/>
      <c r="AC3" s="129"/>
    </row>
    <row r="4" spans="1:29" x14ac:dyDescent="0.3">
      <c r="A4" s="134"/>
      <c r="B4" s="131"/>
      <c r="C4" s="131"/>
      <c r="D4" s="135"/>
      <c r="E4" s="131"/>
      <c r="F4" s="131"/>
      <c r="G4" s="131"/>
      <c r="H4" s="131"/>
      <c r="I4" s="131"/>
      <c r="J4" s="131"/>
      <c r="K4" s="131"/>
      <c r="L4" s="134"/>
      <c r="M4" s="30" t="s">
        <v>37</v>
      </c>
      <c r="N4" s="131"/>
      <c r="O4" s="134"/>
      <c r="P4" s="131"/>
      <c r="Q4" s="131"/>
      <c r="R4" s="131"/>
      <c r="S4" s="131"/>
      <c r="T4" s="131"/>
      <c r="U4" s="131"/>
      <c r="V4" s="131"/>
      <c r="W4" s="131"/>
      <c r="X4" s="131"/>
      <c r="AC4" s="129"/>
    </row>
    <row r="5" spans="1:29" x14ac:dyDescent="0.3">
      <c r="A5" s="134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33" t="str">
        <f>"DOCKET NO.  " &amp; +"20240025-EI"</f>
        <v>DOCKET NO.  20240025-EI</v>
      </c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4" t="s">
        <v>245</v>
      </c>
      <c r="AC5" s="136" t="s">
        <v>245</v>
      </c>
    </row>
    <row r="6" spans="1:29" x14ac:dyDescent="0.3">
      <c r="A6" s="134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3" t="s">
        <v>38</v>
      </c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AC6" s="129"/>
    </row>
    <row r="7" spans="1:29" x14ac:dyDescent="0.3">
      <c r="A7" s="134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30" t="s">
        <v>246</v>
      </c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AC7" s="129"/>
    </row>
    <row r="8" spans="1:29" x14ac:dyDescent="0.3">
      <c r="A8" s="134"/>
      <c r="B8" s="131"/>
      <c r="C8" s="137"/>
      <c r="D8" s="131"/>
      <c r="E8" s="131"/>
      <c r="F8" s="131"/>
      <c r="G8" s="131"/>
      <c r="H8" s="131"/>
      <c r="I8" s="131"/>
      <c r="J8" s="131"/>
      <c r="K8" s="131"/>
      <c r="L8" s="134"/>
      <c r="M8" s="79" t="s">
        <v>288</v>
      </c>
      <c r="N8" s="131"/>
      <c r="O8" s="134"/>
      <c r="P8" s="131"/>
      <c r="Q8" s="131"/>
      <c r="R8" s="131"/>
      <c r="S8" s="131"/>
      <c r="T8" s="131"/>
      <c r="U8" s="131"/>
      <c r="V8" s="131"/>
      <c r="W8" s="131"/>
      <c r="X8" s="131"/>
      <c r="AC8" s="129"/>
    </row>
    <row r="9" spans="1:29" ht="15.6" x14ac:dyDescent="0.3">
      <c r="A9" s="138" t="s">
        <v>248</v>
      </c>
      <c r="B9" s="139"/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37" t="s">
        <v>11</v>
      </c>
      <c r="N9" s="82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9" ht="15.6" x14ac:dyDescent="0.3">
      <c r="A10" s="142"/>
      <c r="B10" s="279"/>
      <c r="C10" s="27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82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9" ht="15.6" x14ac:dyDescent="0.3">
      <c r="A11" s="142"/>
      <c r="B11" s="279"/>
      <c r="C11" s="279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82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9" ht="15.6" x14ac:dyDescent="0.3">
      <c r="A12" s="375" t="s">
        <v>249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82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9" x14ac:dyDescent="0.3">
      <c r="A13" s="143"/>
      <c r="B13" s="109"/>
      <c r="C13" s="109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AC13" s="127"/>
    </row>
    <row r="14" spans="1:29" x14ac:dyDescent="0.3">
      <c r="A14" s="144"/>
      <c r="B14" s="145"/>
      <c r="C14" s="145"/>
      <c r="D14" s="376">
        <v>-1</v>
      </c>
      <c r="E14" s="376"/>
      <c r="F14" s="146"/>
      <c r="G14" s="278">
        <f>+D14-1</f>
        <v>-2</v>
      </c>
      <c r="H14" s="278">
        <f t="shared" ref="H14:M14" si="0">+G14-1</f>
        <v>-3</v>
      </c>
      <c r="I14" s="278">
        <f t="shared" si="0"/>
        <v>-4</v>
      </c>
      <c r="J14" s="278">
        <f t="shared" si="0"/>
        <v>-5</v>
      </c>
      <c r="K14" s="278">
        <f t="shared" si="0"/>
        <v>-6</v>
      </c>
      <c r="L14" s="278">
        <f t="shared" si="0"/>
        <v>-7</v>
      </c>
      <c r="M14" s="278">
        <f t="shared" si="0"/>
        <v>-8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9" x14ac:dyDescent="0.3">
      <c r="A15" s="147"/>
      <c r="B15" s="148"/>
      <c r="C15" s="148"/>
      <c r="D15" s="148"/>
      <c r="E15" s="148"/>
      <c r="F15" s="148"/>
      <c r="G15" s="148"/>
      <c r="H15" s="149"/>
      <c r="I15" s="148"/>
      <c r="J15" s="149"/>
      <c r="K15" s="78"/>
      <c r="L15" s="78"/>
      <c r="M15" s="78"/>
      <c r="N15" s="14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9" ht="27.6" x14ac:dyDescent="0.3">
      <c r="A16" s="147"/>
      <c r="B16" s="148"/>
      <c r="C16" s="148"/>
      <c r="D16" s="148"/>
      <c r="E16" s="148"/>
      <c r="F16" s="148"/>
      <c r="G16" s="149" t="s">
        <v>250</v>
      </c>
      <c r="H16" s="150" t="s">
        <v>102</v>
      </c>
      <c r="I16" s="151" t="s">
        <v>251</v>
      </c>
      <c r="J16" s="149" t="s">
        <v>252</v>
      </c>
      <c r="K16" s="151" t="s">
        <v>250</v>
      </c>
      <c r="L16" s="151" t="s">
        <v>253</v>
      </c>
      <c r="M16" s="152" t="s">
        <v>254</v>
      </c>
      <c r="N16" s="14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x14ac:dyDescent="0.3">
      <c r="A17" s="153" t="s">
        <v>54</v>
      </c>
      <c r="B17" s="154"/>
      <c r="C17" s="154"/>
      <c r="D17" s="155"/>
      <c r="E17" s="155"/>
      <c r="F17" s="155"/>
      <c r="G17" s="172" t="s">
        <v>255</v>
      </c>
      <c r="H17" s="173"/>
      <c r="I17" s="173" t="s">
        <v>101</v>
      </c>
      <c r="J17" s="173" t="s">
        <v>99</v>
      </c>
      <c r="K17" s="173" t="s">
        <v>256</v>
      </c>
      <c r="L17" s="173"/>
      <c r="M17" s="8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x14ac:dyDescent="0.3">
      <c r="A18" s="156">
        <v>1</v>
      </c>
      <c r="D18"/>
      <c r="E18"/>
      <c r="F18"/>
      <c r="G18"/>
      <c r="H18"/>
      <c r="I18"/>
      <c r="J18"/>
      <c r="K18"/>
      <c r="L18"/>
      <c r="M18"/>
    </row>
    <row r="19" spans="1:24" ht="15" thickBot="1" x14ac:dyDescent="0.35">
      <c r="D19" s="316" t="s">
        <v>257</v>
      </c>
      <c r="E19" s="316"/>
      <c r="F19" s="316"/>
      <c r="G19" s="316"/>
      <c r="H19" s="316"/>
      <c r="I19" s="316"/>
      <c r="J19" s="316"/>
      <c r="K19" s="316"/>
      <c r="L19" s="316"/>
      <c r="M19" s="316"/>
      <c r="N19" s="131"/>
    </row>
    <row r="20" spans="1:24" x14ac:dyDescent="0.3">
      <c r="D20"/>
      <c r="E20"/>
      <c r="F20" s="317"/>
      <c r="G20" s="177">
        <v>661716793.07336259</v>
      </c>
      <c r="H20" s="177">
        <v>363891200.96452659</v>
      </c>
      <c r="I20" s="177">
        <v>717473111.10269248</v>
      </c>
      <c r="J20" s="177">
        <v>0</v>
      </c>
      <c r="K20" s="177">
        <v>318301827.70218319</v>
      </c>
      <c r="L20" s="177">
        <v>-15455525.904785335</v>
      </c>
      <c r="M20" s="178">
        <v>2045927406.9379795</v>
      </c>
      <c r="N20" s="131"/>
    </row>
    <row r="21" spans="1:24" x14ac:dyDescent="0.3">
      <c r="A21" s="156">
        <v>2</v>
      </c>
      <c r="D21"/>
      <c r="E21"/>
      <c r="F21" s="317"/>
      <c r="G21" s="318"/>
      <c r="H21" s="318"/>
      <c r="I21" s="318"/>
      <c r="J21" s="318"/>
      <c r="K21" s="318"/>
      <c r="L21" s="318"/>
      <c r="M21" s="317"/>
      <c r="N21" s="131"/>
    </row>
    <row r="22" spans="1:24" ht="15" thickBot="1" x14ac:dyDescent="0.35">
      <c r="D22" s="316" t="s">
        <v>258</v>
      </c>
      <c r="E22" s="316"/>
      <c r="F22" s="316"/>
      <c r="G22" s="316"/>
      <c r="H22" s="316"/>
      <c r="I22" s="316"/>
      <c r="J22" s="316"/>
      <c r="K22" s="316"/>
      <c r="L22" s="316"/>
      <c r="M22" s="316"/>
      <c r="N22" s="131"/>
    </row>
    <row r="23" spans="1:24" x14ac:dyDescent="0.3">
      <c r="D23"/>
      <c r="E23"/>
      <c r="F23" s="317"/>
      <c r="G23" s="319" t="s">
        <v>259</v>
      </c>
      <c r="H23" s="319" t="s">
        <v>260</v>
      </c>
      <c r="I23" s="319" t="s">
        <v>261</v>
      </c>
      <c r="J23" s="319" t="s">
        <v>261</v>
      </c>
      <c r="K23" s="319" t="s">
        <v>262</v>
      </c>
      <c r="L23" s="319" t="s">
        <v>263</v>
      </c>
      <c r="M23"/>
      <c r="N23" s="131"/>
    </row>
    <row r="24" spans="1:24" ht="15.6" x14ac:dyDescent="0.3">
      <c r="A24" s="156">
        <v>3</v>
      </c>
      <c r="D24"/>
      <c r="E24"/>
      <c r="F24" s="317"/>
      <c r="G24" s="318"/>
      <c r="H24" s="318"/>
      <c r="I24" s="318"/>
      <c r="J24" s="318"/>
      <c r="K24" s="318"/>
      <c r="L24" s="318"/>
      <c r="M24" s="317"/>
      <c r="N24" s="82"/>
    </row>
    <row r="25" spans="1:24" ht="16.2" thickBot="1" x14ac:dyDescent="0.35">
      <c r="A25" s="156">
        <v>4</v>
      </c>
      <c r="D25" s="316" t="s">
        <v>264</v>
      </c>
      <c r="E25" s="316"/>
      <c r="F25" s="316"/>
      <c r="G25" s="316"/>
      <c r="H25" s="316"/>
      <c r="I25" s="316"/>
      <c r="J25" s="316"/>
      <c r="K25" s="316"/>
      <c r="L25" s="316"/>
      <c r="M25" s="316"/>
      <c r="N25" s="82"/>
    </row>
    <row r="26" spans="1:24" ht="15.6" x14ac:dyDescent="0.3">
      <c r="A26" s="156">
        <v>5</v>
      </c>
      <c r="D26">
        <v>1</v>
      </c>
      <c r="E26" t="s">
        <v>265</v>
      </c>
      <c r="F26" s="320"/>
      <c r="G26" s="321">
        <v>2.490299254061072</v>
      </c>
      <c r="H26" s="321">
        <v>1.6447207459538091</v>
      </c>
      <c r="I26" s="321">
        <v>1.679985104055159</v>
      </c>
      <c r="J26" s="321">
        <v>1.679985104055159</v>
      </c>
      <c r="K26" s="321">
        <v>1.3622293597931883</v>
      </c>
      <c r="L26" s="321">
        <v>1</v>
      </c>
      <c r="M26" s="317"/>
      <c r="N26" s="82"/>
    </row>
    <row r="27" spans="1:24" ht="15.6" x14ac:dyDescent="0.3">
      <c r="A27" s="156">
        <v>6</v>
      </c>
      <c r="D27">
        <v>2</v>
      </c>
      <c r="E27" t="s">
        <v>266</v>
      </c>
      <c r="F27" s="320"/>
      <c r="G27" s="321">
        <v>0.78203961486374551</v>
      </c>
      <c r="H27" s="321">
        <v>0.96960809507935608</v>
      </c>
      <c r="I27" s="321">
        <v>0.96774178609498318</v>
      </c>
      <c r="J27" s="321">
        <v>0.96774178609498318</v>
      </c>
      <c r="K27" s="321">
        <v>0.99944772468847709</v>
      </c>
      <c r="L27" s="321">
        <v>1</v>
      </c>
      <c r="M27" s="317"/>
      <c r="N27" s="82"/>
    </row>
    <row r="28" spans="1:24" x14ac:dyDescent="0.3">
      <c r="A28" s="156">
        <v>7</v>
      </c>
      <c r="D28">
        <v>3</v>
      </c>
      <c r="E28" t="s">
        <v>267</v>
      </c>
      <c r="F28" s="320"/>
      <c r="G28" s="321">
        <v>0.52989903387328763</v>
      </c>
      <c r="H28" s="321">
        <v>0.55449388383653153</v>
      </c>
      <c r="I28" s="321">
        <v>0.48625107454688149</v>
      </c>
      <c r="J28" s="321">
        <v>0.48625107454688149</v>
      </c>
      <c r="K28" s="321">
        <v>0.79790281105090721</v>
      </c>
      <c r="L28" s="321">
        <v>1</v>
      </c>
      <c r="M28" s="317"/>
      <c r="N28" s="78"/>
    </row>
    <row r="29" spans="1:24" x14ac:dyDescent="0.3">
      <c r="A29" s="156">
        <v>8</v>
      </c>
      <c r="D29">
        <v>4</v>
      </c>
      <c r="E29" t="s">
        <v>136</v>
      </c>
      <c r="F29" s="320"/>
      <c r="G29" s="321">
        <v>0</v>
      </c>
      <c r="H29" s="321">
        <v>0</v>
      </c>
      <c r="I29" s="321">
        <v>0</v>
      </c>
      <c r="J29" s="321">
        <v>0</v>
      </c>
      <c r="K29" s="321">
        <v>0</v>
      </c>
      <c r="L29" s="321">
        <v>0</v>
      </c>
      <c r="M29" s="317"/>
      <c r="N29" s="78"/>
    </row>
    <row r="30" spans="1:24" x14ac:dyDescent="0.3">
      <c r="D30">
        <v>5</v>
      </c>
      <c r="E30" t="s">
        <v>136</v>
      </c>
      <c r="F30" s="320"/>
      <c r="G30" s="321">
        <v>0</v>
      </c>
      <c r="H30" s="321">
        <v>0</v>
      </c>
      <c r="I30" s="321">
        <v>0</v>
      </c>
      <c r="J30" s="321">
        <v>0</v>
      </c>
      <c r="K30" s="321">
        <v>0</v>
      </c>
      <c r="L30" s="321">
        <v>0</v>
      </c>
      <c r="M30" s="317"/>
      <c r="N30" s="148"/>
    </row>
    <row r="31" spans="1:24" x14ac:dyDescent="0.3">
      <c r="D31">
        <v>6</v>
      </c>
      <c r="E31" t="s">
        <v>136</v>
      </c>
      <c r="F31" s="320"/>
      <c r="G31" s="321">
        <v>0</v>
      </c>
      <c r="H31" s="321">
        <v>0</v>
      </c>
      <c r="I31" s="321">
        <v>0</v>
      </c>
      <c r="J31" s="321">
        <v>0</v>
      </c>
      <c r="K31" s="321">
        <v>0</v>
      </c>
      <c r="L31" s="321">
        <v>0</v>
      </c>
      <c r="M31" s="317"/>
    </row>
    <row r="32" spans="1:24" x14ac:dyDescent="0.3">
      <c r="A32" s="156">
        <v>9</v>
      </c>
      <c r="D32"/>
      <c r="E32"/>
      <c r="F32" s="317"/>
      <c r="G32" s="318"/>
      <c r="H32" s="318"/>
      <c r="I32" s="318"/>
      <c r="J32" s="318"/>
      <c r="K32" s="318"/>
      <c r="L32" s="318"/>
      <c r="M32" s="317"/>
    </row>
    <row r="33" spans="1:27" ht="15" thickBot="1" x14ac:dyDescent="0.35">
      <c r="A33" s="156">
        <v>10</v>
      </c>
      <c r="D33" s="316" t="s">
        <v>268</v>
      </c>
      <c r="E33" s="316"/>
      <c r="F33" s="316"/>
      <c r="G33" s="316"/>
      <c r="H33" s="316"/>
      <c r="I33" s="316"/>
      <c r="J33" s="316"/>
      <c r="K33" s="316"/>
      <c r="L33" s="316"/>
      <c r="M33" s="316"/>
    </row>
    <row r="34" spans="1:27" x14ac:dyDescent="0.3">
      <c r="A34" s="156">
        <v>11</v>
      </c>
      <c r="D34">
        <v>1</v>
      </c>
      <c r="E34" t="s">
        <v>265</v>
      </c>
      <c r="F34" s="320"/>
      <c r="G34" s="322"/>
      <c r="H34" s="323"/>
      <c r="I34" s="318"/>
      <c r="J34" s="318"/>
      <c r="K34" s="318"/>
      <c r="L34" s="318"/>
      <c r="M34" s="177">
        <v>3245769.4175581345</v>
      </c>
      <c r="N34" s="131"/>
    </row>
    <row r="35" spans="1:27" x14ac:dyDescent="0.3">
      <c r="A35" s="156">
        <v>12</v>
      </c>
      <c r="D35">
        <v>2</v>
      </c>
      <c r="E35" t="s">
        <v>266</v>
      </c>
      <c r="F35" s="320"/>
      <c r="G35" s="322"/>
      <c r="H35" s="322"/>
      <c r="I35" s="322"/>
      <c r="J35" s="322"/>
      <c r="K35" s="322"/>
      <c r="L35" s="322"/>
      <c r="M35" s="177">
        <v>14168042.284422176</v>
      </c>
      <c r="N35" s="131"/>
    </row>
    <row r="36" spans="1:27" x14ac:dyDescent="0.3">
      <c r="A36" s="156">
        <v>13</v>
      </c>
      <c r="D36">
        <v>3</v>
      </c>
      <c r="E36" t="s">
        <v>267</v>
      </c>
      <c r="F36" s="320"/>
      <c r="G36" s="322"/>
      <c r="H36" s="322"/>
      <c r="I36" s="322"/>
      <c r="J36" s="322"/>
      <c r="K36" s="322"/>
      <c r="L36" s="322"/>
      <c r="M36" s="177">
        <v>3406409.2980197053</v>
      </c>
      <c r="N36" s="131"/>
    </row>
    <row r="37" spans="1:27" x14ac:dyDescent="0.3">
      <c r="A37" s="156">
        <v>14</v>
      </c>
      <c r="D37">
        <v>4</v>
      </c>
      <c r="E37" t="s">
        <v>136</v>
      </c>
      <c r="F37" s="320"/>
      <c r="G37" s="322"/>
      <c r="H37" s="322"/>
      <c r="I37" s="322"/>
      <c r="J37" s="322"/>
      <c r="K37" s="322"/>
      <c r="L37" s="322"/>
      <c r="M37" s="177">
        <v>0</v>
      </c>
      <c r="N37" s="131"/>
    </row>
    <row r="38" spans="1:27" x14ac:dyDescent="0.3">
      <c r="D38">
        <v>5</v>
      </c>
      <c r="E38" t="s">
        <v>136</v>
      </c>
      <c r="F38" s="320"/>
      <c r="G38" s="322"/>
      <c r="H38" s="322"/>
      <c r="I38" s="322"/>
      <c r="J38" s="322"/>
      <c r="K38" s="322"/>
      <c r="L38" s="322"/>
      <c r="M38" s="177">
        <v>0</v>
      </c>
      <c r="N38" s="131"/>
    </row>
    <row r="39" spans="1:27" ht="15.6" x14ac:dyDescent="0.3">
      <c r="D39">
        <v>6</v>
      </c>
      <c r="E39" t="s">
        <v>136</v>
      </c>
      <c r="F39" s="320"/>
      <c r="G39" s="322"/>
      <c r="H39" s="322"/>
      <c r="I39" s="322"/>
      <c r="J39" s="322"/>
      <c r="K39" s="322"/>
      <c r="L39" s="322"/>
      <c r="M39" s="177">
        <v>0</v>
      </c>
      <c r="N39" s="82"/>
    </row>
    <row r="40" spans="1:27" ht="15.6" x14ac:dyDescent="0.3">
      <c r="A40" s="156">
        <v>15</v>
      </c>
      <c r="D40"/>
      <c r="E40"/>
      <c r="F40" s="317"/>
      <c r="G40" s="318"/>
      <c r="H40" s="318"/>
      <c r="I40" s="318"/>
      <c r="J40" s="318"/>
      <c r="K40" s="318"/>
      <c r="L40" s="318"/>
      <c r="M40" s="317"/>
      <c r="N40" s="82"/>
    </row>
    <row r="41" spans="1:27" ht="16.2" thickBot="1" x14ac:dyDescent="0.35">
      <c r="D41" s="316" t="s">
        <v>269</v>
      </c>
      <c r="E41" s="316"/>
      <c r="F41" s="316"/>
      <c r="G41" s="316"/>
      <c r="H41" s="316"/>
      <c r="I41" s="316"/>
      <c r="J41" s="316"/>
      <c r="K41" s="316"/>
      <c r="L41" s="316"/>
      <c r="M41" s="316"/>
      <c r="N41" s="82"/>
    </row>
    <row r="42" spans="1:27" ht="15.6" x14ac:dyDescent="0.3">
      <c r="D42"/>
      <c r="E42"/>
      <c r="F42" s="317"/>
      <c r="G42" s="324">
        <v>3.1558471959512713</v>
      </c>
      <c r="H42" s="324">
        <v>1.7357357495366936</v>
      </c>
      <c r="I42" s="324">
        <v>3.4460398432019179</v>
      </c>
      <c r="J42" s="324">
        <v>0</v>
      </c>
      <c r="K42" s="324">
        <v>1.4943969781831823</v>
      </c>
      <c r="L42" s="324">
        <v>-7.423324615423306E-2</v>
      </c>
      <c r="M42" s="317"/>
      <c r="N42" s="82"/>
    </row>
    <row r="43" spans="1:27" x14ac:dyDescent="0.3">
      <c r="A43" s="156">
        <v>16</v>
      </c>
      <c r="D43"/>
      <c r="E43"/>
      <c r="F43" s="317"/>
      <c r="G43" s="318"/>
      <c r="H43" s="318"/>
      <c r="I43" s="318"/>
      <c r="J43" s="318"/>
      <c r="K43" s="318"/>
      <c r="L43" s="318"/>
      <c r="M43" s="317"/>
      <c r="N43" s="78"/>
    </row>
    <row r="44" spans="1:27" ht="15" thickBot="1" x14ac:dyDescent="0.35">
      <c r="A44" s="156">
        <v>17</v>
      </c>
      <c r="D44" s="316" t="s">
        <v>270</v>
      </c>
      <c r="E44" s="316"/>
      <c r="F44" s="316"/>
      <c r="G44" s="316"/>
      <c r="H44" s="316"/>
      <c r="I44" s="316"/>
      <c r="J44" s="316"/>
      <c r="K44" s="316"/>
      <c r="L44" s="316"/>
      <c r="M44" s="316"/>
      <c r="N44" s="78"/>
      <c r="Z44" s="126" t="s">
        <v>271</v>
      </c>
    </row>
    <row r="45" spans="1:27" x14ac:dyDescent="0.3">
      <c r="A45" s="156">
        <v>18</v>
      </c>
      <c r="D45">
        <v>1</v>
      </c>
      <c r="E45" t="s">
        <v>265</v>
      </c>
      <c r="F45" s="325"/>
      <c r="G45" s="324">
        <v>7.8590039180081765</v>
      </c>
      <c r="H45" s="324">
        <v>2.854800596756685</v>
      </c>
      <c r="I45" s="324">
        <v>5.7892956045597979</v>
      </c>
      <c r="J45" s="324">
        <v>0</v>
      </c>
      <c r="K45" s="324">
        <v>2.0357114388673514</v>
      </c>
      <c r="L45" s="324">
        <v>-7.423324615423306E-2</v>
      </c>
      <c r="M45" s="326">
        <v>18.46457831203778</v>
      </c>
      <c r="N45" s="148"/>
      <c r="X45" s="168">
        <f>M45/M46</f>
        <v>2.0734611626194064</v>
      </c>
      <c r="Z45" s="168">
        <v>1.4</v>
      </c>
      <c r="AA45" s="327">
        <v>14.414773507144494</v>
      </c>
    </row>
    <row r="46" spans="1:27" x14ac:dyDescent="0.3">
      <c r="A46" s="156">
        <v>19</v>
      </c>
      <c r="D46">
        <v>2</v>
      </c>
      <c r="E46" t="s">
        <v>266</v>
      </c>
      <c r="F46" s="325"/>
      <c r="G46" s="324">
        <v>2.4679975256905635</v>
      </c>
      <c r="H46" s="324">
        <v>1.6829834336694118</v>
      </c>
      <c r="I46" s="324">
        <v>3.3348767528146999</v>
      </c>
      <c r="J46" s="324">
        <v>0</v>
      </c>
      <c r="K46" s="324">
        <v>1.4935716596265172</v>
      </c>
      <c r="L46" s="324">
        <v>-7.423324615423306E-2</v>
      </c>
      <c r="M46" s="326">
        <v>8.9051961256469596</v>
      </c>
      <c r="X46" s="168">
        <f>M46/M46</f>
        <v>1</v>
      </c>
      <c r="Z46" s="168">
        <v>1</v>
      </c>
      <c r="AA46" s="327">
        <v>10.296266790817496</v>
      </c>
    </row>
    <row r="47" spans="1:27" x14ac:dyDescent="0.3">
      <c r="A47" s="156">
        <v>20</v>
      </c>
      <c r="D47">
        <v>3</v>
      </c>
      <c r="E47" t="s">
        <v>267</v>
      </c>
      <c r="F47" s="325"/>
      <c r="G47" s="324">
        <v>1.6722803801863024</v>
      </c>
      <c r="H47" s="324">
        <v>0.96245485707451439</v>
      </c>
      <c r="I47" s="324">
        <v>1.6756405766882996</v>
      </c>
      <c r="J47" s="324">
        <v>0</v>
      </c>
      <c r="K47" s="324">
        <v>1.1923835497183424</v>
      </c>
      <c r="L47" s="324">
        <v>-7.423324615423306E-2</v>
      </c>
      <c r="M47" s="326">
        <v>5.4285261175132256</v>
      </c>
      <c r="X47" s="168">
        <f>M47/M46</f>
        <v>0.60959085470100693</v>
      </c>
      <c r="Z47" s="168">
        <f>AA47/AA46</f>
        <v>0.60959085470100693</v>
      </c>
      <c r="AA47" s="327">
        <v>6.2765100732440313</v>
      </c>
    </row>
    <row r="48" spans="1:27" x14ac:dyDescent="0.3">
      <c r="A48" s="156">
        <v>21</v>
      </c>
      <c r="D48">
        <v>4</v>
      </c>
      <c r="E48" t="s">
        <v>136</v>
      </c>
      <c r="F48" s="325"/>
      <c r="G48" s="324">
        <v>0</v>
      </c>
      <c r="H48" s="324">
        <v>0</v>
      </c>
      <c r="I48" s="324">
        <v>0</v>
      </c>
      <c r="J48" s="324">
        <v>0</v>
      </c>
      <c r="K48" s="324">
        <v>0</v>
      </c>
      <c r="L48" s="324">
        <v>0</v>
      </c>
      <c r="M48" s="328">
        <v>0</v>
      </c>
    </row>
    <row r="49" spans="1:29" x14ac:dyDescent="0.3">
      <c r="D49">
        <v>5</v>
      </c>
      <c r="E49" t="s">
        <v>136</v>
      </c>
      <c r="F49" s="325"/>
      <c r="G49" s="324">
        <v>0</v>
      </c>
      <c r="H49" s="324">
        <v>0</v>
      </c>
      <c r="I49" s="324">
        <v>0</v>
      </c>
      <c r="J49" s="324">
        <v>0</v>
      </c>
      <c r="K49" s="324">
        <v>0</v>
      </c>
      <c r="L49" s="324">
        <v>0</v>
      </c>
      <c r="M49" s="328">
        <v>0</v>
      </c>
      <c r="N49" s="131"/>
    </row>
    <row r="50" spans="1:29" x14ac:dyDescent="0.3">
      <c r="D50">
        <v>6</v>
      </c>
      <c r="E50" t="s">
        <v>136</v>
      </c>
      <c r="F50" s="325"/>
      <c r="G50" s="324">
        <v>0</v>
      </c>
      <c r="H50" s="324">
        <v>0</v>
      </c>
      <c r="I50" s="324">
        <v>0</v>
      </c>
      <c r="J50" s="324">
        <v>0</v>
      </c>
      <c r="K50" s="324">
        <v>0</v>
      </c>
      <c r="L50" s="324">
        <v>0</v>
      </c>
      <c r="M50" s="328">
        <v>0</v>
      </c>
      <c r="N50" s="131"/>
    </row>
    <row r="51" spans="1:29" x14ac:dyDescent="0.3">
      <c r="A51" s="156">
        <v>22</v>
      </c>
      <c r="D51"/>
      <c r="E51"/>
      <c r="F51" s="317"/>
      <c r="G51" s="318"/>
      <c r="H51" s="318"/>
      <c r="I51" s="318"/>
      <c r="J51" s="318"/>
      <c r="K51" s="318"/>
      <c r="L51" s="318"/>
      <c r="M51" s="317"/>
      <c r="N51" s="131"/>
    </row>
    <row r="52" spans="1:29" ht="15" thickBot="1" x14ac:dyDescent="0.35">
      <c r="A52" s="156">
        <v>23</v>
      </c>
      <c r="D52" s="316" t="s">
        <v>272</v>
      </c>
      <c r="E52" s="316"/>
      <c r="F52" s="316"/>
      <c r="G52" s="316"/>
      <c r="H52" s="316"/>
      <c r="I52" s="316"/>
      <c r="J52" s="316"/>
      <c r="K52" s="316"/>
      <c r="L52" s="316"/>
      <c r="M52" s="316"/>
      <c r="N52" s="131"/>
    </row>
    <row r="53" spans="1:29" x14ac:dyDescent="0.3">
      <c r="D53"/>
      <c r="E53" t="s">
        <v>273</v>
      </c>
      <c r="F53" s="317"/>
      <c r="G53" s="329">
        <v>661716793.07336259</v>
      </c>
      <c r="H53" s="329">
        <v>363891200.96452665</v>
      </c>
      <c r="I53" s="329">
        <v>717473111.10269225</v>
      </c>
      <c r="J53" s="329">
        <v>0</v>
      </c>
      <c r="K53" s="329">
        <v>318301827.70218319</v>
      </c>
      <c r="L53" s="329">
        <v>-15455525.904785333</v>
      </c>
      <c r="M53" s="330">
        <v>2045927406.9379795</v>
      </c>
      <c r="N53" s="131"/>
    </row>
    <row r="54" spans="1:29" x14ac:dyDescent="0.3">
      <c r="D54" s="126"/>
      <c r="E54" s="126" t="s">
        <v>274</v>
      </c>
      <c r="F54" s="158"/>
      <c r="G54" s="159" t="b">
        <v>1</v>
      </c>
      <c r="H54" s="159" t="b">
        <v>1</v>
      </c>
      <c r="I54" s="159" t="b">
        <v>1</v>
      </c>
      <c r="J54" s="159" t="b">
        <v>1</v>
      </c>
      <c r="K54" s="159" t="b">
        <v>1</v>
      </c>
      <c r="L54" s="159" t="b">
        <v>1</v>
      </c>
      <c r="M54" s="159" t="b">
        <v>1</v>
      </c>
      <c r="N54" s="156"/>
      <c r="O54" s="131"/>
      <c r="P54" s="131"/>
      <c r="Q54" s="131"/>
      <c r="R54" s="131"/>
      <c r="S54" s="131"/>
      <c r="T54" s="131"/>
      <c r="U54" s="131"/>
      <c r="V54" s="131"/>
      <c r="W54" s="131"/>
      <c r="X54" s="131"/>
    </row>
    <row r="55" spans="1:29" ht="15" thickBot="1" x14ac:dyDescent="0.35">
      <c r="A55" s="170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0"/>
    </row>
    <row r="56" spans="1:29" x14ac:dyDescent="0.3">
      <c r="A56" s="134"/>
      <c r="B56" s="131"/>
      <c r="C56" s="131"/>
      <c r="D56" s="135"/>
      <c r="E56" s="131"/>
      <c r="F56" s="131"/>
      <c r="G56" s="131"/>
      <c r="H56" s="131"/>
      <c r="I56" s="131"/>
      <c r="J56" s="131"/>
      <c r="K56" s="131"/>
      <c r="L56" s="134"/>
      <c r="M56" s="30" t="s">
        <v>37</v>
      </c>
      <c r="N56" s="131"/>
      <c r="O56" s="134"/>
      <c r="P56" s="131"/>
      <c r="Q56" s="131"/>
      <c r="R56" s="131"/>
      <c r="S56" s="131"/>
      <c r="T56" s="131"/>
      <c r="U56" s="131"/>
      <c r="V56" s="131"/>
      <c r="W56" s="131"/>
      <c r="X56" s="131"/>
      <c r="AC56" s="129"/>
    </row>
    <row r="57" spans="1:29" x14ac:dyDescent="0.3">
      <c r="A57" s="134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33" t="str">
        <f>M5</f>
        <v>DOCKET NO.  20240025-EI</v>
      </c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4" t="s">
        <v>245</v>
      </c>
      <c r="AC57" s="136" t="s">
        <v>245</v>
      </c>
    </row>
    <row r="58" spans="1:29" x14ac:dyDescent="0.3">
      <c r="A58" s="134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33" t="s">
        <v>38</v>
      </c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AC58" s="129"/>
    </row>
    <row r="59" spans="1:29" x14ac:dyDescent="0.3">
      <c r="A59" s="134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30" t="s">
        <v>246</v>
      </c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AC59" s="129"/>
    </row>
    <row r="60" spans="1:29" x14ac:dyDescent="0.3">
      <c r="A60" s="134"/>
      <c r="B60" s="131"/>
      <c r="C60" s="137"/>
      <c r="D60" s="131"/>
      <c r="E60" s="131"/>
      <c r="F60" s="131"/>
      <c r="G60" s="131"/>
      <c r="H60" s="131"/>
      <c r="I60" s="131"/>
      <c r="J60" s="131"/>
      <c r="K60" s="131"/>
      <c r="L60" s="134"/>
      <c r="M60" s="79" t="s">
        <v>289</v>
      </c>
      <c r="N60" s="131"/>
      <c r="O60" s="134"/>
      <c r="P60" s="131"/>
      <c r="Q60" s="131"/>
      <c r="R60" s="131"/>
      <c r="S60" s="131"/>
      <c r="T60" s="131"/>
      <c r="U60" s="131"/>
      <c r="V60" s="131"/>
      <c r="W60" s="131"/>
      <c r="X60" s="131"/>
      <c r="AC60" s="129"/>
    </row>
    <row r="61" spans="1:29" ht="15.6" x14ac:dyDescent="0.3">
      <c r="A61" s="138" t="s">
        <v>248</v>
      </c>
      <c r="B61" s="139"/>
      <c r="C61" s="139"/>
      <c r="D61" s="140"/>
      <c r="E61" s="140"/>
      <c r="F61" s="140"/>
      <c r="G61" s="140"/>
      <c r="H61" s="140"/>
      <c r="I61" s="140"/>
      <c r="J61" s="140"/>
      <c r="K61" s="140"/>
      <c r="L61" s="140"/>
      <c r="M61" s="37" t="s">
        <v>11</v>
      </c>
      <c r="N61" s="82"/>
      <c r="O61" s="83"/>
      <c r="P61" s="83"/>
      <c r="Q61" s="83"/>
      <c r="R61" s="83"/>
      <c r="S61" s="83"/>
      <c r="T61" s="83"/>
      <c r="U61" s="83"/>
      <c r="V61" s="83"/>
      <c r="W61" s="83"/>
      <c r="X61" s="83"/>
    </row>
    <row r="62" spans="1:29" ht="15.6" x14ac:dyDescent="0.3">
      <c r="A62" s="142"/>
      <c r="B62" s="279"/>
      <c r="C62" s="279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82"/>
      <c r="O62" s="83"/>
      <c r="P62" s="83"/>
      <c r="Q62" s="83"/>
      <c r="R62" s="83"/>
      <c r="S62" s="83"/>
      <c r="T62" s="83"/>
      <c r="U62" s="83"/>
      <c r="V62" s="83"/>
      <c r="W62" s="83"/>
      <c r="X62" s="83"/>
    </row>
    <row r="63" spans="1:29" ht="15.6" x14ac:dyDescent="0.3">
      <c r="A63" s="142"/>
      <c r="B63" s="279"/>
      <c r="C63" s="27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82"/>
      <c r="O63" s="83"/>
      <c r="P63" s="83"/>
      <c r="Q63" s="83"/>
      <c r="R63" s="83"/>
      <c r="S63" s="83"/>
      <c r="T63" s="83"/>
      <c r="U63" s="83"/>
      <c r="V63" s="83"/>
      <c r="W63" s="83"/>
      <c r="X63" s="83"/>
    </row>
    <row r="64" spans="1:29" ht="15.6" x14ac:dyDescent="0.3">
      <c r="A64" s="375" t="s">
        <v>276</v>
      </c>
      <c r="B64" s="375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82"/>
      <c r="O64" s="83"/>
      <c r="P64" s="83"/>
      <c r="Q64" s="83"/>
      <c r="R64" s="83"/>
      <c r="S64" s="83"/>
      <c r="T64" s="83"/>
      <c r="U64" s="83"/>
      <c r="V64" s="83"/>
      <c r="W64" s="83"/>
      <c r="X64" s="83"/>
    </row>
    <row r="65" spans="1:24" x14ac:dyDescent="0.3">
      <c r="A65" s="143"/>
      <c r="B65" s="109"/>
      <c r="C65" s="109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spans="1:24" x14ac:dyDescent="0.3">
      <c r="A66" s="144"/>
      <c r="B66" s="145"/>
      <c r="C66" s="145"/>
      <c r="D66" s="376">
        <v>-1</v>
      </c>
      <c r="E66" s="376"/>
      <c r="F66" s="146"/>
      <c r="G66" s="278">
        <f>+D66-1</f>
        <v>-2</v>
      </c>
      <c r="H66" s="278">
        <f t="shared" ref="H66:M66" si="1">+G66-1</f>
        <v>-3</v>
      </c>
      <c r="I66" s="278">
        <f t="shared" si="1"/>
        <v>-4</v>
      </c>
      <c r="J66" s="278">
        <f t="shared" si="1"/>
        <v>-5</v>
      </c>
      <c r="K66" s="278">
        <f t="shared" si="1"/>
        <v>-6</v>
      </c>
      <c r="L66" s="278">
        <f t="shared" si="1"/>
        <v>-7</v>
      </c>
      <c r="M66" s="278">
        <f t="shared" si="1"/>
        <v>-8</v>
      </c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x14ac:dyDescent="0.3">
      <c r="A67" s="147"/>
      <c r="B67" s="148"/>
      <c r="C67" s="148"/>
      <c r="D67" s="148"/>
      <c r="E67" s="148"/>
      <c r="F67" s="148"/>
      <c r="G67" s="148"/>
      <c r="H67" s="149"/>
      <c r="I67" s="148"/>
      <c r="J67" s="149"/>
      <c r="K67" s="78"/>
      <c r="L67" s="78"/>
      <c r="M67" s="78"/>
      <c r="N67" s="148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spans="1:24" ht="27.6" x14ac:dyDescent="0.3">
      <c r="A68" s="147"/>
      <c r="B68" s="148"/>
      <c r="C68" s="148"/>
      <c r="D68" s="148"/>
      <c r="E68" s="148"/>
      <c r="F68" s="148"/>
      <c r="G68" s="149" t="s">
        <v>250</v>
      </c>
      <c r="H68" s="150" t="s">
        <v>102</v>
      </c>
      <c r="I68" s="151" t="s">
        <v>251</v>
      </c>
      <c r="J68" s="149" t="s">
        <v>252</v>
      </c>
      <c r="K68" s="151" t="s">
        <v>250</v>
      </c>
      <c r="L68" s="151" t="s">
        <v>253</v>
      </c>
      <c r="M68" s="152" t="s">
        <v>254</v>
      </c>
      <c r="N68" s="148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spans="1:24" x14ac:dyDescent="0.3">
      <c r="A69" s="153" t="s">
        <v>54</v>
      </c>
      <c r="B69" s="154"/>
      <c r="C69" s="154"/>
      <c r="D69" s="155"/>
      <c r="E69" s="155"/>
      <c r="F69" s="155"/>
      <c r="G69" s="172" t="s">
        <v>255</v>
      </c>
      <c r="H69" s="173"/>
      <c r="I69" s="173" t="s">
        <v>101</v>
      </c>
      <c r="J69" s="173" t="s">
        <v>99</v>
      </c>
      <c r="K69" s="173" t="s">
        <v>256</v>
      </c>
      <c r="L69" s="173"/>
      <c r="M69" s="88"/>
      <c r="N69" s="151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spans="1:24" x14ac:dyDescent="0.3">
      <c r="D70" s="157" t="s">
        <v>257</v>
      </c>
      <c r="E70" s="157"/>
      <c r="F70" s="157"/>
      <c r="G70" s="157"/>
      <c r="H70" s="157"/>
      <c r="I70" s="157"/>
      <c r="J70" s="157"/>
      <c r="K70" s="157"/>
      <c r="L70" s="157"/>
      <c r="M70" s="157"/>
      <c r="N70" s="151"/>
    </row>
    <row r="71" spans="1:24" x14ac:dyDescent="0.3">
      <c r="A71" s="156">
        <v>1</v>
      </c>
      <c r="D71" s="126"/>
      <c r="E71" s="126"/>
      <c r="F71" s="158"/>
      <c r="G71" s="159">
        <v>3181965.702812722</v>
      </c>
      <c r="H71" s="159">
        <v>1866164.1620735545</v>
      </c>
      <c r="I71" s="159">
        <v>3582396.9894183376</v>
      </c>
      <c r="J71" s="159">
        <v>0</v>
      </c>
      <c r="K71" s="159">
        <v>1749813.2991645578</v>
      </c>
      <c r="L71" s="159">
        <v>1061214.686530828</v>
      </c>
      <c r="M71" s="160">
        <v>11441554.84</v>
      </c>
      <c r="N71" s="151"/>
      <c r="X71" s="174"/>
    </row>
    <row r="72" spans="1:24" x14ac:dyDescent="0.3">
      <c r="D72" s="126"/>
      <c r="E72" s="126"/>
      <c r="F72" s="158"/>
      <c r="G72" s="161"/>
      <c r="H72" s="161"/>
      <c r="I72" s="161"/>
      <c r="J72" s="161"/>
      <c r="K72" s="161"/>
      <c r="L72" s="161"/>
      <c r="M72" s="158"/>
      <c r="N72" s="151"/>
      <c r="X72" s="174"/>
    </row>
    <row r="73" spans="1:24" x14ac:dyDescent="0.3">
      <c r="D73" s="157" t="s">
        <v>258</v>
      </c>
      <c r="E73" s="157"/>
      <c r="F73" s="157"/>
      <c r="G73" s="157"/>
      <c r="H73" s="157"/>
      <c r="I73" s="157"/>
      <c r="J73" s="157"/>
      <c r="K73" s="157"/>
      <c r="L73" s="157"/>
      <c r="M73" s="157"/>
      <c r="N73" s="151"/>
    </row>
    <row r="74" spans="1:24" x14ac:dyDescent="0.3">
      <c r="A74" s="156">
        <v>2</v>
      </c>
      <c r="D74" s="126"/>
      <c r="E74" s="126"/>
      <c r="F74" s="158"/>
      <c r="G74" s="162" t="s">
        <v>259</v>
      </c>
      <c r="H74" s="162" t="s">
        <v>260</v>
      </c>
      <c r="I74" s="162" t="s">
        <v>261</v>
      </c>
      <c r="J74" s="162" t="s">
        <v>261</v>
      </c>
      <c r="K74" s="162" t="s">
        <v>262</v>
      </c>
      <c r="L74" s="162" t="s">
        <v>263</v>
      </c>
      <c r="M74" s="126"/>
      <c r="N74" s="151"/>
      <c r="X74" s="174"/>
    </row>
    <row r="75" spans="1:24" x14ac:dyDescent="0.3">
      <c r="D75" s="126"/>
      <c r="E75" s="126"/>
      <c r="F75" s="158"/>
      <c r="G75" s="161"/>
      <c r="H75" s="161"/>
      <c r="I75" s="161"/>
      <c r="J75" s="161"/>
      <c r="K75" s="161"/>
      <c r="L75" s="161"/>
      <c r="M75" s="158"/>
      <c r="N75" s="151"/>
      <c r="X75" s="174"/>
    </row>
    <row r="76" spans="1:24" x14ac:dyDescent="0.3">
      <c r="D76" s="157" t="s">
        <v>264</v>
      </c>
      <c r="E76" s="157"/>
      <c r="F76" s="157"/>
      <c r="G76" s="157"/>
      <c r="H76" s="157"/>
      <c r="I76" s="157"/>
      <c r="J76" s="157"/>
      <c r="K76" s="157"/>
      <c r="L76" s="157"/>
      <c r="M76" s="157"/>
      <c r="N76" s="151"/>
    </row>
    <row r="77" spans="1:24" x14ac:dyDescent="0.3">
      <c r="A77" s="156">
        <v>3</v>
      </c>
      <c r="D77" s="126">
        <v>1</v>
      </c>
      <c r="E77" s="126" t="s">
        <v>265</v>
      </c>
      <c r="F77" s="163"/>
      <c r="G77" s="164">
        <v>2.490299254061072</v>
      </c>
      <c r="H77" s="164">
        <v>1.6447207459538091</v>
      </c>
      <c r="I77" s="164">
        <v>0.85753774971865815</v>
      </c>
      <c r="J77" s="164">
        <v>0.85753774971865815</v>
      </c>
      <c r="K77" s="175">
        <v>1.3622293597931883</v>
      </c>
      <c r="L77" s="164">
        <v>1</v>
      </c>
      <c r="M77" s="158"/>
      <c r="N77" s="151"/>
      <c r="X77" s="174"/>
    </row>
    <row r="78" spans="1:24" x14ac:dyDescent="0.3">
      <c r="A78" s="156">
        <v>4</v>
      </c>
      <c r="D78" s="126">
        <v>2</v>
      </c>
      <c r="E78" s="126" t="s">
        <v>266</v>
      </c>
      <c r="F78" s="163"/>
      <c r="G78" s="164">
        <v>0.78203961486374551</v>
      </c>
      <c r="H78" s="164">
        <v>0.96960809507935608</v>
      </c>
      <c r="I78" s="164">
        <v>1.1225175683621031</v>
      </c>
      <c r="J78" s="164">
        <v>1.1225175683621031</v>
      </c>
      <c r="K78" s="175">
        <v>0.99944772468847709</v>
      </c>
      <c r="L78" s="164">
        <v>1</v>
      </c>
      <c r="M78" s="158"/>
      <c r="N78" s="151"/>
      <c r="X78" s="174"/>
    </row>
    <row r="79" spans="1:24" x14ac:dyDescent="0.3">
      <c r="A79" s="156">
        <v>5</v>
      </c>
      <c r="D79" s="126">
        <v>3</v>
      </c>
      <c r="E79" s="126" t="s">
        <v>277</v>
      </c>
      <c r="F79" s="163"/>
      <c r="G79" s="164">
        <v>0.52989903387328763</v>
      </c>
      <c r="H79" s="164">
        <v>0.55449388383653153</v>
      </c>
      <c r="I79" s="164">
        <v>0.59336797534990238</v>
      </c>
      <c r="J79" s="164">
        <v>0.59336797534990238</v>
      </c>
      <c r="K79" s="175">
        <v>0.79790281105090721</v>
      </c>
      <c r="L79" s="164">
        <v>1</v>
      </c>
      <c r="M79" s="158"/>
      <c r="N79" s="151"/>
      <c r="X79" s="174"/>
    </row>
    <row r="80" spans="1:24" x14ac:dyDescent="0.3">
      <c r="A80" s="156">
        <v>6</v>
      </c>
      <c r="D80" s="126">
        <v>4</v>
      </c>
      <c r="E80" s="126" t="s">
        <v>136</v>
      </c>
      <c r="F80" s="163"/>
      <c r="G80" s="164">
        <v>0</v>
      </c>
      <c r="H80" s="164">
        <v>0</v>
      </c>
      <c r="I80" s="164">
        <v>0</v>
      </c>
      <c r="J80" s="164">
        <v>0</v>
      </c>
      <c r="K80" s="164">
        <v>0</v>
      </c>
      <c r="L80" s="164">
        <v>0</v>
      </c>
      <c r="M80" s="158"/>
      <c r="N80" s="151"/>
      <c r="X80" s="174"/>
    </row>
    <row r="81" spans="1:27" x14ac:dyDescent="0.3">
      <c r="A81" s="156">
        <v>7</v>
      </c>
      <c r="D81" s="126">
        <v>5</v>
      </c>
      <c r="E81" s="126" t="s">
        <v>136</v>
      </c>
      <c r="F81" s="163"/>
      <c r="G81" s="164">
        <v>0</v>
      </c>
      <c r="H81" s="164">
        <v>0</v>
      </c>
      <c r="I81" s="164">
        <v>0</v>
      </c>
      <c r="J81" s="164">
        <v>0</v>
      </c>
      <c r="K81" s="164">
        <v>0</v>
      </c>
      <c r="L81" s="164">
        <v>0</v>
      </c>
      <c r="M81" s="158"/>
      <c r="N81" s="151"/>
      <c r="X81" s="174"/>
    </row>
    <row r="82" spans="1:27" x14ac:dyDescent="0.3">
      <c r="A82" s="156">
        <v>8</v>
      </c>
      <c r="D82" s="126">
        <v>6</v>
      </c>
      <c r="E82" s="126" t="s">
        <v>136</v>
      </c>
      <c r="F82" s="163"/>
      <c r="G82" s="164">
        <v>0</v>
      </c>
      <c r="H82" s="164">
        <v>0</v>
      </c>
      <c r="I82" s="164">
        <v>0</v>
      </c>
      <c r="J82" s="164">
        <v>0</v>
      </c>
      <c r="K82" s="164">
        <v>0</v>
      </c>
      <c r="L82" s="164">
        <v>0</v>
      </c>
      <c r="M82" s="158"/>
      <c r="N82" s="151"/>
      <c r="X82" s="174"/>
    </row>
    <row r="83" spans="1:27" x14ac:dyDescent="0.3">
      <c r="D83" s="126"/>
      <c r="E83" s="126"/>
      <c r="F83" s="158"/>
      <c r="G83" s="161"/>
      <c r="H83" s="161"/>
      <c r="I83" s="161"/>
      <c r="J83" s="161"/>
      <c r="K83" s="161"/>
      <c r="L83" s="161"/>
      <c r="M83" s="158"/>
      <c r="N83" s="151"/>
      <c r="X83" s="174"/>
    </row>
    <row r="84" spans="1:27" x14ac:dyDescent="0.3">
      <c r="D84" s="157" t="s">
        <v>278</v>
      </c>
      <c r="E84" s="157"/>
      <c r="F84" s="157"/>
      <c r="G84" s="157"/>
      <c r="H84" s="157"/>
      <c r="I84" s="157"/>
      <c r="J84" s="157"/>
      <c r="K84" s="157"/>
      <c r="L84" s="157"/>
      <c r="M84" s="157"/>
      <c r="N84" s="151"/>
    </row>
    <row r="85" spans="1:27" x14ac:dyDescent="0.3">
      <c r="A85" s="156">
        <v>9</v>
      </c>
      <c r="D85" s="126">
        <v>1</v>
      </c>
      <c r="E85" s="126" t="s">
        <v>265</v>
      </c>
      <c r="F85" s="163"/>
      <c r="G85" s="161"/>
      <c r="H85" s="165"/>
      <c r="I85" s="161"/>
      <c r="J85" s="161"/>
      <c r="K85" s="161"/>
      <c r="L85" s="161"/>
      <c r="M85" s="159">
        <v>17943.969247436118</v>
      </c>
      <c r="N85" s="151"/>
      <c r="X85" s="174"/>
    </row>
    <row r="86" spans="1:27" x14ac:dyDescent="0.3">
      <c r="A86" s="156">
        <v>10</v>
      </c>
      <c r="D86" s="126">
        <v>2</v>
      </c>
      <c r="E86" s="126" t="s">
        <v>266</v>
      </c>
      <c r="F86" s="163"/>
      <c r="G86" s="161"/>
      <c r="H86" s="161"/>
      <c r="I86" s="161"/>
      <c r="J86" s="161"/>
      <c r="K86" s="161"/>
      <c r="L86" s="161"/>
      <c r="M86" s="159">
        <v>98411.437643373472</v>
      </c>
      <c r="N86" s="151"/>
      <c r="X86" s="174"/>
    </row>
    <row r="87" spans="1:27" x14ac:dyDescent="0.3">
      <c r="A87" s="156">
        <v>11</v>
      </c>
      <c r="D87" s="126">
        <v>3</v>
      </c>
      <c r="E87" s="126" t="s">
        <v>277</v>
      </c>
      <c r="F87" s="163"/>
      <c r="G87" s="161"/>
      <c r="H87" s="161"/>
      <c r="I87" s="161"/>
      <c r="J87" s="161"/>
      <c r="K87" s="161"/>
      <c r="L87" s="161"/>
      <c r="M87" s="159">
        <v>23364.593109191119</v>
      </c>
      <c r="N87" s="151"/>
      <c r="X87" s="174"/>
    </row>
    <row r="88" spans="1:27" x14ac:dyDescent="0.3">
      <c r="A88" s="156">
        <v>12</v>
      </c>
      <c r="D88" s="126">
        <v>4</v>
      </c>
      <c r="E88" s="126" t="s">
        <v>136</v>
      </c>
      <c r="F88" s="163"/>
      <c r="G88" s="161"/>
      <c r="H88" s="161"/>
      <c r="I88" s="161"/>
      <c r="J88" s="161"/>
      <c r="K88" s="161"/>
      <c r="L88" s="161"/>
      <c r="M88" s="159">
        <v>0</v>
      </c>
      <c r="N88" s="151"/>
      <c r="X88" s="174"/>
    </row>
    <row r="89" spans="1:27" x14ac:dyDescent="0.3">
      <c r="A89" s="156">
        <v>13</v>
      </c>
      <c r="D89" s="126">
        <v>5</v>
      </c>
      <c r="E89" s="126" t="s">
        <v>136</v>
      </c>
      <c r="F89" s="163"/>
      <c r="G89" s="161"/>
      <c r="H89" s="161"/>
      <c r="I89" s="161"/>
      <c r="J89" s="161"/>
      <c r="K89" s="161"/>
      <c r="L89" s="161"/>
      <c r="M89" s="159">
        <v>0</v>
      </c>
      <c r="N89" s="151"/>
      <c r="X89" s="174"/>
    </row>
    <row r="90" spans="1:27" x14ac:dyDescent="0.3">
      <c r="A90" s="156">
        <v>14</v>
      </c>
      <c r="D90" s="126">
        <v>6</v>
      </c>
      <c r="E90" s="126" t="s">
        <v>136</v>
      </c>
      <c r="F90" s="163"/>
      <c r="G90" s="161"/>
      <c r="H90" s="161"/>
      <c r="I90" s="161"/>
      <c r="J90" s="161"/>
      <c r="K90" s="161"/>
      <c r="L90" s="161"/>
      <c r="M90" s="159">
        <v>0</v>
      </c>
      <c r="N90" s="151"/>
      <c r="X90" s="174"/>
    </row>
    <row r="91" spans="1:27" x14ac:dyDescent="0.3">
      <c r="D91" s="126"/>
      <c r="E91" s="126"/>
      <c r="F91" s="158"/>
      <c r="G91" s="161"/>
      <c r="H91" s="161"/>
      <c r="I91" s="161"/>
      <c r="J91" s="161"/>
      <c r="K91" s="161"/>
      <c r="L91" s="161"/>
      <c r="M91" s="158"/>
      <c r="N91" s="151"/>
      <c r="X91" s="174"/>
    </row>
    <row r="92" spans="1:27" x14ac:dyDescent="0.3">
      <c r="D92" s="157" t="s">
        <v>269</v>
      </c>
      <c r="E92" s="157"/>
      <c r="F92" s="157"/>
      <c r="G92" s="157"/>
      <c r="H92" s="157"/>
      <c r="I92" s="157"/>
      <c r="J92" s="157"/>
      <c r="K92" s="157"/>
      <c r="L92" s="157"/>
      <c r="M92" s="157"/>
      <c r="N92" s="151"/>
    </row>
    <row r="93" spans="1:27" x14ac:dyDescent="0.3">
      <c r="A93" s="156">
        <v>15</v>
      </c>
      <c r="D93" s="126"/>
      <c r="E93" s="126"/>
      <c r="F93" s="158"/>
      <c r="G93" s="166">
        <v>2.374098611361029</v>
      </c>
      <c r="H93" s="166">
        <v>1.3533827457718819</v>
      </c>
      <c r="I93" s="166">
        <v>2.5639829583583769</v>
      </c>
      <c r="J93" s="166">
        <v>0</v>
      </c>
      <c r="K93" s="166">
        <v>1.2371105856138533</v>
      </c>
      <c r="L93" s="166">
        <v>0.75952954947811535</v>
      </c>
      <c r="M93" s="158"/>
      <c r="N93" s="151"/>
      <c r="X93" s="174"/>
    </row>
    <row r="94" spans="1:27" x14ac:dyDescent="0.3">
      <c r="D94" s="126"/>
      <c r="E94" s="126"/>
      <c r="F94" s="158"/>
      <c r="G94" s="161"/>
      <c r="H94" s="161"/>
      <c r="I94" s="161"/>
      <c r="J94" s="161"/>
      <c r="K94" s="161"/>
      <c r="L94" s="161"/>
      <c r="M94" s="158"/>
      <c r="N94" s="151"/>
      <c r="X94" s="174"/>
    </row>
    <row r="95" spans="1:27" x14ac:dyDescent="0.3">
      <c r="D95" s="157" t="s">
        <v>270</v>
      </c>
      <c r="E95" s="157"/>
      <c r="F95" s="157"/>
      <c r="G95" s="157"/>
      <c r="H95" s="157"/>
      <c r="I95" s="157"/>
      <c r="J95" s="157"/>
      <c r="K95" s="157"/>
      <c r="L95" s="157"/>
      <c r="M95" s="157"/>
      <c r="N95" s="151"/>
      <c r="Z95" s="126" t="s">
        <v>271</v>
      </c>
    </row>
    <row r="96" spans="1:27" x14ac:dyDescent="0.3">
      <c r="A96" s="156">
        <v>16</v>
      </c>
      <c r="D96" s="126">
        <v>1</v>
      </c>
      <c r="E96" s="126" t="s">
        <v>265</v>
      </c>
      <c r="F96" s="167"/>
      <c r="G96" s="166">
        <v>5.9122160009397975</v>
      </c>
      <c r="H96" s="166">
        <v>2.2259366791869439</v>
      </c>
      <c r="I96" s="166">
        <v>2.1987121764276303</v>
      </c>
      <c r="J96" s="166">
        <v>0</v>
      </c>
      <c r="K96" s="166">
        <v>1.6852283610341356</v>
      </c>
      <c r="L96" s="166">
        <v>0.75952954947811535</v>
      </c>
      <c r="M96" s="176">
        <v>12.781622767066622</v>
      </c>
      <c r="N96" s="151"/>
      <c r="X96" s="168">
        <f>M96/M97</f>
        <v>1.58916844422032</v>
      </c>
      <c r="Z96" s="168">
        <f>AA96/AA97</f>
        <v>1.3999999999999997</v>
      </c>
      <c r="AA96">
        <v>11.771546504771667</v>
      </c>
    </row>
    <row r="97" spans="1:29" x14ac:dyDescent="0.3">
      <c r="A97" s="156">
        <v>17</v>
      </c>
      <c r="D97" s="126">
        <v>2</v>
      </c>
      <c r="E97" s="126" t="s">
        <v>266</v>
      </c>
      <c r="F97" s="167"/>
      <c r="G97" s="166">
        <v>1.8566391636773321</v>
      </c>
      <c r="H97" s="166">
        <v>1.3122508660411429</v>
      </c>
      <c r="I97" s="166">
        <v>2.8781159157383169</v>
      </c>
      <c r="J97" s="166">
        <v>0</v>
      </c>
      <c r="K97" s="166">
        <v>1.2364273599797952</v>
      </c>
      <c r="L97" s="166">
        <v>0.75952954947811535</v>
      </c>
      <c r="M97" s="176">
        <v>8.0429628549147036</v>
      </c>
      <c r="N97" s="151"/>
      <c r="X97" s="168">
        <f>M97/M97</f>
        <v>1</v>
      </c>
      <c r="Z97" s="168">
        <v>1</v>
      </c>
      <c r="AA97">
        <v>8.4082475034083348</v>
      </c>
    </row>
    <row r="98" spans="1:29" x14ac:dyDescent="0.3">
      <c r="A98" s="156">
        <v>18</v>
      </c>
      <c r="D98" s="126">
        <v>3</v>
      </c>
      <c r="E98" s="126" t="s">
        <v>277</v>
      </c>
      <c r="F98" s="167"/>
      <c r="G98" s="166">
        <v>1.258032560480123</v>
      </c>
      <c r="H98" s="166">
        <v>0.75044245502039997</v>
      </c>
      <c r="I98" s="166">
        <v>1.5213853768327632</v>
      </c>
      <c r="J98" s="166">
        <v>0</v>
      </c>
      <c r="K98" s="166">
        <v>0.98709401384212758</v>
      </c>
      <c r="L98" s="166">
        <v>0.75952954947811535</v>
      </c>
      <c r="M98" s="176">
        <v>5.2764839556535286</v>
      </c>
      <c r="N98" s="151"/>
      <c r="X98" s="168">
        <f>M98/M97</f>
        <v>0.65603733982549717</v>
      </c>
      <c r="Z98" s="168">
        <f>AA98/AA97</f>
        <v>0.65603733982549717</v>
      </c>
      <c r="AA98">
        <v>5.5161243247303817</v>
      </c>
    </row>
    <row r="99" spans="1:29" x14ac:dyDescent="0.3">
      <c r="A99" s="156">
        <v>19</v>
      </c>
      <c r="D99" s="126">
        <v>4</v>
      </c>
      <c r="E99" s="126" t="s">
        <v>136</v>
      </c>
      <c r="F99" s="167"/>
      <c r="G99" s="166">
        <v>0</v>
      </c>
      <c r="H99" s="166">
        <v>0</v>
      </c>
      <c r="I99" s="166">
        <v>0</v>
      </c>
      <c r="J99" s="166">
        <v>0</v>
      </c>
      <c r="K99" s="166">
        <v>0</v>
      </c>
      <c r="L99" s="166">
        <v>0</v>
      </c>
      <c r="M99" s="169">
        <v>0</v>
      </c>
      <c r="N99" s="151"/>
      <c r="X99" s="174"/>
    </row>
    <row r="100" spans="1:29" x14ac:dyDescent="0.3">
      <c r="A100" s="156">
        <v>20</v>
      </c>
      <c r="D100" s="126">
        <v>5</v>
      </c>
      <c r="E100" s="126" t="s">
        <v>136</v>
      </c>
      <c r="F100" s="167"/>
      <c r="G100" s="166">
        <v>0</v>
      </c>
      <c r="H100" s="166">
        <v>0</v>
      </c>
      <c r="I100" s="166">
        <v>0</v>
      </c>
      <c r="J100" s="166">
        <v>0</v>
      </c>
      <c r="K100" s="166">
        <v>0</v>
      </c>
      <c r="L100" s="166">
        <v>0</v>
      </c>
      <c r="M100" s="169">
        <v>0</v>
      </c>
      <c r="X100" s="174"/>
    </row>
    <row r="101" spans="1:29" x14ac:dyDescent="0.3">
      <c r="A101" s="156">
        <v>21</v>
      </c>
      <c r="D101" s="126">
        <v>6</v>
      </c>
      <c r="E101" s="126" t="s">
        <v>136</v>
      </c>
      <c r="F101" s="167"/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9">
        <v>0</v>
      </c>
      <c r="X101" s="174"/>
    </row>
    <row r="102" spans="1:29" x14ac:dyDescent="0.3">
      <c r="D102" s="126"/>
      <c r="E102" s="126"/>
      <c r="F102" s="158"/>
      <c r="G102" s="161"/>
      <c r="H102" s="161"/>
      <c r="I102" s="161"/>
      <c r="J102" s="161"/>
      <c r="K102" s="161"/>
      <c r="L102" s="161"/>
      <c r="M102" s="158"/>
      <c r="X102" s="174"/>
    </row>
    <row r="103" spans="1:29" ht="15" thickBot="1" x14ac:dyDescent="0.35">
      <c r="D103" s="157" t="s">
        <v>272</v>
      </c>
      <c r="E103" s="157"/>
      <c r="F103" s="157"/>
      <c r="G103" s="157"/>
      <c r="H103" s="157"/>
      <c r="I103" s="157"/>
      <c r="J103" s="157"/>
      <c r="K103" s="157"/>
      <c r="L103" s="157"/>
      <c r="M103" s="157"/>
    </row>
    <row r="104" spans="1:29" x14ac:dyDescent="0.3">
      <c r="A104" s="156">
        <v>22</v>
      </c>
      <c r="D104" s="126"/>
      <c r="E104" s="126" t="s">
        <v>273</v>
      </c>
      <c r="F104" s="158"/>
      <c r="G104" s="159">
        <v>3181965.7028127229</v>
      </c>
      <c r="H104" s="159">
        <v>1866164.1620735547</v>
      </c>
      <c r="I104" s="159">
        <v>3582396.9894183371</v>
      </c>
      <c r="J104" s="159">
        <v>0</v>
      </c>
      <c r="K104" s="159">
        <v>1749813.2991645578</v>
      </c>
      <c r="L104" s="159">
        <v>1061214.686530828</v>
      </c>
      <c r="M104" s="160">
        <v>11441554.840000002</v>
      </c>
    </row>
    <row r="105" spans="1:29" x14ac:dyDescent="0.3">
      <c r="A105" s="156">
        <v>23</v>
      </c>
      <c r="D105" s="126"/>
      <c r="E105" s="126" t="s">
        <v>274</v>
      </c>
      <c r="F105" s="158"/>
      <c r="G105" s="159" t="b">
        <v>1</v>
      </c>
      <c r="H105" s="159" t="b">
        <v>1</v>
      </c>
      <c r="I105" s="159" t="b">
        <v>1</v>
      </c>
      <c r="J105" s="159" t="b">
        <v>1</v>
      </c>
      <c r="K105" s="159" t="b">
        <v>1</v>
      </c>
      <c r="L105" s="159" t="b">
        <v>1</v>
      </c>
      <c r="M105" s="159" t="b">
        <v>1</v>
      </c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</row>
    <row r="107" spans="1:29" ht="15" thickBot="1" x14ac:dyDescent="0.35">
      <c r="A107" s="170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0"/>
    </row>
    <row r="109" spans="1:29" x14ac:dyDescent="0.3">
      <c r="A109" s="134"/>
      <c r="B109" s="131"/>
      <c r="C109" s="131"/>
      <c r="D109" s="135"/>
      <c r="E109" s="131"/>
      <c r="F109" s="131"/>
      <c r="G109" s="131"/>
      <c r="H109" s="131"/>
      <c r="I109" s="131"/>
      <c r="J109" s="131"/>
      <c r="K109" s="131"/>
      <c r="L109" s="134"/>
      <c r="M109" s="30" t="s">
        <v>37</v>
      </c>
      <c r="N109" s="131"/>
      <c r="O109" s="134"/>
      <c r="P109" s="131"/>
      <c r="Q109" s="131"/>
      <c r="R109" s="131"/>
      <c r="S109" s="131"/>
      <c r="T109" s="131"/>
      <c r="U109" s="131"/>
      <c r="V109" s="131"/>
      <c r="W109" s="131"/>
      <c r="X109" s="131"/>
      <c r="AC109" s="129"/>
    </row>
    <row r="110" spans="1:29" x14ac:dyDescent="0.3">
      <c r="A110" s="134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33" t="str">
        <f>M57</f>
        <v>DOCKET NO.  20240025-EI</v>
      </c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4" t="s">
        <v>245</v>
      </c>
      <c r="AC110" s="136" t="s">
        <v>245</v>
      </c>
    </row>
    <row r="111" spans="1:29" x14ac:dyDescent="0.3">
      <c r="A111" s="134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33" t="s">
        <v>38</v>
      </c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AC111" s="129"/>
    </row>
    <row r="112" spans="1:29" x14ac:dyDescent="0.3">
      <c r="A112" s="134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30" t="s">
        <v>246</v>
      </c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AC112" s="129"/>
    </row>
    <row r="113" spans="1:29" x14ac:dyDescent="0.3">
      <c r="A113" s="134"/>
      <c r="B113" s="131"/>
      <c r="C113" s="137"/>
      <c r="D113" s="131"/>
      <c r="E113" s="131"/>
      <c r="F113" s="131"/>
      <c r="G113" s="131"/>
      <c r="H113" s="131"/>
      <c r="I113" s="131"/>
      <c r="J113" s="131"/>
      <c r="K113" s="131"/>
      <c r="L113" s="134"/>
      <c r="M113" s="79" t="s">
        <v>290</v>
      </c>
      <c r="N113" s="131"/>
      <c r="O113" s="134"/>
      <c r="P113" s="131"/>
      <c r="Q113" s="131"/>
      <c r="R113" s="131"/>
      <c r="S113" s="131"/>
      <c r="T113" s="131"/>
      <c r="U113" s="131"/>
      <c r="V113" s="131"/>
      <c r="W113" s="131"/>
      <c r="X113" s="131"/>
      <c r="AC113" s="129"/>
    </row>
    <row r="114" spans="1:29" ht="15.6" x14ac:dyDescent="0.3">
      <c r="A114" s="138" t="s">
        <v>248</v>
      </c>
      <c r="B114" s="139"/>
      <c r="C114" s="139"/>
      <c r="D114" s="140"/>
      <c r="E114" s="140"/>
      <c r="F114" s="140"/>
      <c r="G114" s="140"/>
      <c r="H114" s="140"/>
      <c r="I114" s="140"/>
      <c r="J114" s="140"/>
      <c r="K114" s="140"/>
      <c r="L114" s="140"/>
      <c r="M114" s="37" t="s">
        <v>11</v>
      </c>
      <c r="N114" s="82"/>
      <c r="O114" s="83"/>
      <c r="P114" s="83"/>
      <c r="Q114" s="83"/>
      <c r="R114" s="83"/>
      <c r="S114" s="83"/>
      <c r="T114" s="83"/>
      <c r="U114" s="83"/>
      <c r="V114" s="83"/>
      <c r="W114" s="83"/>
      <c r="X114" s="83"/>
    </row>
    <row r="115" spans="1:29" ht="15.6" x14ac:dyDescent="0.3">
      <c r="A115" s="142"/>
      <c r="B115" s="279"/>
      <c r="C115" s="279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82"/>
      <c r="O115" s="83"/>
      <c r="P115" s="83"/>
      <c r="Q115" s="83"/>
      <c r="R115" s="83"/>
      <c r="S115" s="83"/>
      <c r="T115" s="83"/>
      <c r="U115" s="83"/>
      <c r="V115" s="83"/>
      <c r="W115" s="83"/>
      <c r="X115" s="83"/>
    </row>
    <row r="116" spans="1:29" ht="15.6" x14ac:dyDescent="0.3">
      <c r="A116" s="142"/>
      <c r="B116" s="279"/>
      <c r="C116" s="279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82"/>
      <c r="O116" s="83"/>
      <c r="P116" s="83"/>
      <c r="Q116" s="83"/>
      <c r="R116" s="83"/>
      <c r="S116" s="83"/>
      <c r="T116" s="83"/>
      <c r="U116" s="83"/>
      <c r="V116" s="83"/>
      <c r="W116" s="83"/>
      <c r="X116" s="83"/>
    </row>
    <row r="117" spans="1:29" ht="15.6" x14ac:dyDescent="0.3">
      <c r="A117" s="375" t="s">
        <v>280</v>
      </c>
      <c r="B117" s="375"/>
      <c r="C117" s="375"/>
      <c r="D117" s="375"/>
      <c r="E117" s="375"/>
      <c r="F117" s="375"/>
      <c r="G117" s="375"/>
      <c r="H117" s="375"/>
      <c r="I117" s="375"/>
      <c r="J117" s="375"/>
      <c r="K117" s="375"/>
      <c r="L117" s="375"/>
      <c r="M117" s="375"/>
      <c r="N117" s="82"/>
      <c r="O117" s="83"/>
      <c r="P117" s="83"/>
      <c r="Q117" s="83"/>
      <c r="R117" s="83"/>
      <c r="S117" s="83"/>
      <c r="T117" s="83"/>
      <c r="U117" s="83"/>
      <c r="V117" s="83"/>
      <c r="W117" s="83"/>
      <c r="X117" s="83"/>
    </row>
    <row r="118" spans="1:29" x14ac:dyDescent="0.3">
      <c r="A118" s="143"/>
      <c r="B118" s="109"/>
      <c r="C118" s="109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</row>
    <row r="119" spans="1:29" x14ac:dyDescent="0.3">
      <c r="A119" s="144"/>
      <c r="B119" s="145"/>
      <c r="C119" s="145"/>
      <c r="D119" s="376">
        <v>-1</v>
      </c>
      <c r="E119" s="376"/>
      <c r="F119" s="146"/>
      <c r="G119" s="278">
        <f>+D119-1</f>
        <v>-2</v>
      </c>
      <c r="H119" s="278">
        <f t="shared" ref="H119:M119" si="2">+G119-1</f>
        <v>-3</v>
      </c>
      <c r="I119" s="278">
        <f t="shared" si="2"/>
        <v>-4</v>
      </c>
      <c r="J119" s="278">
        <f t="shared" si="2"/>
        <v>-5</v>
      </c>
      <c r="K119" s="278">
        <f t="shared" si="2"/>
        <v>-6</v>
      </c>
      <c r="L119" s="278">
        <f t="shared" si="2"/>
        <v>-7</v>
      </c>
      <c r="M119" s="278">
        <f t="shared" si="2"/>
        <v>-8</v>
      </c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</row>
    <row r="120" spans="1:29" x14ac:dyDescent="0.3">
      <c r="A120" s="147"/>
      <c r="B120" s="148"/>
      <c r="C120" s="148"/>
      <c r="D120" s="148"/>
      <c r="E120" s="148"/>
      <c r="F120" s="148"/>
      <c r="G120" s="148"/>
      <c r="H120" s="149"/>
      <c r="I120" s="148"/>
      <c r="J120" s="149"/>
      <c r="K120" s="78"/>
      <c r="L120" s="78"/>
      <c r="M120" s="78"/>
      <c r="N120" s="148"/>
      <c r="O120" s="78"/>
      <c r="P120" s="78"/>
      <c r="Q120" s="78"/>
      <c r="R120" s="78"/>
      <c r="S120" s="78"/>
      <c r="T120" s="78"/>
      <c r="U120" s="78"/>
      <c r="V120" s="78"/>
      <c r="W120" s="78"/>
      <c r="X120" s="78"/>
    </row>
    <row r="121" spans="1:29" ht="27.6" x14ac:dyDescent="0.3">
      <c r="A121" s="147"/>
      <c r="B121" s="148"/>
      <c r="C121" s="148"/>
      <c r="D121" s="148"/>
      <c r="E121" s="148"/>
      <c r="F121" s="148"/>
      <c r="G121" s="149" t="s">
        <v>250</v>
      </c>
      <c r="H121" s="150" t="s">
        <v>102</v>
      </c>
      <c r="I121" s="151" t="s">
        <v>251</v>
      </c>
      <c r="J121" s="149" t="s">
        <v>252</v>
      </c>
      <c r="K121" s="151" t="s">
        <v>250</v>
      </c>
      <c r="L121" s="151" t="s">
        <v>253</v>
      </c>
      <c r="M121" s="152" t="s">
        <v>254</v>
      </c>
      <c r="N121" s="148"/>
      <c r="O121" s="78"/>
      <c r="P121" s="78"/>
      <c r="Q121" s="78"/>
      <c r="R121" s="78"/>
      <c r="S121" s="78"/>
      <c r="T121" s="78"/>
      <c r="U121" s="78"/>
      <c r="V121" s="78"/>
      <c r="W121" s="78"/>
      <c r="X121" s="78"/>
    </row>
    <row r="122" spans="1:29" x14ac:dyDescent="0.3">
      <c r="A122" s="153" t="s">
        <v>54</v>
      </c>
      <c r="B122" s="154"/>
      <c r="C122" s="154"/>
      <c r="D122" s="155"/>
      <c r="E122" s="155"/>
      <c r="F122" s="155"/>
      <c r="G122" s="172" t="s">
        <v>255</v>
      </c>
      <c r="H122" s="172" t="s">
        <v>255</v>
      </c>
      <c r="I122" s="173" t="s">
        <v>101</v>
      </c>
      <c r="J122" s="173" t="s">
        <v>99</v>
      </c>
      <c r="K122" s="173" t="s">
        <v>256</v>
      </c>
      <c r="L122" s="173"/>
      <c r="M122" s="88"/>
      <c r="N122" s="131"/>
      <c r="O122" s="78"/>
      <c r="P122" s="78"/>
      <c r="Q122" s="78"/>
      <c r="R122" s="78"/>
      <c r="S122" s="78"/>
      <c r="T122" s="78"/>
      <c r="U122" s="78"/>
      <c r="V122" s="78"/>
      <c r="W122" s="78"/>
      <c r="X122" s="78"/>
    </row>
    <row r="123" spans="1:29" ht="15" thickBot="1" x14ac:dyDescent="0.35">
      <c r="D123" s="157" t="s">
        <v>257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131"/>
    </row>
    <row r="124" spans="1:29" x14ac:dyDescent="0.3">
      <c r="A124" s="156">
        <v>1</v>
      </c>
      <c r="D124" s="126"/>
      <c r="E124" s="126"/>
      <c r="F124" s="158"/>
      <c r="G124" s="159">
        <v>88296939.930345207</v>
      </c>
      <c r="H124" s="159">
        <v>48556296.010135047</v>
      </c>
      <c r="I124" s="159">
        <v>74466411.448771924</v>
      </c>
      <c r="J124" s="159">
        <v>0</v>
      </c>
      <c r="K124" s="159">
        <v>133320635.16331328</v>
      </c>
      <c r="L124" s="159">
        <v>3989537.3474345244</v>
      </c>
      <c r="M124" s="160">
        <v>348629819.89999998</v>
      </c>
      <c r="N124" s="131"/>
      <c r="X124" s="174"/>
    </row>
    <row r="125" spans="1:29" x14ac:dyDescent="0.3">
      <c r="D125" s="126"/>
      <c r="E125" s="126"/>
      <c r="F125" s="158"/>
      <c r="G125" s="161"/>
      <c r="H125" s="161"/>
      <c r="I125" s="161"/>
      <c r="J125" s="161"/>
      <c r="K125" s="161"/>
      <c r="L125" s="161"/>
      <c r="M125" s="158"/>
      <c r="N125" s="131"/>
      <c r="X125" s="174"/>
    </row>
    <row r="126" spans="1:29" ht="16.2" thickBot="1" x14ac:dyDescent="0.35">
      <c r="D126" s="157" t="s">
        <v>258</v>
      </c>
      <c r="E126" s="157"/>
      <c r="F126" s="157"/>
      <c r="G126" s="157"/>
      <c r="H126" s="157"/>
      <c r="I126" s="157"/>
      <c r="J126" s="157"/>
      <c r="K126" s="157"/>
      <c r="L126" s="157"/>
      <c r="M126" s="157"/>
      <c r="N126" s="82"/>
    </row>
    <row r="127" spans="1:29" ht="15.6" x14ac:dyDescent="0.3">
      <c r="A127" s="156">
        <v>2</v>
      </c>
      <c r="D127" s="126"/>
      <c r="E127" s="126"/>
      <c r="F127" s="158"/>
      <c r="G127" s="162" t="s">
        <v>259</v>
      </c>
      <c r="H127" s="162" t="s">
        <v>260</v>
      </c>
      <c r="I127" s="162" t="s">
        <v>261</v>
      </c>
      <c r="J127" s="162" t="s">
        <v>261</v>
      </c>
      <c r="K127" s="162" t="s">
        <v>262</v>
      </c>
      <c r="L127" s="162" t="s">
        <v>263</v>
      </c>
      <c r="M127" s="126"/>
      <c r="N127" s="82"/>
      <c r="X127" s="174"/>
    </row>
    <row r="128" spans="1:29" x14ac:dyDescent="0.3">
      <c r="D128" s="126"/>
      <c r="E128" s="126"/>
      <c r="F128" s="158"/>
      <c r="G128" s="161"/>
      <c r="H128" s="161"/>
      <c r="I128" s="161"/>
      <c r="J128" s="161"/>
      <c r="K128" s="161"/>
      <c r="L128" s="161"/>
      <c r="M128" s="158"/>
      <c r="N128" s="131"/>
      <c r="X128" s="174"/>
    </row>
    <row r="129" spans="1:24" ht="15" thickBot="1" x14ac:dyDescent="0.35">
      <c r="D129" s="157" t="s">
        <v>264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131"/>
    </row>
    <row r="130" spans="1:24" x14ac:dyDescent="0.3">
      <c r="A130" s="156">
        <v>3</v>
      </c>
      <c r="D130" s="126">
        <v>1</v>
      </c>
      <c r="E130" s="126" t="s">
        <v>265</v>
      </c>
      <c r="F130" s="163"/>
      <c r="G130" s="164">
        <v>2.490299254061072</v>
      </c>
      <c r="H130" s="164">
        <v>1.6447207459538091</v>
      </c>
      <c r="I130" s="164">
        <v>0.85753774971865815</v>
      </c>
      <c r="J130" s="164">
        <v>0.85753774971865815</v>
      </c>
      <c r="K130" s="175">
        <v>1.3622293597931883</v>
      </c>
      <c r="L130" s="164">
        <v>1</v>
      </c>
      <c r="M130" s="158"/>
      <c r="N130" s="131"/>
      <c r="X130" s="174"/>
    </row>
    <row r="131" spans="1:24" x14ac:dyDescent="0.3">
      <c r="A131" s="156">
        <v>4</v>
      </c>
      <c r="D131" s="126">
        <v>2</v>
      </c>
      <c r="E131" s="126" t="s">
        <v>266</v>
      </c>
      <c r="F131" s="163"/>
      <c r="G131" s="164">
        <v>0.78203961486374551</v>
      </c>
      <c r="H131" s="164">
        <v>0.96960809507935608</v>
      </c>
      <c r="I131" s="164">
        <v>1.1225175683621031</v>
      </c>
      <c r="J131" s="164">
        <v>1.1225175683621031</v>
      </c>
      <c r="K131" s="175">
        <v>0.99944772468847709</v>
      </c>
      <c r="L131" s="164">
        <v>1</v>
      </c>
      <c r="M131" s="158"/>
      <c r="N131" s="131"/>
      <c r="X131" s="174"/>
    </row>
    <row r="132" spans="1:24" ht="15.6" x14ac:dyDescent="0.3">
      <c r="A132" s="156">
        <v>5</v>
      </c>
      <c r="D132" s="126">
        <v>3</v>
      </c>
      <c r="E132" s="126" t="s">
        <v>277</v>
      </c>
      <c r="F132" s="163"/>
      <c r="G132" s="164">
        <v>0.52989903387328763</v>
      </c>
      <c r="H132" s="164">
        <v>0.55449388383653153</v>
      </c>
      <c r="I132" s="164">
        <v>0.59336797534990238</v>
      </c>
      <c r="J132" s="164">
        <v>0.59336797534990238</v>
      </c>
      <c r="K132" s="175">
        <v>0.79790281105090721</v>
      </c>
      <c r="L132" s="164">
        <v>1</v>
      </c>
      <c r="M132" s="158"/>
      <c r="N132" s="82"/>
      <c r="X132" s="174"/>
    </row>
    <row r="133" spans="1:24" ht="15.6" x14ac:dyDescent="0.3">
      <c r="A133" s="156">
        <v>6</v>
      </c>
      <c r="D133" s="126">
        <v>4</v>
      </c>
      <c r="E133" s="126" t="s">
        <v>136</v>
      </c>
      <c r="F133" s="163"/>
      <c r="G133" s="164">
        <v>0</v>
      </c>
      <c r="H133" s="164">
        <v>0</v>
      </c>
      <c r="I133" s="164">
        <v>0</v>
      </c>
      <c r="J133" s="164">
        <v>0</v>
      </c>
      <c r="K133" s="164">
        <v>0</v>
      </c>
      <c r="L133" s="164">
        <v>0</v>
      </c>
      <c r="M133" s="158"/>
      <c r="N133" s="82"/>
      <c r="X133" s="174"/>
    </row>
    <row r="134" spans="1:24" x14ac:dyDescent="0.3">
      <c r="A134" s="156">
        <v>7</v>
      </c>
      <c r="D134" s="126">
        <v>5</v>
      </c>
      <c r="E134" s="126" t="s">
        <v>136</v>
      </c>
      <c r="F134" s="163"/>
      <c r="G134" s="164">
        <v>0</v>
      </c>
      <c r="H134" s="164">
        <v>0</v>
      </c>
      <c r="I134" s="164">
        <v>0</v>
      </c>
      <c r="J134" s="164">
        <v>0</v>
      </c>
      <c r="K134" s="164">
        <v>0</v>
      </c>
      <c r="L134" s="164">
        <v>0</v>
      </c>
      <c r="M134" s="158"/>
      <c r="N134" s="131"/>
      <c r="X134" s="174"/>
    </row>
    <row r="135" spans="1:24" x14ac:dyDescent="0.3">
      <c r="A135" s="156">
        <v>8</v>
      </c>
      <c r="D135" s="126">
        <v>6</v>
      </c>
      <c r="E135" s="126" t="s">
        <v>136</v>
      </c>
      <c r="F135" s="163"/>
      <c r="G135" s="164">
        <v>0</v>
      </c>
      <c r="H135" s="164">
        <v>0</v>
      </c>
      <c r="I135" s="164">
        <v>0</v>
      </c>
      <c r="J135" s="164">
        <v>0</v>
      </c>
      <c r="K135" s="164">
        <v>0</v>
      </c>
      <c r="L135" s="164">
        <v>0</v>
      </c>
      <c r="M135" s="158"/>
      <c r="N135" s="131"/>
      <c r="X135" s="174"/>
    </row>
    <row r="136" spans="1:24" x14ac:dyDescent="0.3">
      <c r="D136" s="126"/>
      <c r="E136" s="126"/>
      <c r="F136" s="158"/>
      <c r="G136" s="161"/>
      <c r="H136" s="161"/>
      <c r="I136" s="161"/>
      <c r="J136" s="161"/>
      <c r="K136" s="161"/>
      <c r="L136" s="161"/>
      <c r="M136" s="158"/>
      <c r="N136" s="131"/>
      <c r="X136" s="174"/>
    </row>
    <row r="137" spans="1:24" ht="15" thickBot="1" x14ac:dyDescent="0.35">
      <c r="D137" s="157" t="s">
        <v>278</v>
      </c>
      <c r="E137" s="157"/>
      <c r="F137" s="157"/>
      <c r="G137" s="157"/>
      <c r="H137" s="157"/>
      <c r="I137" s="157"/>
      <c r="J137" s="157"/>
      <c r="K137" s="157"/>
      <c r="L137" s="157"/>
      <c r="M137" s="157"/>
      <c r="N137" s="131"/>
    </row>
    <row r="138" spans="1:24" ht="15.6" x14ac:dyDescent="0.3">
      <c r="A138" s="156">
        <v>9</v>
      </c>
      <c r="D138" s="126">
        <v>1</v>
      </c>
      <c r="E138" s="126" t="s">
        <v>265</v>
      </c>
      <c r="F138" s="163"/>
      <c r="G138" s="161"/>
      <c r="H138" s="165"/>
      <c r="I138" s="161"/>
      <c r="J138" s="161"/>
      <c r="K138" s="161"/>
      <c r="L138" s="161"/>
      <c r="M138" s="159">
        <v>1261927.4888269855</v>
      </c>
      <c r="N138" s="82"/>
      <c r="X138" s="174"/>
    </row>
    <row r="139" spans="1:24" ht="15.6" x14ac:dyDescent="0.3">
      <c r="A139" s="156">
        <v>10</v>
      </c>
      <c r="D139" s="126">
        <v>2</v>
      </c>
      <c r="E139" s="126" t="s">
        <v>266</v>
      </c>
      <c r="F139" s="163"/>
      <c r="G139" s="161"/>
      <c r="H139" s="161"/>
      <c r="I139" s="161"/>
      <c r="J139" s="161"/>
      <c r="K139" s="161"/>
      <c r="L139" s="161"/>
      <c r="M139" s="159">
        <v>6920882.2565776575</v>
      </c>
      <c r="N139" s="82"/>
      <c r="X139" s="174"/>
    </row>
    <row r="140" spans="1:24" x14ac:dyDescent="0.3">
      <c r="A140" s="156">
        <v>11</v>
      </c>
      <c r="D140" s="126">
        <v>3</v>
      </c>
      <c r="E140" s="126" t="s">
        <v>277</v>
      </c>
      <c r="F140" s="163"/>
      <c r="G140" s="161"/>
      <c r="H140" s="161"/>
      <c r="I140" s="161"/>
      <c r="J140" s="161"/>
      <c r="K140" s="161"/>
      <c r="L140" s="161"/>
      <c r="M140" s="159">
        <v>1643138.2545954068</v>
      </c>
      <c r="N140" s="131"/>
      <c r="X140" s="174"/>
    </row>
    <row r="141" spans="1:24" x14ac:dyDescent="0.3">
      <c r="A141" s="156">
        <v>12</v>
      </c>
      <c r="D141" s="126">
        <v>4</v>
      </c>
      <c r="E141" s="126" t="s">
        <v>136</v>
      </c>
      <c r="F141" s="163"/>
      <c r="G141" s="161"/>
      <c r="H141" s="161"/>
      <c r="I141" s="161"/>
      <c r="J141" s="161"/>
      <c r="K141" s="161"/>
      <c r="L141" s="161"/>
      <c r="M141" s="159">
        <v>0</v>
      </c>
      <c r="N141" s="131"/>
      <c r="X141" s="174"/>
    </row>
    <row r="142" spans="1:24" x14ac:dyDescent="0.3">
      <c r="A142" s="156">
        <v>13</v>
      </c>
      <c r="D142" s="126">
        <v>5</v>
      </c>
      <c r="E142" s="126" t="s">
        <v>136</v>
      </c>
      <c r="F142" s="163"/>
      <c r="G142" s="161"/>
      <c r="H142" s="161"/>
      <c r="I142" s="161"/>
      <c r="J142" s="161"/>
      <c r="K142" s="161"/>
      <c r="L142" s="161"/>
      <c r="M142" s="159">
        <v>0</v>
      </c>
      <c r="N142" s="131"/>
      <c r="X142" s="174"/>
    </row>
    <row r="143" spans="1:24" x14ac:dyDescent="0.3">
      <c r="A143" s="156">
        <v>14</v>
      </c>
      <c r="D143" s="126">
        <v>6</v>
      </c>
      <c r="E143" s="126" t="s">
        <v>136</v>
      </c>
      <c r="F143" s="163"/>
      <c r="G143" s="161"/>
      <c r="H143" s="161"/>
      <c r="I143" s="161"/>
      <c r="J143" s="161"/>
      <c r="K143" s="161"/>
      <c r="L143" s="161"/>
      <c r="M143" s="159">
        <v>0</v>
      </c>
      <c r="N143" s="131"/>
      <c r="X143" s="174"/>
    </row>
    <row r="144" spans="1:24" ht="15.6" x14ac:dyDescent="0.3">
      <c r="D144" s="126"/>
      <c r="E144" s="126"/>
      <c r="F144" s="158"/>
      <c r="G144" s="161"/>
      <c r="H144" s="161"/>
      <c r="I144" s="161"/>
      <c r="J144" s="161"/>
      <c r="K144" s="161"/>
      <c r="L144" s="161"/>
      <c r="M144" s="158"/>
      <c r="N144" s="82"/>
      <c r="X144" s="174"/>
    </row>
    <row r="145" spans="1:27" ht="16.2" thickBot="1" x14ac:dyDescent="0.35">
      <c r="D145" s="157" t="s">
        <v>269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82"/>
    </row>
    <row r="146" spans="1:27" x14ac:dyDescent="0.3">
      <c r="A146" s="156">
        <v>15</v>
      </c>
      <c r="D146" s="126"/>
      <c r="E146" s="126"/>
      <c r="F146" s="158"/>
      <c r="G146" s="166">
        <v>0.93677011624654993</v>
      </c>
      <c r="H146" s="166">
        <v>0.50072636165872164</v>
      </c>
      <c r="I146" s="166">
        <v>0.75785472759240791</v>
      </c>
      <c r="J146" s="166">
        <v>0</v>
      </c>
      <c r="K146" s="166">
        <v>1.340288525778776</v>
      </c>
      <c r="L146" s="166">
        <v>4.060206045701141E-2</v>
      </c>
      <c r="M146" s="158"/>
      <c r="N146" s="131"/>
      <c r="X146" s="174"/>
    </row>
    <row r="147" spans="1:27" x14ac:dyDescent="0.3">
      <c r="D147" s="126"/>
      <c r="E147" s="126"/>
      <c r="F147" s="158"/>
      <c r="G147" s="161"/>
      <c r="H147" s="161"/>
      <c r="I147" s="161"/>
      <c r="J147" s="161"/>
      <c r="K147" s="161"/>
      <c r="L147" s="161"/>
      <c r="M147" s="158"/>
      <c r="N147" s="131"/>
      <c r="X147" s="174"/>
    </row>
    <row r="148" spans="1:27" ht="15" thickBot="1" x14ac:dyDescent="0.35">
      <c r="D148" s="157" t="s">
        <v>270</v>
      </c>
      <c r="E148" s="157"/>
      <c r="F148" s="157"/>
      <c r="G148" s="157"/>
      <c r="H148" s="157"/>
      <c r="I148" s="157"/>
      <c r="J148" s="157"/>
      <c r="K148" s="157"/>
      <c r="L148" s="157"/>
      <c r="M148" s="157"/>
      <c r="N148" s="131"/>
      <c r="Z148" s="126" t="s">
        <v>271</v>
      </c>
    </row>
    <row r="149" spans="1:27" x14ac:dyDescent="0.3">
      <c r="A149" s="156">
        <v>16</v>
      </c>
      <c r="D149" s="126">
        <v>1</v>
      </c>
      <c r="E149" s="126" t="s">
        <v>265</v>
      </c>
      <c r="F149" s="167"/>
      <c r="G149" s="166">
        <v>2.3328379217154871</v>
      </c>
      <c r="H149" s="166">
        <v>0.82355503506606942</v>
      </c>
      <c r="I149" s="166">
        <v>0.64988903771324014</v>
      </c>
      <c r="J149" s="166">
        <v>0</v>
      </c>
      <c r="K149" s="166">
        <v>1.8257803804097781</v>
      </c>
      <c r="L149" s="166">
        <v>4.060206045701141E-2</v>
      </c>
      <c r="M149" s="176">
        <v>5.672664435361586</v>
      </c>
      <c r="N149" s="131"/>
      <c r="X149" s="168">
        <f>M149/M150</f>
        <v>1.6447486106046232</v>
      </c>
      <c r="Z149" s="168">
        <f>AA149/AA150</f>
        <v>1.4</v>
      </c>
      <c r="AA149" s="331">
        <v>5.0148050550174013</v>
      </c>
    </row>
    <row r="150" spans="1:27" ht="15.6" x14ac:dyDescent="0.3">
      <c r="A150" s="156">
        <v>17</v>
      </c>
      <c r="D150" s="126">
        <v>2</v>
      </c>
      <c r="E150" s="126" t="s">
        <v>266</v>
      </c>
      <c r="F150" s="167"/>
      <c r="G150" s="166">
        <v>0.73259134092531797</v>
      </c>
      <c r="H150" s="166">
        <v>0.48550833368392982</v>
      </c>
      <c r="I150" s="166">
        <v>0.85070524598875374</v>
      </c>
      <c r="J150" s="166">
        <v>0</v>
      </c>
      <c r="K150" s="166">
        <v>1.339548317515671</v>
      </c>
      <c r="L150" s="166">
        <v>4.060206045701141E-2</v>
      </c>
      <c r="M150" s="176">
        <v>3.4489552985706839</v>
      </c>
      <c r="N150" s="82"/>
      <c r="X150" s="168">
        <f>M150/M150</f>
        <v>1</v>
      </c>
      <c r="Z150" s="168">
        <v>1</v>
      </c>
      <c r="AA150" s="331">
        <v>3.5820036107267152</v>
      </c>
    </row>
    <row r="151" spans="1:27" ht="15.6" x14ac:dyDescent="0.3">
      <c r="A151" s="156">
        <v>18</v>
      </c>
      <c r="D151" s="126">
        <v>3</v>
      </c>
      <c r="E151" s="126" t="s">
        <v>277</v>
      </c>
      <c r="F151" s="167"/>
      <c r="G151" s="166">
        <v>0.49639357956041413</v>
      </c>
      <c r="H151" s="166">
        <v>0.27764970501548025</v>
      </c>
      <c r="I151" s="166">
        <v>0.44968672532085885</v>
      </c>
      <c r="J151" s="166">
        <v>0</v>
      </c>
      <c r="K151" s="166">
        <v>1.0694199823381616</v>
      </c>
      <c r="L151" s="166">
        <v>4.060206045701141E-2</v>
      </c>
      <c r="M151" s="176">
        <v>2.3337520526919264</v>
      </c>
      <c r="N151" s="82"/>
      <c r="X151" s="168">
        <f>M151/M150</f>
        <v>0.67665476953530823</v>
      </c>
      <c r="Z151" s="168">
        <f>AA151/AA150</f>
        <v>0.67665476953530823</v>
      </c>
      <c r="AA151" s="331">
        <v>2.4237798276909275</v>
      </c>
    </row>
    <row r="152" spans="1:27" x14ac:dyDescent="0.3">
      <c r="A152" s="156">
        <v>19</v>
      </c>
      <c r="D152" s="126">
        <v>4</v>
      </c>
      <c r="E152" s="126" t="s">
        <v>136</v>
      </c>
      <c r="F152" s="167"/>
      <c r="G152" s="166">
        <v>0</v>
      </c>
      <c r="H152" s="166">
        <v>0</v>
      </c>
      <c r="I152" s="166">
        <v>0</v>
      </c>
      <c r="J152" s="166">
        <v>0</v>
      </c>
      <c r="K152" s="166">
        <v>0</v>
      </c>
      <c r="L152" s="166">
        <v>0</v>
      </c>
      <c r="M152" s="169">
        <v>0</v>
      </c>
      <c r="N152" s="131"/>
      <c r="X152" s="174"/>
    </row>
    <row r="153" spans="1:27" x14ac:dyDescent="0.3">
      <c r="A153" s="156">
        <v>20</v>
      </c>
      <c r="D153" s="126">
        <v>5</v>
      </c>
      <c r="E153" s="126" t="s">
        <v>136</v>
      </c>
      <c r="F153" s="167"/>
      <c r="G153" s="166">
        <v>0</v>
      </c>
      <c r="H153" s="166">
        <v>0</v>
      </c>
      <c r="I153" s="166">
        <v>0</v>
      </c>
      <c r="J153" s="166">
        <v>0</v>
      </c>
      <c r="K153" s="166">
        <v>0</v>
      </c>
      <c r="L153" s="166">
        <v>0</v>
      </c>
      <c r="M153" s="169">
        <v>0</v>
      </c>
      <c r="N153" s="131"/>
    </row>
    <row r="154" spans="1:27" x14ac:dyDescent="0.3">
      <c r="A154" s="156">
        <v>21</v>
      </c>
      <c r="D154" s="126">
        <v>6</v>
      </c>
      <c r="E154" s="126" t="s">
        <v>136</v>
      </c>
      <c r="F154" s="167"/>
      <c r="G154" s="166">
        <v>0</v>
      </c>
      <c r="H154" s="166">
        <v>0</v>
      </c>
      <c r="I154" s="166">
        <v>0</v>
      </c>
      <c r="J154" s="166">
        <v>0</v>
      </c>
      <c r="K154" s="166">
        <v>0</v>
      </c>
      <c r="L154" s="166">
        <v>0</v>
      </c>
      <c r="M154" s="169">
        <v>0</v>
      </c>
      <c r="N154" s="131"/>
      <c r="X154" s="174"/>
    </row>
    <row r="155" spans="1:27" x14ac:dyDescent="0.3">
      <c r="D155" s="126"/>
      <c r="E155" s="126"/>
      <c r="F155" s="158"/>
      <c r="G155" s="161"/>
      <c r="H155" s="161"/>
      <c r="I155" s="161"/>
      <c r="J155" s="161"/>
      <c r="K155" s="161"/>
      <c r="L155" s="161"/>
      <c r="M155" s="158"/>
      <c r="N155" s="131"/>
      <c r="X155" s="174"/>
    </row>
    <row r="156" spans="1:27" ht="16.2" thickBot="1" x14ac:dyDescent="0.35">
      <c r="D156" s="157" t="s">
        <v>272</v>
      </c>
      <c r="E156" s="157"/>
      <c r="F156" s="157"/>
      <c r="G156" s="157"/>
      <c r="H156" s="157"/>
      <c r="I156" s="157"/>
      <c r="J156" s="157"/>
      <c r="K156" s="157"/>
      <c r="L156" s="157"/>
      <c r="M156" s="157"/>
      <c r="N156" s="82"/>
    </row>
    <row r="157" spans="1:27" ht="15.6" x14ac:dyDescent="0.3">
      <c r="A157" s="156">
        <v>22</v>
      </c>
      <c r="D157" s="126"/>
      <c r="E157" s="126" t="s">
        <v>273</v>
      </c>
      <c r="F157" s="158"/>
      <c r="G157" s="177">
        <v>88296939.930345207</v>
      </c>
      <c r="H157" s="177">
        <v>48556296.010135047</v>
      </c>
      <c r="I157" s="177">
        <v>74466411.448771924</v>
      </c>
      <c r="J157" s="177">
        <v>0</v>
      </c>
      <c r="K157" s="177">
        <v>133320635.1633133</v>
      </c>
      <c r="L157" s="177">
        <v>3989537.347434524</v>
      </c>
      <c r="M157" s="178">
        <v>348629819.89999998</v>
      </c>
      <c r="N157" s="82"/>
    </row>
    <row r="158" spans="1:27" x14ac:dyDescent="0.3">
      <c r="A158" s="156">
        <v>23</v>
      </c>
      <c r="D158" s="126"/>
      <c r="E158" s="126" t="s">
        <v>274</v>
      </c>
      <c r="F158" s="158"/>
      <c r="G158" s="159" t="b">
        <v>1</v>
      </c>
      <c r="H158" s="159" t="b">
        <v>1</v>
      </c>
      <c r="I158" s="159" t="b">
        <v>1</v>
      </c>
      <c r="J158" s="159" t="b">
        <v>1</v>
      </c>
      <c r="K158" s="159" t="b">
        <v>1</v>
      </c>
      <c r="L158" s="159" t="b">
        <v>1</v>
      </c>
      <c r="M158" s="159" t="b">
        <v>1</v>
      </c>
      <c r="N158" s="131"/>
    </row>
    <row r="160" spans="1:27" ht="15" thickBot="1" x14ac:dyDescent="0.35">
      <c r="D160" s="157" t="s">
        <v>281</v>
      </c>
      <c r="E160" s="157"/>
      <c r="F160" s="157"/>
      <c r="G160" s="157"/>
      <c r="H160" s="157"/>
      <c r="I160" s="157"/>
      <c r="J160" s="157"/>
      <c r="K160" s="157"/>
      <c r="L160" s="157"/>
      <c r="M160" s="157"/>
    </row>
    <row r="161" spans="1:29" x14ac:dyDescent="0.3">
      <c r="A161" s="156">
        <v>24</v>
      </c>
      <c r="D161" s="126">
        <v>1</v>
      </c>
      <c r="E161" s="126" t="s">
        <v>265</v>
      </c>
      <c r="G161" s="166">
        <v>0</v>
      </c>
      <c r="H161" s="166">
        <v>0</v>
      </c>
      <c r="I161" s="166">
        <v>0</v>
      </c>
      <c r="J161" s="166">
        <v>0</v>
      </c>
      <c r="K161" s="166">
        <v>0</v>
      </c>
      <c r="L161" s="166">
        <v>0</v>
      </c>
      <c r="M161" s="179">
        <v>2.71</v>
      </c>
      <c r="X161" s="168">
        <f>M161/SUM($M$161:$M$163)</f>
        <v>0.24980322606010869</v>
      </c>
    </row>
    <row r="162" spans="1:29" x14ac:dyDescent="0.3">
      <c r="A162" s="156">
        <v>25</v>
      </c>
      <c r="D162" s="126">
        <v>2</v>
      </c>
      <c r="E162" s="126" t="s">
        <v>282</v>
      </c>
      <c r="G162" s="166">
        <v>0</v>
      </c>
      <c r="H162" s="166">
        <v>0</v>
      </c>
      <c r="I162" s="166">
        <v>0</v>
      </c>
      <c r="J162" s="166">
        <v>0</v>
      </c>
      <c r="K162" s="166">
        <v>0</v>
      </c>
      <c r="L162" s="166">
        <v>0</v>
      </c>
      <c r="M162" s="179">
        <v>4.84</v>
      </c>
      <c r="X162" s="168">
        <f>M162/SUM($M$161:$M$163)</f>
        <v>0.44614303104462216</v>
      </c>
    </row>
    <row r="163" spans="1:29" x14ac:dyDescent="0.3">
      <c r="A163" s="156">
        <v>26</v>
      </c>
      <c r="D163" s="126">
        <v>3</v>
      </c>
      <c r="E163" s="126" t="s">
        <v>120</v>
      </c>
      <c r="G163" s="166">
        <v>0</v>
      </c>
      <c r="H163" s="166">
        <v>0</v>
      </c>
      <c r="I163" s="166">
        <v>0</v>
      </c>
      <c r="J163" s="166">
        <v>0</v>
      </c>
      <c r="K163" s="166">
        <v>0</v>
      </c>
      <c r="L163" s="166">
        <v>0</v>
      </c>
      <c r="M163" s="179">
        <v>3.2985388389175916</v>
      </c>
      <c r="X163" s="168">
        <f>M163/SUM($M$161:$M$163)</f>
        <v>0.30405374289526921</v>
      </c>
    </row>
    <row r="165" spans="1:29" ht="15" thickBot="1" x14ac:dyDescent="0.35">
      <c r="A165" s="170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0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</row>
    <row r="167" spans="1:29" x14ac:dyDescent="0.3">
      <c r="A167" s="134"/>
      <c r="B167" s="131"/>
      <c r="C167" s="131"/>
      <c r="D167" s="135"/>
      <c r="E167" s="131"/>
      <c r="F167" s="131"/>
      <c r="G167" s="131"/>
      <c r="H167" s="131"/>
      <c r="I167" s="131"/>
      <c r="J167" s="131"/>
      <c r="K167" s="131"/>
      <c r="L167" s="134"/>
      <c r="M167" s="30" t="s">
        <v>37</v>
      </c>
      <c r="N167" s="131"/>
      <c r="O167" s="134"/>
      <c r="P167" s="131"/>
      <c r="Q167" s="131"/>
      <c r="R167" s="131"/>
      <c r="S167" s="131"/>
      <c r="T167" s="131"/>
      <c r="U167" s="131"/>
      <c r="V167" s="131"/>
      <c r="W167" s="131"/>
      <c r="X167" s="131"/>
      <c r="AC167" s="129"/>
    </row>
    <row r="168" spans="1:29" x14ac:dyDescent="0.3">
      <c r="A168" s="134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33" t="str">
        <f>M110</f>
        <v>DOCKET NO.  20240025-EI</v>
      </c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4" t="s">
        <v>245</v>
      </c>
      <c r="AC168" s="136" t="s">
        <v>245</v>
      </c>
    </row>
    <row r="169" spans="1:29" x14ac:dyDescent="0.3">
      <c r="A169" s="134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33" t="s">
        <v>38</v>
      </c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AC169" s="129"/>
    </row>
    <row r="170" spans="1:29" x14ac:dyDescent="0.3">
      <c r="A170" s="134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30" t="s">
        <v>246</v>
      </c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AC170" s="129"/>
    </row>
    <row r="171" spans="1:29" x14ac:dyDescent="0.3">
      <c r="A171" s="134"/>
      <c r="B171" s="131"/>
      <c r="C171" s="137"/>
      <c r="D171" s="131"/>
      <c r="E171" s="131"/>
      <c r="F171" s="131"/>
      <c r="G171" s="131"/>
      <c r="H171" s="131"/>
      <c r="I171" s="131"/>
      <c r="J171" s="131"/>
      <c r="K171" s="131"/>
      <c r="L171" s="134"/>
      <c r="M171" s="79" t="s">
        <v>291</v>
      </c>
      <c r="N171" s="131"/>
      <c r="O171" s="134"/>
      <c r="P171" s="131"/>
      <c r="Q171" s="131"/>
      <c r="R171" s="131"/>
      <c r="S171" s="131"/>
      <c r="T171" s="131"/>
      <c r="U171" s="131"/>
      <c r="V171" s="131"/>
      <c r="W171" s="131"/>
      <c r="X171" s="131"/>
      <c r="AC171" s="129"/>
    </row>
    <row r="172" spans="1:29" ht="15.6" x14ac:dyDescent="0.3">
      <c r="A172" s="138" t="s">
        <v>248</v>
      </c>
      <c r="B172" s="139"/>
      <c r="C172" s="139"/>
      <c r="D172" s="140"/>
      <c r="E172" s="140"/>
      <c r="F172" s="140"/>
      <c r="G172" s="140"/>
      <c r="H172" s="140"/>
      <c r="I172" s="140"/>
      <c r="J172" s="140"/>
      <c r="K172" s="140"/>
      <c r="L172" s="140"/>
      <c r="M172" s="37" t="s">
        <v>11</v>
      </c>
      <c r="N172" s="82"/>
      <c r="O172" s="83"/>
      <c r="P172" s="83"/>
      <c r="Q172" s="83"/>
      <c r="R172" s="83"/>
      <c r="S172" s="83"/>
      <c r="T172" s="83"/>
      <c r="U172" s="83"/>
      <c r="V172" s="83"/>
      <c r="W172" s="83"/>
      <c r="X172" s="83"/>
    </row>
    <row r="173" spans="1:29" ht="15.6" x14ac:dyDescent="0.3">
      <c r="A173" s="142"/>
      <c r="B173" s="279"/>
      <c r="C173" s="279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82"/>
      <c r="O173" s="83"/>
      <c r="P173" s="83"/>
      <c r="Q173" s="83"/>
      <c r="R173" s="83"/>
      <c r="S173" s="83"/>
      <c r="T173" s="83"/>
      <c r="U173" s="83"/>
      <c r="V173" s="83"/>
      <c r="W173" s="83"/>
      <c r="X173" s="83"/>
    </row>
    <row r="174" spans="1:29" ht="15.6" x14ac:dyDescent="0.3">
      <c r="A174" s="142"/>
      <c r="B174" s="279"/>
      <c r="C174" s="279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82"/>
      <c r="O174" s="83"/>
      <c r="P174" s="83"/>
      <c r="Q174" s="83"/>
      <c r="R174" s="83"/>
      <c r="S174" s="83"/>
      <c r="T174" s="83"/>
      <c r="U174" s="83"/>
      <c r="V174" s="83"/>
      <c r="W174" s="83"/>
      <c r="X174" s="83"/>
    </row>
    <row r="175" spans="1:29" ht="15.6" x14ac:dyDescent="0.3">
      <c r="A175" s="375" t="s">
        <v>284</v>
      </c>
      <c r="B175" s="375"/>
      <c r="C175" s="375"/>
      <c r="D175" s="375"/>
      <c r="E175" s="375"/>
      <c r="F175" s="375"/>
      <c r="G175" s="375"/>
      <c r="H175" s="375"/>
      <c r="I175" s="375"/>
      <c r="J175" s="375"/>
      <c r="K175" s="375"/>
      <c r="L175" s="375"/>
      <c r="M175" s="375"/>
      <c r="N175" s="82"/>
      <c r="O175" s="83"/>
      <c r="P175" s="83"/>
      <c r="Q175" s="83"/>
      <c r="R175" s="83"/>
      <c r="S175" s="83"/>
      <c r="T175" s="83"/>
      <c r="U175" s="83"/>
      <c r="V175" s="83"/>
      <c r="W175" s="83"/>
      <c r="X175" s="83"/>
    </row>
    <row r="176" spans="1:29" x14ac:dyDescent="0.3">
      <c r="A176" s="143"/>
      <c r="B176" s="109"/>
      <c r="C176" s="109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</row>
    <row r="177" spans="1:24" x14ac:dyDescent="0.3">
      <c r="A177" s="144"/>
      <c r="B177" s="145"/>
      <c r="C177" s="145"/>
      <c r="D177" s="278">
        <v>-1</v>
      </c>
      <c r="E177" s="278"/>
      <c r="F177" s="146"/>
      <c r="G177" s="278">
        <f>+D177-1</f>
        <v>-2</v>
      </c>
      <c r="H177" s="278">
        <f t="shared" ref="H177:M177" si="3">+G177-1</f>
        <v>-3</v>
      </c>
      <c r="I177" s="278">
        <f t="shared" si="3"/>
        <v>-4</v>
      </c>
      <c r="J177" s="278">
        <f t="shared" si="3"/>
        <v>-5</v>
      </c>
      <c r="K177" s="278">
        <f t="shared" si="3"/>
        <v>-6</v>
      </c>
      <c r="L177" s="278">
        <f t="shared" si="3"/>
        <v>-7</v>
      </c>
      <c r="M177" s="278">
        <f t="shared" si="3"/>
        <v>-8</v>
      </c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</row>
    <row r="178" spans="1:24" x14ac:dyDescent="0.3">
      <c r="A178" s="147"/>
      <c r="B178" s="148"/>
      <c r="C178" s="148"/>
      <c r="D178" s="148"/>
      <c r="E178" s="148"/>
      <c r="F178" s="148"/>
      <c r="G178" s="148"/>
      <c r="H178" s="149"/>
      <c r="I178" s="148"/>
      <c r="J178" s="149"/>
      <c r="K178" s="78"/>
      <c r="L178" s="78"/>
      <c r="M178" s="78"/>
      <c r="N178" s="148"/>
      <c r="O178" s="78"/>
      <c r="P178" s="78"/>
      <c r="Q178" s="78"/>
      <c r="R178" s="78"/>
      <c r="S178" s="78"/>
      <c r="T178" s="78"/>
      <c r="U178" s="78"/>
      <c r="V178" s="78"/>
      <c r="W178" s="78"/>
      <c r="X178" s="78"/>
    </row>
    <row r="179" spans="1:24" ht="27.6" x14ac:dyDescent="0.3">
      <c r="A179" s="147"/>
      <c r="B179" s="148"/>
      <c r="C179" s="148"/>
      <c r="D179" s="148"/>
      <c r="E179" s="148"/>
      <c r="F179" s="148"/>
      <c r="G179" s="149" t="s">
        <v>250</v>
      </c>
      <c r="H179" s="150" t="s">
        <v>102</v>
      </c>
      <c r="I179" s="151" t="s">
        <v>251</v>
      </c>
      <c r="J179" s="149" t="s">
        <v>252</v>
      </c>
      <c r="K179" s="151" t="s">
        <v>250</v>
      </c>
      <c r="L179" s="151" t="s">
        <v>253</v>
      </c>
      <c r="M179" s="152" t="s">
        <v>254</v>
      </c>
      <c r="N179" s="148"/>
      <c r="O179" s="78"/>
      <c r="P179" s="78"/>
      <c r="Q179" s="78"/>
      <c r="R179" s="78"/>
      <c r="S179" s="78"/>
      <c r="T179" s="78"/>
      <c r="U179" s="78"/>
      <c r="V179" s="78"/>
      <c r="W179" s="78"/>
      <c r="X179" s="78"/>
    </row>
    <row r="180" spans="1:24" x14ac:dyDescent="0.3">
      <c r="A180" s="153" t="s">
        <v>54</v>
      </c>
      <c r="B180" s="154"/>
      <c r="C180" s="154"/>
      <c r="D180" s="155"/>
      <c r="E180" s="155"/>
      <c r="F180" s="155"/>
      <c r="G180" s="172" t="s">
        <v>255</v>
      </c>
      <c r="H180" s="172" t="s">
        <v>255</v>
      </c>
      <c r="I180" s="173" t="s">
        <v>101</v>
      </c>
      <c r="J180" s="173" t="s">
        <v>99</v>
      </c>
      <c r="K180" s="173" t="s">
        <v>256</v>
      </c>
      <c r="L180" s="173"/>
      <c r="M180" s="88"/>
      <c r="N180" s="151"/>
      <c r="O180" s="78"/>
      <c r="P180" s="78"/>
      <c r="Q180" s="78"/>
      <c r="R180" s="78"/>
      <c r="S180" s="78"/>
      <c r="T180" s="78"/>
      <c r="U180" s="78"/>
      <c r="V180" s="78"/>
      <c r="W180" s="78"/>
      <c r="X180" s="78"/>
    </row>
    <row r="181" spans="1:24" ht="15" thickBot="1" x14ac:dyDescent="0.35">
      <c r="D181" s="157" t="s">
        <v>257</v>
      </c>
      <c r="E181" s="157"/>
      <c r="F181" s="157"/>
      <c r="G181" s="157"/>
      <c r="H181" s="157"/>
      <c r="I181" s="157"/>
      <c r="J181" s="157"/>
      <c r="K181" s="157"/>
      <c r="L181" s="157"/>
      <c r="M181" s="157"/>
      <c r="N181" s="78"/>
    </row>
    <row r="182" spans="1:24" x14ac:dyDescent="0.3">
      <c r="A182" s="156">
        <v>1</v>
      </c>
      <c r="D182" s="126"/>
      <c r="E182" s="126"/>
      <c r="F182" s="158"/>
      <c r="G182" s="159">
        <v>260251.58400185779</v>
      </c>
      <c r="H182" s="159">
        <v>143117.46902407991</v>
      </c>
      <c r="I182" s="159">
        <v>273415.93418999191</v>
      </c>
      <c r="J182" s="159">
        <v>0</v>
      </c>
      <c r="K182" s="159">
        <v>821482.69693668257</v>
      </c>
      <c r="L182" s="159">
        <v>-2997.4141526124422</v>
      </c>
      <c r="M182" s="160">
        <v>1495270.2699999998</v>
      </c>
      <c r="N182" s="148"/>
      <c r="X182" s="174"/>
    </row>
    <row r="183" spans="1:24" x14ac:dyDescent="0.3">
      <c r="D183" s="126"/>
      <c r="E183" s="126"/>
      <c r="F183" s="158"/>
      <c r="G183" s="161"/>
      <c r="H183" s="161"/>
      <c r="I183" s="161"/>
      <c r="J183" s="161"/>
      <c r="K183" s="161"/>
      <c r="L183" s="161"/>
      <c r="M183" s="158"/>
      <c r="N183" s="148"/>
      <c r="X183" s="174"/>
    </row>
    <row r="184" spans="1:24" ht="15" thickBot="1" x14ac:dyDescent="0.35">
      <c r="D184" s="157" t="s">
        <v>258</v>
      </c>
      <c r="E184" s="157"/>
      <c r="F184" s="157"/>
      <c r="G184" s="157"/>
      <c r="H184" s="157"/>
      <c r="I184" s="157"/>
      <c r="J184" s="157"/>
      <c r="K184" s="157"/>
      <c r="L184" s="157"/>
      <c r="M184" s="157"/>
      <c r="N184" s="131"/>
    </row>
    <row r="185" spans="1:24" x14ac:dyDescent="0.3">
      <c r="A185" s="156">
        <v>2</v>
      </c>
      <c r="D185" s="126"/>
      <c r="E185" s="126"/>
      <c r="F185" s="158"/>
      <c r="G185" s="162" t="s">
        <v>259</v>
      </c>
      <c r="H185" s="162" t="s">
        <v>260</v>
      </c>
      <c r="I185" s="162" t="s">
        <v>261</v>
      </c>
      <c r="J185" s="162" t="s">
        <v>261</v>
      </c>
      <c r="K185" s="162" t="s">
        <v>262</v>
      </c>
      <c r="L185" s="162" t="s">
        <v>263</v>
      </c>
      <c r="M185" s="126"/>
      <c r="N185" s="131"/>
      <c r="X185" s="174"/>
    </row>
    <row r="186" spans="1:24" x14ac:dyDescent="0.3">
      <c r="D186" s="126"/>
      <c r="E186" s="126"/>
      <c r="F186" s="158"/>
      <c r="G186" s="161"/>
      <c r="H186" s="161"/>
      <c r="I186" s="161"/>
      <c r="J186" s="161"/>
      <c r="K186" s="161"/>
      <c r="L186" s="161"/>
      <c r="M186" s="158"/>
      <c r="N186" s="131"/>
      <c r="X186" s="174"/>
    </row>
    <row r="187" spans="1:24" ht="15" thickBot="1" x14ac:dyDescent="0.35">
      <c r="D187" s="157" t="s">
        <v>264</v>
      </c>
      <c r="E187" s="157"/>
      <c r="F187" s="157"/>
      <c r="G187" s="157"/>
      <c r="H187" s="157"/>
      <c r="I187" s="157"/>
      <c r="J187" s="157"/>
      <c r="K187" s="157"/>
      <c r="L187" s="157"/>
      <c r="M187" s="157"/>
      <c r="N187" s="131"/>
    </row>
    <row r="188" spans="1:24" ht="15.6" x14ac:dyDescent="0.3">
      <c r="A188" s="156">
        <v>3</v>
      </c>
      <c r="D188" s="126">
        <v>1</v>
      </c>
      <c r="E188" s="126" t="s">
        <v>265</v>
      </c>
      <c r="F188" s="163"/>
      <c r="G188" s="164">
        <v>2.490299254061072</v>
      </c>
      <c r="H188" s="164">
        <v>1.6447207459538091</v>
      </c>
      <c r="I188" s="164">
        <v>0.91826446983474097</v>
      </c>
      <c r="J188" s="164">
        <v>0.91826446983474097</v>
      </c>
      <c r="K188" s="175">
        <v>1.3622293597931883</v>
      </c>
      <c r="L188" s="164">
        <v>1</v>
      </c>
      <c r="M188" s="158"/>
      <c r="N188" s="82"/>
      <c r="X188" s="174"/>
    </row>
    <row r="189" spans="1:24" ht="15.6" x14ac:dyDescent="0.3">
      <c r="A189" s="156">
        <v>4</v>
      </c>
      <c r="D189" s="126">
        <v>2</v>
      </c>
      <c r="E189" s="126" t="s">
        <v>266</v>
      </c>
      <c r="F189" s="163"/>
      <c r="G189" s="164">
        <v>0.78203961486374551</v>
      </c>
      <c r="H189" s="164">
        <v>0.96960809507935608</v>
      </c>
      <c r="I189" s="164">
        <v>1.0668147111832031</v>
      </c>
      <c r="J189" s="164">
        <v>1.0668147111832031</v>
      </c>
      <c r="K189" s="175">
        <v>0.99944772468847709</v>
      </c>
      <c r="L189" s="164">
        <v>1</v>
      </c>
      <c r="M189" s="158"/>
      <c r="N189" s="82"/>
      <c r="X189" s="174"/>
    </row>
    <row r="190" spans="1:24" x14ac:dyDescent="0.3">
      <c r="A190" s="156">
        <v>5</v>
      </c>
      <c r="D190" s="126">
        <v>3</v>
      </c>
      <c r="E190" s="126" t="s">
        <v>277</v>
      </c>
      <c r="F190" s="163"/>
      <c r="G190" s="164">
        <v>0.52989903387328763</v>
      </c>
      <c r="H190" s="164">
        <v>0.55449388383653153</v>
      </c>
      <c r="I190" s="164">
        <v>0.83527839063120013</v>
      </c>
      <c r="J190" s="164">
        <v>0.83527839063120013</v>
      </c>
      <c r="K190" s="175">
        <v>0.79790281105090721</v>
      </c>
      <c r="L190" s="164">
        <v>1</v>
      </c>
      <c r="M190" s="158"/>
      <c r="N190" s="131"/>
      <c r="X190" s="174"/>
    </row>
    <row r="191" spans="1:24" x14ac:dyDescent="0.3">
      <c r="A191" s="156">
        <v>6</v>
      </c>
      <c r="D191" s="126">
        <v>4</v>
      </c>
      <c r="E191" s="126" t="s">
        <v>136</v>
      </c>
      <c r="F191" s="163"/>
      <c r="G191" s="164">
        <v>0</v>
      </c>
      <c r="H191" s="164">
        <v>0</v>
      </c>
      <c r="I191" s="164">
        <v>0</v>
      </c>
      <c r="J191" s="164">
        <v>0</v>
      </c>
      <c r="K191" s="164">
        <v>0</v>
      </c>
      <c r="L191" s="164">
        <v>0</v>
      </c>
      <c r="M191" s="158"/>
      <c r="N191" s="131"/>
      <c r="X191" s="174"/>
    </row>
    <row r="192" spans="1:24" x14ac:dyDescent="0.3">
      <c r="A192" s="156">
        <v>7</v>
      </c>
      <c r="D192" s="126">
        <v>5</v>
      </c>
      <c r="E192" s="126" t="s">
        <v>136</v>
      </c>
      <c r="F192" s="163"/>
      <c r="G192" s="164">
        <v>0</v>
      </c>
      <c r="H192" s="164">
        <v>0</v>
      </c>
      <c r="I192" s="164">
        <v>0</v>
      </c>
      <c r="J192" s="164">
        <v>0</v>
      </c>
      <c r="K192" s="164">
        <v>0</v>
      </c>
      <c r="L192" s="164">
        <v>0</v>
      </c>
      <c r="M192" s="158"/>
      <c r="N192" s="131"/>
      <c r="X192" s="174"/>
    </row>
    <row r="193" spans="1:27" x14ac:dyDescent="0.3">
      <c r="A193" s="156">
        <v>8</v>
      </c>
      <c r="D193" s="126">
        <v>6</v>
      </c>
      <c r="E193" s="126" t="s">
        <v>136</v>
      </c>
      <c r="F193" s="163"/>
      <c r="G193" s="164">
        <v>0</v>
      </c>
      <c r="H193" s="164">
        <v>0</v>
      </c>
      <c r="I193" s="164">
        <v>0</v>
      </c>
      <c r="J193" s="164">
        <v>0</v>
      </c>
      <c r="K193" s="164">
        <v>0</v>
      </c>
      <c r="L193" s="164">
        <v>0</v>
      </c>
      <c r="M193" s="158"/>
      <c r="N193" s="131"/>
      <c r="X193" s="174"/>
    </row>
    <row r="194" spans="1:27" ht="15.6" x14ac:dyDescent="0.3">
      <c r="D194" s="126"/>
      <c r="E194" s="126"/>
      <c r="F194" s="158"/>
      <c r="G194" s="161"/>
      <c r="H194" s="161"/>
      <c r="I194" s="161"/>
      <c r="J194" s="161"/>
      <c r="K194" s="161"/>
      <c r="L194" s="161"/>
      <c r="M194" s="158"/>
      <c r="N194" s="82"/>
      <c r="X194" s="174"/>
    </row>
    <row r="195" spans="1:27" ht="16.2" thickBot="1" x14ac:dyDescent="0.35">
      <c r="D195" s="157" t="s">
        <v>278</v>
      </c>
      <c r="E195" s="157"/>
      <c r="F195" s="157"/>
      <c r="G195" s="157"/>
      <c r="H195" s="157"/>
      <c r="I195" s="157"/>
      <c r="J195" s="157"/>
      <c r="K195" s="157"/>
      <c r="L195" s="157"/>
      <c r="M195" s="157"/>
      <c r="N195" s="82"/>
    </row>
    <row r="196" spans="1:27" x14ac:dyDescent="0.3">
      <c r="A196" s="156">
        <v>9</v>
      </c>
      <c r="D196" s="126">
        <v>1</v>
      </c>
      <c r="E196" s="126" t="s">
        <v>265</v>
      </c>
      <c r="F196" s="163"/>
      <c r="G196" s="161"/>
      <c r="H196" s="165"/>
      <c r="I196" s="161"/>
      <c r="J196" s="161"/>
      <c r="K196" s="161"/>
      <c r="L196" s="161"/>
      <c r="M196" s="159">
        <v>8606.9031854657169</v>
      </c>
      <c r="N196" s="131"/>
      <c r="X196" s="174"/>
    </row>
    <row r="197" spans="1:27" x14ac:dyDescent="0.3">
      <c r="A197" s="156">
        <v>10</v>
      </c>
      <c r="D197" s="126">
        <v>2</v>
      </c>
      <c r="E197" s="126" t="s">
        <v>266</v>
      </c>
      <c r="F197" s="163"/>
      <c r="G197" s="161"/>
      <c r="H197" s="161"/>
      <c r="I197" s="161"/>
      <c r="J197" s="161"/>
      <c r="K197" s="161"/>
      <c r="L197" s="161"/>
      <c r="M197" s="159">
        <v>44306.54977402059</v>
      </c>
      <c r="N197" s="131"/>
      <c r="X197" s="174"/>
    </row>
    <row r="198" spans="1:27" x14ac:dyDescent="0.3">
      <c r="A198" s="156">
        <v>11</v>
      </c>
      <c r="D198" s="126">
        <v>3</v>
      </c>
      <c r="E198" s="126" t="s">
        <v>277</v>
      </c>
      <c r="F198" s="163"/>
      <c r="G198" s="161"/>
      <c r="H198" s="161"/>
      <c r="I198" s="161"/>
      <c r="J198" s="161"/>
      <c r="K198" s="161"/>
      <c r="L198" s="161"/>
      <c r="M198" s="159">
        <v>13700.931774391835</v>
      </c>
      <c r="N198" s="131"/>
      <c r="X198" s="174"/>
    </row>
    <row r="199" spans="1:27" x14ac:dyDescent="0.3">
      <c r="A199" s="156">
        <v>12</v>
      </c>
      <c r="D199" s="126">
        <v>4</v>
      </c>
      <c r="E199" s="126" t="s">
        <v>136</v>
      </c>
      <c r="F199" s="163"/>
      <c r="G199" s="161"/>
      <c r="H199" s="161"/>
      <c r="I199" s="161"/>
      <c r="J199" s="161"/>
      <c r="K199" s="161"/>
      <c r="L199" s="161"/>
      <c r="M199" s="159">
        <v>0</v>
      </c>
      <c r="N199" s="131"/>
      <c r="X199" s="174"/>
    </row>
    <row r="200" spans="1:27" ht="15.6" x14ac:dyDescent="0.3">
      <c r="A200" s="156">
        <v>13</v>
      </c>
      <c r="D200" s="126">
        <v>5</v>
      </c>
      <c r="E200" s="126" t="s">
        <v>136</v>
      </c>
      <c r="F200" s="163"/>
      <c r="G200" s="161"/>
      <c r="H200" s="161"/>
      <c r="I200" s="161"/>
      <c r="J200" s="161"/>
      <c r="K200" s="161"/>
      <c r="L200" s="161"/>
      <c r="M200" s="159">
        <v>0</v>
      </c>
      <c r="N200" s="82"/>
      <c r="X200" s="174"/>
    </row>
    <row r="201" spans="1:27" ht="15.6" x14ac:dyDescent="0.3">
      <c r="A201" s="156">
        <v>14</v>
      </c>
      <c r="D201" s="126">
        <v>6</v>
      </c>
      <c r="E201" s="126" t="s">
        <v>136</v>
      </c>
      <c r="F201" s="163"/>
      <c r="G201" s="161"/>
      <c r="H201" s="161"/>
      <c r="I201" s="161"/>
      <c r="J201" s="161"/>
      <c r="K201" s="161"/>
      <c r="L201" s="161"/>
      <c r="M201" s="159">
        <v>0</v>
      </c>
      <c r="N201" s="82"/>
      <c r="X201" s="174"/>
    </row>
    <row r="202" spans="1:27" x14ac:dyDescent="0.3">
      <c r="D202" s="126"/>
      <c r="E202" s="126"/>
      <c r="F202" s="158"/>
      <c r="G202" s="161"/>
      <c r="H202" s="161"/>
      <c r="I202" s="161"/>
      <c r="J202" s="161"/>
      <c r="K202" s="161"/>
      <c r="L202" s="161"/>
      <c r="M202" s="158"/>
      <c r="N202" s="131"/>
      <c r="X202" s="174"/>
    </row>
    <row r="203" spans="1:27" ht="15" thickBot="1" x14ac:dyDescent="0.35">
      <c r="D203" s="157" t="s">
        <v>269</v>
      </c>
      <c r="E203" s="157"/>
      <c r="F203" s="157"/>
      <c r="G203" s="157"/>
      <c r="H203" s="157"/>
      <c r="I203" s="157"/>
      <c r="J203" s="157"/>
      <c r="K203" s="157"/>
      <c r="L203" s="157"/>
      <c r="M203" s="157"/>
      <c r="N203" s="131"/>
    </row>
    <row r="204" spans="1:27" x14ac:dyDescent="0.3">
      <c r="A204" s="156">
        <v>15</v>
      </c>
      <c r="D204" s="126"/>
      <c r="E204" s="126"/>
      <c r="F204" s="158"/>
      <c r="G204" s="166">
        <v>0.41085855879858602</v>
      </c>
      <c r="H204" s="166">
        <v>0.22115713227005315</v>
      </c>
      <c r="I204" s="166">
        <v>0.41044578476897514</v>
      </c>
      <c r="J204" s="166">
        <v>0</v>
      </c>
      <c r="K204" s="166">
        <v>1.2272169654547864</v>
      </c>
      <c r="L204" s="166">
        <v>-4.4996499848898924E-3</v>
      </c>
      <c r="M204" s="158"/>
      <c r="N204" s="131"/>
      <c r="X204" s="174"/>
    </row>
    <row r="205" spans="1:27" x14ac:dyDescent="0.3">
      <c r="D205" s="126"/>
      <c r="E205" s="126"/>
      <c r="F205" s="158"/>
      <c r="G205" s="161"/>
      <c r="H205" s="161"/>
      <c r="I205" s="161"/>
      <c r="J205" s="161"/>
      <c r="K205" s="161"/>
      <c r="L205" s="161"/>
      <c r="M205" s="158"/>
      <c r="N205" s="131"/>
      <c r="X205" s="174"/>
    </row>
    <row r="206" spans="1:27" ht="16.2" thickBot="1" x14ac:dyDescent="0.35">
      <c r="D206" s="157" t="s">
        <v>270</v>
      </c>
      <c r="E206" s="157"/>
      <c r="F206" s="157"/>
      <c r="G206" s="157"/>
      <c r="H206" s="157"/>
      <c r="I206" s="157"/>
      <c r="J206" s="157"/>
      <c r="K206" s="157"/>
      <c r="L206" s="157"/>
      <c r="M206" s="157"/>
      <c r="N206" s="82"/>
      <c r="Z206" s="126" t="s">
        <v>271</v>
      </c>
    </row>
    <row r="207" spans="1:27" ht="15.6" x14ac:dyDescent="0.3">
      <c r="A207" s="156">
        <v>16</v>
      </c>
      <c r="D207" s="126">
        <v>1</v>
      </c>
      <c r="E207" s="126" t="s">
        <v>265</v>
      </c>
      <c r="F207" s="167"/>
      <c r="G207" s="166">
        <v>1.0231607625007257</v>
      </c>
      <c r="H207" s="166">
        <v>0.36374172356020706</v>
      </c>
      <c r="I207" s="166">
        <v>0.37689778094678716</v>
      </c>
      <c r="J207" s="166">
        <v>0</v>
      </c>
      <c r="K207" s="166">
        <v>1.6717509811788129</v>
      </c>
      <c r="L207" s="166">
        <v>-4.4996499848898924E-3</v>
      </c>
      <c r="M207" s="176">
        <v>3.431051598201643</v>
      </c>
      <c r="N207" s="82"/>
      <c r="X207" s="168">
        <f>M207/M208</f>
        <v>1.5626568816455568</v>
      </c>
      <c r="Z207" s="168">
        <f>AA207/AA208</f>
        <v>1.3999999999999997</v>
      </c>
      <c r="AA207" s="331">
        <v>3.1255505334481031</v>
      </c>
    </row>
    <row r="208" spans="1:27" x14ac:dyDescent="0.3">
      <c r="A208" s="156">
        <v>17</v>
      </c>
      <c r="D208" s="126">
        <v>2</v>
      </c>
      <c r="E208" s="126" t="s">
        <v>266</v>
      </c>
      <c r="F208" s="167"/>
      <c r="G208" s="166">
        <v>0.32130766908631975</v>
      </c>
      <c r="H208" s="166">
        <v>0.21443574573357943</v>
      </c>
      <c r="I208" s="166">
        <v>0.43786960133467739</v>
      </c>
      <c r="J208" s="166">
        <v>0</v>
      </c>
      <c r="K208" s="166">
        <v>1.2265392038228837</v>
      </c>
      <c r="L208" s="166">
        <v>-4.4996499848898924E-3</v>
      </c>
      <c r="M208" s="176">
        <v>2.1956525699925704</v>
      </c>
      <c r="N208" s="131"/>
      <c r="X208" s="168">
        <f>M208/M208</f>
        <v>1</v>
      </c>
      <c r="Z208" s="168">
        <v>1</v>
      </c>
      <c r="AA208" s="331">
        <v>2.2325360953200741</v>
      </c>
    </row>
    <row r="209" spans="1:28" x14ac:dyDescent="0.3">
      <c r="A209" s="156">
        <v>18</v>
      </c>
      <c r="D209" s="126">
        <v>3</v>
      </c>
      <c r="E209" s="126" t="s">
        <v>277</v>
      </c>
      <c r="F209" s="167"/>
      <c r="G209" s="166">
        <v>0.21771355336594206</v>
      </c>
      <c r="H209" s="166">
        <v>0.12263027721057129</v>
      </c>
      <c r="I209" s="166">
        <v>0.34283649454318949</v>
      </c>
      <c r="J209" s="166">
        <v>0</v>
      </c>
      <c r="K209" s="166">
        <v>0.9791998665057382</v>
      </c>
      <c r="L209" s="166">
        <v>-4.4996499848898924E-3</v>
      </c>
      <c r="M209" s="176">
        <v>1.6578805416405511</v>
      </c>
      <c r="N209" s="131"/>
      <c r="X209" s="168">
        <f>M209/M208</f>
        <v>0.75507416988388154</v>
      </c>
      <c r="Z209" s="168">
        <f>X209</f>
        <v>0.75507416988388154</v>
      </c>
      <c r="AA209" s="331">
        <v>1.685730338909607</v>
      </c>
      <c r="AB209" s="180"/>
    </row>
    <row r="210" spans="1:28" x14ac:dyDescent="0.3">
      <c r="A210" s="156">
        <v>19</v>
      </c>
      <c r="D210" s="126">
        <v>4</v>
      </c>
      <c r="E210" s="126" t="s">
        <v>136</v>
      </c>
      <c r="F210" s="167"/>
      <c r="G210" s="166">
        <v>0</v>
      </c>
      <c r="H210" s="166">
        <v>0</v>
      </c>
      <c r="I210" s="166">
        <v>0</v>
      </c>
      <c r="J210" s="166">
        <v>0</v>
      </c>
      <c r="K210" s="166">
        <v>0</v>
      </c>
      <c r="L210" s="166">
        <v>0</v>
      </c>
      <c r="M210" s="169">
        <v>0</v>
      </c>
      <c r="N210" s="131"/>
      <c r="X210" s="174"/>
    </row>
    <row r="211" spans="1:28" x14ac:dyDescent="0.3">
      <c r="A211" s="156">
        <v>20</v>
      </c>
      <c r="D211" s="126">
        <v>5</v>
      </c>
      <c r="E211" s="126" t="s">
        <v>136</v>
      </c>
      <c r="F211" s="167"/>
      <c r="G211" s="166">
        <v>0</v>
      </c>
      <c r="H211" s="166">
        <v>0</v>
      </c>
      <c r="I211" s="166">
        <v>0</v>
      </c>
      <c r="J211" s="166">
        <v>0</v>
      </c>
      <c r="K211" s="166">
        <v>0</v>
      </c>
      <c r="L211" s="166">
        <v>0</v>
      </c>
      <c r="M211" s="169">
        <v>0</v>
      </c>
      <c r="N211" s="131"/>
    </row>
    <row r="212" spans="1:28" ht="15.6" x14ac:dyDescent="0.3">
      <c r="A212" s="156">
        <v>21</v>
      </c>
      <c r="D212" s="126">
        <v>6</v>
      </c>
      <c r="E212" s="126" t="s">
        <v>136</v>
      </c>
      <c r="F212" s="167"/>
      <c r="G212" s="166">
        <v>0</v>
      </c>
      <c r="H212" s="166">
        <v>0</v>
      </c>
      <c r="I212" s="166">
        <v>0</v>
      </c>
      <c r="J212" s="166">
        <v>0</v>
      </c>
      <c r="K212" s="166">
        <v>0</v>
      </c>
      <c r="L212" s="166">
        <v>0</v>
      </c>
      <c r="M212" s="169">
        <v>0</v>
      </c>
      <c r="N212" s="82"/>
      <c r="X212" s="174"/>
    </row>
    <row r="213" spans="1:28" ht="15.6" x14ac:dyDescent="0.3">
      <c r="D213" s="126"/>
      <c r="E213" s="126"/>
      <c r="F213" s="158"/>
      <c r="G213" s="161"/>
      <c r="H213" s="161"/>
      <c r="I213" s="161"/>
      <c r="J213" s="161"/>
      <c r="K213" s="161"/>
      <c r="L213" s="161"/>
      <c r="M213" s="158"/>
      <c r="N213" s="82"/>
      <c r="X213" s="174"/>
    </row>
    <row r="214" spans="1:28" ht="15" thickBot="1" x14ac:dyDescent="0.35">
      <c r="D214" s="157" t="s">
        <v>272</v>
      </c>
      <c r="E214" s="157"/>
      <c r="F214" s="157"/>
      <c r="G214" s="157"/>
      <c r="H214" s="157"/>
      <c r="I214" s="157"/>
      <c r="J214" s="157"/>
      <c r="K214" s="157"/>
      <c r="L214" s="157"/>
      <c r="M214" s="157"/>
      <c r="N214" s="131"/>
    </row>
    <row r="215" spans="1:28" x14ac:dyDescent="0.3">
      <c r="A215" s="156">
        <v>22</v>
      </c>
      <c r="D215" s="126"/>
      <c r="E215" s="126" t="s">
        <v>273</v>
      </c>
      <c r="F215" s="158"/>
      <c r="G215" s="159">
        <v>260251.58400185776</v>
      </c>
      <c r="H215" s="159">
        <v>143117.46902407991</v>
      </c>
      <c r="I215" s="159">
        <v>273415.93418999197</v>
      </c>
      <c r="J215" s="159">
        <v>0</v>
      </c>
      <c r="K215" s="159">
        <v>821482.69693668257</v>
      </c>
      <c r="L215" s="159">
        <v>-2997.4141526124422</v>
      </c>
      <c r="M215" s="160">
        <v>1495270.2699999996</v>
      </c>
      <c r="N215" s="131"/>
    </row>
    <row r="216" spans="1:28" x14ac:dyDescent="0.3">
      <c r="A216" s="156">
        <v>23</v>
      </c>
      <c r="D216" s="126"/>
      <c r="E216" s="126" t="s">
        <v>274</v>
      </c>
      <c r="F216" s="158"/>
      <c r="G216" s="159" t="b">
        <v>1</v>
      </c>
      <c r="H216" s="159" t="b">
        <v>1</v>
      </c>
      <c r="I216" s="159" t="b">
        <v>1</v>
      </c>
      <c r="J216" s="159" t="b">
        <v>1</v>
      </c>
      <c r="K216" s="159" t="b">
        <v>1</v>
      </c>
      <c r="L216" s="159" t="b">
        <v>1</v>
      </c>
      <c r="M216" s="159" t="b">
        <v>1</v>
      </c>
      <c r="N216" s="131"/>
    </row>
    <row r="217" spans="1:28" x14ac:dyDescent="0.3">
      <c r="N217" s="131"/>
    </row>
    <row r="218" spans="1:28" ht="15" thickBot="1" x14ac:dyDescent="0.35">
      <c r="D218" s="157" t="s">
        <v>281</v>
      </c>
      <c r="E218" s="157"/>
      <c r="F218" s="157"/>
      <c r="G218" s="157"/>
      <c r="H218" s="157"/>
      <c r="I218" s="157"/>
      <c r="J218" s="157"/>
      <c r="K218" s="157"/>
      <c r="L218" s="157"/>
      <c r="M218" s="157"/>
    </row>
    <row r="219" spans="1:28" x14ac:dyDescent="0.3">
      <c r="A219" s="156">
        <v>24</v>
      </c>
      <c r="D219" s="126">
        <v>1</v>
      </c>
      <c r="E219" s="126" t="s">
        <v>265</v>
      </c>
      <c r="G219" s="166">
        <v>0</v>
      </c>
      <c r="H219" s="166">
        <v>0</v>
      </c>
      <c r="I219" s="166">
        <v>0</v>
      </c>
      <c r="J219" s="166">
        <v>0</v>
      </c>
      <c r="K219" s="166">
        <v>0</v>
      </c>
      <c r="L219" s="166">
        <v>0</v>
      </c>
      <c r="M219" s="179">
        <v>2.59</v>
      </c>
      <c r="X219" s="168">
        <f>M219/SUM($M$219:$M$221)</f>
        <v>0.25778790909895533</v>
      </c>
    </row>
    <row r="220" spans="1:28" x14ac:dyDescent="0.3">
      <c r="A220" s="156">
        <v>25</v>
      </c>
      <c r="D220" s="126">
        <v>2</v>
      </c>
      <c r="E220" s="126" t="s">
        <v>282</v>
      </c>
      <c r="G220" s="166">
        <v>0</v>
      </c>
      <c r="H220" s="166">
        <v>0</v>
      </c>
      <c r="I220" s="166">
        <v>0</v>
      </c>
      <c r="J220" s="166">
        <v>0</v>
      </c>
      <c r="K220" s="166">
        <v>0</v>
      </c>
      <c r="L220" s="166">
        <v>0</v>
      </c>
      <c r="M220" s="179">
        <v>5.1379460117312394</v>
      </c>
      <c r="X220" s="168">
        <f>M220/SUM($M$219:$M$221)</f>
        <v>0.51139010016506292</v>
      </c>
    </row>
    <row r="221" spans="1:28" x14ac:dyDescent="0.3">
      <c r="A221" s="156">
        <v>26</v>
      </c>
      <c r="D221" s="126">
        <v>3</v>
      </c>
      <c r="E221" s="126" t="s">
        <v>120</v>
      </c>
      <c r="G221" s="166">
        <v>0</v>
      </c>
      <c r="H221" s="166">
        <v>0</v>
      </c>
      <c r="I221" s="166">
        <v>0</v>
      </c>
      <c r="J221" s="166">
        <v>0</v>
      </c>
      <c r="K221" s="166">
        <v>0</v>
      </c>
      <c r="L221" s="166">
        <v>0</v>
      </c>
      <c r="M221" s="179">
        <v>2.3190729080187698</v>
      </c>
      <c r="X221" s="168">
        <f>M221/SUM($M$219:$M$221)</f>
        <v>0.23082199073598172</v>
      </c>
    </row>
    <row r="223" spans="1:28" ht="15" thickBot="1" x14ac:dyDescent="0.35">
      <c r="A223" s="170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0"/>
    </row>
    <row r="225" spans="1:14" x14ac:dyDescent="0.3">
      <c r="A225" s="134"/>
      <c r="B225" s="131"/>
      <c r="C225" s="131"/>
      <c r="D225" s="135"/>
      <c r="E225" s="131"/>
      <c r="F225" s="131"/>
      <c r="G225" s="131"/>
      <c r="H225" s="131"/>
      <c r="I225" s="131"/>
      <c r="J225" s="131"/>
      <c r="K225" s="131"/>
      <c r="L225" s="134"/>
      <c r="M225" s="30" t="s">
        <v>37</v>
      </c>
      <c r="N225" s="131"/>
    </row>
    <row r="226" spans="1:14" x14ac:dyDescent="0.3">
      <c r="A226" s="134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33" t="str">
        <f>M168</f>
        <v>DOCKET NO.  20240025-EI</v>
      </c>
      <c r="N226" s="131"/>
    </row>
    <row r="227" spans="1:14" x14ac:dyDescent="0.3">
      <c r="A227" s="134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33" t="s">
        <v>38</v>
      </c>
      <c r="N227" s="131"/>
    </row>
    <row r="228" spans="1:14" x14ac:dyDescent="0.3">
      <c r="A228" s="134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30" t="s">
        <v>246</v>
      </c>
      <c r="N228" s="131"/>
    </row>
    <row r="229" spans="1:14" x14ac:dyDescent="0.3">
      <c r="A229" s="134"/>
      <c r="B229" s="131"/>
      <c r="C229" s="181"/>
      <c r="D229" s="131"/>
      <c r="E229" s="131"/>
      <c r="F229" s="131"/>
      <c r="G229" s="131"/>
      <c r="H229" s="131"/>
      <c r="I229" s="131"/>
      <c r="J229" s="131"/>
      <c r="K229" s="131"/>
      <c r="L229" s="134"/>
      <c r="M229" s="79" t="s">
        <v>292</v>
      </c>
      <c r="N229" s="131"/>
    </row>
    <row r="230" spans="1:14" ht="15.6" x14ac:dyDescent="0.3">
      <c r="A230" s="138" t="s">
        <v>248</v>
      </c>
      <c r="B230" s="139"/>
      <c r="C230" s="139"/>
      <c r="D230" s="140"/>
      <c r="E230" s="140"/>
      <c r="F230" s="140"/>
      <c r="G230" s="140"/>
      <c r="H230" s="140"/>
      <c r="I230" s="140"/>
      <c r="J230" s="140"/>
      <c r="K230" s="140"/>
      <c r="L230" s="140"/>
      <c r="M230" s="37" t="s">
        <v>11</v>
      </c>
      <c r="N230" s="82"/>
    </row>
    <row r="231" spans="1:14" ht="15.6" x14ac:dyDescent="0.3">
      <c r="A231" s="142"/>
      <c r="B231" s="279"/>
      <c r="C231" s="279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82"/>
    </row>
    <row r="232" spans="1:14" ht="15.6" x14ac:dyDescent="0.3">
      <c r="A232" s="142"/>
      <c r="B232" s="279"/>
      <c r="C232" s="279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82"/>
    </row>
    <row r="233" spans="1:14" ht="15.6" x14ac:dyDescent="0.3">
      <c r="A233" s="375" t="s">
        <v>286</v>
      </c>
      <c r="B233" s="377"/>
      <c r="C233" s="377"/>
      <c r="D233" s="377"/>
      <c r="E233" s="377"/>
      <c r="F233" s="377"/>
      <c r="G233" s="377"/>
      <c r="H233" s="377"/>
      <c r="I233" s="377"/>
      <c r="J233" s="377"/>
      <c r="K233" s="377"/>
      <c r="L233" s="377"/>
      <c r="M233" s="377"/>
      <c r="N233" s="82"/>
    </row>
    <row r="234" spans="1:14" x14ac:dyDescent="0.3">
      <c r="A234" s="143"/>
      <c r="B234" s="109"/>
      <c r="C234" s="109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</row>
    <row r="235" spans="1:14" x14ac:dyDescent="0.3">
      <c r="A235" s="144"/>
      <c r="B235" s="145"/>
      <c r="C235" s="145"/>
      <c r="D235" s="278">
        <v>-1</v>
      </c>
      <c r="E235" s="278"/>
      <c r="F235" s="146"/>
      <c r="G235" s="278">
        <f>+D235-1</f>
        <v>-2</v>
      </c>
      <c r="H235" s="278">
        <f t="shared" ref="H235:M235" si="4">+G235-1</f>
        <v>-3</v>
      </c>
      <c r="I235" s="278">
        <f t="shared" si="4"/>
        <v>-4</v>
      </c>
      <c r="J235" s="278">
        <f t="shared" si="4"/>
        <v>-5</v>
      </c>
      <c r="K235" s="278">
        <f t="shared" si="4"/>
        <v>-6</v>
      </c>
      <c r="L235" s="278">
        <f t="shared" si="4"/>
        <v>-7</v>
      </c>
      <c r="M235" s="278">
        <f t="shared" si="4"/>
        <v>-8</v>
      </c>
      <c r="N235" s="78"/>
    </row>
    <row r="236" spans="1:14" x14ac:dyDescent="0.3">
      <c r="A236" s="147"/>
      <c r="B236" s="148"/>
      <c r="C236" s="148"/>
      <c r="D236" s="148"/>
      <c r="E236" s="148"/>
      <c r="F236" s="148"/>
      <c r="G236" s="148"/>
      <c r="H236" s="149"/>
      <c r="I236" s="148"/>
      <c r="J236" s="149"/>
      <c r="K236" s="78"/>
      <c r="L236" s="78"/>
      <c r="M236" s="78"/>
      <c r="N236" s="148"/>
    </row>
    <row r="237" spans="1:14" ht="27.6" x14ac:dyDescent="0.3">
      <c r="A237" s="147"/>
      <c r="B237" s="148"/>
      <c r="C237" s="148"/>
      <c r="D237" s="148"/>
      <c r="E237" s="148"/>
      <c r="F237" s="148"/>
      <c r="G237" s="149" t="s">
        <v>250</v>
      </c>
      <c r="H237" s="150" t="s">
        <v>102</v>
      </c>
      <c r="I237" s="151" t="s">
        <v>251</v>
      </c>
      <c r="J237" s="149" t="s">
        <v>252</v>
      </c>
      <c r="K237" s="151" t="s">
        <v>250</v>
      </c>
      <c r="L237" s="151" t="s">
        <v>253</v>
      </c>
      <c r="M237" s="152" t="s">
        <v>254</v>
      </c>
      <c r="N237" s="148"/>
    </row>
    <row r="238" spans="1:14" x14ac:dyDescent="0.3">
      <c r="A238" s="153" t="s">
        <v>54</v>
      </c>
      <c r="B238" s="154"/>
      <c r="C238" s="154"/>
      <c r="D238" s="155"/>
      <c r="E238" s="155"/>
      <c r="F238" s="155"/>
      <c r="G238" s="172" t="s">
        <v>255</v>
      </c>
      <c r="H238" s="172" t="s">
        <v>255</v>
      </c>
      <c r="I238" s="173" t="s">
        <v>101</v>
      </c>
      <c r="J238" s="173" t="s">
        <v>99</v>
      </c>
      <c r="K238" s="173" t="s">
        <v>256</v>
      </c>
      <c r="L238" s="173"/>
      <c r="M238" s="88"/>
      <c r="N238" s="151"/>
    </row>
    <row r="239" spans="1:14" ht="15" thickBot="1" x14ac:dyDescent="0.35">
      <c r="D239" s="157" t="s">
        <v>257</v>
      </c>
      <c r="E239" s="157"/>
      <c r="F239" s="157"/>
      <c r="G239" s="157"/>
      <c r="H239" s="157"/>
      <c r="I239" s="157"/>
      <c r="J239" s="157"/>
      <c r="K239" s="157"/>
      <c r="L239" s="157"/>
      <c r="M239" s="157"/>
      <c r="N239" s="78"/>
    </row>
    <row r="240" spans="1:14" x14ac:dyDescent="0.3">
      <c r="A240" s="156">
        <v>1</v>
      </c>
      <c r="D240" s="126"/>
      <c r="E240" s="126"/>
      <c r="F240" s="158"/>
      <c r="G240" s="159">
        <v>7724104.3777790219</v>
      </c>
      <c r="H240" s="159">
        <v>4247637.04422893</v>
      </c>
      <c r="I240" s="159">
        <v>3514752.2759695835</v>
      </c>
      <c r="J240" s="159">
        <v>0</v>
      </c>
      <c r="K240" s="159">
        <v>34633592.828855522</v>
      </c>
      <c r="L240" s="159">
        <v>-101138.67683305941</v>
      </c>
      <c r="M240" s="160">
        <v>50018947.850000001</v>
      </c>
      <c r="N240" s="148"/>
    </row>
    <row r="241" spans="1:14" x14ac:dyDescent="0.3">
      <c r="D241" s="126"/>
      <c r="E241" s="126"/>
      <c r="F241" s="158"/>
      <c r="G241" s="161"/>
      <c r="H241" s="161"/>
      <c r="I241" s="161"/>
      <c r="J241" s="161"/>
      <c r="K241" s="161"/>
      <c r="L241" s="161"/>
      <c r="M241" s="158"/>
      <c r="N241" s="148"/>
    </row>
    <row r="242" spans="1:14" ht="15" thickBot="1" x14ac:dyDescent="0.35">
      <c r="D242" s="157" t="s">
        <v>258</v>
      </c>
      <c r="E242" s="157"/>
      <c r="F242" s="157"/>
      <c r="G242" s="157"/>
      <c r="H242" s="157"/>
      <c r="I242" s="157"/>
      <c r="J242" s="157"/>
      <c r="K242" s="157"/>
      <c r="L242" s="157"/>
      <c r="M242" s="157"/>
      <c r="N242" s="131"/>
    </row>
    <row r="243" spans="1:14" x14ac:dyDescent="0.3">
      <c r="A243" s="156">
        <v>2</v>
      </c>
      <c r="D243" s="126"/>
      <c r="E243" s="126"/>
      <c r="F243" s="158"/>
      <c r="G243" s="162" t="s">
        <v>259</v>
      </c>
      <c r="H243" s="162" t="s">
        <v>260</v>
      </c>
      <c r="I243" s="162" t="s">
        <v>261</v>
      </c>
      <c r="J243" s="162" t="s">
        <v>261</v>
      </c>
      <c r="K243" s="162" t="s">
        <v>262</v>
      </c>
      <c r="L243" s="162" t="s">
        <v>263</v>
      </c>
      <c r="M243" s="126"/>
      <c r="N243" s="131"/>
    </row>
    <row r="244" spans="1:14" x14ac:dyDescent="0.3">
      <c r="D244" s="126"/>
      <c r="E244" s="126"/>
      <c r="F244" s="158"/>
      <c r="G244" s="161"/>
      <c r="H244" s="161"/>
      <c r="I244" s="161"/>
      <c r="J244" s="161"/>
      <c r="K244" s="161"/>
      <c r="L244" s="161"/>
      <c r="M244" s="158"/>
      <c r="N244" s="131"/>
    </row>
    <row r="245" spans="1:14" ht="15" thickBot="1" x14ac:dyDescent="0.35">
      <c r="D245" s="157" t="s">
        <v>264</v>
      </c>
      <c r="E245" s="157"/>
      <c r="F245" s="157"/>
      <c r="G245" s="157"/>
      <c r="H245" s="157"/>
      <c r="I245" s="157"/>
      <c r="J245" s="157"/>
      <c r="K245" s="157"/>
      <c r="L245" s="157"/>
      <c r="M245" s="157"/>
      <c r="N245" s="131"/>
    </row>
    <row r="246" spans="1:14" ht="15.6" x14ac:dyDescent="0.3">
      <c r="A246" s="156">
        <v>3</v>
      </c>
      <c r="D246" s="126">
        <v>1</v>
      </c>
      <c r="E246" s="126" t="s">
        <v>265</v>
      </c>
      <c r="F246" s="163"/>
      <c r="G246" s="164">
        <v>2.490299254061072</v>
      </c>
      <c r="H246" s="164">
        <v>1.6447207459538091</v>
      </c>
      <c r="I246" s="164">
        <v>0.91826446983474097</v>
      </c>
      <c r="J246" s="164">
        <v>0.91826446983474097</v>
      </c>
      <c r="K246" s="175">
        <v>1.3622293597931883</v>
      </c>
      <c r="L246" s="164">
        <v>1</v>
      </c>
      <c r="M246" s="158"/>
      <c r="N246" s="82"/>
    </row>
    <row r="247" spans="1:14" ht="15.6" x14ac:dyDescent="0.3">
      <c r="A247" s="156">
        <v>4</v>
      </c>
      <c r="D247" s="126">
        <v>2</v>
      </c>
      <c r="E247" s="126" t="s">
        <v>266</v>
      </c>
      <c r="F247" s="163"/>
      <c r="G247" s="164">
        <v>0.78203961486374551</v>
      </c>
      <c r="H247" s="164">
        <v>0.96960809507935608</v>
      </c>
      <c r="I247" s="164">
        <v>1.0668147111832031</v>
      </c>
      <c r="J247" s="164">
        <v>1.0668147111832031</v>
      </c>
      <c r="K247" s="175">
        <v>0.99944772468847709</v>
      </c>
      <c r="L247" s="164">
        <v>1</v>
      </c>
      <c r="M247" s="158"/>
      <c r="N247" s="82"/>
    </row>
    <row r="248" spans="1:14" x14ac:dyDescent="0.3">
      <c r="A248" s="156">
        <v>5</v>
      </c>
      <c r="D248" s="126">
        <v>3</v>
      </c>
      <c r="E248" s="126" t="s">
        <v>277</v>
      </c>
      <c r="F248" s="163"/>
      <c r="G248" s="164">
        <v>0.52989903387328763</v>
      </c>
      <c r="H248" s="164">
        <v>0.55449388383653153</v>
      </c>
      <c r="I248" s="164">
        <v>0.83527839063120013</v>
      </c>
      <c r="J248" s="164">
        <v>0.83527839063120013</v>
      </c>
      <c r="K248" s="175">
        <v>0.79790281105090721</v>
      </c>
      <c r="L248" s="164">
        <v>1</v>
      </c>
      <c r="M248" s="158"/>
      <c r="N248" s="131"/>
    </row>
    <row r="249" spans="1:14" x14ac:dyDescent="0.3">
      <c r="A249" s="156">
        <v>6</v>
      </c>
      <c r="D249" s="126">
        <v>4</v>
      </c>
      <c r="E249" s="126" t="s">
        <v>136</v>
      </c>
      <c r="F249" s="163"/>
      <c r="G249" s="164">
        <v>0</v>
      </c>
      <c r="H249" s="164">
        <v>0</v>
      </c>
      <c r="I249" s="164">
        <v>0</v>
      </c>
      <c r="J249" s="164">
        <v>0</v>
      </c>
      <c r="K249" s="164">
        <v>0</v>
      </c>
      <c r="L249" s="164">
        <v>0</v>
      </c>
      <c r="M249" s="158"/>
      <c r="N249" s="131"/>
    </row>
    <row r="250" spans="1:14" x14ac:dyDescent="0.3">
      <c r="A250" s="156">
        <v>7</v>
      </c>
      <c r="D250" s="126">
        <v>5</v>
      </c>
      <c r="E250" s="126" t="s">
        <v>136</v>
      </c>
      <c r="F250" s="163"/>
      <c r="G250" s="164">
        <v>0</v>
      </c>
      <c r="H250" s="164">
        <v>0</v>
      </c>
      <c r="I250" s="164">
        <v>0</v>
      </c>
      <c r="J250" s="164">
        <v>0</v>
      </c>
      <c r="K250" s="164">
        <v>0</v>
      </c>
      <c r="L250" s="164">
        <v>0</v>
      </c>
      <c r="M250" s="158"/>
      <c r="N250" s="131"/>
    </row>
    <row r="251" spans="1:14" x14ac:dyDescent="0.3">
      <c r="A251" s="156">
        <v>8</v>
      </c>
      <c r="D251" s="126">
        <v>6</v>
      </c>
      <c r="E251" s="126" t="s">
        <v>136</v>
      </c>
      <c r="F251" s="163"/>
      <c r="G251" s="164">
        <v>0</v>
      </c>
      <c r="H251" s="164">
        <v>0</v>
      </c>
      <c r="I251" s="164">
        <v>0</v>
      </c>
      <c r="J251" s="164">
        <v>0</v>
      </c>
      <c r="K251" s="164">
        <v>0</v>
      </c>
      <c r="L251" s="164">
        <v>0</v>
      </c>
      <c r="M251" s="158"/>
      <c r="N251" s="131"/>
    </row>
    <row r="252" spans="1:14" ht="15.6" x14ac:dyDescent="0.3">
      <c r="D252" s="126"/>
      <c r="E252" s="126"/>
      <c r="F252" s="158"/>
      <c r="G252" s="161"/>
      <c r="H252" s="161"/>
      <c r="I252" s="161"/>
      <c r="J252" s="161"/>
      <c r="K252" s="161"/>
      <c r="L252" s="161"/>
      <c r="M252" s="158"/>
      <c r="N252" s="82"/>
    </row>
    <row r="253" spans="1:14" ht="16.2" thickBot="1" x14ac:dyDescent="0.35">
      <c r="D253" s="157" t="s">
        <v>278</v>
      </c>
      <c r="E253" s="157"/>
      <c r="F253" s="157"/>
      <c r="G253" s="157"/>
      <c r="H253" s="157"/>
      <c r="I253" s="157"/>
      <c r="J253" s="157"/>
      <c r="K253" s="157"/>
      <c r="L253" s="157"/>
      <c r="M253" s="157"/>
      <c r="N253" s="82"/>
    </row>
    <row r="254" spans="1:14" x14ac:dyDescent="0.3">
      <c r="A254" s="156">
        <v>9</v>
      </c>
      <c r="D254" s="126">
        <v>1</v>
      </c>
      <c r="E254" s="126" t="s">
        <v>265</v>
      </c>
      <c r="F254" s="163"/>
      <c r="G254" s="161"/>
      <c r="H254" s="165"/>
      <c r="I254" s="161"/>
      <c r="J254" s="161"/>
      <c r="K254" s="161"/>
      <c r="L254" s="161"/>
      <c r="M254" s="159">
        <v>311131.61350879428</v>
      </c>
      <c r="N254" s="131"/>
    </row>
    <row r="255" spans="1:14" x14ac:dyDescent="0.3">
      <c r="A255" s="156">
        <v>10</v>
      </c>
      <c r="D255" s="126">
        <v>2</v>
      </c>
      <c r="E255" s="126" t="s">
        <v>266</v>
      </c>
      <c r="F255" s="163"/>
      <c r="G255" s="161"/>
      <c r="H255" s="161"/>
      <c r="I255" s="161"/>
      <c r="J255" s="161"/>
      <c r="K255" s="161"/>
      <c r="L255" s="161"/>
      <c r="M255" s="159">
        <v>1601640.9181269091</v>
      </c>
      <c r="N255" s="131"/>
    </row>
    <row r="256" spans="1:14" x14ac:dyDescent="0.3">
      <c r="A256" s="156">
        <v>11</v>
      </c>
      <c r="D256" s="126">
        <v>3</v>
      </c>
      <c r="E256" s="126" t="s">
        <v>277</v>
      </c>
      <c r="F256" s="163"/>
      <c r="G256" s="161"/>
      <c r="H256" s="161"/>
      <c r="I256" s="161"/>
      <c r="J256" s="161"/>
      <c r="K256" s="161"/>
      <c r="L256" s="161"/>
      <c r="M256" s="159">
        <v>495276.04966428818</v>
      </c>
      <c r="N256" s="131"/>
    </row>
    <row r="257" spans="1:27" x14ac:dyDescent="0.3">
      <c r="A257" s="156">
        <v>12</v>
      </c>
      <c r="D257" s="126">
        <v>4</v>
      </c>
      <c r="E257" s="126" t="s">
        <v>136</v>
      </c>
      <c r="F257" s="163"/>
      <c r="G257" s="161"/>
      <c r="H257" s="161"/>
      <c r="I257" s="161"/>
      <c r="J257" s="161"/>
      <c r="K257" s="161"/>
      <c r="L257" s="161"/>
      <c r="M257" s="159">
        <v>0</v>
      </c>
      <c r="N257" s="131"/>
    </row>
    <row r="258" spans="1:27" ht="15.6" x14ac:dyDescent="0.3">
      <c r="A258" s="156">
        <v>13</v>
      </c>
      <c r="D258" s="126">
        <v>5</v>
      </c>
      <c r="E258" s="126" t="s">
        <v>136</v>
      </c>
      <c r="F258" s="163"/>
      <c r="G258" s="161"/>
      <c r="H258" s="161"/>
      <c r="I258" s="161"/>
      <c r="J258" s="161"/>
      <c r="K258" s="161"/>
      <c r="L258" s="161"/>
      <c r="M258" s="159">
        <v>0</v>
      </c>
      <c r="N258" s="82"/>
    </row>
    <row r="259" spans="1:27" ht="15.6" x14ac:dyDescent="0.3">
      <c r="A259" s="156">
        <v>14</v>
      </c>
      <c r="D259" s="126">
        <v>6</v>
      </c>
      <c r="E259" s="126" t="s">
        <v>136</v>
      </c>
      <c r="F259" s="163"/>
      <c r="G259" s="161"/>
      <c r="H259" s="161"/>
      <c r="I259" s="161"/>
      <c r="J259" s="161"/>
      <c r="K259" s="161"/>
      <c r="L259" s="161"/>
      <c r="M259" s="159">
        <v>0</v>
      </c>
      <c r="N259" s="82"/>
    </row>
    <row r="260" spans="1:27" x14ac:dyDescent="0.3">
      <c r="D260" s="126"/>
      <c r="E260" s="126"/>
      <c r="F260" s="158"/>
      <c r="G260" s="161"/>
      <c r="H260" s="161"/>
      <c r="I260" s="161"/>
      <c r="J260" s="161"/>
      <c r="K260" s="161"/>
      <c r="L260" s="161"/>
      <c r="M260" s="158"/>
      <c r="N260" s="131"/>
    </row>
    <row r="261" spans="1:27" ht="15" thickBot="1" x14ac:dyDescent="0.35">
      <c r="D261" s="157" t="s">
        <v>269</v>
      </c>
      <c r="E261" s="157"/>
      <c r="F261" s="157"/>
      <c r="G261" s="157"/>
      <c r="H261" s="157"/>
      <c r="I261" s="157"/>
      <c r="J261" s="157"/>
      <c r="K261" s="157"/>
      <c r="L261" s="157"/>
      <c r="M261" s="157"/>
      <c r="N261" s="131"/>
    </row>
    <row r="262" spans="1:27" x14ac:dyDescent="0.3">
      <c r="A262" s="156">
        <v>15</v>
      </c>
      <c r="D262" s="126"/>
      <c r="E262" s="126"/>
      <c r="F262" s="158"/>
      <c r="G262" s="166">
        <v>0.33732603955754814</v>
      </c>
      <c r="H262" s="166">
        <v>0.18157601430212328</v>
      </c>
      <c r="I262" s="166">
        <v>0.14595852854729849</v>
      </c>
      <c r="J262" s="166">
        <v>0</v>
      </c>
      <c r="K262" s="166">
        <v>1.4312755542367501</v>
      </c>
      <c r="L262" s="166">
        <v>-4.200026428804831E-3</v>
      </c>
      <c r="M262" s="158"/>
      <c r="N262" s="131"/>
    </row>
    <row r="263" spans="1:27" x14ac:dyDescent="0.3">
      <c r="D263" s="126"/>
      <c r="E263" s="126"/>
      <c r="F263" s="158"/>
      <c r="G263" s="161"/>
      <c r="H263" s="161"/>
      <c r="I263" s="161"/>
      <c r="J263" s="161"/>
      <c r="K263" s="161"/>
      <c r="L263" s="161"/>
      <c r="M263" s="158"/>
      <c r="N263" s="131"/>
    </row>
    <row r="264" spans="1:27" ht="16.2" thickBot="1" x14ac:dyDescent="0.35">
      <c r="D264" s="157" t="s">
        <v>270</v>
      </c>
      <c r="E264" s="157"/>
      <c r="F264" s="157"/>
      <c r="G264" s="157"/>
      <c r="H264" s="157"/>
      <c r="I264" s="157"/>
      <c r="J264" s="157"/>
      <c r="K264" s="157"/>
      <c r="L264" s="157"/>
      <c r="M264" s="157"/>
      <c r="N264" s="82"/>
      <c r="Z264" s="126" t="s">
        <v>271</v>
      </c>
    </row>
    <row r="265" spans="1:27" ht="15.6" x14ac:dyDescent="0.3">
      <c r="A265" s="156">
        <v>16</v>
      </c>
      <c r="D265" s="126">
        <v>1</v>
      </c>
      <c r="E265" s="126" t="s">
        <v>265</v>
      </c>
      <c r="F265" s="167"/>
      <c r="G265" s="166">
        <v>0.84004278468553784</v>
      </c>
      <c r="H265" s="166">
        <v>0.29864183769030772</v>
      </c>
      <c r="I265" s="166">
        <v>0.13402853083434396</v>
      </c>
      <c r="J265" s="166">
        <v>0</v>
      </c>
      <c r="K265" s="166">
        <v>1.9497255819355688</v>
      </c>
      <c r="L265" s="166">
        <v>-4.200026428804831E-3</v>
      </c>
      <c r="M265" s="176">
        <v>3.2182387087169531</v>
      </c>
      <c r="N265" s="82"/>
      <c r="X265" s="168">
        <f>M265/M266</f>
        <v>1.5917252399647948</v>
      </c>
      <c r="Z265" s="168">
        <f>AA265/AA266</f>
        <v>1.4000000000000001</v>
      </c>
      <c r="AA265" s="362">
        <v>2.9059329225366595</v>
      </c>
    </row>
    <row r="266" spans="1:27" x14ac:dyDescent="0.3">
      <c r="A266" s="156">
        <v>17</v>
      </c>
      <c r="D266" s="126">
        <v>2</v>
      </c>
      <c r="E266" s="126" t="s">
        <v>266</v>
      </c>
      <c r="F266" s="167"/>
      <c r="G266" s="166">
        <v>0.26380232605909754</v>
      </c>
      <c r="H266" s="166">
        <v>0.17605757333958366</v>
      </c>
      <c r="I266" s="166">
        <v>0.15571070547691154</v>
      </c>
      <c r="J266" s="166">
        <v>0</v>
      </c>
      <c r="K266" s="166">
        <v>1.4304850960841589</v>
      </c>
      <c r="L266" s="166">
        <v>-4.200026428804831E-3</v>
      </c>
      <c r="M266" s="176">
        <v>2.0218556745309466</v>
      </c>
      <c r="N266" s="131"/>
      <c r="X266" s="168">
        <f>M266/M266</f>
        <v>1</v>
      </c>
      <c r="Z266" s="168">
        <v>1</v>
      </c>
      <c r="AA266" s="362">
        <v>2.075666373240471</v>
      </c>
    </row>
    <row r="267" spans="1:27" x14ac:dyDescent="0.3">
      <c r="A267" s="156">
        <v>18</v>
      </c>
      <c r="D267" s="126">
        <v>3</v>
      </c>
      <c r="E267" s="126" t="s">
        <v>277</v>
      </c>
      <c r="F267" s="167"/>
      <c r="G267" s="166">
        <v>0.17874874246184716</v>
      </c>
      <c r="H267" s="166">
        <v>0.10068278938194193</v>
      </c>
      <c r="I267" s="166">
        <v>0.12191600482388557</v>
      </c>
      <c r="J267" s="166">
        <v>0</v>
      </c>
      <c r="K267" s="166">
        <v>1.1420187881139481</v>
      </c>
      <c r="L267" s="166">
        <v>-4.200026428804831E-3</v>
      </c>
      <c r="M267" s="176">
        <v>1.5391662983528178</v>
      </c>
      <c r="N267" s="131"/>
      <c r="X267" s="168">
        <f>M267/M266</f>
        <v>0.76126417812185898</v>
      </c>
      <c r="Z267" s="168">
        <v>0.78977426681713392</v>
      </c>
      <c r="AA267" s="362">
        <v>1.580130455680087</v>
      </c>
    </row>
    <row r="268" spans="1:27" x14ac:dyDescent="0.3">
      <c r="A268" s="156">
        <v>19</v>
      </c>
      <c r="D268" s="126">
        <v>4</v>
      </c>
      <c r="E268" s="126" t="s">
        <v>136</v>
      </c>
      <c r="F268" s="167"/>
      <c r="G268" s="166">
        <v>0</v>
      </c>
      <c r="H268" s="166">
        <v>0</v>
      </c>
      <c r="I268" s="166">
        <v>0</v>
      </c>
      <c r="J268" s="166">
        <v>0</v>
      </c>
      <c r="K268" s="166">
        <v>0</v>
      </c>
      <c r="L268" s="166">
        <v>0</v>
      </c>
      <c r="M268" s="169">
        <v>0</v>
      </c>
      <c r="N268" s="131"/>
      <c r="X268" s="174"/>
    </row>
    <row r="269" spans="1:27" x14ac:dyDescent="0.3">
      <c r="A269" s="156">
        <v>20</v>
      </c>
      <c r="D269" s="126">
        <v>5</v>
      </c>
      <c r="E269" s="126" t="s">
        <v>136</v>
      </c>
      <c r="F269" s="167"/>
      <c r="G269" s="166">
        <v>0</v>
      </c>
      <c r="H269" s="166">
        <v>0</v>
      </c>
      <c r="I269" s="166">
        <v>0</v>
      </c>
      <c r="J269" s="166">
        <v>0</v>
      </c>
      <c r="K269" s="166">
        <v>0</v>
      </c>
      <c r="L269" s="166">
        <v>0</v>
      </c>
      <c r="M269" s="169">
        <v>0</v>
      </c>
      <c r="N269" s="131"/>
    </row>
    <row r="270" spans="1:27" ht="15.6" x14ac:dyDescent="0.3">
      <c r="A270" s="156">
        <v>21</v>
      </c>
      <c r="D270" s="126">
        <v>6</v>
      </c>
      <c r="E270" s="126" t="s">
        <v>136</v>
      </c>
      <c r="F270" s="167"/>
      <c r="G270" s="166">
        <v>0</v>
      </c>
      <c r="H270" s="166">
        <v>0</v>
      </c>
      <c r="I270" s="166">
        <v>0</v>
      </c>
      <c r="J270" s="166">
        <v>0</v>
      </c>
      <c r="K270" s="166">
        <v>0</v>
      </c>
      <c r="L270" s="166">
        <v>0</v>
      </c>
      <c r="M270" s="169">
        <v>0</v>
      </c>
      <c r="N270" s="82"/>
      <c r="X270" s="174"/>
    </row>
    <row r="271" spans="1:27" ht="15.6" x14ac:dyDescent="0.3">
      <c r="D271" s="126"/>
      <c r="E271" s="126"/>
      <c r="F271" s="158"/>
      <c r="G271" s="161"/>
      <c r="H271" s="161"/>
      <c r="I271" s="161"/>
      <c r="J271" s="161"/>
      <c r="K271" s="161"/>
      <c r="L271" s="161"/>
      <c r="M271" s="158"/>
      <c r="N271" s="82"/>
      <c r="X271" s="174"/>
    </row>
    <row r="272" spans="1:27" ht="15" thickBot="1" x14ac:dyDescent="0.35">
      <c r="D272" s="157" t="s">
        <v>272</v>
      </c>
      <c r="E272" s="157"/>
      <c r="F272" s="157"/>
      <c r="G272" s="157"/>
      <c r="H272" s="157"/>
      <c r="I272" s="157"/>
      <c r="J272" s="157"/>
      <c r="K272" s="157"/>
      <c r="L272" s="157"/>
      <c r="M272" s="157"/>
      <c r="N272" s="131"/>
    </row>
    <row r="273" spans="1:24" x14ac:dyDescent="0.3">
      <c r="A273" s="156">
        <v>22</v>
      </c>
      <c r="D273" s="126"/>
      <c r="E273" s="126" t="s">
        <v>273</v>
      </c>
      <c r="F273" s="158"/>
      <c r="G273" s="159">
        <v>7724104.3777790209</v>
      </c>
      <c r="H273" s="159">
        <v>4247637.04422893</v>
      </c>
      <c r="I273" s="159">
        <v>3514752.2759695826</v>
      </c>
      <c r="J273" s="159">
        <v>0</v>
      </c>
      <c r="K273" s="159">
        <v>34633592.828855515</v>
      </c>
      <c r="L273" s="159">
        <v>-101138.67683305941</v>
      </c>
      <c r="M273" s="160">
        <v>50018947.849999987</v>
      </c>
      <c r="N273" s="131"/>
    </row>
    <row r="274" spans="1:24" x14ac:dyDescent="0.3">
      <c r="A274" s="156">
        <v>23</v>
      </c>
      <c r="D274" s="126"/>
      <c r="E274" s="126" t="s">
        <v>274</v>
      </c>
      <c r="F274" s="158"/>
      <c r="G274" s="159" t="b">
        <v>1</v>
      </c>
      <c r="H274" s="159" t="b">
        <v>1</v>
      </c>
      <c r="I274" s="159" t="b">
        <v>1</v>
      </c>
      <c r="J274" s="159" t="b">
        <v>1</v>
      </c>
      <c r="K274" s="159" t="b">
        <v>1</v>
      </c>
      <c r="L274" s="159" t="b">
        <v>1</v>
      </c>
      <c r="M274" s="159" t="b">
        <v>1</v>
      </c>
      <c r="N274" s="131"/>
    </row>
    <row r="275" spans="1:24" x14ac:dyDescent="0.3">
      <c r="N275" s="131"/>
    </row>
    <row r="276" spans="1:24" ht="15" thickBot="1" x14ac:dyDescent="0.35">
      <c r="D276" s="157" t="s">
        <v>281</v>
      </c>
      <c r="E276" s="157"/>
      <c r="F276" s="157"/>
      <c r="G276" s="157"/>
      <c r="H276" s="157"/>
      <c r="I276" s="157"/>
      <c r="J276" s="157"/>
      <c r="K276" s="157"/>
      <c r="L276" s="157"/>
      <c r="M276" s="157"/>
    </row>
    <row r="277" spans="1:24" x14ac:dyDescent="0.3">
      <c r="A277" s="156">
        <v>24</v>
      </c>
      <c r="D277" s="126">
        <v>1</v>
      </c>
      <c r="E277" s="126" t="s">
        <v>265</v>
      </c>
      <c r="G277" s="166">
        <v>0</v>
      </c>
      <c r="H277" s="166">
        <v>0</v>
      </c>
      <c r="I277" s="166">
        <v>0</v>
      </c>
      <c r="J277" s="166">
        <v>0</v>
      </c>
      <c r="K277" s="166">
        <v>0</v>
      </c>
      <c r="L277" s="166">
        <v>0</v>
      </c>
      <c r="M277" s="179">
        <v>2.8486176726105765</v>
      </c>
      <c r="X277" s="168">
        <f>M277/SUM($M$277:$M$279)</f>
        <v>0.27689624131691365</v>
      </c>
    </row>
    <row r="278" spans="1:24" x14ac:dyDescent="0.3">
      <c r="A278" s="156">
        <v>25</v>
      </c>
      <c r="D278" s="126">
        <v>2</v>
      </c>
      <c r="E278" s="126" t="s">
        <v>282</v>
      </c>
      <c r="G278" s="166">
        <v>0</v>
      </c>
      <c r="H278" s="166">
        <v>0</v>
      </c>
      <c r="I278" s="166">
        <v>0</v>
      </c>
      <c r="J278" s="166">
        <v>0</v>
      </c>
      <c r="K278" s="166">
        <v>0</v>
      </c>
      <c r="L278" s="166">
        <v>0</v>
      </c>
      <c r="M278" s="179">
        <v>5.49</v>
      </c>
      <c r="X278" s="168">
        <f>M278/SUM($M$277:$M$279)</f>
        <v>0.53364843567677722</v>
      </c>
    </row>
    <row r="279" spans="1:24" x14ac:dyDescent="0.3">
      <c r="A279" s="156">
        <v>26</v>
      </c>
      <c r="D279" s="126">
        <v>3</v>
      </c>
      <c r="E279" s="126" t="s">
        <v>120</v>
      </c>
      <c r="G279" s="166">
        <v>0</v>
      </c>
      <c r="H279" s="166">
        <v>0</v>
      </c>
      <c r="I279" s="166">
        <v>0</v>
      </c>
      <c r="J279" s="166">
        <v>0</v>
      </c>
      <c r="K279" s="166">
        <v>0</v>
      </c>
      <c r="L279" s="166">
        <v>0</v>
      </c>
      <c r="M279" s="179">
        <v>1.9490541970493416</v>
      </c>
      <c r="X279" s="168">
        <f>M279/SUM($M$277:$M$279)</f>
        <v>0.18945532300630932</v>
      </c>
    </row>
    <row r="281" spans="1:24" ht="15" thickBot="1" x14ac:dyDescent="0.35">
      <c r="A281" s="170"/>
      <c r="B281" s="171"/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1"/>
      <c r="N281" s="170"/>
    </row>
  </sheetData>
  <mergeCells count="9">
    <mergeCell ref="A117:M117"/>
    <mergeCell ref="D119:E119"/>
    <mergeCell ref="A175:M175"/>
    <mergeCell ref="A233:M233"/>
    <mergeCell ref="A2:M2"/>
    <mergeCell ref="A12:M12"/>
    <mergeCell ref="D14:E14"/>
    <mergeCell ref="A64:M64"/>
    <mergeCell ref="D66:E66"/>
  </mergeCells>
  <conditionalFormatting sqref="G105:M105">
    <cfRule type="cellIs" dxfId="9" priority="5" operator="equal">
      <formula>FALSE</formula>
    </cfRule>
  </conditionalFormatting>
  <conditionalFormatting sqref="G158:M158">
    <cfRule type="cellIs" dxfId="8" priority="4" operator="equal">
      <formula>FALSE</formula>
    </cfRule>
  </conditionalFormatting>
  <conditionalFormatting sqref="G216:M216">
    <cfRule type="cellIs" dxfId="7" priority="3" operator="equal">
      <formula>FALSE</formula>
    </cfRule>
  </conditionalFormatting>
  <conditionalFormatting sqref="G274:M274">
    <cfRule type="cellIs" dxfId="6" priority="2" operator="equal">
      <formula>FALSE</formula>
    </cfRule>
  </conditionalFormatting>
  <conditionalFormatting sqref="G54:M54">
    <cfRule type="cellIs" dxfId="5" priority="1" operator="equal">
      <formula>FALSE</formula>
    </cfRule>
  </conditionalFormatting>
  <pageMargins left="0.5" right="0.5" top="0.75" bottom="0.25" header="0.5" footer="0.25"/>
  <pageSetup scale="13" orientation="landscape" r:id="rId1"/>
  <headerFooter>
    <oddHeader xml:space="preserve">&amp;RDEF’s Response to OPC POD 1 (1-26)
Q7
Page &amp;P of &amp;N
</oddHeader>
    <oddFooter>&amp;R20240025-OPCPOD1-00004294</oddFooter>
  </headerFooter>
  <rowBreaks count="4" manualBreakCount="4">
    <brk id="55" max="12" man="1"/>
    <brk id="108" max="12" man="1"/>
    <brk id="166" max="12" man="1"/>
    <brk id="224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91D7AB-B8A0-4803-B884-2DB13E0CA3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F2A856-4042-4EB6-A4D3-17CDD99D9E2C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AE9A6388-242F-439A-8053-2893B3077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MFR E-14</vt:lpstr>
      <vt:lpstr>2027 E-14A</vt:lpstr>
      <vt:lpstr>2026 E-14A</vt:lpstr>
      <vt:lpstr>2025 E-14A</vt:lpstr>
      <vt:lpstr>2027 E-14B</vt:lpstr>
      <vt:lpstr>2026 E-14B</vt:lpstr>
      <vt:lpstr>2025 E-14B</vt:lpstr>
      <vt:lpstr>2027 E-14C</vt:lpstr>
      <vt:lpstr>2026 E-14C</vt:lpstr>
      <vt:lpstr>2025 E-14C</vt:lpstr>
      <vt:lpstr>2027 E-14D1</vt:lpstr>
      <vt:lpstr>2026 E-14D1</vt:lpstr>
      <vt:lpstr>2025 E-14D1</vt:lpstr>
      <vt:lpstr>2027 E-14D2</vt:lpstr>
      <vt:lpstr>2026 E-14D2</vt:lpstr>
      <vt:lpstr>2025 E-14D2</vt:lpstr>
      <vt:lpstr>2027 E-14E</vt:lpstr>
      <vt:lpstr>2026 E-14E</vt:lpstr>
      <vt:lpstr>2025 E-14E</vt:lpstr>
      <vt:lpstr>2027 E-14G</vt:lpstr>
      <vt:lpstr>2026 E-14G</vt:lpstr>
      <vt:lpstr>2025 E-14G</vt:lpstr>
      <vt:lpstr>2027 E-14H</vt:lpstr>
      <vt:lpstr>2026 E-14H</vt:lpstr>
      <vt:lpstr>2025 E-14H</vt:lpstr>
      <vt:lpstr>'2025 E-14A'!Print_Area</vt:lpstr>
      <vt:lpstr>'2025 E-14B'!Print_Area</vt:lpstr>
      <vt:lpstr>'2025 E-14C'!Print_Area</vt:lpstr>
      <vt:lpstr>'2025 E-14D1'!Print_Area</vt:lpstr>
      <vt:lpstr>'2025 E-14D2'!Print_Area</vt:lpstr>
      <vt:lpstr>'2025 E-14E'!Print_Area</vt:lpstr>
      <vt:lpstr>'2025 E-14G'!Print_Area</vt:lpstr>
      <vt:lpstr>'2025 E-14H'!Print_Area</vt:lpstr>
      <vt:lpstr>'2026 E-14A'!Print_Area</vt:lpstr>
      <vt:lpstr>'2026 E-14B'!Print_Area</vt:lpstr>
      <vt:lpstr>'2026 E-14C'!Print_Area</vt:lpstr>
      <vt:lpstr>'2026 E-14D1'!Print_Area</vt:lpstr>
      <vt:lpstr>'2026 E-14D2'!Print_Area</vt:lpstr>
      <vt:lpstr>'2026 E-14E'!Print_Area</vt:lpstr>
      <vt:lpstr>'2026 E-14G'!Print_Area</vt:lpstr>
      <vt:lpstr>'2026 E-14H'!Print_Area</vt:lpstr>
      <vt:lpstr>'2027 E-14A'!Print_Area</vt:lpstr>
      <vt:lpstr>'2027 E-14B'!Print_Area</vt:lpstr>
      <vt:lpstr>'2027 E-14C'!Print_Area</vt:lpstr>
      <vt:lpstr>'2027 E-14D1'!Print_Area</vt:lpstr>
      <vt:lpstr>'2027 E-14D2'!Print_Area</vt:lpstr>
      <vt:lpstr>'2027 E-14E'!Print_Area</vt:lpstr>
      <vt:lpstr>'2027 E-14G'!Print_Area</vt:lpstr>
      <vt:lpstr>'2027 E-14H'!Print_Area</vt:lpstr>
      <vt:lpstr>'MFR E-14'!Print_Area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King, Christopher</dc:creator>
  <cp:keywords/>
  <dc:description/>
  <cp:lastModifiedBy>Hampton, Monique</cp:lastModifiedBy>
  <cp:revision/>
  <cp:lastPrinted>2024-04-14T21:25:18Z</cp:lastPrinted>
  <dcterms:created xsi:type="dcterms:W3CDTF">2024-03-05T16:16:11Z</dcterms:created>
  <dcterms:modified xsi:type="dcterms:W3CDTF">2024-04-14T21:25:29Z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