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BE30981D-6B40-4F20-BA18-73191FB36CD4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07 2025R" sheetId="11" r:id="rId1"/>
    <sheet name="ASDR FY2" sheetId="10" r:id="rId2"/>
    <sheet name="Instructions" sheetId="9" r:id="rId3"/>
  </sheets>
  <definedNames>
    <definedName name="_Fill" hidden="1">#REF!</definedName>
    <definedName name="_xlnm._FilterDatabase" localSheetId="0" hidden="1">'B-07 2025R'!#REF!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'B-07 2025R'!$A$1:$R$590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5" i="11" l="1"/>
  <c r="R523" i="11"/>
  <c r="R522" i="11"/>
  <c r="R519" i="11"/>
  <c r="R518" i="11"/>
  <c r="R517" i="11"/>
  <c r="R511" i="11"/>
  <c r="R510" i="11"/>
  <c r="R506" i="11"/>
  <c r="R505" i="11"/>
  <c r="R504" i="11"/>
  <c r="R503" i="11"/>
  <c r="R499" i="11"/>
  <c r="R498" i="11"/>
  <c r="R497" i="11"/>
  <c r="R493" i="11"/>
  <c r="R492" i="11"/>
  <c r="R491" i="11"/>
  <c r="R490" i="11"/>
  <c r="R489" i="11"/>
  <c r="R467" i="11"/>
  <c r="R466" i="11"/>
  <c r="R465" i="11"/>
  <c r="R464" i="11"/>
  <c r="R463" i="11"/>
  <c r="R462" i="11"/>
  <c r="R461" i="11"/>
  <c r="R460" i="11"/>
  <c r="R459" i="11"/>
  <c r="R458" i="11"/>
  <c r="R457" i="11"/>
  <c r="R456" i="11"/>
  <c r="R455" i="11"/>
  <c r="R454" i="11"/>
  <c r="R453" i="11"/>
  <c r="R452" i="11"/>
  <c r="R451" i="11"/>
  <c r="R450" i="11"/>
  <c r="R449" i="11"/>
  <c r="R445" i="11"/>
  <c r="R444" i="11"/>
  <c r="R443" i="11"/>
  <c r="R442" i="11"/>
  <c r="R441" i="11"/>
  <c r="R440" i="11"/>
  <c r="R439" i="11"/>
  <c r="R438" i="11"/>
  <c r="R437" i="11"/>
  <c r="R436" i="11"/>
  <c r="R435" i="11"/>
  <c r="R434" i="11"/>
  <c r="R433" i="11"/>
  <c r="R432" i="11"/>
  <c r="R431" i="11"/>
  <c r="R408" i="11"/>
  <c r="R407" i="11"/>
  <c r="R406" i="11"/>
  <c r="R405" i="11"/>
  <c r="R404" i="11"/>
  <c r="R403" i="11"/>
  <c r="R402" i="11"/>
  <c r="R401" i="11"/>
  <c r="R400" i="11"/>
  <c r="R399" i="11"/>
  <c r="R398" i="11"/>
  <c r="R390" i="11"/>
  <c r="R389" i="11"/>
  <c r="R388" i="11"/>
  <c r="R387" i="11"/>
  <c r="R386" i="11"/>
  <c r="R385" i="11"/>
  <c r="R381" i="11"/>
  <c r="R380" i="11"/>
  <c r="R379" i="11"/>
  <c r="R378" i="11"/>
  <c r="R374" i="11"/>
  <c r="R373" i="11"/>
  <c r="R372" i="11"/>
  <c r="R371" i="11"/>
  <c r="R351" i="11"/>
  <c r="R348" i="11"/>
  <c r="R347" i="11"/>
  <c r="R346" i="11"/>
  <c r="R345" i="11"/>
  <c r="R344" i="11"/>
  <c r="R340" i="11"/>
  <c r="R339" i="11"/>
  <c r="R338" i="11"/>
  <c r="R337" i="11"/>
  <c r="R336" i="11"/>
  <c r="R332" i="11"/>
  <c r="R331" i="11"/>
  <c r="R330" i="11"/>
  <c r="R329" i="11"/>
  <c r="R328" i="11"/>
  <c r="R324" i="11"/>
  <c r="R323" i="11"/>
  <c r="R322" i="11"/>
  <c r="R321" i="11"/>
  <c r="R320" i="11"/>
  <c r="R316" i="11"/>
  <c r="R315" i="11"/>
  <c r="R314" i="11"/>
  <c r="R313" i="11"/>
  <c r="R312" i="11"/>
  <c r="R289" i="11"/>
  <c r="R288" i="11"/>
  <c r="R287" i="11"/>
  <c r="R286" i="11"/>
  <c r="R285" i="11"/>
  <c r="R281" i="11"/>
  <c r="R280" i="11"/>
  <c r="R279" i="11"/>
  <c r="R278" i="11"/>
  <c r="R277" i="11"/>
  <c r="R269" i="11"/>
  <c r="R268" i="11"/>
  <c r="R265" i="11"/>
  <c r="R264" i="11"/>
  <c r="R263" i="11"/>
  <c r="R262" i="11"/>
  <c r="R261" i="11"/>
  <c r="R257" i="11"/>
  <c r="R256" i="11"/>
  <c r="R255" i="11"/>
  <c r="R254" i="11"/>
  <c r="R253" i="11"/>
  <c r="R231" i="11"/>
  <c r="R230" i="11"/>
  <c r="R229" i="11"/>
  <c r="R228" i="11"/>
  <c r="R227" i="11"/>
  <c r="R223" i="11"/>
  <c r="R222" i="11"/>
  <c r="R221" i="11"/>
  <c r="R220" i="11"/>
  <c r="R219" i="11"/>
  <c r="R215" i="11"/>
  <c r="R214" i="11"/>
  <c r="R213" i="11"/>
  <c r="R212" i="11"/>
  <c r="R211" i="11"/>
  <c r="R207" i="11"/>
  <c r="R206" i="11"/>
  <c r="R205" i="11"/>
  <c r="R204" i="11"/>
  <c r="R203" i="11"/>
  <c r="R199" i="11"/>
  <c r="R198" i="11"/>
  <c r="R197" i="11"/>
  <c r="R196" i="11"/>
  <c r="R195" i="11"/>
  <c r="R172" i="11"/>
  <c r="R171" i="11"/>
  <c r="R170" i="11"/>
  <c r="R169" i="11"/>
  <c r="R168" i="11"/>
  <c r="R164" i="11"/>
  <c r="R163" i="11"/>
  <c r="R162" i="11"/>
  <c r="R161" i="11"/>
  <c r="R160" i="11"/>
  <c r="R156" i="11"/>
  <c r="R155" i="11"/>
  <c r="R154" i="11"/>
  <c r="R153" i="11"/>
  <c r="R152" i="11"/>
  <c r="R148" i="11"/>
  <c r="R147" i="11"/>
  <c r="R146" i="11"/>
  <c r="R145" i="11"/>
  <c r="R144" i="11"/>
  <c r="R135" i="11"/>
  <c r="R134" i="11"/>
  <c r="R114" i="11"/>
  <c r="R113" i="11"/>
  <c r="R112" i="11"/>
  <c r="R111" i="11"/>
  <c r="R107" i="11"/>
  <c r="R106" i="11"/>
  <c r="R105" i="11"/>
  <c r="R104" i="11"/>
  <c r="R100" i="11"/>
  <c r="R99" i="11"/>
  <c r="R98" i="11"/>
  <c r="R97" i="11"/>
  <c r="R93" i="11"/>
  <c r="R92" i="11"/>
  <c r="R91" i="11"/>
  <c r="R90" i="11"/>
  <c r="R86" i="11"/>
  <c r="R85" i="11"/>
  <c r="R84" i="11"/>
  <c r="R83" i="11"/>
  <c r="R79" i="11"/>
  <c r="R78" i="11"/>
  <c r="R77" i="11"/>
  <c r="R76" i="11"/>
  <c r="R55" i="11"/>
  <c r="R54" i="11"/>
  <c r="R53" i="11"/>
  <c r="R52" i="11"/>
  <c r="R51" i="11"/>
  <c r="R47" i="11"/>
  <c r="R46" i="11"/>
  <c r="R45" i="11"/>
  <c r="R44" i="11"/>
  <c r="R43" i="11"/>
  <c r="R39" i="11"/>
  <c r="R38" i="11"/>
  <c r="R37" i="11"/>
  <c r="R36" i="11"/>
  <c r="R35" i="11"/>
  <c r="R31" i="11"/>
  <c r="R30" i="11"/>
  <c r="R29" i="11"/>
  <c r="R28" i="11"/>
  <c r="R27" i="11"/>
  <c r="R23" i="11"/>
  <c r="R22" i="11"/>
  <c r="R21" i="11"/>
  <c r="R20" i="11"/>
  <c r="R19" i="11"/>
  <c r="N525" i="11"/>
  <c r="N523" i="11"/>
  <c r="N522" i="11"/>
  <c r="N519" i="11"/>
  <c r="N518" i="11"/>
  <c r="N517" i="11"/>
  <c r="N511" i="11"/>
  <c r="N510" i="11"/>
  <c r="N506" i="11"/>
  <c r="N505" i="11"/>
  <c r="N504" i="11"/>
  <c r="N503" i="11"/>
  <c r="N499" i="11"/>
  <c r="N498" i="11"/>
  <c r="N497" i="11"/>
  <c r="N493" i="11"/>
  <c r="N492" i="11"/>
  <c r="N491" i="11"/>
  <c r="N490" i="11"/>
  <c r="N489" i="11"/>
  <c r="N467" i="11"/>
  <c r="N466" i="11"/>
  <c r="N465" i="11"/>
  <c r="N464" i="11"/>
  <c r="N463" i="11"/>
  <c r="N462" i="11"/>
  <c r="N461" i="11"/>
  <c r="N460" i="11"/>
  <c r="N459" i="11"/>
  <c r="N458" i="11"/>
  <c r="N457" i="11"/>
  <c r="N456" i="11"/>
  <c r="N455" i="11"/>
  <c r="N454" i="11"/>
  <c r="N453" i="11"/>
  <c r="N452" i="11"/>
  <c r="N451" i="11"/>
  <c r="N450" i="11"/>
  <c r="N449" i="11"/>
  <c r="N445" i="11"/>
  <c r="N444" i="11"/>
  <c r="N443" i="11"/>
  <c r="N442" i="11"/>
  <c r="N441" i="11"/>
  <c r="N440" i="11"/>
  <c r="N439" i="11"/>
  <c r="N438" i="11"/>
  <c r="N437" i="11"/>
  <c r="N436" i="11"/>
  <c r="N435" i="11"/>
  <c r="N434" i="11"/>
  <c r="N433" i="11"/>
  <c r="N432" i="11"/>
  <c r="N431" i="11"/>
  <c r="N408" i="11"/>
  <c r="N407" i="11"/>
  <c r="N406" i="11"/>
  <c r="N405" i="11"/>
  <c r="N404" i="11"/>
  <c r="N403" i="11"/>
  <c r="N402" i="11"/>
  <c r="N401" i="11"/>
  <c r="N400" i="11"/>
  <c r="N399" i="11"/>
  <c r="N398" i="11"/>
  <c r="N390" i="11"/>
  <c r="N389" i="11"/>
  <c r="N388" i="11"/>
  <c r="N387" i="11"/>
  <c r="N386" i="11"/>
  <c r="N385" i="11"/>
  <c r="N381" i="11"/>
  <c r="N380" i="11"/>
  <c r="N379" i="11"/>
  <c r="N378" i="11"/>
  <c r="N374" i="11"/>
  <c r="N373" i="11"/>
  <c r="N372" i="11"/>
  <c r="N371" i="11"/>
  <c r="N351" i="11"/>
  <c r="N348" i="11"/>
  <c r="N347" i="11"/>
  <c r="N346" i="11"/>
  <c r="N345" i="11"/>
  <c r="N344" i="11"/>
  <c r="N340" i="11"/>
  <c r="N339" i="11"/>
  <c r="N338" i="11"/>
  <c r="N337" i="11"/>
  <c r="N336" i="11"/>
  <c r="N332" i="11"/>
  <c r="N331" i="11"/>
  <c r="N330" i="11"/>
  <c r="N329" i="11"/>
  <c r="N328" i="11"/>
  <c r="N324" i="11"/>
  <c r="N323" i="11"/>
  <c r="N322" i="11"/>
  <c r="N321" i="11"/>
  <c r="N320" i="11"/>
  <c r="N316" i="11"/>
  <c r="N315" i="11"/>
  <c r="N314" i="11"/>
  <c r="N313" i="11"/>
  <c r="N312" i="11"/>
  <c r="N289" i="11"/>
  <c r="N288" i="11"/>
  <c r="N287" i="11"/>
  <c r="N286" i="11"/>
  <c r="N285" i="11"/>
  <c r="N281" i="11"/>
  <c r="N280" i="11"/>
  <c r="N279" i="11"/>
  <c r="N278" i="11"/>
  <c r="N277" i="11"/>
  <c r="N269" i="11"/>
  <c r="N268" i="11"/>
  <c r="N265" i="11"/>
  <c r="N264" i="11"/>
  <c r="N263" i="11"/>
  <c r="N262" i="11"/>
  <c r="N261" i="11"/>
  <c r="N257" i="11"/>
  <c r="N256" i="11"/>
  <c r="N255" i="11"/>
  <c r="N254" i="11"/>
  <c r="N253" i="11"/>
  <c r="N231" i="11"/>
  <c r="N230" i="11"/>
  <c r="N229" i="11"/>
  <c r="N228" i="11"/>
  <c r="N227" i="11"/>
  <c r="N223" i="11"/>
  <c r="N222" i="11"/>
  <c r="N221" i="11"/>
  <c r="N220" i="11"/>
  <c r="N219" i="11"/>
  <c r="N215" i="11"/>
  <c r="N214" i="11"/>
  <c r="N213" i="11"/>
  <c r="N212" i="11"/>
  <c r="N211" i="11"/>
  <c r="N207" i="11"/>
  <c r="N206" i="11"/>
  <c r="N205" i="11"/>
  <c r="N204" i="11"/>
  <c r="N203" i="11"/>
  <c r="N199" i="11"/>
  <c r="N198" i="11"/>
  <c r="N197" i="11"/>
  <c r="N196" i="11"/>
  <c r="N195" i="11"/>
  <c r="N172" i="11"/>
  <c r="N171" i="11"/>
  <c r="N170" i="11"/>
  <c r="N169" i="11"/>
  <c r="N168" i="11"/>
  <c r="N164" i="11"/>
  <c r="N163" i="11"/>
  <c r="N162" i="11"/>
  <c r="N161" i="11"/>
  <c r="N160" i="11"/>
  <c r="N156" i="11"/>
  <c r="N155" i="11"/>
  <c r="N154" i="11"/>
  <c r="N153" i="11"/>
  <c r="N152" i="11"/>
  <c r="N148" i="11"/>
  <c r="N147" i="11"/>
  <c r="N146" i="11"/>
  <c r="N145" i="11"/>
  <c r="N144" i="11"/>
  <c r="N135" i="11"/>
  <c r="N134" i="11"/>
  <c r="N114" i="11"/>
  <c r="N113" i="11"/>
  <c r="N112" i="11"/>
  <c r="N111" i="11"/>
  <c r="N107" i="11"/>
  <c r="N106" i="11"/>
  <c r="N105" i="11"/>
  <c r="N104" i="11"/>
  <c r="N100" i="11"/>
  <c r="N99" i="11"/>
  <c r="N98" i="11"/>
  <c r="N97" i="11"/>
  <c r="N93" i="11"/>
  <c r="N92" i="11"/>
  <c r="N91" i="11"/>
  <c r="N90" i="11"/>
  <c r="N86" i="11"/>
  <c r="N85" i="11"/>
  <c r="N84" i="11"/>
  <c r="N83" i="11"/>
  <c r="N79" i="11"/>
  <c r="N78" i="11"/>
  <c r="N77" i="11"/>
  <c r="N76" i="11"/>
  <c r="N55" i="11"/>
  <c r="N54" i="11"/>
  <c r="N53" i="11"/>
  <c r="N52" i="11"/>
  <c r="N51" i="11"/>
  <c r="N47" i="11"/>
  <c r="N46" i="11"/>
  <c r="N45" i="11"/>
  <c r="N44" i="11"/>
  <c r="N43" i="11"/>
  <c r="N39" i="11"/>
  <c r="N38" i="11"/>
  <c r="N37" i="11"/>
  <c r="N36" i="11"/>
  <c r="N35" i="11"/>
  <c r="N31" i="11"/>
  <c r="N30" i="11"/>
  <c r="N29" i="11"/>
  <c r="N28" i="11"/>
  <c r="N27" i="11"/>
  <c r="N23" i="11"/>
  <c r="N22" i="11"/>
  <c r="N21" i="11"/>
  <c r="N20" i="11"/>
  <c r="N19" i="11"/>
  <c r="L525" i="11"/>
  <c r="L523" i="11"/>
  <c r="L522" i="11"/>
  <c r="L519" i="11"/>
  <c r="L518" i="11"/>
  <c r="L517" i="11"/>
  <c r="L511" i="11"/>
  <c r="L510" i="11"/>
  <c r="L506" i="11"/>
  <c r="L505" i="11"/>
  <c r="L504" i="11"/>
  <c r="L503" i="11"/>
  <c r="L499" i="11"/>
  <c r="L498" i="11"/>
  <c r="L497" i="11"/>
  <c r="L493" i="11"/>
  <c r="L492" i="11"/>
  <c r="L491" i="11"/>
  <c r="L490" i="11"/>
  <c r="L489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08" i="11"/>
  <c r="L407" i="11"/>
  <c r="L406" i="11"/>
  <c r="L405" i="11"/>
  <c r="L404" i="11"/>
  <c r="L403" i="11"/>
  <c r="L402" i="11"/>
  <c r="L401" i="11"/>
  <c r="L400" i="11"/>
  <c r="L399" i="11"/>
  <c r="L398" i="11"/>
  <c r="L390" i="11"/>
  <c r="L389" i="11"/>
  <c r="L388" i="11"/>
  <c r="L387" i="11"/>
  <c r="L386" i="11"/>
  <c r="L385" i="11"/>
  <c r="L381" i="11"/>
  <c r="L380" i="11"/>
  <c r="L379" i="11"/>
  <c r="L378" i="11"/>
  <c r="L374" i="11"/>
  <c r="L373" i="11"/>
  <c r="L372" i="11"/>
  <c r="L371" i="11"/>
  <c r="L351" i="11"/>
  <c r="L348" i="11"/>
  <c r="L347" i="11"/>
  <c r="L346" i="11"/>
  <c r="L345" i="11"/>
  <c r="L344" i="11"/>
  <c r="L340" i="11"/>
  <c r="L339" i="11"/>
  <c r="L338" i="11"/>
  <c r="L337" i="11"/>
  <c r="L336" i="11"/>
  <c r="L332" i="11"/>
  <c r="L331" i="11"/>
  <c r="L330" i="11"/>
  <c r="L329" i="11"/>
  <c r="L328" i="11"/>
  <c r="L324" i="11"/>
  <c r="L323" i="11"/>
  <c r="L322" i="11"/>
  <c r="L321" i="11"/>
  <c r="L320" i="11"/>
  <c r="L316" i="11"/>
  <c r="L315" i="11"/>
  <c r="L314" i="11"/>
  <c r="L313" i="11"/>
  <c r="L312" i="11"/>
  <c r="L289" i="11"/>
  <c r="L288" i="11"/>
  <c r="L287" i="11"/>
  <c r="L286" i="11"/>
  <c r="L285" i="11"/>
  <c r="L281" i="11"/>
  <c r="L280" i="11"/>
  <c r="L279" i="11"/>
  <c r="L278" i="11"/>
  <c r="L277" i="11"/>
  <c r="L269" i="11"/>
  <c r="L268" i="11"/>
  <c r="L265" i="11"/>
  <c r="L264" i="11"/>
  <c r="L263" i="11"/>
  <c r="L262" i="11"/>
  <c r="L261" i="11"/>
  <c r="L257" i="11"/>
  <c r="L256" i="11"/>
  <c r="L255" i="11"/>
  <c r="L254" i="11"/>
  <c r="L253" i="11"/>
  <c r="L231" i="11"/>
  <c r="L230" i="11"/>
  <c r="L229" i="11"/>
  <c r="L228" i="11"/>
  <c r="L227" i="11"/>
  <c r="L223" i="11"/>
  <c r="L222" i="11"/>
  <c r="L221" i="11"/>
  <c r="L220" i="11"/>
  <c r="L219" i="11"/>
  <c r="L215" i="11"/>
  <c r="L214" i="11"/>
  <c r="L213" i="11"/>
  <c r="L212" i="11"/>
  <c r="L211" i="11"/>
  <c r="L207" i="11"/>
  <c r="L206" i="11"/>
  <c r="L205" i="11"/>
  <c r="L204" i="11"/>
  <c r="L203" i="11"/>
  <c r="L199" i="11"/>
  <c r="L198" i="11"/>
  <c r="L197" i="11"/>
  <c r="L196" i="11"/>
  <c r="L195" i="11"/>
  <c r="L172" i="11"/>
  <c r="L171" i="11"/>
  <c r="L170" i="11"/>
  <c r="L169" i="11"/>
  <c r="L168" i="11"/>
  <c r="L164" i="11"/>
  <c r="L163" i="11"/>
  <c r="L162" i="11"/>
  <c r="L161" i="11"/>
  <c r="L160" i="11"/>
  <c r="L156" i="11"/>
  <c r="L155" i="11"/>
  <c r="L154" i="11"/>
  <c r="L153" i="11"/>
  <c r="L152" i="11"/>
  <c r="L148" i="11"/>
  <c r="L147" i="11"/>
  <c r="L146" i="11"/>
  <c r="L145" i="11"/>
  <c r="L144" i="11"/>
  <c r="L135" i="11"/>
  <c r="L134" i="11"/>
  <c r="L114" i="11"/>
  <c r="L113" i="11"/>
  <c r="L112" i="11"/>
  <c r="L111" i="11"/>
  <c r="L107" i="11"/>
  <c r="L106" i="11"/>
  <c r="L105" i="11"/>
  <c r="L104" i="11"/>
  <c r="L100" i="11"/>
  <c r="L99" i="11"/>
  <c r="L98" i="11"/>
  <c r="L97" i="11"/>
  <c r="L93" i="11"/>
  <c r="L92" i="11"/>
  <c r="L91" i="11"/>
  <c r="L90" i="11"/>
  <c r="L86" i="11"/>
  <c r="L85" i="11"/>
  <c r="L84" i="11"/>
  <c r="L83" i="11"/>
  <c r="L79" i="11"/>
  <c r="L78" i="11"/>
  <c r="L77" i="11"/>
  <c r="L76" i="11"/>
  <c r="L55" i="11"/>
  <c r="L54" i="11"/>
  <c r="L53" i="11"/>
  <c r="L52" i="11"/>
  <c r="L51" i="11"/>
  <c r="L47" i="11"/>
  <c r="L46" i="11"/>
  <c r="L45" i="11"/>
  <c r="L44" i="11"/>
  <c r="L43" i="11"/>
  <c r="L39" i="11"/>
  <c r="L38" i="11"/>
  <c r="L37" i="11"/>
  <c r="L36" i="11"/>
  <c r="L35" i="11"/>
  <c r="L31" i="11"/>
  <c r="L30" i="11"/>
  <c r="L29" i="11"/>
  <c r="L28" i="11"/>
  <c r="L27" i="11"/>
  <c r="L23" i="11"/>
  <c r="L22" i="11"/>
  <c r="L21" i="11"/>
  <c r="L20" i="11"/>
  <c r="L19" i="11"/>
  <c r="J525" i="11"/>
  <c r="J523" i="11"/>
  <c r="J522" i="11"/>
  <c r="J519" i="11"/>
  <c r="J518" i="11"/>
  <c r="J517" i="11"/>
  <c r="J511" i="11"/>
  <c r="J510" i="11"/>
  <c r="J506" i="11"/>
  <c r="J505" i="11"/>
  <c r="J504" i="11"/>
  <c r="J503" i="11"/>
  <c r="J499" i="11"/>
  <c r="J498" i="11"/>
  <c r="J497" i="11"/>
  <c r="J493" i="11"/>
  <c r="J492" i="11"/>
  <c r="J491" i="11"/>
  <c r="J490" i="11"/>
  <c r="J489" i="11"/>
  <c r="J467" i="11"/>
  <c r="J466" i="11"/>
  <c r="J465" i="11"/>
  <c r="J464" i="11"/>
  <c r="J463" i="11"/>
  <c r="J462" i="11"/>
  <c r="J461" i="11"/>
  <c r="J460" i="11"/>
  <c r="J459" i="11"/>
  <c r="J458" i="11"/>
  <c r="J457" i="11"/>
  <c r="J456" i="11"/>
  <c r="J455" i="11"/>
  <c r="J454" i="11"/>
  <c r="J453" i="11"/>
  <c r="J452" i="11"/>
  <c r="J451" i="11"/>
  <c r="J450" i="11"/>
  <c r="J449" i="11"/>
  <c r="J445" i="11"/>
  <c r="J444" i="11"/>
  <c r="J443" i="11"/>
  <c r="J442" i="11"/>
  <c r="J441" i="11"/>
  <c r="J440" i="11"/>
  <c r="J439" i="11"/>
  <c r="J438" i="11"/>
  <c r="J437" i="11"/>
  <c r="J436" i="11"/>
  <c r="J435" i="11"/>
  <c r="J434" i="11"/>
  <c r="J433" i="11"/>
  <c r="J432" i="11"/>
  <c r="J431" i="11"/>
  <c r="J408" i="11"/>
  <c r="J407" i="11"/>
  <c r="J406" i="11"/>
  <c r="J405" i="11"/>
  <c r="J404" i="11"/>
  <c r="J403" i="11"/>
  <c r="J402" i="11"/>
  <c r="J401" i="11"/>
  <c r="J400" i="11"/>
  <c r="J399" i="11"/>
  <c r="J398" i="11"/>
  <c r="J390" i="11"/>
  <c r="J389" i="11"/>
  <c r="J388" i="11"/>
  <c r="J387" i="11"/>
  <c r="J386" i="11"/>
  <c r="J385" i="11"/>
  <c r="J381" i="11"/>
  <c r="J380" i="11"/>
  <c r="J379" i="11"/>
  <c r="J378" i="11"/>
  <c r="J374" i="11"/>
  <c r="J373" i="11"/>
  <c r="J372" i="11"/>
  <c r="J371" i="11"/>
  <c r="J351" i="11"/>
  <c r="J348" i="11"/>
  <c r="J347" i="11"/>
  <c r="J346" i="11"/>
  <c r="J345" i="11"/>
  <c r="J344" i="11"/>
  <c r="J340" i="11"/>
  <c r="J339" i="11"/>
  <c r="J338" i="11"/>
  <c r="J337" i="11"/>
  <c r="J336" i="11"/>
  <c r="J332" i="11"/>
  <c r="J331" i="11"/>
  <c r="J330" i="11"/>
  <c r="J329" i="11"/>
  <c r="J328" i="11"/>
  <c r="J324" i="11"/>
  <c r="J323" i="11"/>
  <c r="J322" i="11"/>
  <c r="J321" i="11"/>
  <c r="J320" i="11"/>
  <c r="J316" i="11"/>
  <c r="J315" i="11"/>
  <c r="J314" i="11"/>
  <c r="J313" i="11"/>
  <c r="J312" i="11"/>
  <c r="J289" i="11"/>
  <c r="J288" i="11"/>
  <c r="J287" i="11"/>
  <c r="J286" i="11"/>
  <c r="J285" i="11"/>
  <c r="J281" i="11"/>
  <c r="J280" i="11"/>
  <c r="J279" i="11"/>
  <c r="J278" i="11"/>
  <c r="J277" i="11"/>
  <c r="J269" i="11"/>
  <c r="J268" i="11"/>
  <c r="J265" i="11"/>
  <c r="J264" i="11"/>
  <c r="J263" i="11"/>
  <c r="J262" i="11"/>
  <c r="J261" i="11"/>
  <c r="J257" i="11"/>
  <c r="J256" i="11"/>
  <c r="J255" i="11"/>
  <c r="J254" i="11"/>
  <c r="J253" i="11"/>
  <c r="J231" i="11"/>
  <c r="J230" i="11"/>
  <c r="J229" i="11"/>
  <c r="J228" i="11"/>
  <c r="J227" i="11"/>
  <c r="J223" i="11"/>
  <c r="J222" i="11"/>
  <c r="J221" i="11"/>
  <c r="J220" i="11"/>
  <c r="J219" i="11"/>
  <c r="J215" i="11"/>
  <c r="J214" i="11"/>
  <c r="J213" i="11"/>
  <c r="J212" i="11"/>
  <c r="J211" i="11"/>
  <c r="J207" i="11"/>
  <c r="J206" i="11"/>
  <c r="J205" i="11"/>
  <c r="J204" i="11"/>
  <c r="J203" i="11"/>
  <c r="J199" i="11"/>
  <c r="J198" i="11"/>
  <c r="J197" i="11"/>
  <c r="J196" i="11"/>
  <c r="J195" i="11"/>
  <c r="J172" i="11"/>
  <c r="J171" i="11"/>
  <c r="J170" i="11"/>
  <c r="J169" i="11"/>
  <c r="J168" i="11"/>
  <c r="J164" i="11"/>
  <c r="J163" i="11"/>
  <c r="J162" i="11"/>
  <c r="J161" i="11"/>
  <c r="J160" i="11"/>
  <c r="J156" i="11"/>
  <c r="J155" i="11"/>
  <c r="J154" i="11"/>
  <c r="J153" i="11"/>
  <c r="J152" i="11"/>
  <c r="J148" i="11"/>
  <c r="J147" i="11"/>
  <c r="J146" i="11"/>
  <c r="J145" i="11"/>
  <c r="J144" i="11"/>
  <c r="J135" i="11"/>
  <c r="J134" i="11"/>
  <c r="J114" i="11"/>
  <c r="J113" i="11"/>
  <c r="J112" i="11"/>
  <c r="J111" i="11"/>
  <c r="J107" i="11"/>
  <c r="J106" i="11"/>
  <c r="J105" i="11"/>
  <c r="J104" i="11"/>
  <c r="J100" i="11"/>
  <c r="J99" i="11"/>
  <c r="J98" i="11"/>
  <c r="J97" i="11"/>
  <c r="J93" i="11"/>
  <c r="J92" i="11"/>
  <c r="J91" i="11"/>
  <c r="J90" i="11"/>
  <c r="J86" i="11"/>
  <c r="J85" i="11"/>
  <c r="J84" i="11"/>
  <c r="J83" i="11"/>
  <c r="J79" i="11"/>
  <c r="J78" i="11"/>
  <c r="J77" i="11"/>
  <c r="J76" i="11"/>
  <c r="J55" i="11"/>
  <c r="J54" i="11"/>
  <c r="J53" i="11"/>
  <c r="J52" i="11"/>
  <c r="J51" i="11"/>
  <c r="J47" i="11"/>
  <c r="J46" i="11"/>
  <c r="J45" i="11"/>
  <c r="J44" i="11"/>
  <c r="J43" i="11"/>
  <c r="J39" i="11"/>
  <c r="J38" i="11"/>
  <c r="J37" i="11"/>
  <c r="J36" i="11"/>
  <c r="J35" i="11"/>
  <c r="J31" i="11"/>
  <c r="J30" i="11"/>
  <c r="J29" i="11"/>
  <c r="J28" i="11"/>
  <c r="J27" i="11"/>
  <c r="J23" i="11"/>
  <c r="J22" i="11"/>
  <c r="J21" i="11"/>
  <c r="J20" i="11"/>
  <c r="J19" i="11"/>
  <c r="H525" i="11"/>
  <c r="H523" i="11"/>
  <c r="H522" i="11"/>
  <c r="H519" i="11"/>
  <c r="H518" i="11"/>
  <c r="H517" i="11"/>
  <c r="H511" i="11"/>
  <c r="H510" i="11"/>
  <c r="H506" i="11"/>
  <c r="H505" i="11"/>
  <c r="H504" i="11"/>
  <c r="H503" i="11"/>
  <c r="H499" i="11"/>
  <c r="H498" i="11"/>
  <c r="H497" i="11"/>
  <c r="H493" i="11"/>
  <c r="H492" i="11"/>
  <c r="H491" i="11"/>
  <c r="H490" i="11"/>
  <c r="H489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08" i="11"/>
  <c r="H407" i="11"/>
  <c r="H406" i="11"/>
  <c r="H405" i="11"/>
  <c r="H404" i="11"/>
  <c r="H403" i="11"/>
  <c r="H402" i="11"/>
  <c r="H401" i="11"/>
  <c r="H400" i="11"/>
  <c r="H399" i="11"/>
  <c r="H398" i="11"/>
  <c r="H390" i="11"/>
  <c r="H389" i="11"/>
  <c r="H388" i="11"/>
  <c r="H387" i="11"/>
  <c r="H386" i="11"/>
  <c r="H385" i="11"/>
  <c r="H381" i="11"/>
  <c r="H380" i="11"/>
  <c r="H379" i="11"/>
  <c r="H378" i="11"/>
  <c r="H374" i="11"/>
  <c r="H373" i="11"/>
  <c r="H372" i="11"/>
  <c r="H371" i="11"/>
  <c r="H351" i="11"/>
  <c r="H348" i="11"/>
  <c r="H347" i="11"/>
  <c r="H346" i="11"/>
  <c r="H345" i="11"/>
  <c r="H344" i="11"/>
  <c r="H340" i="11"/>
  <c r="H339" i="11"/>
  <c r="H338" i="11"/>
  <c r="H337" i="11"/>
  <c r="H336" i="11"/>
  <c r="H332" i="11"/>
  <c r="H331" i="11"/>
  <c r="H330" i="11"/>
  <c r="H329" i="11"/>
  <c r="H328" i="11"/>
  <c r="H324" i="11"/>
  <c r="H323" i="11"/>
  <c r="H322" i="11"/>
  <c r="H321" i="11"/>
  <c r="H320" i="11"/>
  <c r="H316" i="11"/>
  <c r="H315" i="11"/>
  <c r="H314" i="11"/>
  <c r="H313" i="11"/>
  <c r="H312" i="11"/>
  <c r="H289" i="11"/>
  <c r="H288" i="11"/>
  <c r="H287" i="11"/>
  <c r="H286" i="11"/>
  <c r="H285" i="11"/>
  <c r="H281" i="11"/>
  <c r="H280" i="11"/>
  <c r="H279" i="11"/>
  <c r="H278" i="11"/>
  <c r="H277" i="11"/>
  <c r="H269" i="11"/>
  <c r="H268" i="11"/>
  <c r="H265" i="11"/>
  <c r="H264" i="11"/>
  <c r="H263" i="11"/>
  <c r="H262" i="11"/>
  <c r="H261" i="11"/>
  <c r="H257" i="11"/>
  <c r="H256" i="11"/>
  <c r="H255" i="11"/>
  <c r="H254" i="11"/>
  <c r="H253" i="11"/>
  <c r="H231" i="11"/>
  <c r="H230" i="11"/>
  <c r="H229" i="11"/>
  <c r="H228" i="11"/>
  <c r="H227" i="11"/>
  <c r="H223" i="11"/>
  <c r="H222" i="11"/>
  <c r="H221" i="11"/>
  <c r="H220" i="11"/>
  <c r="H219" i="11"/>
  <c r="H215" i="11"/>
  <c r="H214" i="11"/>
  <c r="H213" i="11"/>
  <c r="H212" i="11"/>
  <c r="H211" i="11"/>
  <c r="H207" i="11"/>
  <c r="H206" i="11"/>
  <c r="H205" i="11"/>
  <c r="H204" i="11"/>
  <c r="H203" i="11"/>
  <c r="H199" i="11"/>
  <c r="H198" i="11"/>
  <c r="H197" i="11"/>
  <c r="H196" i="11"/>
  <c r="H195" i="11"/>
  <c r="H172" i="11"/>
  <c r="H171" i="11"/>
  <c r="H170" i="11"/>
  <c r="H169" i="11"/>
  <c r="H168" i="11"/>
  <c r="H164" i="11"/>
  <c r="H163" i="11"/>
  <c r="H162" i="11"/>
  <c r="H161" i="11"/>
  <c r="H160" i="11"/>
  <c r="H156" i="11"/>
  <c r="H155" i="11"/>
  <c r="H154" i="11"/>
  <c r="H153" i="11"/>
  <c r="H152" i="11"/>
  <c r="H148" i="11"/>
  <c r="H147" i="11"/>
  <c r="H146" i="11"/>
  <c r="H145" i="11"/>
  <c r="H144" i="11"/>
  <c r="H135" i="11"/>
  <c r="H134" i="11"/>
  <c r="H114" i="11"/>
  <c r="H113" i="11"/>
  <c r="H112" i="11"/>
  <c r="H111" i="11"/>
  <c r="H107" i="11"/>
  <c r="H106" i="11"/>
  <c r="H105" i="11"/>
  <c r="H104" i="11"/>
  <c r="H100" i="11"/>
  <c r="H99" i="11"/>
  <c r="H98" i="11"/>
  <c r="H97" i="11"/>
  <c r="H93" i="11"/>
  <c r="H92" i="11"/>
  <c r="H91" i="11"/>
  <c r="H90" i="11"/>
  <c r="H86" i="11"/>
  <c r="H85" i="11"/>
  <c r="H84" i="11"/>
  <c r="H83" i="11"/>
  <c r="H79" i="11"/>
  <c r="H78" i="11"/>
  <c r="H77" i="11"/>
  <c r="H76" i="11"/>
  <c r="H55" i="11"/>
  <c r="H54" i="11"/>
  <c r="H53" i="11"/>
  <c r="H52" i="11"/>
  <c r="H51" i="11"/>
  <c r="H47" i="11"/>
  <c r="H46" i="11"/>
  <c r="H45" i="11"/>
  <c r="H44" i="11"/>
  <c r="H43" i="11"/>
  <c r="H39" i="11"/>
  <c r="H38" i="11"/>
  <c r="H37" i="11"/>
  <c r="H36" i="11"/>
  <c r="H35" i="11"/>
  <c r="H31" i="11"/>
  <c r="H30" i="11"/>
  <c r="H29" i="11"/>
  <c r="H28" i="11"/>
  <c r="H27" i="11"/>
  <c r="H23" i="11"/>
  <c r="H22" i="11"/>
  <c r="H21" i="11"/>
  <c r="H20" i="11"/>
  <c r="H19" i="11"/>
  <c r="P590" i="11"/>
  <c r="A590" i="11"/>
  <c r="A547" i="1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P536" i="11"/>
  <c r="O536" i="11"/>
  <c r="F536" i="11"/>
  <c r="P535" i="11"/>
  <c r="O535" i="11"/>
  <c r="F535" i="11"/>
  <c r="A535" i="11"/>
  <c r="P534" i="11"/>
  <c r="O534" i="11"/>
  <c r="F534" i="11"/>
  <c r="P533" i="11"/>
  <c r="F533" i="11"/>
  <c r="E533" i="11"/>
  <c r="A533" i="11"/>
  <c r="R532" i="11"/>
  <c r="G532" i="11"/>
  <c r="A532" i="11"/>
  <c r="P531" i="11"/>
  <c r="A531" i="11"/>
  <c r="P526" i="11"/>
  <c r="A488" i="1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P477" i="11"/>
  <c r="O477" i="11"/>
  <c r="F477" i="11"/>
  <c r="P476" i="11"/>
  <c r="O476" i="11"/>
  <c r="F476" i="11"/>
  <c r="A476" i="11"/>
  <c r="P475" i="11"/>
  <c r="O475" i="11"/>
  <c r="F475" i="11"/>
  <c r="P474" i="11"/>
  <c r="F474" i="11"/>
  <c r="E474" i="11"/>
  <c r="A474" i="11"/>
  <c r="R473" i="11"/>
  <c r="G473" i="11"/>
  <c r="A473" i="11"/>
  <c r="P472" i="11"/>
  <c r="A472" i="11"/>
  <c r="A429" i="1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P418" i="11"/>
  <c r="O418" i="11"/>
  <c r="F418" i="11"/>
  <c r="P417" i="11"/>
  <c r="O417" i="11"/>
  <c r="F417" i="11"/>
  <c r="A417" i="11"/>
  <c r="P416" i="11"/>
  <c r="O416" i="11"/>
  <c r="F416" i="11"/>
  <c r="P415" i="11"/>
  <c r="F415" i="11"/>
  <c r="E415" i="11"/>
  <c r="A415" i="11"/>
  <c r="R414" i="11"/>
  <c r="G414" i="11"/>
  <c r="A414" i="11"/>
  <c r="P413" i="11"/>
  <c r="A413" i="11"/>
  <c r="A370" i="1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P359" i="11"/>
  <c r="O359" i="11"/>
  <c r="F359" i="11"/>
  <c r="P358" i="11"/>
  <c r="O358" i="11"/>
  <c r="F358" i="11"/>
  <c r="A358" i="11"/>
  <c r="P357" i="11"/>
  <c r="O357" i="11"/>
  <c r="F357" i="11"/>
  <c r="P356" i="11"/>
  <c r="F356" i="11"/>
  <c r="E356" i="11"/>
  <c r="A356" i="11"/>
  <c r="R355" i="11"/>
  <c r="G355" i="11"/>
  <c r="A355" i="11"/>
  <c r="P354" i="11"/>
  <c r="A354" i="11"/>
  <c r="A311" i="1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P300" i="11"/>
  <c r="O300" i="11"/>
  <c r="F300" i="11"/>
  <c r="P299" i="11"/>
  <c r="O299" i="11"/>
  <c r="F299" i="11"/>
  <c r="A299" i="11"/>
  <c r="P298" i="11"/>
  <c r="O298" i="11"/>
  <c r="F298" i="11"/>
  <c r="P297" i="11"/>
  <c r="F297" i="11"/>
  <c r="E297" i="11"/>
  <c r="A297" i="11"/>
  <c r="R296" i="11"/>
  <c r="G296" i="11"/>
  <c r="A296" i="11"/>
  <c r="P295" i="11"/>
  <c r="A295" i="11"/>
  <c r="A252" i="1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P241" i="11"/>
  <c r="O241" i="11"/>
  <c r="F241" i="11"/>
  <c r="P240" i="11"/>
  <c r="O240" i="11"/>
  <c r="F240" i="11"/>
  <c r="A240" i="11"/>
  <c r="P239" i="11"/>
  <c r="O239" i="11"/>
  <c r="F239" i="11"/>
  <c r="P238" i="11"/>
  <c r="F238" i="11"/>
  <c r="E238" i="11"/>
  <c r="A238" i="11"/>
  <c r="R237" i="11"/>
  <c r="G237" i="11"/>
  <c r="A237" i="11"/>
  <c r="P236" i="11"/>
  <c r="A236" i="11"/>
  <c r="A193" i="1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P182" i="11"/>
  <c r="O182" i="11"/>
  <c r="F182" i="11"/>
  <c r="P181" i="11"/>
  <c r="O181" i="11"/>
  <c r="F181" i="11"/>
  <c r="A181" i="11"/>
  <c r="P180" i="11"/>
  <c r="O180" i="11"/>
  <c r="F180" i="11"/>
  <c r="P179" i="11"/>
  <c r="F179" i="11"/>
  <c r="E179" i="11"/>
  <c r="A179" i="11"/>
  <c r="R178" i="11"/>
  <c r="G178" i="11"/>
  <c r="A178" i="11"/>
  <c r="P177" i="11"/>
  <c r="A177" i="11"/>
  <c r="A134" i="1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P123" i="11"/>
  <c r="O123" i="11"/>
  <c r="F123" i="11"/>
  <c r="P122" i="11"/>
  <c r="O122" i="11"/>
  <c r="F122" i="11"/>
  <c r="A122" i="11"/>
  <c r="P121" i="11"/>
  <c r="O121" i="11"/>
  <c r="F121" i="11"/>
  <c r="P120" i="11"/>
  <c r="F120" i="11"/>
  <c r="E120" i="11"/>
  <c r="A120" i="11"/>
  <c r="R119" i="11"/>
  <c r="G119" i="11"/>
  <c r="A119" i="11"/>
  <c r="P118" i="11"/>
  <c r="A118" i="11"/>
  <c r="A75" i="1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P64" i="11"/>
  <c r="O64" i="11"/>
  <c r="F64" i="11"/>
  <c r="P63" i="11"/>
  <c r="O63" i="11"/>
  <c r="F63" i="11"/>
  <c r="A63" i="11"/>
  <c r="P62" i="11"/>
  <c r="O62" i="11"/>
  <c r="F62" i="11"/>
  <c r="P61" i="11"/>
  <c r="F61" i="11"/>
  <c r="E61" i="11"/>
  <c r="A61" i="11"/>
  <c r="R60" i="11"/>
  <c r="G60" i="11"/>
  <c r="A60" i="1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R1" i="11"/>
  <c r="F27" i="11" l="1"/>
  <c r="F517" i="11"/>
  <c r="F504" i="11"/>
  <c r="F522" i="11"/>
  <c r="F518" i="11"/>
  <c r="F505" i="11"/>
  <c r="F492" i="11"/>
  <c r="F510" i="11"/>
  <c r="F503" i="11"/>
  <c r="F511" i="11"/>
  <c r="F498" i="11"/>
  <c r="F497" i="11"/>
  <c r="F465" i="11"/>
  <c r="F461" i="11"/>
  <c r="F457" i="11"/>
  <c r="F453" i="11"/>
  <c r="F441" i="11"/>
  <c r="F433" i="11"/>
  <c r="F405" i="11"/>
  <c r="F525" i="11"/>
  <c r="F519" i="11"/>
  <c r="F506" i="11"/>
  <c r="F458" i="11"/>
  <c r="F431" i="11"/>
  <c r="F402" i="11"/>
  <c r="F499" i="11"/>
  <c r="F467" i="11"/>
  <c r="F464" i="11"/>
  <c r="F451" i="11"/>
  <c r="F444" i="11"/>
  <c r="F523" i="11"/>
  <c r="F463" i="11"/>
  <c r="F460" i="11"/>
  <c r="F450" i="11"/>
  <c r="F443" i="11"/>
  <c r="F436" i="11"/>
  <c r="F407" i="11"/>
  <c r="F400" i="11"/>
  <c r="F388" i="11"/>
  <c r="F386" i="11"/>
  <c r="F373" i="11"/>
  <c r="F452" i="11"/>
  <c r="F432" i="11"/>
  <c r="F406" i="11"/>
  <c r="F390" i="11"/>
  <c r="F339" i="11"/>
  <c r="F462" i="11"/>
  <c r="F435" i="11"/>
  <c r="F371" i="11"/>
  <c r="F340" i="11"/>
  <c r="F336" i="11"/>
  <c r="F345" i="11"/>
  <c r="F323" i="11"/>
  <c r="F313" i="11"/>
  <c r="F254" i="11"/>
  <c r="F222" i="11"/>
  <c r="F205" i="11"/>
  <c r="F381" i="11"/>
  <c r="F348" i="11"/>
  <c r="F321" i="11"/>
  <c r="F286" i="11"/>
  <c r="F372" i="11"/>
  <c r="F329" i="11"/>
  <c r="F324" i="11"/>
  <c r="F279" i="11"/>
  <c r="F312" i="11"/>
  <c r="F253" i="11"/>
  <c r="F223" i="11"/>
  <c r="F346" i="11"/>
  <c r="F344" i="11"/>
  <c r="F330" i="11"/>
  <c r="F316" i="11"/>
  <c r="F269" i="11"/>
  <c r="F314" i="11"/>
  <c r="F285" i="11"/>
  <c r="F265" i="11"/>
  <c r="F230" i="11"/>
  <c r="F351" i="11"/>
  <c r="F398" i="11"/>
  <c r="F385" i="11"/>
  <c r="F203" i="11"/>
  <c r="F154" i="11"/>
  <c r="F163" i="11"/>
  <c r="F229" i="11"/>
  <c r="F196" i="11"/>
  <c r="F169" i="11"/>
  <c r="F161" i="11"/>
  <c r="F212" i="11"/>
  <c r="F135" i="11"/>
  <c r="F204" i="11"/>
  <c r="F162" i="11"/>
  <c r="F113" i="11"/>
  <c r="F83" i="11"/>
  <c r="F31" i="11"/>
  <c r="F228" i="11"/>
  <c r="F160" i="11"/>
  <c r="F156" i="11"/>
  <c r="F105" i="11"/>
  <c r="F79" i="11"/>
  <c r="F53" i="11"/>
  <c r="F36" i="11"/>
  <c r="F23" i="11"/>
  <c r="F19" i="11"/>
  <c r="F261" i="11"/>
  <c r="F211" i="11"/>
  <c r="F198" i="11"/>
  <c r="F153" i="11"/>
  <c r="F106" i="11"/>
  <c r="F93" i="11"/>
  <c r="F37" i="11"/>
  <c r="F20" i="11"/>
  <c r="F152" i="11"/>
  <c r="F98" i="11"/>
  <c r="F85" i="11"/>
  <c r="F46" i="11"/>
  <c r="F29" i="11"/>
  <c r="F45" i="11"/>
  <c r="F84" i="11"/>
  <c r="F30" i="11"/>
  <c r="F47" i="11"/>
  <c r="F315" i="11"/>
  <c r="F134" i="11"/>
  <c r="F99" i="11"/>
  <c r="F21" i="11"/>
  <c r="F199" i="11"/>
  <c r="F172" i="11"/>
  <c r="F112" i="11"/>
  <c r="F86" i="11"/>
  <c r="F77" i="11"/>
  <c r="F35" i="11"/>
  <c r="F43" i="11"/>
  <c r="F114" i="11"/>
  <c r="F51" i="11"/>
  <c r="F28" i="11"/>
  <c r="F90" i="11"/>
  <c r="F97" i="11"/>
  <c r="F104" i="11"/>
  <c r="F76" i="11"/>
  <c r="F38" i="11"/>
  <c r="F92" i="11"/>
  <c r="F91" i="11"/>
  <c r="F54" i="11"/>
  <c r="F111" i="11"/>
  <c r="F44" i="11"/>
  <c r="F52" i="11"/>
  <c r="F55" i="11"/>
  <c r="F107" i="11"/>
  <c r="F328" i="11"/>
  <c r="F144" i="11"/>
  <c r="F277" i="11"/>
  <c r="F39" i="11"/>
  <c r="F100" i="11"/>
  <c r="F22" i="11"/>
  <c r="F78" i="11"/>
  <c r="F320" i="11"/>
  <c r="F145" i="11"/>
  <c r="F227" i="11"/>
  <c r="F378" i="11"/>
  <c r="F168" i="11"/>
  <c r="F195" i="11"/>
  <c r="F278" i="11"/>
  <c r="F220" i="11"/>
  <c r="F263" i="11"/>
  <c r="F337" i="11"/>
  <c r="F255" i="11"/>
  <c r="F322" i="11"/>
  <c r="F262" i="11"/>
  <c r="F338" i="11"/>
  <c r="F146" i="11"/>
  <c r="F379" i="11"/>
  <c r="F155" i="11"/>
  <c r="F197" i="11"/>
  <c r="F491" i="11"/>
  <c r="F387" i="11"/>
  <c r="F170" i="11"/>
  <c r="F288" i="11"/>
  <c r="F171" i="11"/>
  <c r="F213" i="11"/>
  <c r="F331" i="11"/>
  <c r="F380" i="11"/>
  <c r="F268" i="11"/>
  <c r="F147" i="11"/>
  <c r="F206" i="11"/>
  <c r="F389" i="11"/>
  <c r="F439" i="11"/>
  <c r="F221" i="11"/>
  <c r="F280" i="11"/>
  <c r="F256" i="11"/>
  <c r="F347" i="11"/>
  <c r="F332" i="11"/>
  <c r="F219" i="11"/>
  <c r="F264" i="11"/>
  <c r="F257" i="11"/>
  <c r="F399" i="11"/>
  <c r="F289" i="11"/>
  <c r="F231" i="11"/>
  <c r="F148" i="11"/>
  <c r="F287" i="11"/>
  <c r="F214" i="11"/>
  <c r="F281" i="11"/>
  <c r="F164" i="11"/>
  <c r="F207" i="11"/>
  <c r="F215" i="11"/>
  <c r="F438" i="11"/>
  <c r="F404" i="11"/>
  <c r="F440" i="11"/>
  <c r="F455" i="11"/>
  <c r="F459" i="11"/>
  <c r="F374" i="11"/>
  <c r="F408" i="11"/>
  <c r="F434" i="11"/>
  <c r="F403" i="11"/>
  <c r="F401" i="11"/>
  <c r="F437" i="11"/>
  <c r="F442" i="11"/>
  <c r="F466" i="11"/>
  <c r="F445" i="11"/>
  <c r="F449" i="11"/>
  <c r="F454" i="11"/>
  <c r="F493" i="11"/>
  <c r="F456" i="11"/>
  <c r="R232" i="11" l="1"/>
  <c r="R32" i="11"/>
  <c r="P153" i="11"/>
  <c r="P54" i="11"/>
  <c r="J56" i="11"/>
  <c r="P169" i="11"/>
  <c r="N101" i="11"/>
  <c r="L258" i="11"/>
  <c r="R149" i="11"/>
  <c r="R266" i="11"/>
  <c r="N282" i="11"/>
  <c r="L282" i="11"/>
  <c r="R48" i="11"/>
  <c r="P257" i="11"/>
  <c r="R382" i="11"/>
  <c r="N266" i="11"/>
  <c r="J216" i="11"/>
  <c r="H24" i="11"/>
  <c r="R333" i="11"/>
  <c r="R108" i="11"/>
  <c r="P83" i="11"/>
  <c r="N290" i="11"/>
  <c r="P312" i="11"/>
  <c r="P390" i="11"/>
  <c r="H266" i="11"/>
  <c r="L232" i="11"/>
  <c r="H32" i="11"/>
  <c r="R40" i="11"/>
  <c r="R94" i="11"/>
  <c r="J349" i="11"/>
  <c r="L527" i="11"/>
  <c r="R325" i="11"/>
  <c r="N48" i="11"/>
  <c r="P511" i="11"/>
  <c r="N216" i="11"/>
  <c r="N173" i="11"/>
  <c r="L317" i="11"/>
  <c r="R24" i="11"/>
  <c r="N32" i="11"/>
  <c r="N80" i="11"/>
  <c r="P106" i="11"/>
  <c r="P90" i="11"/>
  <c r="R87" i="11"/>
  <c r="P162" i="11"/>
  <c r="P214" i="11"/>
  <c r="J108" i="11"/>
  <c r="H349" i="11"/>
  <c r="N325" i="11"/>
  <c r="J282" i="11"/>
  <c r="L333" i="11"/>
  <c r="N108" i="11"/>
  <c r="L520" i="11"/>
  <c r="R80" i="11"/>
  <c r="P264" i="11"/>
  <c r="P206" i="11"/>
  <c r="P278" i="11"/>
  <c r="J500" i="11"/>
  <c r="H80" i="11"/>
  <c r="P76" i="11"/>
  <c r="P44" i="11"/>
  <c r="R165" i="11"/>
  <c r="J382" i="11"/>
  <c r="J232" i="11"/>
  <c r="L216" i="11"/>
  <c r="R282" i="11"/>
  <c r="H56" i="11"/>
  <c r="J149" i="11"/>
  <c r="L56" i="11"/>
  <c r="P489" i="11"/>
  <c r="P28" i="11"/>
  <c r="J258" i="11"/>
  <c r="L325" i="11"/>
  <c r="H409" i="11"/>
  <c r="N375" i="11"/>
  <c r="N341" i="11"/>
  <c r="J341" i="11"/>
  <c r="P160" i="11"/>
  <c r="N317" i="11"/>
  <c r="H87" i="11"/>
  <c r="J101" i="11"/>
  <c r="H208" i="11"/>
  <c r="P203" i="11"/>
  <c r="R224" i="11"/>
  <c r="R341" i="11"/>
  <c r="R157" i="11"/>
  <c r="L24" i="11"/>
  <c r="P450" i="11"/>
  <c r="P431" i="11"/>
  <c r="H317" i="11"/>
  <c r="N200" i="11"/>
  <c r="R507" i="11"/>
  <c r="N382" i="11"/>
  <c r="L108" i="11"/>
  <c r="P523" i="11"/>
  <c r="R500" i="11"/>
  <c r="P221" i="11"/>
  <c r="P79" i="11"/>
  <c r="P339" i="11"/>
  <c r="H341" i="11"/>
  <c r="P336" i="11"/>
  <c r="N512" i="11"/>
  <c r="H391" i="11"/>
  <c r="P385" i="11"/>
  <c r="P324" i="11"/>
  <c r="P288" i="11"/>
  <c r="P329" i="11"/>
  <c r="J468" i="11"/>
  <c r="J375" i="11"/>
  <c r="L468" i="11"/>
  <c r="J527" i="11"/>
  <c r="P464" i="11"/>
  <c r="J409" i="11"/>
  <c r="P462" i="11"/>
  <c r="R520" i="11"/>
  <c r="N576" i="11"/>
  <c r="L87" i="11"/>
  <c r="R56" i="11"/>
  <c r="R115" i="11"/>
  <c r="P37" i="11"/>
  <c r="P135" i="11"/>
  <c r="N87" i="11"/>
  <c r="P45" i="11"/>
  <c r="P197" i="11"/>
  <c r="P161" i="11"/>
  <c r="P205" i="11"/>
  <c r="N208" i="11"/>
  <c r="P351" i="11"/>
  <c r="J290" i="11"/>
  <c r="P316" i="11"/>
  <c r="L208" i="11"/>
  <c r="P219" i="11"/>
  <c r="P372" i="11"/>
  <c r="H375" i="11"/>
  <c r="P371" i="11"/>
  <c r="P457" i="11"/>
  <c r="P345" i="11"/>
  <c r="J391" i="11"/>
  <c r="P435" i="11"/>
  <c r="L446" i="11"/>
  <c r="P386" i="11"/>
  <c r="L507" i="11"/>
  <c r="R574" i="11"/>
  <c r="J115" i="11"/>
  <c r="P78" i="11"/>
  <c r="P147" i="11"/>
  <c r="J157" i="11"/>
  <c r="P144" i="11"/>
  <c r="H149" i="11"/>
  <c r="J208" i="11"/>
  <c r="J94" i="11"/>
  <c r="N56" i="11"/>
  <c r="P105" i="11"/>
  <c r="L173" i="11"/>
  <c r="P199" i="11"/>
  <c r="R200" i="11"/>
  <c r="L224" i="11"/>
  <c r="P198" i="11"/>
  <c r="L165" i="11"/>
  <c r="J200" i="11"/>
  <c r="P261" i="11"/>
  <c r="J266" i="11"/>
  <c r="J317" i="11"/>
  <c r="P404" i="11"/>
  <c r="R216" i="11"/>
  <c r="N224" i="11"/>
  <c r="P287" i="11"/>
  <c r="R512" i="11"/>
  <c r="L375" i="11"/>
  <c r="R409" i="11"/>
  <c r="P451" i="11"/>
  <c r="P441" i="11"/>
  <c r="P519" i="11"/>
  <c r="H574" i="11"/>
  <c r="P522" i="11"/>
  <c r="L512" i="11"/>
  <c r="P52" i="11"/>
  <c r="L200" i="11"/>
  <c r="P99" i="11"/>
  <c r="P39" i="11"/>
  <c r="L40" i="11"/>
  <c r="P51" i="11"/>
  <c r="P323" i="11"/>
  <c r="P84" i="11"/>
  <c r="P196" i="11"/>
  <c r="P204" i="11"/>
  <c r="R375" i="11"/>
  <c r="P262" i="11"/>
  <c r="P346" i="11"/>
  <c r="L341" i="11"/>
  <c r="P268" i="11"/>
  <c r="R290" i="11"/>
  <c r="J224" i="11"/>
  <c r="R258" i="11"/>
  <c r="P381" i="11"/>
  <c r="P402" i="11"/>
  <c r="P398" i="11"/>
  <c r="L574" i="11"/>
  <c r="H576" i="11"/>
  <c r="L576" i="11"/>
  <c r="P27" i="11"/>
  <c r="P86" i="11"/>
  <c r="P154" i="11"/>
  <c r="P230" i="11"/>
  <c r="L48" i="11"/>
  <c r="H115" i="11"/>
  <c r="P53" i="11"/>
  <c r="L157" i="11"/>
  <c r="P340" i="11"/>
  <c r="R317" i="11"/>
  <c r="P269" i="11"/>
  <c r="N349" i="11"/>
  <c r="L409" i="11"/>
  <c r="P344" i="11"/>
  <c r="R391" i="11"/>
  <c r="P499" i="11"/>
  <c r="N574" i="11"/>
  <c r="N527" i="11"/>
  <c r="P505" i="11"/>
  <c r="R527" i="11"/>
  <c r="J87" i="11"/>
  <c r="P112" i="11"/>
  <c r="L32" i="11"/>
  <c r="P46" i="11"/>
  <c r="H157" i="11"/>
  <c r="P152" i="11"/>
  <c r="N94" i="11"/>
  <c r="P19" i="11"/>
  <c r="L101" i="11"/>
  <c r="R173" i="11"/>
  <c r="P315" i="11"/>
  <c r="N157" i="11"/>
  <c r="J173" i="11"/>
  <c r="P215" i="11"/>
  <c r="L349" i="11"/>
  <c r="N391" i="11"/>
  <c r="P443" i="11"/>
  <c r="P400" i="11"/>
  <c r="P458" i="11"/>
  <c r="H507" i="11"/>
  <c r="P503" i="11"/>
  <c r="J507" i="11"/>
  <c r="R576" i="11"/>
  <c r="P510" i="11"/>
  <c r="H512" i="11"/>
  <c r="L500" i="11"/>
  <c r="J32" i="11"/>
  <c r="P47" i="11"/>
  <c r="H108" i="11"/>
  <c r="P104" i="11"/>
  <c r="P30" i="11"/>
  <c r="J48" i="11"/>
  <c r="P77" i="11"/>
  <c r="R101" i="11"/>
  <c r="P313" i="11"/>
  <c r="L80" i="11"/>
  <c r="P156" i="11"/>
  <c r="P254" i="11"/>
  <c r="P170" i="11"/>
  <c r="R208" i="11"/>
  <c r="R349" i="11"/>
  <c r="P207" i="11"/>
  <c r="P279" i="11"/>
  <c r="P265" i="11"/>
  <c r="P373" i="11"/>
  <c r="L290" i="11"/>
  <c r="P388" i="11"/>
  <c r="L391" i="11"/>
  <c r="P407" i="11"/>
  <c r="P452" i="11"/>
  <c r="R446" i="11"/>
  <c r="R468" i="11"/>
  <c r="P461" i="11"/>
  <c r="J512" i="11"/>
  <c r="J574" i="11"/>
  <c r="N468" i="11" l="1"/>
  <c r="P163" i="11"/>
  <c r="P506" i="11"/>
  <c r="N232" i="11"/>
  <c r="P21" i="11"/>
  <c r="P576" i="11"/>
  <c r="L115" i="11"/>
  <c r="P92" i="11"/>
  <c r="H568" i="11"/>
  <c r="H566" i="11"/>
  <c r="L556" i="11"/>
  <c r="J578" i="11"/>
  <c r="J558" i="11"/>
  <c r="H101" i="11"/>
  <c r="P97" i="11"/>
  <c r="H290" i="11"/>
  <c r="P285" i="11"/>
  <c r="P208" i="11"/>
  <c r="P442" i="11"/>
  <c r="P403" i="11"/>
  <c r="P465" i="11"/>
  <c r="P222" i="11"/>
  <c r="N258" i="11"/>
  <c r="P80" i="11"/>
  <c r="P107" i="11"/>
  <c r="P171" i="11"/>
  <c r="R494" i="11"/>
  <c r="P434" i="11"/>
  <c r="P31" i="11"/>
  <c r="P263" i="11"/>
  <c r="P338" i="11"/>
  <c r="P231" i="11"/>
  <c r="H48" i="11"/>
  <c r="P43" i="11"/>
  <c r="N40" i="11"/>
  <c r="L554" i="11"/>
  <c r="P330" i="11"/>
  <c r="P164" i="11"/>
  <c r="N494" i="11"/>
  <c r="P38" i="11"/>
  <c r="P93" i="11"/>
  <c r="P148" i="11"/>
  <c r="P456" i="11"/>
  <c r="P380" i="11"/>
  <c r="P432" i="11"/>
  <c r="N333" i="11"/>
  <c r="P517" i="11"/>
  <c r="H520" i="11"/>
  <c r="L578" i="11"/>
  <c r="P518" i="11"/>
  <c r="P455" i="11"/>
  <c r="N507" i="11"/>
  <c r="H325" i="11"/>
  <c r="P320" i="11"/>
  <c r="L572" i="11"/>
  <c r="N409" i="11"/>
  <c r="J271" i="11"/>
  <c r="R271" i="11"/>
  <c r="P212" i="11"/>
  <c r="H468" i="11"/>
  <c r="P449" i="11"/>
  <c r="P145" i="11"/>
  <c r="P406" i="11"/>
  <c r="P401" i="11"/>
  <c r="P440" i="11"/>
  <c r="P466" i="11"/>
  <c r="P498" i="11"/>
  <c r="P286" i="11"/>
  <c r="P467" i="11"/>
  <c r="P113" i="11"/>
  <c r="P389" i="11"/>
  <c r="H232" i="11"/>
  <c r="P227" i="11"/>
  <c r="N520" i="11"/>
  <c r="N149" i="11"/>
  <c r="L149" i="11"/>
  <c r="P437" i="11"/>
  <c r="P172" i="11"/>
  <c r="R558" i="11"/>
  <c r="P574" i="11"/>
  <c r="P98" i="11"/>
  <c r="P439" i="11"/>
  <c r="P281" i="11"/>
  <c r="P22" i="11"/>
  <c r="J165" i="11"/>
  <c r="L382" i="11"/>
  <c r="P322" i="11"/>
  <c r="P220" i="11"/>
  <c r="N500" i="11"/>
  <c r="P459" i="11"/>
  <c r="P348" i="11"/>
  <c r="P453" i="11"/>
  <c r="L94" i="11"/>
  <c r="J325" i="11"/>
  <c r="R175" i="11"/>
  <c r="J576" i="11"/>
  <c r="J333" i="11"/>
  <c r="J446" i="11"/>
  <c r="P256" i="11"/>
  <c r="R556" i="11"/>
  <c r="H333" i="11"/>
  <c r="J566" i="11"/>
  <c r="P328" i="11"/>
  <c r="N578" i="11"/>
  <c r="H94" i="11"/>
  <c r="L566" i="11"/>
  <c r="J554" i="11"/>
  <c r="R564" i="11"/>
  <c r="P91" i="11"/>
  <c r="R566" i="11"/>
  <c r="P255" i="11"/>
  <c r="P408" i="11"/>
  <c r="P497" i="11"/>
  <c r="H500" i="11"/>
  <c r="H216" i="11"/>
  <c r="P211" i="11"/>
  <c r="P463" i="11"/>
  <c r="P454" i="11"/>
  <c r="P55" i="11"/>
  <c r="H382" i="11"/>
  <c r="P378" i="11"/>
  <c r="J564" i="11"/>
  <c r="H527" i="11"/>
  <c r="P525" i="11"/>
  <c r="N115" i="11"/>
  <c r="P438" i="11"/>
  <c r="P405" i="11"/>
  <c r="R137" i="11"/>
  <c r="P100" i="11"/>
  <c r="P195" i="11"/>
  <c r="H200" i="11"/>
  <c r="P433" i="11"/>
  <c r="P399" i="11"/>
  <c r="P321" i="11"/>
  <c r="P228" i="11"/>
  <c r="P331" i="11"/>
  <c r="P374" i="11"/>
  <c r="L494" i="11"/>
  <c r="P20" i="11"/>
  <c r="H258" i="11"/>
  <c r="P253" i="11"/>
  <c r="P223" i="11"/>
  <c r="J175" i="11"/>
  <c r="P490" i="11"/>
  <c r="H554" i="11"/>
  <c r="L568" i="11"/>
  <c r="L564" i="11"/>
  <c r="N568" i="11"/>
  <c r="P436" i="11"/>
  <c r="P85" i="11"/>
  <c r="J40" i="11"/>
  <c r="P114" i="11"/>
  <c r="P347" i="11"/>
  <c r="H494" i="11"/>
  <c r="P387" i="11"/>
  <c r="L266" i="11"/>
  <c r="P444" i="11"/>
  <c r="P36" i="11"/>
  <c r="P379" i="11"/>
  <c r="L352" i="11"/>
  <c r="J520" i="11"/>
  <c r="N24" i="11"/>
  <c r="R578" i="11"/>
  <c r="N446" i="11"/>
  <c r="H173" i="11"/>
  <c r="P168" i="11"/>
  <c r="P229" i="11"/>
  <c r="P512" i="11"/>
  <c r="R568" i="11"/>
  <c r="H224" i="11"/>
  <c r="L558" i="11"/>
  <c r="J568" i="11"/>
  <c r="R554" i="11"/>
  <c r="H446" i="11"/>
  <c r="P314" i="11"/>
  <c r="P504" i="11"/>
  <c r="P111" i="11"/>
  <c r="R572" i="11"/>
  <c r="P492" i="11"/>
  <c r="P445" i="11"/>
  <c r="H165" i="11"/>
  <c r="P337" i="11"/>
  <c r="P146" i="11"/>
  <c r="P332" i="11"/>
  <c r="P289" i="11"/>
  <c r="J24" i="11"/>
  <c r="J494" i="11"/>
  <c r="R352" i="11"/>
  <c r="N165" i="11"/>
  <c r="P155" i="11"/>
  <c r="P213" i="11"/>
  <c r="P280" i="11"/>
  <c r="P460" i="11"/>
  <c r="P134" i="11"/>
  <c r="P23" i="11"/>
  <c r="H40" i="11"/>
  <c r="P35" i="11"/>
  <c r="P491" i="11"/>
  <c r="P29" i="11"/>
  <c r="P493" i="11"/>
  <c r="H282" i="11"/>
  <c r="P277" i="11"/>
  <c r="J80" i="11"/>
  <c r="N271" i="11" l="1"/>
  <c r="N558" i="11"/>
  <c r="P108" i="11"/>
  <c r="N352" i="11"/>
  <c r="P507" i="11"/>
  <c r="P566" i="11" s="1"/>
  <c r="P32" i="11"/>
  <c r="P157" i="11"/>
  <c r="P149" i="11"/>
  <c r="P224" i="11"/>
  <c r="H558" i="11"/>
  <c r="P446" i="11"/>
  <c r="H352" i="11"/>
  <c r="P24" i="11"/>
  <c r="H271" i="11"/>
  <c r="P349" i="11"/>
  <c r="N564" i="11"/>
  <c r="N175" i="11"/>
  <c r="L271" i="11"/>
  <c r="P325" i="11"/>
  <c r="H556" i="11"/>
  <c r="P173" i="11"/>
  <c r="P333" i="11"/>
  <c r="P568" i="11"/>
  <c r="P40" i="11"/>
  <c r="N137" i="11"/>
  <c r="P165" i="11"/>
  <c r="P409" i="11"/>
  <c r="P200" i="11"/>
  <c r="P391" i="11"/>
  <c r="N572" i="11"/>
  <c r="P48" i="11"/>
  <c r="P290" i="11"/>
  <c r="H175" i="11"/>
  <c r="P341" i="11"/>
  <c r="P494" i="11"/>
  <c r="P258" i="11"/>
  <c r="H578" i="11"/>
  <c r="P101" i="11"/>
  <c r="J137" i="11"/>
  <c r="J572" i="11"/>
  <c r="P382" i="11"/>
  <c r="P232" i="11"/>
  <c r="P56" i="11"/>
  <c r="N566" i="11"/>
  <c r="N562" i="11"/>
  <c r="R562" i="11"/>
  <c r="P266" i="11"/>
  <c r="P520" i="11"/>
  <c r="P216" i="11"/>
  <c r="L175" i="11"/>
  <c r="P94" i="11"/>
  <c r="H562" i="11"/>
  <c r="H564" i="11"/>
  <c r="J556" i="11"/>
  <c r="P375" i="11"/>
  <c r="N554" i="11"/>
  <c r="L137" i="11"/>
  <c r="J562" i="11"/>
  <c r="P282" i="11"/>
  <c r="P115" i="11"/>
  <c r="N556" i="11"/>
  <c r="P317" i="11"/>
  <c r="L562" i="11"/>
  <c r="R139" i="11"/>
  <c r="P527" i="11"/>
  <c r="P500" i="11"/>
  <c r="H137" i="11"/>
  <c r="R393" i="11"/>
  <c r="J352" i="11"/>
  <c r="P468" i="11"/>
  <c r="P87" i="11"/>
  <c r="H572" i="11"/>
  <c r="P175" i="11" l="1"/>
  <c r="P564" i="11"/>
  <c r="P137" i="11"/>
  <c r="L139" i="11"/>
  <c r="P554" i="11"/>
  <c r="P271" i="11"/>
  <c r="P556" i="11"/>
  <c r="R548" i="11"/>
  <c r="R470" i="11"/>
  <c r="P562" i="11"/>
  <c r="J139" i="11"/>
  <c r="R550" i="11"/>
  <c r="R395" i="11"/>
  <c r="P352" i="11"/>
  <c r="N139" i="11"/>
  <c r="P558" i="11"/>
  <c r="L393" i="11"/>
  <c r="P572" i="11"/>
  <c r="H393" i="11"/>
  <c r="N393" i="11"/>
  <c r="P578" i="11"/>
  <c r="H139" i="11"/>
  <c r="J393" i="11"/>
  <c r="P393" i="11" l="1"/>
  <c r="J550" i="11"/>
  <c r="J395" i="11"/>
  <c r="H550" i="11"/>
  <c r="H395" i="11"/>
  <c r="J548" i="11"/>
  <c r="J470" i="11"/>
  <c r="R514" i="11"/>
  <c r="L548" i="11"/>
  <c r="L470" i="11"/>
  <c r="P139" i="11"/>
  <c r="L550" i="11"/>
  <c r="L395" i="11"/>
  <c r="N548" i="11"/>
  <c r="N470" i="11"/>
  <c r="R552" i="11"/>
  <c r="H548" i="11"/>
  <c r="H470" i="11"/>
  <c r="N550" i="11"/>
  <c r="N395" i="11"/>
  <c r="P395" i="11" l="1"/>
  <c r="P550" i="11"/>
  <c r="R560" i="11"/>
  <c r="J552" i="11"/>
  <c r="J514" i="11"/>
  <c r="N552" i="11"/>
  <c r="L552" i="11"/>
  <c r="R529" i="11"/>
  <c r="L514" i="11"/>
  <c r="H514" i="11"/>
  <c r="P548" i="11"/>
  <c r="P470" i="11"/>
  <c r="N514" i="11"/>
  <c r="H552" i="11"/>
  <c r="L529" i="11" l="1"/>
  <c r="J529" i="11"/>
  <c r="N529" i="11"/>
  <c r="H529" i="11"/>
  <c r="H560" i="11"/>
  <c r="N560" i="11"/>
  <c r="J560" i="11"/>
  <c r="P514" i="11"/>
  <c r="P552" i="11"/>
  <c r="L560" i="11"/>
  <c r="R570" i="11"/>
  <c r="P529" i="11" l="1"/>
  <c r="L570" i="11"/>
  <c r="N570" i="11"/>
  <c r="R580" i="11"/>
  <c r="R582" i="11" s="1"/>
  <c r="H570" i="11"/>
  <c r="J570" i="11"/>
  <c r="P560" i="11"/>
  <c r="R581" i="11" l="1"/>
  <c r="P570" i="11"/>
  <c r="N580" i="11"/>
  <c r="N582" i="11" s="1"/>
  <c r="J580" i="11"/>
  <c r="J582" i="11" s="1"/>
  <c r="L580" i="11"/>
  <c r="L582" i="11" s="1"/>
  <c r="H580" i="11"/>
  <c r="H582" i="11" s="1"/>
  <c r="N581" i="11" l="1"/>
  <c r="P580" i="11"/>
  <c r="P582" i="11" s="1"/>
  <c r="H581" i="11"/>
  <c r="L581" i="11"/>
  <c r="J581" i="11"/>
  <c r="P581" i="11" l="1"/>
</calcChain>
</file>

<file path=xl/sharedStrings.xml><?xml version="1.0" encoding="utf-8"?>
<sst xmlns="http://schemas.openxmlformats.org/spreadsheetml/2006/main" count="1213" uniqueCount="577">
  <si>
    <t>SCHEDULE B-07</t>
  </si>
  <si>
    <t>PLANT BALANCES BY ACCOUNT AND SUB-ACCOUNT</t>
  </si>
  <si>
    <t>FLORIDA PUBLIC SERVICE COMMISSION</t>
  </si>
  <si>
    <t xml:space="preserve">                  EXPLANATION:</t>
  </si>
  <si>
    <t>Provide the depreciation rate and plant balances for each account or sub-account to which</t>
  </si>
  <si>
    <t>Type of data shown:</t>
  </si>
  <si>
    <t>a separate depreciation rate is prescribed. (Include Amortization/Recovery schedule amounts).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</si>
  <si>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</si>
  <si>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</si>
  <si>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</si>
  <si>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</si>
  <si>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</si>
  <si>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 in 000's)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</si>
  <si>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</si>
  <si>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</si>
  <si>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</si>
  <si>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</si>
  <si>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</si>
  <si>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</si>
  <si>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</si>
  <si>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</si>
  <si>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</si>
  <si>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</si>
  <si>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</si>
  <si>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</si>
  <si>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Total</t>
  </si>
  <si>
    <t>Line</t>
  </si>
  <si>
    <t>Sub-account</t>
  </si>
  <si>
    <t>Rate*</t>
  </si>
  <si>
    <t>Balance</t>
  </si>
  <si>
    <t>Adjustments</t>
  </si>
  <si>
    <t>13-Month</t>
  </si>
  <si>
    <t>No.</t>
  </si>
  <si>
    <t>Number</t>
  </si>
  <si>
    <t>Title</t>
  </si>
  <si>
    <t>(%)</t>
  </si>
  <si>
    <t>Beg. of Year</t>
  </si>
  <si>
    <t>Added</t>
  </si>
  <si>
    <t>Retired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</si>
  <si>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</si>
  <si>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</si>
  <si>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</si>
  <si>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</si>
  <si>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</si>
  <si>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</si>
  <si>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</si>
  <si>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</si>
  <si>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</si>
  <si>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</si>
  <si>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</si>
  <si>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</si>
  <si>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</si>
  <si>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</si>
  <si>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</si>
  <si>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</si>
  <si>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</si>
  <si>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</si>
  <si>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</si>
  <si>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</si>
  <si>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</si>
  <si>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  B-08, B-11</t>
  </si>
  <si>
    <t>Recap Schedules:  B-03, B-06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</si>
  <si>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</si>
  <si>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</si>
  <si>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</si>
  <si>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</si>
  <si>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</si>
  <si>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</si>
  <si>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</si>
  <si>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</si>
  <si>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</si>
  <si>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</si>
  <si>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</si>
  <si>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</si>
  <si>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</si>
  <si>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</si>
  <si>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</si>
  <si>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</si>
  <si>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</si>
  <si>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</si>
  <si>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</si>
  <si>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</si>
  <si>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</si>
  <si>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</si>
  <si>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</si>
  <si>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</si>
  <si>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</si>
  <si>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</si>
  <si>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</si>
  <si>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</si>
  <si>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</si>
  <si>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</si>
  <si>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</si>
  <si>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</si>
  <si>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</si>
  <si>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</si>
  <si>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</si>
  <si>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</si>
  <si>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</si>
  <si>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</si>
  <si>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</si>
  <si>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</si>
  <si>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</si>
  <si>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</si>
  <si>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</si>
  <si>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</si>
  <si>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</si>
  <si>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</si>
  <si>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</si>
  <si>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</si>
  <si>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</si>
  <si>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</si>
  <si>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</si>
  <si>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</si>
  <si>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</si>
  <si>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</si>
  <si>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</si>
  <si>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</si>
  <si>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</si>
  <si>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</si>
  <si>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</si>
  <si>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</si>
  <si>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</si>
  <si>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</si>
  <si>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</si>
  <si>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</si>
  <si>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</si>
  <si>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</si>
  <si>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</si>
  <si>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</si>
  <si>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</si>
  <si>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</si>
  <si>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</si>
  <si>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</si>
  <si>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</si>
  <si>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</si>
  <si>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</si>
  <si>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</si>
  <si>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</si>
  <si>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</si>
  <si>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</si>
  <si>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</si>
  <si>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</si>
  <si>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</si>
  <si>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</si>
  <si>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</si>
  <si>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</si>
  <si>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</si>
  <si>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</si>
  <si>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</si>
  <si>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</si>
  <si>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</si>
  <si>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</si>
  <si>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</si>
  <si>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</si>
  <si>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</si>
  <si>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</si>
  <si>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</si>
  <si>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</si>
  <si>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</si>
  <si>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</si>
  <si>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</si>
  <si>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</si>
  <si>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</si>
  <si>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</si>
  <si>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</si>
  <si>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</si>
  <si>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</si>
  <si>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</si>
  <si>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</si>
  <si>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</si>
  <si>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</si>
  <si>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</si>
  <si>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</si>
  <si>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</si>
  <si>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</si>
  <si>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</si>
  <si>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</si>
  <si>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</si>
  <si>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</si>
  <si>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</si>
  <si>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</si>
  <si>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</si>
  <si>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</si>
  <si>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</si>
  <si>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</si>
  <si>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</si>
  <si>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</si>
  <si>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</si>
  <si>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</si>
  <si>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</si>
  <si>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</si>
  <si>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</si>
  <si>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</si>
  <si>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</si>
  <si>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</si>
  <si>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</si>
  <si>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</si>
  <si>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</si>
  <si>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</si>
  <si>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</si>
  <si>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</si>
  <si>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</si>
  <si>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</si>
  <si>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</si>
  <si>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</si>
  <si>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</si>
  <si>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</si>
  <si>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</si>
  <si>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</si>
  <si>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</si>
  <si>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</si>
  <si>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</si>
  <si>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</si>
  <si>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</si>
  <si>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>Annual Status Report</t>
  </si>
  <si>
    <t>Annual</t>
  </si>
  <si>
    <t>B-7</t>
  </si>
  <si>
    <t>B-9</t>
  </si>
  <si>
    <t>Reserve</t>
  </si>
  <si>
    <t>Activity</t>
  </si>
  <si>
    <t>EOP</t>
  </si>
  <si>
    <t>Depr</t>
  </si>
  <si>
    <t>Account</t>
  </si>
  <si>
    <t>PowerPlant Depr Group</t>
  </si>
  <si>
    <t>Additions</t>
  </si>
  <si>
    <t>Retirements</t>
  </si>
  <si>
    <t>Transfers</t>
  </si>
  <si>
    <t>Adjustment</t>
  </si>
  <si>
    <t>13-Mth Avg</t>
  </si>
  <si>
    <t>Variance</t>
  </si>
  <si>
    <t>Depr Exp</t>
  </si>
  <si>
    <t>COR Incurred</t>
  </si>
  <si>
    <t>COR RWIP</t>
  </si>
  <si>
    <t>SALV Incurred</t>
  </si>
  <si>
    <t>SALV RWIP</t>
  </si>
  <si>
    <t>Gain/Loss</t>
  </si>
  <si>
    <t>Draft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</si>
  <si>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</si>
  <si>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</si>
  <si>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</si>
  <si>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</si>
  <si>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</si>
  <si>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</si>
  <si>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</si>
  <si>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</si>
  <si>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</si>
  <si>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</si>
  <si>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</si>
  <si>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</si>
  <si>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</si>
  <si>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</si>
  <si>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</si>
  <si>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</si>
  <si>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</si>
  <si>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</si>
  <si>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</si>
  <si>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</si>
  <si>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</si>
  <si>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</si>
  <si>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</si>
  <si>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</si>
  <si>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</si>
  <si>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</si>
  <si>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</si>
  <si>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</si>
  <si>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</si>
  <si>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</si>
  <si>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</si>
  <si>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</si>
  <si>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</si>
  <si>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</si>
  <si>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</si>
  <si>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</si>
  <si>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</si>
  <si>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</si>
  <si>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</si>
  <si>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</si>
  <si>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</si>
  <si>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</si>
  <si>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</si>
  <si>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</si>
  <si>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</si>
  <si>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</si>
  <si>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</si>
  <si>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</si>
  <si>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</si>
  <si>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</si>
  <si>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</si>
  <si>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</si>
  <si>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</si>
  <si>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</si>
  <si>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</si>
  <si>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</si>
  <si>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</si>
  <si>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</si>
  <si>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</si>
  <si>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</si>
  <si>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</si>
  <si>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</si>
  <si>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</si>
  <si>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</si>
  <si>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</si>
  <si>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</si>
  <si>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</si>
  <si>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</si>
  <si>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</si>
  <si>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</si>
  <si>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</si>
  <si>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</si>
  <si>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</si>
  <si>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</si>
  <si>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</si>
  <si>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</si>
  <si>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</si>
  <si>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</si>
  <si>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</si>
  <si>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</si>
  <si>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</si>
  <si>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</si>
  <si>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</si>
  <si>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</si>
  <si>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</si>
  <si>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</si>
  <si>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</si>
  <si>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</si>
  <si>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</si>
  <si>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</si>
  <si>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</si>
  <si>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</si>
  <si>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</si>
  <si>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</si>
  <si>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</si>
  <si>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</si>
  <si>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</si>
  <si>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</si>
  <si>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</si>
  <si>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</si>
  <si>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</si>
  <si>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</si>
  <si>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</si>
  <si>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</si>
  <si>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</si>
  <si>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</si>
  <si>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</si>
  <si>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</si>
  <si>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</si>
  <si>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</si>
  <si>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</si>
  <si>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</si>
  <si>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</si>
  <si>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</si>
  <si>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</si>
  <si>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</si>
  <si>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</si>
  <si>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</si>
  <si>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</si>
  <si>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</si>
  <si>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</si>
  <si>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</si>
  <si>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</si>
  <si>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</si>
  <si>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</si>
  <si>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</si>
  <si>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</si>
  <si>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</si>
  <si>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</si>
  <si>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</si>
  <si>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</si>
  <si>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</si>
  <si>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</si>
  <si>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</si>
  <si>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</si>
  <si>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</si>
  <si>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</si>
  <si>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</si>
  <si>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</si>
  <si>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</si>
  <si>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</si>
  <si>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</si>
  <si>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</si>
  <si>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</si>
  <si>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</si>
  <si>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</si>
  <si>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</si>
  <si>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</si>
  <si>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</si>
  <si>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</si>
  <si>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</si>
  <si>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</si>
  <si>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</si>
  <si>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</si>
  <si>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</si>
  <si>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</si>
  <si>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</si>
  <si>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</si>
  <si>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</si>
  <si>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</si>
  <si>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</si>
  <si>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</si>
  <si>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</si>
  <si>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</si>
  <si>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</si>
  <si>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</si>
  <si>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</si>
  <si>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</si>
  <si>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</si>
  <si>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</si>
  <si>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</si>
  <si>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</si>
  <si>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</si>
  <si>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</si>
  <si>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</si>
  <si>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</si>
  <si>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</si>
  <si>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</si>
  <si>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</si>
  <si>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</si>
  <si>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</si>
  <si>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</si>
  <si>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</si>
  <si>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</si>
  <si>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</si>
  <si>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</si>
  <si>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</si>
  <si>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</si>
  <si>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</si>
  <si>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</si>
  <si>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</si>
  <si>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</si>
  <si>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</si>
  <si>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</si>
  <si>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</si>
  <si>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</si>
  <si>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</si>
  <si>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</si>
  <si>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</si>
  <si>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</si>
  <si>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</si>
  <si>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</si>
  <si>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</si>
  <si>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</si>
  <si>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</si>
  <si>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</si>
  <si>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</si>
  <si>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</si>
  <si>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</si>
  <si>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</si>
  <si>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</si>
  <si>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</si>
  <si>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</si>
  <si>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</si>
  <si>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</si>
  <si>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</si>
  <si>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</si>
  <si>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</si>
  <si>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</si>
  <si>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</si>
  <si>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</si>
  <si>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</si>
  <si>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</si>
  <si>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</si>
  <si>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</si>
  <si>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</si>
  <si>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</si>
  <si>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</si>
  <si>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</si>
  <si>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</si>
  <si>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</si>
  <si>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</si>
  <si>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</si>
  <si>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</si>
  <si>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</si>
  <si>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</si>
  <si>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</si>
  <si>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</si>
  <si>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</si>
  <si>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</si>
  <si>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</si>
  <si>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</si>
  <si>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</si>
  <si>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</si>
  <si>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</si>
  <si>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</si>
  <si>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</si>
  <si>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</si>
  <si>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</si>
  <si>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</si>
  <si>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</si>
  <si>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</si>
  <si>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</si>
  <si>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</si>
  <si>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</si>
  <si>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</si>
  <si>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</si>
  <si>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</si>
  <si>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</si>
  <si>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</si>
  <si>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</si>
  <si>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</si>
  <si>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</si>
  <si>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</si>
  <si>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</si>
  <si>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</si>
  <si>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</si>
  <si>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</si>
  <si>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</si>
  <si>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</si>
  <si>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</si>
  <si>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</si>
  <si>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</si>
  <si>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</si>
  <si>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</si>
  <si>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</si>
  <si>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</si>
  <si>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</si>
  <si>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</si>
  <si>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</si>
  <si>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</si>
  <si>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</si>
  <si>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</si>
  <si>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</si>
  <si>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</si>
  <si>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</si>
  <si>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</si>
  <si>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</si>
  <si>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</si>
  <si>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</si>
  <si>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</si>
  <si>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</si>
  <si>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</si>
  <si>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</si>
  <si>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</si>
  <si>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</si>
  <si>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</si>
  <si>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</si>
  <si>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</si>
  <si>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</si>
  <si>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PHFFU</t>
  </si>
  <si>
    <t>Dismantlement</t>
  </si>
  <si>
    <t>114 / 115</t>
  </si>
  <si>
    <t>Acquisition Adjustments</t>
  </si>
  <si>
    <t>121 / 122</t>
  </si>
  <si>
    <t>Non-Utility</t>
  </si>
  <si>
    <t>101 / 111</t>
  </si>
  <si>
    <t>SOFTWARE - Intangibles</t>
  </si>
  <si>
    <t>101 / 108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</si>
  <si>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</si>
  <si>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</si>
  <si>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</si>
  <si>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</si>
  <si>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</si>
  <si>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</si>
  <si>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</si>
  <si>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</si>
  <si>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</si>
  <si>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</si>
  <si>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</si>
  <si>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</si>
  <si>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</si>
  <si>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</si>
  <si>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</si>
  <si>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</si>
  <si>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r>
      <t xml:space="preserve">Tricks and Tips … on B-07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</si>
  <si>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</si>
  <si>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Double check totals tie back to source</t>
  </si>
  <si>
    <t>LEASES 101.1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</si>
  <si>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</si>
  <si>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</si>
  <si>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</si>
  <si>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</si>
  <si>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</si>
  <si>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 xml:space="preserve">Witness: C. Aldazabal / N. Allis / </t>
  </si>
  <si>
    <t xml:space="preserve">              J. Chronister / C. Heck / </t>
  </si>
  <si>
    <t xml:space="preserve">              R. Latta / K. Sparkman / K. Stryker / </t>
  </si>
  <si>
    <t xml:space="preserve">              C. Whitworth</t>
  </si>
  <si>
    <t>DOCKET No. 20240026-EI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</si>
</sst>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8" fillId="0" borderId="0"/>
    <xf numFmtId="0" fontId="13" fillId="0" borderId="0"/>
  </cellStyleXfs>
  <cellXfs count="163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166" fontId="7" fillId="0" borderId="0" xfId="3" applyNumberFormat="1" applyFont="1" applyFill="1"/>
    <xf numFmtId="165" fontId="7" fillId="0" borderId="0" xfId="4" applyNumberFormat="1" applyFont="1" applyFill="1" applyProtection="1">
      <protection locked="0"/>
    </xf>
    <xf numFmtId="4" fontId="7" fillId="0" borderId="0" xfId="3" applyNumberFormat="1" applyFont="1" applyFill="1"/>
    <xf numFmtId="166" fontId="7" fillId="0" borderId="0" xfId="3" applyNumberFormat="1" applyFont="1" applyFill="1" applyAlignment="1">
      <alignment horizontal="center"/>
    </xf>
    <xf numFmtId="43" fontId="7" fillId="0" borderId="0" xfId="3" applyFont="1" applyFill="1" applyAlignment="1">
      <alignment horizontal="right"/>
    </xf>
    <xf numFmtId="43" fontId="7" fillId="0" borderId="0" xfId="3" applyFont="1" applyFill="1"/>
    <xf numFmtId="166" fontId="7" fillId="0" borderId="5" xfId="3" applyNumberFormat="1" applyFont="1" applyFill="1" applyBorder="1"/>
    <xf numFmtId="166" fontId="7" fillId="0" borderId="3" xfId="3" applyNumberFormat="1" applyFont="1" applyFill="1" applyBorder="1" applyAlignment="1">
      <alignment horizontal="right"/>
    </xf>
    <xf numFmtId="166" fontId="7" fillId="0" borderId="0" xfId="3" applyNumberFormat="1" applyFont="1" applyFill="1" applyAlignment="1">
      <alignment horizontal="right"/>
    </xf>
    <xf numFmtId="41" fontId="7" fillId="0" borderId="0" xfId="3" applyNumberFormat="1" applyFont="1" applyFill="1" applyAlignment="1" applyProtection="1">
      <alignment horizontal="right"/>
      <protection locked="0"/>
    </xf>
    <xf numFmtId="41" fontId="7" fillId="0" borderId="0" xfId="3" applyNumberFormat="1" applyFont="1" applyFill="1" applyAlignment="1">
      <alignment horizontal="right"/>
    </xf>
    <xf numFmtId="41" fontId="7" fillId="0" borderId="0" xfId="4" applyNumberFormat="1" applyFont="1" applyFill="1" applyAlignment="1" applyProtection="1">
      <alignment horizontal="right"/>
      <protection locked="0"/>
    </xf>
    <xf numFmtId="0" fontId="7" fillId="0" borderId="0" xfId="3" quotePrefix="1" applyNumberFormat="1" applyFont="1" applyFill="1" applyAlignment="1" applyProtection="1">
      <alignment horizontal="left"/>
      <protection locked="0"/>
    </xf>
    <xf numFmtId="166" fontId="7" fillId="0" borderId="3" xfId="3" applyNumberFormat="1" applyFont="1" applyFill="1" applyBorder="1"/>
    <xf numFmtId="166" fontId="7" fillId="0" borderId="4" xfId="3" applyNumberFormat="1" applyFont="1" applyFill="1" applyBorder="1"/>
    <xf numFmtId="43" fontId="7" fillId="0" borderId="1" xfId="3" quotePrefix="1" applyFont="1" applyFill="1" applyBorder="1" applyAlignment="1">
      <alignment horizontal="left"/>
    </xf>
    <xf numFmtId="41" fontId="7" fillId="0" borderId="0" xfId="4" applyNumberFormat="1" applyFont="1" applyFill="1" applyAlignment="1">
      <alignment horizontal="right"/>
    </xf>
    <xf numFmtId="41" fontId="7" fillId="0" borderId="3" xfId="3" applyNumberFormat="1" applyFont="1" applyFill="1" applyBorder="1" applyAlignment="1">
      <alignment horizontal="right"/>
    </xf>
    <xf numFmtId="166" fontId="7" fillId="0" borderId="0" xfId="3" quotePrefix="1" applyNumberFormat="1" applyFont="1" applyFill="1" applyAlignment="1">
      <alignment horizontal="center"/>
    </xf>
    <xf numFmtId="43" fontId="7" fillId="0" borderId="0" xfId="4" applyNumberFormat="1" applyFont="1" applyFill="1" applyProtection="1">
      <protection locked="0"/>
    </xf>
    <xf numFmtId="43" fontId="7" fillId="0" borderId="0" xfId="3" applyFont="1" applyFill="1" applyProtection="1">
      <protection locked="0"/>
    </xf>
    <xf numFmtId="166" fontId="7" fillId="0" borderId="4" xfId="3" applyNumberFormat="1" applyFont="1" applyFill="1" applyBorder="1" applyAlignment="1"/>
    <xf numFmtId="37" fontId="7" fillId="0" borderId="0" xfId="3" applyNumberFormat="1" applyFont="1" applyFill="1" applyAlignment="1">
      <alignment horizontal="center"/>
    </xf>
    <xf numFmtId="166" fontId="7" fillId="0" borderId="4" xfId="3" applyNumberFormat="1" applyFont="1" applyFill="1" applyBorder="1" applyAlignment="1">
      <alignment horizontal="right"/>
    </xf>
    <xf numFmtId="0" fontId="7" fillId="0" borderId="0" xfId="4" quotePrefix="1" applyNumberFormat="1" applyFont="1" applyFill="1" applyAlignment="1" applyProtection="1">
      <alignment horizontal="left"/>
      <protection locked="0"/>
    </xf>
    <xf numFmtId="0" fontId="7" fillId="0" borderId="0" xfId="3" applyNumberFormat="1" applyFont="1" applyFill="1" applyProtection="1">
      <protection locked="0"/>
    </xf>
    <xf numFmtId="165" fontId="7" fillId="0" borderId="0" xfId="3" applyNumberFormat="1" applyFont="1" applyFill="1" applyProtection="1">
      <protection locked="0"/>
    </xf>
    <xf numFmtId="0" fontId="7" fillId="0" borderId="0" xfId="3" applyNumberFormat="1" applyFont="1" applyFill="1"/>
    <xf numFmtId="165" fontId="7" fillId="0" borderId="0" xfId="3" applyNumberFormat="1" applyFont="1" applyFill="1"/>
    <xf numFmtId="0" fontId="7" fillId="0" borderId="0" xfId="4" applyNumberFormat="1" applyFont="1" applyFill="1" applyProtection="1">
      <protection locked="0"/>
    </xf>
    <xf numFmtId="166" fontId="7" fillId="0" borderId="0" xfId="3" applyNumberFormat="1" applyFont="1" applyFill="1" applyProtection="1">
      <protection locked="0"/>
    </xf>
    <xf numFmtId="0" fontId="7" fillId="0" borderId="0" xfId="3" applyNumberFormat="1" applyFont="1" applyFill="1" applyAlignment="1" applyProtection="1">
      <alignment horizontal="left"/>
      <protection locked="0"/>
    </xf>
    <xf numFmtId="166" fontId="7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5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166" fontId="1" fillId="0" borderId="7" xfId="3" applyNumberFormat="1" applyFont="1" applyBorder="1"/>
    <xf numFmtId="166" fontId="1" fillId="9" borderId="0" xfId="3" applyNumberFormat="1" applyFont="1" applyFill="1"/>
    <xf numFmtId="43" fontId="1" fillId="3" borderId="7" xfId="3" applyFont="1" applyFill="1" applyBorder="1"/>
    <xf numFmtId="166" fontId="7" fillId="0" borderId="0" xfId="3" quotePrefix="1" applyNumberFormat="1" applyFont="1" applyFill="1" applyAlignment="1">
      <alignment horizontal="right"/>
    </xf>
    <xf numFmtId="166" fontId="7" fillId="0" borderId="9" xfId="3" applyNumberFormat="1" applyFont="1" applyFill="1" applyBorder="1"/>
    <xf numFmtId="166" fontId="7" fillId="0" borderId="9" xfId="3" applyNumberFormat="1" applyFont="1" applyFill="1" applyBorder="1" applyAlignment="1">
      <alignment horizontal="center"/>
    </xf>
    <xf numFmtId="166" fontId="7" fillId="0" borderId="9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4" fillId="4" borderId="12" xfId="0" applyFont="1" applyFill="1" applyBorder="1" applyAlignment="1">
      <alignment horizontal="center"/>
    </xf>
    <xf numFmtId="0" fontId="9" fillId="4" borderId="13" xfId="0" applyFont="1" applyFill="1" applyBorder="1"/>
    <xf numFmtId="0" fontId="11" fillId="0" borderId="0" xfId="1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2" fontId="7" fillId="0" borderId="0" xfId="3" applyNumberFormat="1" applyFont="1" applyFill="1" applyProtection="1">
      <protection locked="0"/>
    </xf>
    <xf numFmtId="2" fontId="7" fillId="0" borderId="0" xfId="4" applyNumberFormat="1" applyFont="1" applyFill="1" applyProtection="1">
      <protection locked="0"/>
    </xf>
    <xf numFmtId="169" fontId="3" fillId="0" borderId="0" xfId="3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/>
    <xf numFmtId="166" fontId="3" fillId="0" borderId="0" xfId="3" applyNumberFormat="1" applyFont="1"/>
    <xf numFmtId="0" fontId="3" fillId="0" borderId="7" xfId="0" applyFont="1" applyBorder="1"/>
    <xf numFmtId="166" fontId="3" fillId="0" borderId="9" xfId="0" applyNumberFormat="1" applyFont="1" applyBorder="1"/>
    <xf numFmtId="166" fontId="3" fillId="0" borderId="10" xfId="0" applyNumberFormat="1" applyFont="1" applyBorder="1"/>
    <xf numFmtId="0" fontId="14" fillId="2" borderId="0" xfId="0" applyFont="1" applyFill="1"/>
    <xf numFmtId="0" fontId="15" fillId="0" borderId="0" xfId="0" applyFont="1"/>
    <xf numFmtId="166" fontId="15" fillId="0" borderId="0" xfId="3" applyNumberFormat="1" applyFont="1"/>
    <xf numFmtId="166" fontId="15" fillId="0" borderId="7" xfId="3" applyNumberFormat="1" applyFont="1" applyBorder="1"/>
    <xf numFmtId="169" fontId="3" fillId="4" borderId="0" xfId="3" applyNumberFormat="1" applyFont="1" applyFill="1" applyAlignment="1">
      <alignment horizontal="center"/>
    </xf>
    <xf numFmtId="49" fontId="15" fillId="0" borderId="0" xfId="0" applyNumberFormat="1" applyFont="1"/>
    <xf numFmtId="43" fontId="3" fillId="2" borderId="0" xfId="3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5" fillId="0" borderId="7" xfId="0" applyFont="1" applyBorder="1"/>
    <xf numFmtId="0" fontId="3" fillId="10" borderId="0" xfId="0" applyFont="1" applyFill="1" applyAlignment="1">
      <alignment horizontal="center"/>
    </xf>
    <xf numFmtId="166" fontId="1" fillId="7" borderId="0" xfId="3" applyNumberFormat="1" applyFont="1" applyFill="1"/>
    <xf numFmtId="168" fontId="15" fillId="0" borderId="0" xfId="0" applyNumberFormat="1" applyFont="1"/>
    <xf numFmtId="0" fontId="7" fillId="0" borderId="1" xfId="1" applyFont="1" applyFill="1" applyBorder="1"/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7" fillId="0" borderId="0" xfId="1" quotePrefix="1" applyFont="1" applyFill="1" applyAlignment="1">
      <alignment horizontal="center"/>
    </xf>
    <xf numFmtId="0" fontId="7" fillId="0" borderId="0" xfId="1" quotePrefix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right"/>
    </xf>
    <xf numFmtId="0" fontId="7" fillId="0" borderId="0" xfId="2" applyFont="1" applyFill="1" applyAlignment="1">
      <alignment wrapText="1"/>
    </xf>
    <xf numFmtId="164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2" fontId="7" fillId="0" borderId="0" xfId="1" applyNumberFormat="1" applyFont="1" applyFill="1" applyAlignment="1">
      <alignment horizontal="center"/>
    </xf>
    <xf numFmtId="2" fontId="7" fillId="0" borderId="0" xfId="1" applyNumberFormat="1" applyFont="1" applyFill="1"/>
    <xf numFmtId="0" fontId="7" fillId="0" borderId="0" xfId="1" applyFont="1" applyFill="1" applyProtection="1">
      <protection locked="0"/>
    </xf>
    <xf numFmtId="5" fontId="7" fillId="0" borderId="0" xfId="1" applyNumberFormat="1" applyFont="1" applyFill="1"/>
    <xf numFmtId="0" fontId="7" fillId="0" borderId="0" xfId="2" quotePrefix="1" applyFont="1" applyFill="1" applyAlignment="1">
      <alignment horizontal="right" wrapText="1"/>
    </xf>
    <xf numFmtId="167" fontId="7" fillId="0" borderId="0" xfId="1" applyNumberFormat="1" applyFont="1" applyFill="1" applyAlignment="1">
      <alignment horizontal="center"/>
    </xf>
    <xf numFmtId="0" fontId="7" fillId="0" borderId="1" xfId="1" applyFont="1" applyFill="1" applyBorder="1" applyAlignment="1">
      <alignment horizontal="right"/>
    </xf>
    <xf numFmtId="1" fontId="7" fillId="0" borderId="0" xfId="1" applyNumberFormat="1" applyFont="1" applyFill="1"/>
    <xf numFmtId="0" fontId="7" fillId="0" borderId="2" xfId="1" applyFont="1" applyFill="1" applyBorder="1" applyAlignment="1">
      <alignment horizontal="left"/>
    </xf>
    <xf numFmtId="0" fontId="7" fillId="0" borderId="2" xfId="1" applyFont="1" applyFill="1" applyBorder="1" applyAlignment="1">
      <alignment horizontal="right"/>
    </xf>
    <xf numFmtId="5" fontId="7" fillId="0" borderId="0" xfId="1" quotePrefix="1" applyNumberFormat="1" applyFont="1" applyFill="1" applyAlignment="1">
      <alignment horizontal="left"/>
    </xf>
    <xf numFmtId="0" fontId="7" fillId="0" borderId="0" xfId="1" quotePrefix="1" applyFont="1" applyFill="1" applyAlignment="1">
      <alignment horizontal="left"/>
    </xf>
    <xf numFmtId="2" fontId="7" fillId="0" borderId="0" xfId="1" applyNumberFormat="1" applyFont="1" applyFill="1" applyAlignment="1">
      <alignment horizontal="right"/>
    </xf>
    <xf numFmtId="14" fontId="7" fillId="0" borderId="0" xfId="1" applyNumberFormat="1" applyFont="1" applyFill="1" applyAlignment="1">
      <alignment horizontal="center"/>
    </xf>
    <xf numFmtId="0" fontId="7" fillId="0" borderId="3" xfId="1" applyFont="1" applyFill="1" applyBorder="1"/>
    <xf numFmtId="168" fontId="7" fillId="0" borderId="0" xfId="1" applyNumberFormat="1" applyFont="1" applyFill="1" applyAlignment="1">
      <alignment horizontal="right"/>
    </xf>
    <xf numFmtId="41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43" fontId="7" fillId="0" borderId="0" xfId="1" applyNumberFormat="1" applyFont="1" applyFill="1" applyAlignment="1">
      <alignment horizontal="right"/>
    </xf>
    <xf numFmtId="14" fontId="7" fillId="0" borderId="0" xfId="1" quotePrefix="1" applyNumberFormat="1" applyFont="1" applyFill="1" applyAlignment="1">
      <alignment horizontal="center"/>
    </xf>
    <xf numFmtId="166" fontId="7" fillId="0" borderId="0" xfId="1" applyNumberFormat="1" applyFont="1" applyFill="1"/>
    <xf numFmtId="41" fontId="7" fillId="0" borderId="0" xfId="1" applyNumberFormat="1" applyFont="1" applyFill="1" applyAlignment="1">
      <alignment horizontal="center"/>
    </xf>
    <xf numFmtId="43" fontId="7" fillId="0" borderId="0" xfId="1" applyNumberFormat="1" applyFont="1" applyFill="1" applyAlignment="1">
      <alignment horizontal="center"/>
    </xf>
    <xf numFmtId="0" fontId="7" fillId="0" borderId="0" xfId="9" applyFont="1" applyFill="1"/>
    <xf numFmtId="0" fontId="7" fillId="0" borderId="0" xfId="9" applyFont="1" applyFill="1" applyProtection="1">
      <protection locked="0"/>
    </xf>
    <xf numFmtId="5" fontId="7" fillId="0" borderId="0" xfId="9" applyNumberFormat="1" applyFont="1" applyFill="1"/>
    <xf numFmtId="37" fontId="7" fillId="0" borderId="0" xfId="1" applyNumberFormat="1" applyFont="1" applyFill="1" applyAlignment="1">
      <alignment horizontal="center"/>
    </xf>
    <xf numFmtId="37" fontId="7" fillId="0" borderId="0" xfId="1" applyNumberFormat="1" applyFont="1" applyFill="1" applyAlignment="1">
      <alignment horizontal="right"/>
    </xf>
    <xf numFmtId="5" fontId="7" fillId="0" borderId="0" xfId="1" applyNumberFormat="1" applyFont="1" applyFill="1" applyAlignment="1">
      <alignment horizontal="right"/>
    </xf>
    <xf numFmtId="0" fontId="7" fillId="0" borderId="0" xfId="5" quotePrefix="1" applyFont="1" applyFill="1" applyAlignment="1">
      <alignment horizontal="left"/>
    </xf>
    <xf numFmtId="166" fontId="7" fillId="0" borderId="9" xfId="1" applyNumberFormat="1" applyFont="1" applyFill="1" applyBorder="1"/>
    <xf numFmtId="41" fontId="7" fillId="0" borderId="0" xfId="1" applyNumberFormat="1" applyFont="1" applyFill="1"/>
    <xf numFmtId="0" fontId="7" fillId="0" borderId="1" xfId="1" quotePrefix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center"/>
    </xf>
    <xf numFmtId="0" fontId="1" fillId="0" borderId="0" xfId="9" applyFont="1" applyFill="1"/>
    <xf numFmtId="0" fontId="7" fillId="0" borderId="0" xfId="6" quotePrefix="1" applyFont="1" applyFill="1" applyAlignment="1">
      <alignment horizontal="left"/>
    </xf>
    <xf numFmtId="0" fontId="7" fillId="0" borderId="1" xfId="1" quotePrefix="1" applyFont="1" applyFill="1" applyBorder="1"/>
  </cellXfs>
  <cellStyles count="10">
    <cellStyle name="Comma 2" xfId="3" xr:uid="{B3C3048C-2969-4554-A069-7EF1DFBA1D78}"/>
    <cellStyle name="Currency 2" xfId="4" xr:uid="{9FCECC41-900A-48A4-A512-D3776AC2BE6A}"/>
    <cellStyle name="Normal" xfId="0" builtinId="0"/>
    <cellStyle name="Normal 2" xfId="8" xr:uid="{61B1E095-0630-4ECE-B1F7-CB8A297574BA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9" xr:uid="{6F1D13E6-83D3-473E-9953-CA9C9750D148}"/>
    <cellStyle name="Normal 30" xfId="7" xr:uid="{DE622462-C9A5-40DB-9B2C-F3B0E919F436}"/>
    <cellStyle name="Normal_Sheet1 2" xfId="2" xr:uid="{35264B82-B089-4EE3-B545-5844D434D7B6}"/>
  </cellStyles>
  <dxfs count="4"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21D9BD89-76AB-48DD-B8C0-4AB3F2A14F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468630</xdr:colOff>
      <xdr:row>18</xdr:row>
      <xdr:rowOff>171041</xdr:rowOff>
    </xdr:from>
    <xdr:to>
      <xdr:col>14</xdr:col>
      <xdr:colOff>992634</xdr:colOff>
      <xdr:row>24</xdr:row>
      <xdr:rowOff>43623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FE4A8-2CAB-C6E7-0F22-DC5B53741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" y="3028541"/>
          <a:ext cx="9058404" cy="1015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6A93-9B91-41BB-A800-7B86B8340663}">
  <sheetPr codeName="Sheet75">
    <tabColor rgb="FF0000FF"/>
  </sheetPr>
  <dimension ref="A1:R590"/>
  <sheetViews>
    <sheetView tabSelected="1" view="pageBreakPreview" zoomScaleNormal="100" zoomScaleSheetLayoutView="100" workbookViewId="0">
      <selection activeCell="P2" sqref="P2"/>
    </sheetView>
  </sheetViews>
  <sheetFormatPr defaultColWidth="9.109375" defaultRowHeight="13.2" x14ac:dyDescent="0.25"/>
  <cols>
    <col min="1" max="2" width="4.6640625" style="111" customWidth="1"/>
    <col min="3" max="3" width="10.5546875" style="111" customWidth="1"/>
    <col min="4" max="4" width="33.33203125" style="111" customWidth="1"/>
    <col min="5" max="5" width="2" style="111" customWidth="1"/>
    <col min="6" max="6" width="10.33203125" style="111" customWidth="1"/>
    <col min="7" max="7" width="2" style="111" customWidth="1"/>
    <col min="8" max="8" width="14.6640625" style="111" customWidth="1"/>
    <col min="9" max="9" width="2" style="111" customWidth="1"/>
    <col min="10" max="10" width="14.6640625" style="111" customWidth="1"/>
    <col min="11" max="11" width="2" style="111" customWidth="1"/>
    <col min="12" max="12" width="14.6640625" style="111" customWidth="1"/>
    <col min="13" max="13" width="2" style="111" customWidth="1"/>
    <col min="14" max="14" width="14.6640625" style="111" customWidth="1"/>
    <col min="15" max="15" width="2" style="111" customWidth="1"/>
    <col min="16" max="16" width="14.6640625" style="111" customWidth="1"/>
    <col min="17" max="17" width="1.6640625" style="111" customWidth="1"/>
    <col min="18" max="18" width="14.6640625" style="111" customWidth="1"/>
    <col min="19" max="16384" width="9.109375" style="160"/>
  </cols>
  <sheetData>
    <row r="1" spans="1:18" ht="13.8" thickBot="1" x14ac:dyDescent="0.3">
      <c r="A1" s="158" t="s">
        <v>0</v>
      </c>
      <c r="B1" s="110"/>
      <c r="C1" s="110"/>
      <c r="D1" s="110"/>
      <c r="E1" s="110"/>
      <c r="F1" s="110"/>
      <c r="G1" s="110" t="s">
        <v>1</v>
      </c>
      <c r="H1" s="110"/>
      <c r="I1" s="110"/>
      <c r="J1" s="110"/>
      <c r="K1" s="110"/>
      <c r="L1" s="110"/>
      <c r="M1" s="110"/>
      <c r="N1" s="110"/>
      <c r="O1" s="132"/>
      <c r="P1" s="159">
        <v>30</v>
      </c>
      <c r="Q1" s="110"/>
      <c r="R1" s="110" t="str">
        <f>"Page 1 of " &amp; P$1</f>
        <v>Page 1 of 30</v>
      </c>
    </row>
    <row r="2" spans="1:18" x14ac:dyDescent="0.25">
      <c r="A2" s="111" t="s">
        <v>2</v>
      </c>
      <c r="E2" s="113" t="s">
        <v>3</v>
      </c>
      <c r="F2" s="137" t="s">
        <v>4</v>
      </c>
      <c r="J2" s="134"/>
      <c r="K2" s="134"/>
      <c r="M2" s="134"/>
      <c r="N2" s="134"/>
      <c r="O2" s="135"/>
      <c r="P2" s="134" t="s">
        <v>5</v>
      </c>
      <c r="R2" s="112"/>
    </row>
    <row r="3" spans="1:18" x14ac:dyDescent="0.25">
      <c r="F3" s="111" t="s">
        <v>6</v>
      </c>
      <c r="J3" s="113"/>
      <c r="K3" s="112"/>
      <c r="N3" s="113"/>
      <c r="O3" s="113" t="s">
        <v>7</v>
      </c>
      <c r="P3" s="161" t="s">
        <v>8</v>
      </c>
      <c r="R3" s="113"/>
    </row>
    <row r="4" spans="1:18" x14ac:dyDescent="0.25">
      <c r="A4" s="111" t="s">
        <v>9</v>
      </c>
      <c r="J4" s="113"/>
      <c r="K4" s="112"/>
      <c r="L4" s="113"/>
      <c r="O4" s="113"/>
      <c r="P4" s="161" t="s">
        <v>10</v>
      </c>
      <c r="R4" s="113"/>
    </row>
    <row r="5" spans="1:18" x14ac:dyDescent="0.25">
      <c r="J5" s="113"/>
      <c r="K5" s="112"/>
      <c r="L5" s="113"/>
      <c r="O5" s="113"/>
      <c r="P5" s="161" t="s">
        <v>11</v>
      </c>
      <c r="R5" s="113"/>
    </row>
    <row r="6" spans="1:18" x14ac:dyDescent="0.25">
      <c r="J6" s="113"/>
      <c r="K6" s="112"/>
      <c r="L6" s="113"/>
      <c r="O6" s="113"/>
      <c r="P6" s="161" t="s">
        <v>572</v>
      </c>
      <c r="R6" s="113"/>
    </row>
    <row r="7" spans="1:18" x14ac:dyDescent="0.25">
      <c r="J7" s="113"/>
      <c r="K7" s="112"/>
      <c r="L7" s="113"/>
      <c r="O7" s="113"/>
      <c r="P7" s="161" t="s">
        <v>573</v>
      </c>
      <c r="R7" s="113"/>
    </row>
    <row r="8" spans="1:18" x14ac:dyDescent="0.25">
      <c r="J8" s="113"/>
      <c r="K8" s="112"/>
      <c r="L8" s="113"/>
      <c r="O8" s="113"/>
      <c r="P8" s="161" t="s">
        <v>574</v>
      </c>
      <c r="R8" s="113"/>
    </row>
    <row r="9" spans="1:18" ht="13.8" thickBot="1" x14ac:dyDescent="0.3">
      <c r="A9" s="158" t="s">
        <v>576</v>
      </c>
      <c r="B9" s="110"/>
      <c r="C9" s="110"/>
      <c r="D9" s="110"/>
      <c r="E9" s="110"/>
      <c r="F9" s="110"/>
      <c r="G9" s="110"/>
      <c r="H9" s="117" t="s">
        <v>12</v>
      </c>
      <c r="I9" s="110"/>
      <c r="J9" s="110"/>
      <c r="K9" s="110"/>
      <c r="L9" s="110"/>
      <c r="M9" s="110"/>
      <c r="N9" s="110"/>
      <c r="O9" s="132"/>
      <c r="P9" s="162" t="s">
        <v>575</v>
      </c>
      <c r="Q9" s="110"/>
      <c r="R9" s="110"/>
    </row>
    <row r="10" spans="1:18" x14ac:dyDescent="0.2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</row>
    <row r="11" spans="1:18" x14ac:dyDescent="0.25">
      <c r="C11" s="114" t="s">
        <v>13</v>
      </c>
      <c r="D11" s="114" t="s">
        <v>14</v>
      </c>
      <c r="E11" s="114"/>
      <c r="F11" s="114" t="s">
        <v>15</v>
      </c>
      <c r="G11" s="114"/>
      <c r="H11" s="114" t="s">
        <v>16</v>
      </c>
      <c r="I11" s="114"/>
      <c r="J11" s="116" t="s">
        <v>17</v>
      </c>
      <c r="K11" s="116"/>
      <c r="L11" s="114" t="s">
        <v>18</v>
      </c>
      <c r="M11" s="114"/>
      <c r="N11" s="114" t="s">
        <v>19</v>
      </c>
      <c r="O11" s="115"/>
      <c r="P11" s="114" t="s">
        <v>20</v>
      </c>
      <c r="Q11" s="114"/>
      <c r="R11" s="114" t="s">
        <v>21</v>
      </c>
    </row>
    <row r="12" spans="1:18" x14ac:dyDescent="0.25">
      <c r="C12" s="116" t="s">
        <v>22</v>
      </c>
      <c r="D12" s="116" t="s">
        <v>22</v>
      </c>
      <c r="F12" s="116" t="s">
        <v>23</v>
      </c>
      <c r="G12" s="116"/>
      <c r="H12" s="114" t="s">
        <v>24</v>
      </c>
      <c r="I12" s="116"/>
      <c r="J12" s="114" t="s">
        <v>25</v>
      </c>
      <c r="K12" s="116"/>
      <c r="L12" s="116" t="s">
        <v>25</v>
      </c>
      <c r="M12" s="116"/>
      <c r="O12" s="113"/>
      <c r="P12" s="116" t="s">
        <v>24</v>
      </c>
      <c r="R12" s="116"/>
    </row>
    <row r="13" spans="1:18" x14ac:dyDescent="0.25">
      <c r="A13" s="116" t="s">
        <v>26</v>
      </c>
      <c r="B13" s="116"/>
      <c r="C13" s="116" t="s">
        <v>27</v>
      </c>
      <c r="D13" s="116" t="s">
        <v>27</v>
      </c>
      <c r="E13" s="114"/>
      <c r="F13" s="116" t="s">
        <v>28</v>
      </c>
      <c r="G13" s="116"/>
      <c r="H13" s="116" t="s">
        <v>29</v>
      </c>
      <c r="I13" s="116"/>
      <c r="J13" s="116" t="s">
        <v>24</v>
      </c>
      <c r="K13" s="114"/>
      <c r="L13" s="116" t="s">
        <v>24</v>
      </c>
      <c r="M13" s="112"/>
      <c r="N13" s="116" t="s">
        <v>30</v>
      </c>
      <c r="O13" s="115"/>
      <c r="P13" s="114" t="s">
        <v>29</v>
      </c>
      <c r="Q13" s="114"/>
      <c r="R13" s="116" t="s">
        <v>31</v>
      </c>
    </row>
    <row r="14" spans="1:18" ht="13.8" thickBot="1" x14ac:dyDescent="0.3">
      <c r="A14" s="117" t="s">
        <v>32</v>
      </c>
      <c r="B14" s="117"/>
      <c r="C14" s="117" t="s">
        <v>33</v>
      </c>
      <c r="D14" s="117" t="s">
        <v>34</v>
      </c>
      <c r="E14" s="117"/>
      <c r="F14" s="118" t="s">
        <v>35</v>
      </c>
      <c r="G14" s="118"/>
      <c r="H14" s="118" t="s">
        <v>36</v>
      </c>
      <c r="I14" s="119"/>
      <c r="J14" s="118" t="s">
        <v>37</v>
      </c>
      <c r="K14" s="119"/>
      <c r="L14" s="119" t="s">
        <v>38</v>
      </c>
      <c r="M14" s="120"/>
      <c r="N14" s="120" t="s">
        <v>39</v>
      </c>
      <c r="O14" s="121"/>
      <c r="P14" s="120" t="s">
        <v>40</v>
      </c>
      <c r="Q14" s="120"/>
      <c r="R14" s="120" t="s">
        <v>41</v>
      </c>
    </row>
    <row r="15" spans="1:18" x14ac:dyDescent="0.25">
      <c r="A15" s="116">
        <v>1</v>
      </c>
      <c r="B15" s="122"/>
      <c r="N15" s="123">
        <v>6</v>
      </c>
      <c r="O15" s="113"/>
    </row>
    <row r="16" spans="1:18" x14ac:dyDescent="0.25">
      <c r="A16" s="116">
        <f>A15+1</f>
        <v>2</v>
      </c>
      <c r="B16" s="122"/>
      <c r="D16" s="111" t="s">
        <v>42</v>
      </c>
      <c r="F16" s="123">
        <v>24</v>
      </c>
      <c r="G16" s="124"/>
      <c r="H16" s="123">
        <v>3</v>
      </c>
      <c r="I16" s="124"/>
      <c r="J16" s="123">
        <v>4</v>
      </c>
      <c r="K16" s="124"/>
      <c r="L16" s="123">
        <v>5</v>
      </c>
      <c r="M16" s="124"/>
      <c r="N16" s="123">
        <v>7</v>
      </c>
      <c r="O16" s="125"/>
      <c r="P16" s="123">
        <v>8</v>
      </c>
      <c r="Q16" s="124"/>
      <c r="R16" s="123">
        <v>9</v>
      </c>
    </row>
    <row r="17" spans="1:18" x14ac:dyDescent="0.25">
      <c r="A17" s="116">
        <f t="shared" ref="A17:A58" si="0">A16+1</f>
        <v>3</v>
      </c>
      <c r="B17" s="122"/>
      <c r="D17" s="111" t="s">
        <v>43</v>
      </c>
      <c r="O17" s="113"/>
    </row>
    <row r="18" spans="1:18" x14ac:dyDescent="0.25">
      <c r="A18" s="116">
        <f t="shared" si="0"/>
        <v>4</v>
      </c>
      <c r="B18" s="122"/>
      <c r="D18" s="111" t="s">
        <v>44</v>
      </c>
      <c r="H18" s="5"/>
      <c r="I18" s="5"/>
      <c r="J18" s="4"/>
      <c r="K18" s="4"/>
      <c r="L18" s="4"/>
      <c r="M18" s="4"/>
      <c r="N18" s="4"/>
      <c r="O18" s="12"/>
      <c r="P18" s="6"/>
      <c r="Q18" s="6"/>
      <c r="R18" s="4"/>
    </row>
    <row r="19" spans="1:18" x14ac:dyDescent="0.25">
      <c r="A19" s="116">
        <f t="shared" si="0"/>
        <v>5</v>
      </c>
      <c r="B19" s="122"/>
      <c r="C19" s="116">
        <v>31140</v>
      </c>
      <c r="D19" s="111" t="s">
        <v>45</v>
      </c>
      <c r="F19" s="126">
        <f>VLOOKUP($C19,'ASDR FY2'!$A:$X,F$16,FALSE)*100</f>
        <v>2.52</v>
      </c>
      <c r="G19" s="113"/>
      <c r="H19" s="7">
        <f>VLOOKUP($C19,'ASDR FY2'!$A:$X,H$16,FALSE)/1000</f>
        <v>280963.52530000004</v>
      </c>
      <c r="I19" s="8"/>
      <c r="J19" s="7">
        <f>VLOOKUP($C19,'ASDR FY2'!$A:$X,J$16,FALSE)/1000</f>
        <v>0</v>
      </c>
      <c r="K19" s="9"/>
      <c r="L19" s="7">
        <f>VLOOKUP($C19,'ASDR FY2'!$A:$X,L$16,FALSE)/1000</f>
        <v>0</v>
      </c>
      <c r="M19" s="9"/>
      <c r="N19" s="7">
        <f>VLOOKUP($C19,'ASDR FY2'!$A:$X,N$15,FALSE)/1000+VLOOKUP($C19,'ASDR FY2'!$A:$X,N$16,FALSE)/1000</f>
        <v>0</v>
      </c>
      <c r="O19" s="8"/>
      <c r="P19" s="7">
        <f>SUM(H19,J19,L19,N19)</f>
        <v>280963.52530000004</v>
      </c>
      <c r="Q19" s="9"/>
      <c r="R19" s="7">
        <f>VLOOKUP($C19,'ASDR FY2'!$A:$X,R$16,FALSE)/1000</f>
        <v>280963.52530000004</v>
      </c>
    </row>
    <row r="20" spans="1:18" x14ac:dyDescent="0.25">
      <c r="A20" s="116">
        <f t="shared" si="0"/>
        <v>6</v>
      </c>
      <c r="B20" s="122"/>
      <c r="C20" s="116">
        <v>31240</v>
      </c>
      <c r="D20" s="111" t="s">
        <v>46</v>
      </c>
      <c r="F20" s="126">
        <f>VLOOKUP($C20,'ASDR FY2'!$A:$X,F$16,FALSE)*100</f>
        <v>3.81</v>
      </c>
      <c r="G20" s="113"/>
      <c r="H20" s="7">
        <f>VLOOKUP($C20,'ASDR FY2'!$A:$X,H$16,FALSE)/1000</f>
        <v>197728.66846999998</v>
      </c>
      <c r="I20" s="8"/>
      <c r="J20" s="7">
        <f>VLOOKUP($C20,'ASDR FY2'!$A:$X,J$16,FALSE)/1000</f>
        <v>5357.0656200000003</v>
      </c>
      <c r="K20" s="9"/>
      <c r="L20" s="7">
        <f>VLOOKUP($C20,'ASDR FY2'!$A:$X,L$16,FALSE)/1000</f>
        <v>-1071.41309</v>
      </c>
      <c r="M20" s="9"/>
      <c r="N20" s="7">
        <f>VLOOKUP($C20,'ASDR FY2'!$A:$X,N$15,FALSE)/1000+VLOOKUP($C20,'ASDR FY2'!$A:$X,N$16,FALSE)/1000</f>
        <v>0</v>
      </c>
      <c r="O20" s="8"/>
      <c r="P20" s="7">
        <f>SUM(H20,J20,L20,N20)</f>
        <v>202014.321</v>
      </c>
      <c r="Q20" s="9"/>
      <c r="R20" s="7">
        <f>VLOOKUP($C20,'ASDR FY2'!$A:$X,R$16,FALSE)/1000</f>
        <v>199557.61538999999</v>
      </c>
    </row>
    <row r="21" spans="1:18" x14ac:dyDescent="0.25">
      <c r="A21" s="116">
        <f t="shared" si="0"/>
        <v>7</v>
      </c>
      <c r="B21" s="122"/>
      <c r="C21" s="116">
        <v>31440</v>
      </c>
      <c r="D21" s="111" t="s">
        <v>47</v>
      </c>
      <c r="F21" s="126">
        <f>VLOOKUP($C21,'ASDR FY2'!$A:$X,F$16,FALSE)*100</f>
        <v>3.9</v>
      </c>
      <c r="G21" s="113"/>
      <c r="H21" s="7">
        <f>VLOOKUP($C21,'ASDR FY2'!$A:$X,H$16,FALSE)/1000</f>
        <v>28785.796029999998</v>
      </c>
      <c r="I21" s="8"/>
      <c r="J21" s="7">
        <f>VLOOKUP($C21,'ASDR FY2'!$A:$X,J$16,FALSE)/1000</f>
        <v>5357.0656200000003</v>
      </c>
      <c r="K21" s="9"/>
      <c r="L21" s="7">
        <f>VLOOKUP($C21,'ASDR FY2'!$A:$X,L$16,FALSE)/1000</f>
        <v>-1071.41309</v>
      </c>
      <c r="M21" s="9"/>
      <c r="N21" s="7">
        <f>VLOOKUP($C21,'ASDR FY2'!$A:$X,N$15,FALSE)/1000+VLOOKUP($C21,'ASDR FY2'!$A:$X,N$16,FALSE)/1000</f>
        <v>0</v>
      </c>
      <c r="O21" s="8"/>
      <c r="P21" s="7">
        <f>SUM(H21,J21,L21,N21)</f>
        <v>33071.448559999997</v>
      </c>
      <c r="Q21" s="9"/>
      <c r="R21" s="7">
        <f>VLOOKUP($C21,'ASDR FY2'!$A:$X,R$16,FALSE)/1000</f>
        <v>30614.74295</v>
      </c>
    </row>
    <row r="22" spans="1:18" x14ac:dyDescent="0.25">
      <c r="A22" s="116">
        <f t="shared" si="0"/>
        <v>8</v>
      </c>
      <c r="B22" s="122"/>
      <c r="C22" s="116">
        <v>31540</v>
      </c>
      <c r="D22" s="111" t="s">
        <v>48</v>
      </c>
      <c r="F22" s="126">
        <f>VLOOKUP($C22,'ASDR FY2'!$A:$X,F$16,FALSE)*100</f>
        <v>2.16</v>
      </c>
      <c r="G22" s="113"/>
      <c r="H22" s="7">
        <f>VLOOKUP($C22,'ASDR FY2'!$A:$X,H$16,FALSE)/1000</f>
        <v>43980.094720000001</v>
      </c>
      <c r="I22" s="8"/>
      <c r="J22" s="7">
        <f>VLOOKUP($C22,'ASDR FY2'!$A:$X,J$16,FALSE)/1000</f>
        <v>0</v>
      </c>
      <c r="K22" s="9"/>
      <c r="L22" s="7">
        <f>VLOOKUP($C22,'ASDR FY2'!$A:$X,L$16,FALSE)/1000</f>
        <v>0</v>
      </c>
      <c r="M22" s="9"/>
      <c r="N22" s="7">
        <f>VLOOKUP($C22,'ASDR FY2'!$A:$X,N$15,FALSE)/1000+VLOOKUP($C22,'ASDR FY2'!$A:$X,N$16,FALSE)/1000</f>
        <v>0</v>
      </c>
      <c r="O22" s="8"/>
      <c r="P22" s="7">
        <f>SUM(H22,J22,L22,N22)</f>
        <v>43980.094720000001</v>
      </c>
      <c r="Q22" s="9"/>
      <c r="R22" s="7">
        <f>VLOOKUP($C22,'ASDR FY2'!$A:$X,R$16,FALSE)/1000</f>
        <v>43980.094720000001</v>
      </c>
    </row>
    <row r="23" spans="1:18" x14ac:dyDescent="0.25">
      <c r="A23" s="116">
        <f t="shared" si="0"/>
        <v>9</v>
      </c>
      <c r="B23" s="122"/>
      <c r="C23" s="116">
        <v>31640</v>
      </c>
      <c r="D23" s="111" t="s">
        <v>49</v>
      </c>
      <c r="F23" s="126">
        <f>VLOOKUP($C23,'ASDR FY2'!$A:$X,F$16,FALSE)*100</f>
        <v>2.02</v>
      </c>
      <c r="G23" s="113"/>
      <c r="H23" s="7">
        <f>VLOOKUP($C23,'ASDR FY2'!$A:$X,H$16,FALSE)/1000</f>
        <v>26448.498799999998</v>
      </c>
      <c r="I23" s="8"/>
      <c r="J23" s="7">
        <f>VLOOKUP($C23,'ASDR FY2'!$A:$X,J$16,FALSE)/1000</f>
        <v>0</v>
      </c>
      <c r="K23" s="9"/>
      <c r="L23" s="7">
        <f>VLOOKUP($C23,'ASDR FY2'!$A:$X,L$16,FALSE)/1000</f>
        <v>0</v>
      </c>
      <c r="M23" s="9"/>
      <c r="N23" s="7">
        <f>VLOOKUP($C23,'ASDR FY2'!$A:$X,N$15,FALSE)/1000+VLOOKUP($C23,'ASDR FY2'!$A:$X,N$16,FALSE)/1000</f>
        <v>0</v>
      </c>
      <c r="O23" s="8"/>
      <c r="P23" s="7">
        <f>SUM(H23,J23,L23,N23)</f>
        <v>26448.498799999998</v>
      </c>
      <c r="Q23" s="9"/>
      <c r="R23" s="7">
        <f>VLOOKUP($C23,'ASDR FY2'!$A:$X,R$16,FALSE)/1000</f>
        <v>26448.498800000001</v>
      </c>
    </row>
    <row r="24" spans="1:18" x14ac:dyDescent="0.25">
      <c r="A24" s="116">
        <f t="shared" si="0"/>
        <v>10</v>
      </c>
      <c r="B24" s="122"/>
      <c r="C24" s="116"/>
      <c r="D24" s="111" t="s">
        <v>50</v>
      </c>
      <c r="F24" s="127"/>
      <c r="H24" s="11">
        <f>SUM(H19:H23)</f>
        <v>577906.58331999998</v>
      </c>
      <c r="I24" s="12"/>
      <c r="J24" s="11">
        <f>SUM(J19:J23)</f>
        <v>10714.131240000001</v>
      </c>
      <c r="K24" s="12"/>
      <c r="L24" s="11">
        <f>SUM(L19:L23)</f>
        <v>-2142.82618</v>
      </c>
      <c r="M24" s="12"/>
      <c r="N24" s="11">
        <f>SUM(N19:N23)</f>
        <v>0</v>
      </c>
      <c r="O24" s="12"/>
      <c r="P24" s="11">
        <f>SUM(P19:P23)</f>
        <v>586477.88838000002</v>
      </c>
      <c r="Q24" s="12"/>
      <c r="R24" s="11">
        <f>SUM(R19:R23)</f>
        <v>581564.47716000001</v>
      </c>
    </row>
    <row r="25" spans="1:18" x14ac:dyDescent="0.25">
      <c r="A25" s="116">
        <f t="shared" si="0"/>
        <v>11</v>
      </c>
      <c r="B25" s="122"/>
      <c r="C25" s="116"/>
      <c r="F25" s="127"/>
      <c r="H25" s="13"/>
      <c r="I25" s="13"/>
      <c r="J25" s="13"/>
      <c r="K25" s="14"/>
      <c r="L25" s="13"/>
      <c r="M25" s="14"/>
      <c r="N25" s="13"/>
      <c r="O25" s="14"/>
      <c r="P25" s="13"/>
      <c r="Q25" s="14"/>
      <c r="R25" s="13"/>
    </row>
    <row r="26" spans="1:18" x14ac:dyDescent="0.25">
      <c r="A26" s="116">
        <f t="shared" si="0"/>
        <v>12</v>
      </c>
      <c r="B26" s="122"/>
      <c r="C26" s="116"/>
      <c r="D26" s="111" t="s">
        <v>51</v>
      </c>
      <c r="F26" s="127"/>
      <c r="H26" s="15"/>
      <c r="I26" s="15"/>
      <c r="J26" s="15"/>
      <c r="K26" s="14"/>
      <c r="L26" s="15"/>
      <c r="M26" s="14"/>
      <c r="N26" s="15"/>
      <c r="O26" s="14"/>
      <c r="P26" s="15"/>
      <c r="Q26" s="14"/>
      <c r="R26" s="15"/>
    </row>
    <row r="27" spans="1:18" x14ac:dyDescent="0.25">
      <c r="A27" s="116">
        <f t="shared" si="0"/>
        <v>13</v>
      </c>
      <c r="B27" s="122"/>
      <c r="C27" s="116">
        <v>31141</v>
      </c>
      <c r="D27" s="111" t="s">
        <v>45</v>
      </c>
      <c r="F27" s="126">
        <f>VLOOKUP($C27,'ASDR FY2'!$A:$X,F$16,FALSE)*100</f>
        <v>0</v>
      </c>
      <c r="G27" s="113"/>
      <c r="H27" s="7">
        <f>VLOOKUP($C27,'ASDR FY2'!$A:$X,H$16,FALSE)/1000</f>
        <v>0</v>
      </c>
      <c r="I27" s="8"/>
      <c r="J27" s="7">
        <f>VLOOKUP($C27,'ASDR FY2'!$A:$X,J$16,FALSE)/1000</f>
        <v>0</v>
      </c>
      <c r="K27" s="9"/>
      <c r="L27" s="7">
        <f>VLOOKUP($C27,'ASDR FY2'!$A:$X,L$16,FALSE)/1000</f>
        <v>0</v>
      </c>
      <c r="M27" s="9"/>
      <c r="N27" s="7">
        <f>VLOOKUP($C27,'ASDR FY2'!$A:$X,N$15,FALSE)/1000+VLOOKUP($C27,'ASDR FY2'!$A:$X,N$16,FALSE)/1000</f>
        <v>0</v>
      </c>
      <c r="O27" s="8"/>
      <c r="P27" s="7">
        <f>SUM(H27,J27,L27,N27)</f>
        <v>0</v>
      </c>
      <c r="Q27" s="9"/>
      <c r="R27" s="7">
        <f>VLOOKUP($C27,'ASDR FY2'!$A:$X,R$16,FALSE)/1000</f>
        <v>0</v>
      </c>
    </row>
    <row r="28" spans="1:18" x14ac:dyDescent="0.25">
      <c r="A28" s="116">
        <f t="shared" si="0"/>
        <v>14</v>
      </c>
      <c r="B28" s="122"/>
      <c r="C28" s="116">
        <v>31241</v>
      </c>
      <c r="D28" s="111" t="s">
        <v>46</v>
      </c>
      <c r="F28" s="126">
        <f>VLOOKUP($C28,'ASDR FY2'!$A:$X,F$16,FALSE)*100</f>
        <v>0</v>
      </c>
      <c r="G28" s="113"/>
      <c r="H28" s="7">
        <f>VLOOKUP($C28,'ASDR FY2'!$A:$X,H$16,FALSE)/1000</f>
        <v>0</v>
      </c>
      <c r="I28" s="8"/>
      <c r="J28" s="7">
        <f>VLOOKUP($C28,'ASDR FY2'!$A:$X,J$16,FALSE)/1000</f>
        <v>0</v>
      </c>
      <c r="K28" s="9"/>
      <c r="L28" s="7">
        <f>VLOOKUP($C28,'ASDR FY2'!$A:$X,L$16,FALSE)/1000</f>
        <v>0</v>
      </c>
      <c r="M28" s="9"/>
      <c r="N28" s="7">
        <f>VLOOKUP($C28,'ASDR FY2'!$A:$X,N$15,FALSE)/1000+VLOOKUP($C28,'ASDR FY2'!$A:$X,N$16,FALSE)/1000</f>
        <v>0</v>
      </c>
      <c r="O28" s="8"/>
      <c r="P28" s="7">
        <f>SUM(H28,J28,L28,N28)</f>
        <v>0</v>
      </c>
      <c r="Q28" s="9"/>
      <c r="R28" s="7">
        <f>VLOOKUP($C28,'ASDR FY2'!$A:$X,R$16,FALSE)/1000</f>
        <v>0</v>
      </c>
    </row>
    <row r="29" spans="1:18" x14ac:dyDescent="0.25">
      <c r="A29" s="116">
        <f t="shared" si="0"/>
        <v>15</v>
      </c>
      <c r="B29" s="122"/>
      <c r="C29" s="116">
        <v>31441</v>
      </c>
      <c r="D29" s="111" t="s">
        <v>47</v>
      </c>
      <c r="F29" s="126">
        <f>VLOOKUP($C29,'ASDR FY2'!$A:$X,F$16,FALSE)*100</f>
        <v>0</v>
      </c>
      <c r="G29" s="113"/>
      <c r="H29" s="7">
        <f>VLOOKUP($C29,'ASDR FY2'!$A:$X,H$16,FALSE)/1000</f>
        <v>0</v>
      </c>
      <c r="I29" s="8"/>
      <c r="J29" s="7">
        <f>VLOOKUP($C29,'ASDR FY2'!$A:$X,J$16,FALSE)/1000</f>
        <v>0</v>
      </c>
      <c r="K29" s="9"/>
      <c r="L29" s="7">
        <f>VLOOKUP($C29,'ASDR FY2'!$A:$X,L$16,FALSE)/1000</f>
        <v>0</v>
      </c>
      <c r="M29" s="9"/>
      <c r="N29" s="7">
        <f>VLOOKUP($C29,'ASDR FY2'!$A:$X,N$15,FALSE)/1000+VLOOKUP($C29,'ASDR FY2'!$A:$X,N$16,FALSE)/1000</f>
        <v>0</v>
      </c>
      <c r="O29" s="8"/>
      <c r="P29" s="7">
        <f>SUM(H29,J29,L29,N29)</f>
        <v>0</v>
      </c>
      <c r="Q29" s="9"/>
      <c r="R29" s="7">
        <f>VLOOKUP($C29,'ASDR FY2'!$A:$X,R$16,FALSE)/1000</f>
        <v>0</v>
      </c>
    </row>
    <row r="30" spans="1:18" x14ac:dyDescent="0.25">
      <c r="A30" s="116">
        <f t="shared" si="0"/>
        <v>16</v>
      </c>
      <c r="B30" s="122"/>
      <c r="C30" s="116">
        <v>31541</v>
      </c>
      <c r="D30" s="111" t="s">
        <v>48</v>
      </c>
      <c r="F30" s="126">
        <f>VLOOKUP($C30,'ASDR FY2'!$A:$X,F$16,FALSE)*100</f>
        <v>0</v>
      </c>
      <c r="G30" s="113"/>
      <c r="H30" s="7">
        <f>VLOOKUP($C30,'ASDR FY2'!$A:$X,H$16,FALSE)/1000</f>
        <v>0</v>
      </c>
      <c r="I30" s="8"/>
      <c r="J30" s="7">
        <f>VLOOKUP($C30,'ASDR FY2'!$A:$X,J$16,FALSE)/1000</f>
        <v>0</v>
      </c>
      <c r="K30" s="9"/>
      <c r="L30" s="7">
        <f>VLOOKUP($C30,'ASDR FY2'!$A:$X,L$16,FALSE)/1000</f>
        <v>0</v>
      </c>
      <c r="M30" s="9"/>
      <c r="N30" s="7">
        <f>VLOOKUP($C30,'ASDR FY2'!$A:$X,N$15,FALSE)/1000+VLOOKUP($C30,'ASDR FY2'!$A:$X,N$16,FALSE)/1000</f>
        <v>0</v>
      </c>
      <c r="O30" s="8"/>
      <c r="P30" s="7">
        <f>SUM(H30,J30,L30,N30)</f>
        <v>0</v>
      </c>
      <c r="Q30" s="9"/>
      <c r="R30" s="7">
        <f>VLOOKUP($C30,'ASDR FY2'!$A:$X,R$16,FALSE)/1000</f>
        <v>0</v>
      </c>
    </row>
    <row r="31" spans="1:18" x14ac:dyDescent="0.25">
      <c r="A31" s="116">
        <f t="shared" si="0"/>
        <v>17</v>
      </c>
      <c r="B31" s="122"/>
      <c r="C31" s="116">
        <v>31641</v>
      </c>
      <c r="D31" s="111" t="s">
        <v>49</v>
      </c>
      <c r="F31" s="126">
        <f>VLOOKUP($C31,'ASDR FY2'!$A:$X,F$16,FALSE)*100</f>
        <v>0</v>
      </c>
      <c r="G31" s="113"/>
      <c r="H31" s="7">
        <f>VLOOKUP($C31,'ASDR FY2'!$A:$X,H$16,FALSE)/1000</f>
        <v>0</v>
      </c>
      <c r="I31" s="8"/>
      <c r="J31" s="7">
        <f>VLOOKUP($C31,'ASDR FY2'!$A:$X,J$16,FALSE)/1000</f>
        <v>0</v>
      </c>
      <c r="K31" s="9"/>
      <c r="L31" s="7">
        <f>VLOOKUP($C31,'ASDR FY2'!$A:$X,L$16,FALSE)/1000</f>
        <v>0</v>
      </c>
      <c r="M31" s="9"/>
      <c r="N31" s="7">
        <f>VLOOKUP($C31,'ASDR FY2'!$A:$X,N$15,FALSE)/1000+VLOOKUP($C31,'ASDR FY2'!$A:$X,N$16,FALSE)/1000</f>
        <v>0</v>
      </c>
      <c r="O31" s="8"/>
      <c r="P31" s="7">
        <f>SUM(H31,J31,L31,N31)</f>
        <v>0</v>
      </c>
      <c r="Q31" s="9"/>
      <c r="R31" s="7">
        <f>VLOOKUP($C31,'ASDR FY2'!$A:$X,R$16,FALSE)/1000</f>
        <v>0</v>
      </c>
    </row>
    <row r="32" spans="1:18" x14ac:dyDescent="0.25">
      <c r="A32" s="116">
        <f t="shared" si="0"/>
        <v>18</v>
      </c>
      <c r="B32" s="122"/>
      <c r="C32" s="116"/>
      <c r="D32" s="111" t="s">
        <v>52</v>
      </c>
      <c r="F32" s="126"/>
      <c r="H32" s="11">
        <f>SUM(H27:H31)</f>
        <v>0</v>
      </c>
      <c r="I32" s="14"/>
      <c r="J32" s="11">
        <f>SUM(J27:J31)</f>
        <v>0</v>
      </c>
      <c r="K32" s="14"/>
      <c r="L32" s="11">
        <f>SUM(L27:L31)</f>
        <v>0</v>
      </c>
      <c r="M32" s="14"/>
      <c r="N32" s="11">
        <f>SUM(N27:N31)</f>
        <v>0</v>
      </c>
      <c r="O32" s="14"/>
      <c r="P32" s="11">
        <f>SUM(P27:P31)</f>
        <v>0</v>
      </c>
      <c r="Q32" s="14"/>
      <c r="R32" s="11">
        <f>SUM(R27:R31)</f>
        <v>0</v>
      </c>
    </row>
    <row r="33" spans="1:18" x14ac:dyDescent="0.25">
      <c r="A33" s="116">
        <f t="shared" si="0"/>
        <v>19</v>
      </c>
      <c r="B33" s="122"/>
      <c r="F33" s="127"/>
      <c r="O33" s="113"/>
    </row>
    <row r="34" spans="1:18" x14ac:dyDescent="0.25">
      <c r="A34" s="116">
        <f t="shared" si="0"/>
        <v>20</v>
      </c>
      <c r="B34" s="122"/>
      <c r="C34" s="116"/>
      <c r="D34" s="128" t="s">
        <v>53</v>
      </c>
      <c r="E34" s="128"/>
      <c r="F34" s="126"/>
      <c r="G34" s="128"/>
      <c r="H34" s="13"/>
      <c r="I34" s="13"/>
      <c r="J34" s="13"/>
      <c r="K34" s="14"/>
      <c r="L34" s="13"/>
      <c r="M34" s="14"/>
      <c r="N34" s="13"/>
      <c r="O34" s="14"/>
      <c r="P34" s="13"/>
      <c r="Q34" s="14"/>
      <c r="R34" s="13"/>
    </row>
    <row r="35" spans="1:18" x14ac:dyDescent="0.25">
      <c r="A35" s="116">
        <f t="shared" si="0"/>
        <v>21</v>
      </c>
      <c r="B35" s="122"/>
      <c r="C35" s="116">
        <v>31142</v>
      </c>
      <c r="D35" s="111" t="s">
        <v>45</v>
      </c>
      <c r="F35" s="126">
        <f>VLOOKUP($C35,'ASDR FY2'!$A:$X,F$16,FALSE)*100</f>
        <v>0</v>
      </c>
      <c r="G35" s="113"/>
      <c r="H35" s="7">
        <f>VLOOKUP($C35,'ASDR FY2'!$A:$X,H$16,FALSE)/1000</f>
        <v>0</v>
      </c>
      <c r="I35" s="8"/>
      <c r="J35" s="7">
        <f>VLOOKUP($C35,'ASDR FY2'!$A:$X,J$16,FALSE)/1000</f>
        <v>0</v>
      </c>
      <c r="K35" s="9"/>
      <c r="L35" s="7">
        <f>VLOOKUP($C35,'ASDR FY2'!$A:$X,L$16,FALSE)/1000</f>
        <v>0</v>
      </c>
      <c r="M35" s="9"/>
      <c r="N35" s="7">
        <f>VLOOKUP($C35,'ASDR FY2'!$A:$X,N$15,FALSE)/1000+VLOOKUP($C35,'ASDR FY2'!$A:$X,N$16,FALSE)/1000</f>
        <v>0</v>
      </c>
      <c r="O35" s="8"/>
      <c r="P35" s="7">
        <f>SUM(H35,J35,L35,N35)</f>
        <v>0</v>
      </c>
      <c r="Q35" s="9"/>
      <c r="R35" s="7">
        <f>VLOOKUP($C35,'ASDR FY2'!$A:$X,R$16,FALSE)/1000</f>
        <v>0</v>
      </c>
    </row>
    <row r="36" spans="1:18" x14ac:dyDescent="0.25">
      <c r="A36" s="116">
        <f t="shared" si="0"/>
        <v>22</v>
      </c>
      <c r="B36" s="122"/>
      <c r="C36" s="116">
        <v>31242</v>
      </c>
      <c r="D36" s="111" t="s">
        <v>46</v>
      </c>
      <c r="F36" s="126">
        <f>VLOOKUP($C36,'ASDR FY2'!$A:$X,F$16,FALSE)*100</f>
        <v>0</v>
      </c>
      <c r="G36" s="113"/>
      <c r="H36" s="7">
        <f>VLOOKUP($C36,'ASDR FY2'!$A:$X,H$16,FALSE)/1000</f>
        <v>0</v>
      </c>
      <c r="I36" s="8"/>
      <c r="J36" s="7">
        <f>VLOOKUP($C36,'ASDR FY2'!$A:$X,J$16,FALSE)/1000</f>
        <v>0</v>
      </c>
      <c r="K36" s="9"/>
      <c r="L36" s="7">
        <f>VLOOKUP($C36,'ASDR FY2'!$A:$X,L$16,FALSE)/1000</f>
        <v>0</v>
      </c>
      <c r="M36" s="9"/>
      <c r="N36" s="7">
        <f>VLOOKUP($C36,'ASDR FY2'!$A:$X,N$15,FALSE)/1000+VLOOKUP($C36,'ASDR FY2'!$A:$X,N$16,FALSE)/1000</f>
        <v>0</v>
      </c>
      <c r="O36" s="8"/>
      <c r="P36" s="7">
        <f>SUM(H36,J36,L36,N36)</f>
        <v>0</v>
      </c>
      <c r="Q36" s="9"/>
      <c r="R36" s="7">
        <f>VLOOKUP($C36,'ASDR FY2'!$A:$X,R$16,FALSE)/1000</f>
        <v>0</v>
      </c>
    </row>
    <row r="37" spans="1:18" x14ac:dyDescent="0.25">
      <c r="A37" s="116">
        <f t="shared" si="0"/>
        <v>23</v>
      </c>
      <c r="B37" s="122"/>
      <c r="C37" s="116">
        <v>31442</v>
      </c>
      <c r="D37" s="111" t="s">
        <v>47</v>
      </c>
      <c r="F37" s="126">
        <f>VLOOKUP($C37,'ASDR FY2'!$A:$X,F$16,FALSE)*100</f>
        <v>0</v>
      </c>
      <c r="G37" s="113"/>
      <c r="H37" s="7">
        <f>VLOOKUP($C37,'ASDR FY2'!$A:$X,H$16,FALSE)/1000</f>
        <v>0</v>
      </c>
      <c r="I37" s="8"/>
      <c r="J37" s="7">
        <f>VLOOKUP($C37,'ASDR FY2'!$A:$X,J$16,FALSE)/1000</f>
        <v>0</v>
      </c>
      <c r="K37" s="9"/>
      <c r="L37" s="7">
        <f>VLOOKUP($C37,'ASDR FY2'!$A:$X,L$16,FALSE)/1000</f>
        <v>0</v>
      </c>
      <c r="M37" s="9"/>
      <c r="N37" s="7">
        <f>VLOOKUP($C37,'ASDR FY2'!$A:$X,N$15,FALSE)/1000+VLOOKUP($C37,'ASDR FY2'!$A:$X,N$16,FALSE)/1000</f>
        <v>0</v>
      </c>
      <c r="O37" s="8"/>
      <c r="P37" s="7">
        <f>SUM(H37,J37,L37,N37)</f>
        <v>0</v>
      </c>
      <c r="Q37" s="9"/>
      <c r="R37" s="7">
        <f>VLOOKUP($C37,'ASDR FY2'!$A:$X,R$16,FALSE)/1000</f>
        <v>0</v>
      </c>
    </row>
    <row r="38" spans="1:18" x14ac:dyDescent="0.25">
      <c r="A38" s="116">
        <f t="shared" si="0"/>
        <v>24</v>
      </c>
      <c r="B38" s="122"/>
      <c r="C38" s="116">
        <v>31542</v>
      </c>
      <c r="D38" s="111" t="s">
        <v>48</v>
      </c>
      <c r="F38" s="126">
        <f>VLOOKUP($C38,'ASDR FY2'!$A:$X,F$16,FALSE)*100</f>
        <v>0</v>
      </c>
      <c r="G38" s="113"/>
      <c r="H38" s="7">
        <f>VLOOKUP($C38,'ASDR FY2'!$A:$X,H$16,FALSE)/1000</f>
        <v>0</v>
      </c>
      <c r="I38" s="8"/>
      <c r="J38" s="7">
        <f>VLOOKUP($C38,'ASDR FY2'!$A:$X,J$16,FALSE)/1000</f>
        <v>0</v>
      </c>
      <c r="K38" s="9"/>
      <c r="L38" s="7">
        <f>VLOOKUP($C38,'ASDR FY2'!$A:$X,L$16,FALSE)/1000</f>
        <v>0</v>
      </c>
      <c r="M38" s="9"/>
      <c r="N38" s="7">
        <f>VLOOKUP($C38,'ASDR FY2'!$A:$X,N$15,FALSE)/1000+VLOOKUP($C38,'ASDR FY2'!$A:$X,N$16,FALSE)/1000</f>
        <v>0</v>
      </c>
      <c r="O38" s="8"/>
      <c r="P38" s="7">
        <f>SUM(H38,J38,L38,N38)</f>
        <v>0</v>
      </c>
      <c r="Q38" s="9"/>
      <c r="R38" s="7">
        <f>VLOOKUP($C38,'ASDR FY2'!$A:$X,R$16,FALSE)/1000</f>
        <v>0</v>
      </c>
    </row>
    <row r="39" spans="1:18" x14ac:dyDescent="0.25">
      <c r="A39" s="116">
        <f t="shared" si="0"/>
        <v>25</v>
      </c>
      <c r="B39" s="122"/>
      <c r="C39" s="116">
        <v>31642</v>
      </c>
      <c r="D39" s="111" t="s">
        <v>49</v>
      </c>
      <c r="F39" s="126">
        <f>VLOOKUP($C39,'ASDR FY2'!$A:$X,F$16,FALSE)*100</f>
        <v>0</v>
      </c>
      <c r="G39" s="113"/>
      <c r="H39" s="7">
        <f>VLOOKUP($C39,'ASDR FY2'!$A:$X,H$16,FALSE)/1000</f>
        <v>0</v>
      </c>
      <c r="I39" s="8"/>
      <c r="J39" s="7">
        <f>VLOOKUP($C39,'ASDR FY2'!$A:$X,J$16,FALSE)/1000</f>
        <v>0</v>
      </c>
      <c r="K39" s="9"/>
      <c r="L39" s="7">
        <f>VLOOKUP($C39,'ASDR FY2'!$A:$X,L$16,FALSE)/1000</f>
        <v>0</v>
      </c>
      <c r="M39" s="9"/>
      <c r="N39" s="7">
        <f>VLOOKUP($C39,'ASDR FY2'!$A:$X,N$15,FALSE)/1000+VLOOKUP($C39,'ASDR FY2'!$A:$X,N$16,FALSE)/1000</f>
        <v>0</v>
      </c>
      <c r="O39" s="8"/>
      <c r="P39" s="7">
        <f>SUM(H39,J39,L39,N39)</f>
        <v>0</v>
      </c>
      <c r="Q39" s="9"/>
      <c r="R39" s="7">
        <f>VLOOKUP($C39,'ASDR FY2'!$A:$X,R$16,FALSE)/1000</f>
        <v>0</v>
      </c>
    </row>
    <row r="40" spans="1:18" x14ac:dyDescent="0.25">
      <c r="A40" s="116">
        <f t="shared" si="0"/>
        <v>26</v>
      </c>
      <c r="B40" s="122"/>
      <c r="C40" s="116"/>
      <c r="D40" s="129" t="s">
        <v>54</v>
      </c>
      <c r="E40" s="129"/>
      <c r="F40" s="126"/>
      <c r="H40" s="11">
        <f>SUM(H35:H39)</f>
        <v>0</v>
      </c>
      <c r="I40" s="14"/>
      <c r="J40" s="11">
        <f>SUM(J35:J39)</f>
        <v>0</v>
      </c>
      <c r="K40" s="14"/>
      <c r="L40" s="11">
        <f>SUM(L35:L39)</f>
        <v>0</v>
      </c>
      <c r="M40" s="14"/>
      <c r="N40" s="11">
        <f>SUM(N35:N39)</f>
        <v>0</v>
      </c>
      <c r="O40" s="14"/>
      <c r="P40" s="11">
        <f>SUM(P35:P39)</f>
        <v>0</v>
      </c>
      <c r="Q40" s="14"/>
      <c r="R40" s="11">
        <f>SUM(R35:R39)</f>
        <v>0</v>
      </c>
    </row>
    <row r="41" spans="1:18" x14ac:dyDescent="0.25">
      <c r="A41" s="116">
        <f t="shared" si="0"/>
        <v>27</v>
      </c>
      <c r="B41" s="122"/>
      <c r="C41" s="116"/>
      <c r="D41" s="129"/>
      <c r="E41" s="129"/>
      <c r="F41" s="126"/>
      <c r="G41" s="129"/>
      <c r="H41" s="14"/>
      <c r="I41" s="14"/>
      <c r="J41" s="14"/>
      <c r="K41" s="14"/>
      <c r="L41" s="14"/>
      <c r="M41" s="14"/>
      <c r="N41" s="14"/>
      <c r="O41" s="13"/>
      <c r="P41" s="14"/>
      <c r="Q41" s="13"/>
      <c r="R41" s="14"/>
    </row>
    <row r="42" spans="1:18" x14ac:dyDescent="0.25">
      <c r="A42" s="116">
        <f t="shared" si="0"/>
        <v>28</v>
      </c>
      <c r="B42" s="122"/>
      <c r="C42" s="116"/>
      <c r="D42" s="129" t="s">
        <v>55</v>
      </c>
      <c r="E42" s="129"/>
      <c r="F42" s="126"/>
      <c r="G42" s="129"/>
      <c r="H42" s="14"/>
      <c r="I42" s="14"/>
      <c r="J42" s="14"/>
      <c r="K42" s="14"/>
      <c r="L42" s="14"/>
      <c r="M42" s="14"/>
      <c r="N42" s="14"/>
      <c r="O42" s="13"/>
      <c r="P42" s="14"/>
      <c r="Q42" s="13"/>
      <c r="R42" s="14"/>
    </row>
    <row r="43" spans="1:18" x14ac:dyDescent="0.25">
      <c r="A43" s="116">
        <f t="shared" si="0"/>
        <v>29</v>
      </c>
      <c r="B43" s="122"/>
      <c r="C43" s="116">
        <v>31143</v>
      </c>
      <c r="D43" s="111" t="s">
        <v>45</v>
      </c>
      <c r="F43" s="126">
        <f>VLOOKUP($C43,'ASDR FY2'!$A:$X,F$16,FALSE)*100</f>
        <v>0</v>
      </c>
      <c r="G43" s="113"/>
      <c r="H43" s="7">
        <f>VLOOKUP($C43,'ASDR FY2'!$A:$X,H$16,FALSE)/1000</f>
        <v>0</v>
      </c>
      <c r="I43" s="8"/>
      <c r="J43" s="7">
        <f>VLOOKUP($C43,'ASDR FY2'!$A:$X,J$16,FALSE)/1000</f>
        <v>0</v>
      </c>
      <c r="K43" s="9"/>
      <c r="L43" s="7">
        <f>VLOOKUP($C43,'ASDR FY2'!$A:$X,L$16,FALSE)/1000</f>
        <v>0</v>
      </c>
      <c r="M43" s="9"/>
      <c r="N43" s="7">
        <f>VLOOKUP($C43,'ASDR FY2'!$A:$X,N$15,FALSE)/1000+VLOOKUP($C43,'ASDR FY2'!$A:$X,N$16,FALSE)/1000</f>
        <v>0</v>
      </c>
      <c r="O43" s="8"/>
      <c r="P43" s="7">
        <f>SUM(H43,J43,L43,N43)</f>
        <v>0</v>
      </c>
      <c r="Q43" s="9"/>
      <c r="R43" s="7">
        <f>VLOOKUP($C43,'ASDR FY2'!$A:$X,R$16,FALSE)/1000</f>
        <v>0</v>
      </c>
    </row>
    <row r="44" spans="1:18" x14ac:dyDescent="0.25">
      <c r="A44" s="116">
        <f t="shared" si="0"/>
        <v>30</v>
      </c>
      <c r="B44" s="122"/>
      <c r="C44" s="116">
        <v>31243</v>
      </c>
      <c r="D44" s="111" t="s">
        <v>46</v>
      </c>
      <c r="F44" s="126">
        <f>VLOOKUP($C44,'ASDR FY2'!$A:$X,F$16,FALSE)*100</f>
        <v>0</v>
      </c>
      <c r="G44" s="113"/>
      <c r="H44" s="7">
        <f>VLOOKUP($C44,'ASDR FY2'!$A:$X,H$16,FALSE)/1000</f>
        <v>0</v>
      </c>
      <c r="I44" s="8"/>
      <c r="J44" s="7">
        <f>VLOOKUP($C44,'ASDR FY2'!$A:$X,J$16,FALSE)/1000</f>
        <v>0</v>
      </c>
      <c r="K44" s="9"/>
      <c r="L44" s="7">
        <f>VLOOKUP($C44,'ASDR FY2'!$A:$X,L$16,FALSE)/1000</f>
        <v>0</v>
      </c>
      <c r="M44" s="9"/>
      <c r="N44" s="7">
        <f>VLOOKUP($C44,'ASDR FY2'!$A:$X,N$15,FALSE)/1000+VLOOKUP($C44,'ASDR FY2'!$A:$X,N$16,FALSE)/1000</f>
        <v>0</v>
      </c>
      <c r="O44" s="8"/>
      <c r="P44" s="7">
        <f>SUM(H44,J44,L44,N44)</f>
        <v>0</v>
      </c>
      <c r="Q44" s="9"/>
      <c r="R44" s="7">
        <f>VLOOKUP($C44,'ASDR FY2'!$A:$X,R$16,FALSE)/1000</f>
        <v>0</v>
      </c>
    </row>
    <row r="45" spans="1:18" x14ac:dyDescent="0.25">
      <c r="A45" s="116">
        <f t="shared" si="0"/>
        <v>31</v>
      </c>
      <c r="B45" s="122"/>
      <c r="C45" s="116">
        <v>31443</v>
      </c>
      <c r="D45" s="111" t="s">
        <v>47</v>
      </c>
      <c r="F45" s="126">
        <f>VLOOKUP($C45,'ASDR FY2'!$A:$X,F$16,FALSE)*100</f>
        <v>0</v>
      </c>
      <c r="G45" s="113"/>
      <c r="H45" s="7">
        <f>VLOOKUP($C45,'ASDR FY2'!$A:$X,H$16,FALSE)/1000</f>
        <v>0</v>
      </c>
      <c r="I45" s="8"/>
      <c r="J45" s="7">
        <f>VLOOKUP($C45,'ASDR FY2'!$A:$X,J$16,FALSE)/1000</f>
        <v>0</v>
      </c>
      <c r="K45" s="9"/>
      <c r="L45" s="7">
        <f>VLOOKUP($C45,'ASDR FY2'!$A:$X,L$16,FALSE)/1000</f>
        <v>0</v>
      </c>
      <c r="M45" s="9"/>
      <c r="N45" s="7">
        <f>VLOOKUP($C45,'ASDR FY2'!$A:$X,N$15,FALSE)/1000+VLOOKUP($C45,'ASDR FY2'!$A:$X,N$16,FALSE)/1000</f>
        <v>0</v>
      </c>
      <c r="O45" s="8"/>
      <c r="P45" s="7">
        <f>SUM(H45,J45,L45,N45)</f>
        <v>0</v>
      </c>
      <c r="Q45" s="9"/>
      <c r="R45" s="7">
        <f>VLOOKUP($C45,'ASDR FY2'!$A:$X,R$16,FALSE)/1000</f>
        <v>0</v>
      </c>
    </row>
    <row r="46" spans="1:18" x14ac:dyDescent="0.25">
      <c r="A46" s="116">
        <f t="shared" si="0"/>
        <v>32</v>
      </c>
      <c r="B46" s="122"/>
      <c r="C46" s="116">
        <v>31543</v>
      </c>
      <c r="D46" s="111" t="s">
        <v>48</v>
      </c>
      <c r="F46" s="126">
        <f>VLOOKUP($C46,'ASDR FY2'!$A:$X,F$16,FALSE)*100</f>
        <v>0</v>
      </c>
      <c r="G46" s="113"/>
      <c r="H46" s="7">
        <f>VLOOKUP($C46,'ASDR FY2'!$A:$X,H$16,FALSE)/1000</f>
        <v>0</v>
      </c>
      <c r="I46" s="8"/>
      <c r="J46" s="7">
        <f>VLOOKUP($C46,'ASDR FY2'!$A:$X,J$16,FALSE)/1000</f>
        <v>0</v>
      </c>
      <c r="K46" s="9"/>
      <c r="L46" s="7">
        <f>VLOOKUP($C46,'ASDR FY2'!$A:$X,L$16,FALSE)/1000</f>
        <v>0</v>
      </c>
      <c r="M46" s="9"/>
      <c r="N46" s="7">
        <f>VLOOKUP($C46,'ASDR FY2'!$A:$X,N$15,FALSE)/1000+VLOOKUP($C46,'ASDR FY2'!$A:$X,N$16,FALSE)/1000</f>
        <v>0</v>
      </c>
      <c r="O46" s="8"/>
      <c r="P46" s="7">
        <f>SUM(H46,J46,L46,N46)</f>
        <v>0</v>
      </c>
      <c r="Q46" s="9"/>
      <c r="R46" s="7">
        <f>VLOOKUP($C46,'ASDR FY2'!$A:$X,R$16,FALSE)/1000</f>
        <v>0</v>
      </c>
    </row>
    <row r="47" spans="1:18" x14ac:dyDescent="0.25">
      <c r="A47" s="116">
        <f t="shared" si="0"/>
        <v>33</v>
      </c>
      <c r="B47" s="122"/>
      <c r="C47" s="116">
        <v>31643</v>
      </c>
      <c r="D47" s="111" t="s">
        <v>49</v>
      </c>
      <c r="F47" s="126">
        <f>VLOOKUP($C47,'ASDR FY2'!$A:$X,F$16,FALSE)*100</f>
        <v>0</v>
      </c>
      <c r="G47" s="113"/>
      <c r="H47" s="7">
        <f>VLOOKUP($C47,'ASDR FY2'!$A:$X,H$16,FALSE)/1000</f>
        <v>0</v>
      </c>
      <c r="I47" s="8"/>
      <c r="J47" s="7">
        <f>VLOOKUP($C47,'ASDR FY2'!$A:$X,J$16,FALSE)/1000</f>
        <v>0</v>
      </c>
      <c r="K47" s="9"/>
      <c r="L47" s="7">
        <f>VLOOKUP($C47,'ASDR FY2'!$A:$X,L$16,FALSE)/1000</f>
        <v>0</v>
      </c>
      <c r="M47" s="9"/>
      <c r="N47" s="7">
        <f>VLOOKUP($C47,'ASDR FY2'!$A:$X,N$15,FALSE)/1000+VLOOKUP($C47,'ASDR FY2'!$A:$X,N$16,FALSE)/1000</f>
        <v>0</v>
      </c>
      <c r="O47" s="8"/>
      <c r="P47" s="7">
        <f>SUM(H47,J47,L47,N47)</f>
        <v>0</v>
      </c>
      <c r="Q47" s="9"/>
      <c r="R47" s="7">
        <f>VLOOKUP($C47,'ASDR FY2'!$A:$X,R$16,FALSE)/1000</f>
        <v>0</v>
      </c>
    </row>
    <row r="48" spans="1:18" x14ac:dyDescent="0.25">
      <c r="A48" s="116">
        <f t="shared" si="0"/>
        <v>34</v>
      </c>
      <c r="B48" s="122"/>
      <c r="C48" s="116"/>
      <c r="D48" s="129" t="s">
        <v>56</v>
      </c>
      <c r="E48" s="129"/>
      <c r="F48" s="126"/>
      <c r="H48" s="11">
        <f>SUM(H43:H47)</f>
        <v>0</v>
      </c>
      <c r="I48" s="14"/>
      <c r="J48" s="11">
        <f>SUM(J43:J47)</f>
        <v>0</v>
      </c>
      <c r="K48" s="14"/>
      <c r="L48" s="11">
        <f>SUM(L43:L47)</f>
        <v>0</v>
      </c>
      <c r="M48" s="14"/>
      <c r="N48" s="11">
        <f>SUM(N43:N47)</f>
        <v>0</v>
      </c>
      <c r="O48" s="14"/>
      <c r="P48" s="11">
        <f>SUM(P43:P47)</f>
        <v>0</v>
      </c>
      <c r="Q48" s="14"/>
      <c r="R48" s="11">
        <f>SUM(R43:R47)</f>
        <v>0</v>
      </c>
    </row>
    <row r="49" spans="1:18" x14ac:dyDescent="0.25">
      <c r="A49" s="116">
        <f t="shared" si="0"/>
        <v>35</v>
      </c>
      <c r="B49" s="122"/>
      <c r="F49" s="127"/>
      <c r="O49" s="113"/>
    </row>
    <row r="50" spans="1:18" x14ac:dyDescent="0.25">
      <c r="A50" s="116">
        <f t="shared" si="0"/>
        <v>36</v>
      </c>
      <c r="B50" s="122"/>
      <c r="C50" s="126"/>
      <c r="D50" s="129" t="s">
        <v>57</v>
      </c>
      <c r="E50" s="129"/>
      <c r="F50" s="126"/>
      <c r="G50" s="129"/>
      <c r="H50" s="14"/>
      <c r="I50" s="14"/>
      <c r="J50" s="14"/>
      <c r="K50" s="14"/>
      <c r="L50" s="14"/>
      <c r="M50" s="14"/>
      <c r="N50" s="14"/>
      <c r="O50" s="13"/>
      <c r="P50" s="14"/>
      <c r="Q50" s="13"/>
      <c r="R50" s="14"/>
    </row>
    <row r="51" spans="1:18" x14ac:dyDescent="0.25">
      <c r="A51" s="116">
        <f t="shared" si="0"/>
        <v>37</v>
      </c>
      <c r="B51" s="130"/>
      <c r="C51" s="116">
        <v>31144</v>
      </c>
      <c r="D51" s="111" t="s">
        <v>45</v>
      </c>
      <c r="F51" s="126">
        <f>VLOOKUP($C51,'ASDR FY2'!$A:$X,F$16,FALSE)*100</f>
        <v>3.49</v>
      </c>
      <c r="G51" s="113"/>
      <c r="H51" s="7">
        <f>VLOOKUP($C51,'ASDR FY2'!$A:$X,H$16,FALSE)/1000</f>
        <v>55902.236310000008</v>
      </c>
      <c r="I51" s="8"/>
      <c r="J51" s="7">
        <f>VLOOKUP($C51,'ASDR FY2'!$A:$X,J$16,FALSE)/1000</f>
        <v>0</v>
      </c>
      <c r="K51" s="9"/>
      <c r="L51" s="7">
        <f>VLOOKUP($C51,'ASDR FY2'!$A:$X,L$16,FALSE)/1000</f>
        <v>0</v>
      </c>
      <c r="M51" s="9"/>
      <c r="N51" s="7">
        <f>VLOOKUP($C51,'ASDR FY2'!$A:$X,N$15,FALSE)/1000+VLOOKUP($C51,'ASDR FY2'!$A:$X,N$16,FALSE)/1000</f>
        <v>0</v>
      </c>
      <c r="O51" s="8"/>
      <c r="P51" s="7">
        <f>SUM(H51,J51,L51,N51)</f>
        <v>55902.236310000008</v>
      </c>
      <c r="Q51" s="9"/>
      <c r="R51" s="7">
        <f>VLOOKUP($C51,'ASDR FY2'!$A:$X,R$16,FALSE)/1000</f>
        <v>55902.23631</v>
      </c>
    </row>
    <row r="52" spans="1:18" x14ac:dyDescent="0.25">
      <c r="A52" s="116">
        <f t="shared" si="0"/>
        <v>38</v>
      </c>
      <c r="B52" s="130"/>
      <c r="C52" s="116">
        <v>31244</v>
      </c>
      <c r="D52" s="111" t="s">
        <v>46</v>
      </c>
      <c r="F52" s="126">
        <f>VLOOKUP($C52,'ASDR FY2'!$A:$X,F$16,FALSE)*100</f>
        <v>5.38</v>
      </c>
      <c r="G52" s="113"/>
      <c r="H52" s="7">
        <f>VLOOKUP($C52,'ASDR FY2'!$A:$X,H$16,FALSE)/1000</f>
        <v>315953.30990499986</v>
      </c>
      <c r="I52" s="8"/>
      <c r="J52" s="7">
        <f>VLOOKUP($C52,'ASDR FY2'!$A:$X,J$16,FALSE)/1000</f>
        <v>3285.0593399999998</v>
      </c>
      <c r="K52" s="9"/>
      <c r="L52" s="7">
        <f>VLOOKUP($C52,'ASDR FY2'!$A:$X,L$16,FALSE)/1000</f>
        <v>-657.01185999999996</v>
      </c>
      <c r="M52" s="9"/>
      <c r="N52" s="7">
        <f>VLOOKUP($C52,'ASDR FY2'!$A:$X,N$15,FALSE)/1000+VLOOKUP($C52,'ASDR FY2'!$A:$X,N$16,FALSE)/1000</f>
        <v>0</v>
      </c>
      <c r="O52" s="8"/>
      <c r="P52" s="7">
        <f>SUM(H52,J52,L52,N52)</f>
        <v>318581.35738499981</v>
      </c>
      <c r="Q52" s="9"/>
      <c r="R52" s="7">
        <f>VLOOKUP($C52,'ASDR FY2'!$A:$X,R$16,FALSE)/1000</f>
        <v>316923.75189000001</v>
      </c>
    </row>
    <row r="53" spans="1:18" x14ac:dyDescent="0.25">
      <c r="A53" s="116">
        <f t="shared" si="0"/>
        <v>39</v>
      </c>
      <c r="B53" s="130"/>
      <c r="C53" s="116">
        <v>31444</v>
      </c>
      <c r="D53" s="111" t="s">
        <v>47</v>
      </c>
      <c r="F53" s="126">
        <f>VLOOKUP($C53,'ASDR FY2'!$A:$X,F$16,FALSE)*100</f>
        <v>4.66</v>
      </c>
      <c r="G53" s="113"/>
      <c r="H53" s="7">
        <f>VLOOKUP($C53,'ASDR FY2'!$A:$X,H$16,FALSE)/1000</f>
        <v>120281.00042500003</v>
      </c>
      <c r="I53" s="8"/>
      <c r="J53" s="7">
        <f>VLOOKUP($C53,'ASDR FY2'!$A:$X,J$16,FALSE)/1000</f>
        <v>3285.0593399999998</v>
      </c>
      <c r="K53" s="9"/>
      <c r="L53" s="7">
        <f>VLOOKUP($C53,'ASDR FY2'!$A:$X,L$16,FALSE)/1000</f>
        <v>-657.01185999999996</v>
      </c>
      <c r="M53" s="9"/>
      <c r="N53" s="7">
        <f>VLOOKUP($C53,'ASDR FY2'!$A:$X,N$15,FALSE)/1000+VLOOKUP($C53,'ASDR FY2'!$A:$X,N$16,FALSE)/1000</f>
        <v>0</v>
      </c>
      <c r="O53" s="8"/>
      <c r="P53" s="7">
        <f>SUM(H53,J53,L53,N53)</f>
        <v>122909.04790500004</v>
      </c>
      <c r="Q53" s="9"/>
      <c r="R53" s="7">
        <f>VLOOKUP($C53,'ASDR FY2'!$A:$X,R$16,FALSE)/1000</f>
        <v>121251.44241</v>
      </c>
    </row>
    <row r="54" spans="1:18" x14ac:dyDescent="0.25">
      <c r="A54" s="116">
        <f t="shared" si="0"/>
        <v>40</v>
      </c>
      <c r="B54" s="130"/>
      <c r="C54" s="116">
        <v>31544</v>
      </c>
      <c r="D54" s="111" t="s">
        <v>48</v>
      </c>
      <c r="F54" s="126">
        <f>VLOOKUP($C54,'ASDR FY2'!$A:$X,F$16,FALSE)*100</f>
        <v>2.8</v>
      </c>
      <c r="G54" s="113"/>
      <c r="H54" s="7">
        <f>VLOOKUP($C54,'ASDR FY2'!$A:$X,H$16,FALSE)/1000</f>
        <v>52859.494079999997</v>
      </c>
      <c r="I54" s="8"/>
      <c r="J54" s="7">
        <f>VLOOKUP($C54,'ASDR FY2'!$A:$X,J$16,FALSE)/1000</f>
        <v>0</v>
      </c>
      <c r="K54" s="9"/>
      <c r="L54" s="7">
        <f>VLOOKUP($C54,'ASDR FY2'!$A:$X,L$16,FALSE)/1000</f>
        <v>0</v>
      </c>
      <c r="M54" s="9"/>
      <c r="N54" s="7">
        <f>VLOOKUP($C54,'ASDR FY2'!$A:$X,N$15,FALSE)/1000+VLOOKUP($C54,'ASDR FY2'!$A:$X,N$16,FALSE)/1000</f>
        <v>0</v>
      </c>
      <c r="O54" s="8"/>
      <c r="P54" s="7">
        <f>SUM(H54,J54,L54,N54)</f>
        <v>52859.494079999997</v>
      </c>
      <c r="Q54" s="9"/>
      <c r="R54" s="7">
        <f>VLOOKUP($C54,'ASDR FY2'!$A:$X,R$16,FALSE)/1000</f>
        <v>52859.494079999997</v>
      </c>
    </row>
    <row r="55" spans="1:18" x14ac:dyDescent="0.25">
      <c r="A55" s="116">
        <f t="shared" si="0"/>
        <v>41</v>
      </c>
      <c r="B55" s="130"/>
      <c r="C55" s="116">
        <v>31644</v>
      </c>
      <c r="D55" s="111" t="s">
        <v>49</v>
      </c>
      <c r="F55" s="126">
        <f>VLOOKUP($C55,'ASDR FY2'!$A:$X,F$16,FALSE)*100</f>
        <v>1.92</v>
      </c>
      <c r="G55" s="113"/>
      <c r="H55" s="7">
        <f>VLOOKUP($C55,'ASDR FY2'!$A:$X,H$16,FALSE)/1000</f>
        <v>5865.8117899999997</v>
      </c>
      <c r="I55" s="8"/>
      <c r="J55" s="7">
        <f>VLOOKUP($C55,'ASDR FY2'!$A:$X,J$16,FALSE)/1000</f>
        <v>0</v>
      </c>
      <c r="K55" s="9"/>
      <c r="L55" s="7">
        <f>VLOOKUP($C55,'ASDR FY2'!$A:$X,L$16,FALSE)/1000</f>
        <v>0</v>
      </c>
      <c r="M55" s="9"/>
      <c r="N55" s="7">
        <f>VLOOKUP($C55,'ASDR FY2'!$A:$X,N$15,FALSE)/1000+VLOOKUP($C55,'ASDR FY2'!$A:$X,N$16,FALSE)/1000</f>
        <v>0</v>
      </c>
      <c r="O55" s="8"/>
      <c r="P55" s="7">
        <f>SUM(H55,J55,L55,N55)</f>
        <v>5865.8117899999997</v>
      </c>
      <c r="Q55" s="9"/>
      <c r="R55" s="7">
        <f>VLOOKUP($C55,'ASDR FY2'!$A:$X,R$16,FALSE)/1000</f>
        <v>5865.8117899999997</v>
      </c>
    </row>
    <row r="56" spans="1:18" x14ac:dyDescent="0.25">
      <c r="A56" s="116">
        <f t="shared" si="0"/>
        <v>42</v>
      </c>
      <c r="B56" s="130"/>
      <c r="D56" s="129" t="s">
        <v>58</v>
      </c>
      <c r="E56" s="129"/>
      <c r="F56" s="131"/>
      <c r="H56" s="11">
        <f>SUM(H51:H55)</f>
        <v>550861.85250999988</v>
      </c>
      <c r="I56" s="14"/>
      <c r="J56" s="11">
        <f>SUM(J51:J55)</f>
        <v>6570.1186799999996</v>
      </c>
      <c r="K56" s="14"/>
      <c r="L56" s="11">
        <f>SUM(L51:L55)</f>
        <v>-1314.0237199999999</v>
      </c>
      <c r="M56" s="14"/>
      <c r="N56" s="11">
        <f>SUM(N51:N55)</f>
        <v>0</v>
      </c>
      <c r="O56" s="14"/>
      <c r="P56" s="11">
        <f>SUM(P51:P55)</f>
        <v>556117.94746999978</v>
      </c>
      <c r="Q56" s="14"/>
      <c r="R56" s="11">
        <f>SUM(R51:R55)</f>
        <v>552802.73647999996</v>
      </c>
    </row>
    <row r="57" spans="1:18" x14ac:dyDescent="0.25">
      <c r="A57" s="116">
        <f t="shared" si="0"/>
        <v>43</v>
      </c>
      <c r="B57" s="130"/>
      <c r="O57" s="113"/>
    </row>
    <row r="58" spans="1:18" ht="13.8" thickBot="1" x14ac:dyDescent="0.3">
      <c r="A58" s="117">
        <f t="shared" si="0"/>
        <v>44</v>
      </c>
      <c r="B58" s="19" t="s">
        <v>59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32"/>
      <c r="P58" s="110"/>
      <c r="Q58" s="110"/>
      <c r="R58" s="110"/>
    </row>
    <row r="59" spans="1:18" x14ac:dyDescent="0.25">
      <c r="A59" s="112" t="s">
        <v>60</v>
      </c>
      <c r="O59" s="113"/>
      <c r="P59" s="111" t="s">
        <v>61</v>
      </c>
    </row>
    <row r="60" spans="1:18" ht="13.8" thickBot="1" x14ac:dyDescent="0.3">
      <c r="A60" s="110" t="str">
        <f>$A$1</f>
        <v>SCHEDULE B-07</v>
      </c>
      <c r="B60" s="110"/>
      <c r="C60" s="110"/>
      <c r="D60" s="110"/>
      <c r="E60" s="110"/>
      <c r="F60" s="110"/>
      <c r="G60" s="110" t="str">
        <f>$G$1</f>
        <v>PLANT BALANCES BY ACCOUNT AND SUB-ACCOUNT</v>
      </c>
      <c r="H60" s="110"/>
      <c r="I60" s="110"/>
      <c r="J60" s="110"/>
      <c r="K60" s="110"/>
      <c r="L60" s="110"/>
      <c r="M60" s="110"/>
      <c r="N60" s="110"/>
      <c r="O60" s="132"/>
      <c r="P60" s="110"/>
      <c r="Q60" s="110"/>
      <c r="R60" s="110" t="str">
        <f>"Page 2 of " &amp; $P$1</f>
        <v>Page 2 of 30</v>
      </c>
    </row>
    <row r="61" spans="1:18" x14ac:dyDescent="0.25">
      <c r="A61" s="111" t="str">
        <f>$A$2</f>
        <v>FLORIDA PUBLIC SERVICE COMMISSION</v>
      </c>
      <c r="B61" s="133"/>
      <c r="E61" s="113" t="str">
        <f>$E$2</f>
        <v xml:space="preserve">                  EXPLANATION:</v>
      </c>
      <c r="F61" s="111" t="str">
        <f>IF($F$2="","",$F$2)</f>
        <v>Provide the depreciation rate and plant balances for each account or sub-account to which</v>
      </c>
      <c r="J61" s="134"/>
      <c r="K61" s="134"/>
      <c r="M61" s="134"/>
      <c r="N61" s="134"/>
      <c r="O61" s="135"/>
      <c r="P61" s="111" t="str">
        <f>$P$2</f>
        <v>Type of data shown:</v>
      </c>
      <c r="R61" s="112"/>
    </row>
    <row r="62" spans="1:18" x14ac:dyDescent="0.25">
      <c r="B62" s="133"/>
      <c r="F62" s="111" t="str">
        <f>IF($F$3="","",$F$3)</f>
        <v>a separate depreciation rate is prescribed. (Include Amortization/Recovery schedule amounts).</v>
      </c>
      <c r="J62" s="113"/>
      <c r="K62" s="112"/>
      <c r="N62" s="113"/>
      <c r="O62" s="113" t="str">
        <f>IF($O$3=0,"",$O$3)</f>
        <v>XX</v>
      </c>
      <c r="P62" s="112" t="str">
        <f>$P$3</f>
        <v>Projected Test Year Ended 12/31/2025</v>
      </c>
      <c r="R62" s="113"/>
    </row>
    <row r="63" spans="1:18" x14ac:dyDescent="0.25">
      <c r="A63" s="111" t="str">
        <f>$A$4</f>
        <v>COMPANY: TAMPA ELECTRIC COMPANY</v>
      </c>
      <c r="B63" s="133"/>
      <c r="F63" s="111" t="str">
        <f>IF(+$F$4="","",$F$4)</f>
        <v/>
      </c>
      <c r="J63" s="113"/>
      <c r="K63" s="112"/>
      <c r="L63" s="113"/>
      <c r="O63" s="113" t="str">
        <f>IF($O$4=0,"",$O$4)</f>
        <v/>
      </c>
      <c r="P63" s="112" t="str">
        <f>$P$4</f>
        <v>Projected Prior Year Ended 12/31/2024</v>
      </c>
      <c r="R63" s="113"/>
    </row>
    <row r="64" spans="1:18" x14ac:dyDescent="0.25">
      <c r="B64" s="133"/>
      <c r="F64" s="111" t="str">
        <f>IF(+$F$5="","",$F$5)</f>
        <v/>
      </c>
      <c r="J64" s="113"/>
      <c r="K64" s="112"/>
      <c r="L64" s="113"/>
      <c r="O64" s="113" t="str">
        <f>IF($O$5=0,"",$O$5)</f>
        <v/>
      </c>
      <c r="P64" s="112" t="str">
        <f>$P$5</f>
        <v>Historical Prior Year Ended 12/31/2023</v>
      </c>
      <c r="R64" s="113"/>
    </row>
    <row r="65" spans="1:18" x14ac:dyDescent="0.25">
      <c r="J65" s="113"/>
      <c r="K65" s="112"/>
      <c r="L65" s="113"/>
      <c r="O65" s="113"/>
      <c r="P65" s="161" t="s">
        <v>572</v>
      </c>
      <c r="R65" s="113"/>
    </row>
    <row r="66" spans="1:18" x14ac:dyDescent="0.25">
      <c r="J66" s="113"/>
      <c r="K66" s="112"/>
      <c r="L66" s="113"/>
      <c r="O66" s="113"/>
      <c r="P66" s="161" t="s">
        <v>573</v>
      </c>
      <c r="R66" s="113"/>
    </row>
    <row r="67" spans="1:18" x14ac:dyDescent="0.25">
      <c r="J67" s="113"/>
      <c r="K67" s="112"/>
      <c r="L67" s="113"/>
      <c r="O67" s="113"/>
      <c r="P67" s="161" t="s">
        <v>574</v>
      </c>
      <c r="R67" s="113"/>
    </row>
    <row r="68" spans="1:18" ht="13.8" thickBot="1" x14ac:dyDescent="0.3">
      <c r="A68" s="158" t="s">
        <v>576</v>
      </c>
      <c r="B68" s="110"/>
      <c r="C68" s="110"/>
      <c r="D68" s="110"/>
      <c r="E68" s="110"/>
      <c r="F68" s="110"/>
      <c r="G68" s="110"/>
      <c r="H68" s="117" t="s">
        <v>12</v>
      </c>
      <c r="I68" s="110"/>
      <c r="J68" s="110"/>
      <c r="K68" s="110"/>
      <c r="L68" s="110"/>
      <c r="M68" s="110"/>
      <c r="N68" s="110"/>
      <c r="O68" s="132"/>
      <c r="P68" s="162" t="s">
        <v>575</v>
      </c>
      <c r="Q68" s="110"/>
      <c r="R68" s="110"/>
    </row>
    <row r="69" spans="1:18" x14ac:dyDescent="0.25"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5"/>
      <c r="P69" s="114"/>
      <c r="Q69" s="114"/>
      <c r="R69" s="114"/>
    </row>
    <row r="70" spans="1:18" x14ac:dyDescent="0.25">
      <c r="C70" s="114" t="s">
        <v>13</v>
      </c>
      <c r="D70" s="114" t="s">
        <v>14</v>
      </c>
      <c r="E70" s="114"/>
      <c r="F70" s="114" t="s">
        <v>15</v>
      </c>
      <c r="G70" s="114"/>
      <c r="H70" s="114" t="s">
        <v>16</v>
      </c>
      <c r="I70" s="114"/>
      <c r="J70" s="116" t="s">
        <v>17</v>
      </c>
      <c r="K70" s="116"/>
      <c r="L70" s="114" t="s">
        <v>18</v>
      </c>
      <c r="M70" s="114"/>
      <c r="N70" s="114" t="s">
        <v>19</v>
      </c>
      <c r="O70" s="115"/>
      <c r="P70" s="114" t="s">
        <v>20</v>
      </c>
      <c r="Q70" s="114"/>
      <c r="R70" s="114" t="s">
        <v>21</v>
      </c>
    </row>
    <row r="71" spans="1:18" x14ac:dyDescent="0.25">
      <c r="C71" s="116" t="s">
        <v>22</v>
      </c>
      <c r="D71" s="116" t="s">
        <v>22</v>
      </c>
      <c r="F71" s="116" t="s">
        <v>23</v>
      </c>
      <c r="G71" s="116"/>
      <c r="H71" s="114" t="s">
        <v>24</v>
      </c>
      <c r="I71" s="116"/>
      <c r="J71" s="114" t="s">
        <v>25</v>
      </c>
      <c r="K71" s="116"/>
      <c r="L71" s="116" t="s">
        <v>25</v>
      </c>
      <c r="M71" s="116"/>
      <c r="O71" s="113"/>
      <c r="P71" s="116" t="s">
        <v>24</v>
      </c>
      <c r="R71" s="116"/>
    </row>
    <row r="72" spans="1:18" x14ac:dyDescent="0.25">
      <c r="A72" s="116" t="s">
        <v>26</v>
      </c>
      <c r="B72" s="116"/>
      <c r="C72" s="116" t="s">
        <v>27</v>
      </c>
      <c r="D72" s="116" t="s">
        <v>27</v>
      </c>
      <c r="E72" s="114"/>
      <c r="F72" s="116" t="s">
        <v>28</v>
      </c>
      <c r="G72" s="116"/>
      <c r="H72" s="116" t="s">
        <v>29</v>
      </c>
      <c r="I72" s="116"/>
      <c r="J72" s="116" t="s">
        <v>24</v>
      </c>
      <c r="K72" s="114"/>
      <c r="L72" s="116" t="s">
        <v>24</v>
      </c>
      <c r="M72" s="112"/>
      <c r="N72" s="116" t="s">
        <v>30</v>
      </c>
      <c r="O72" s="115"/>
      <c r="P72" s="114" t="s">
        <v>29</v>
      </c>
      <c r="Q72" s="114"/>
      <c r="R72" s="116" t="s">
        <v>31</v>
      </c>
    </row>
    <row r="73" spans="1:18" ht="13.8" thickBot="1" x14ac:dyDescent="0.3">
      <c r="A73" s="117" t="s">
        <v>32</v>
      </c>
      <c r="B73" s="117"/>
      <c r="C73" s="117" t="s">
        <v>33</v>
      </c>
      <c r="D73" s="117" t="s">
        <v>34</v>
      </c>
      <c r="E73" s="117"/>
      <c r="F73" s="118" t="s">
        <v>35</v>
      </c>
      <c r="G73" s="118"/>
      <c r="H73" s="118" t="s">
        <v>36</v>
      </c>
      <c r="I73" s="119"/>
      <c r="J73" s="118" t="s">
        <v>37</v>
      </c>
      <c r="K73" s="119"/>
      <c r="L73" s="119" t="s">
        <v>38</v>
      </c>
      <c r="M73" s="120"/>
      <c r="N73" s="120" t="s">
        <v>39</v>
      </c>
      <c r="O73" s="121"/>
      <c r="P73" s="120" t="s">
        <v>40</v>
      </c>
      <c r="Q73" s="120"/>
      <c r="R73" s="120" t="s">
        <v>41</v>
      </c>
    </row>
    <row r="74" spans="1:18" x14ac:dyDescent="0.25">
      <c r="A74" s="116">
        <v>1</v>
      </c>
      <c r="B74" s="116"/>
      <c r="O74" s="113"/>
    </row>
    <row r="75" spans="1:18" x14ac:dyDescent="0.25">
      <c r="A75" s="116">
        <f>A74+1</f>
        <v>2</v>
      </c>
      <c r="B75" s="122"/>
      <c r="D75" s="136" t="s">
        <v>62</v>
      </c>
      <c r="E75" s="129"/>
      <c r="F75" s="129"/>
      <c r="G75" s="129"/>
      <c r="O75" s="113"/>
    </row>
    <row r="76" spans="1:18" x14ac:dyDescent="0.25">
      <c r="A76" s="116">
        <f t="shared" ref="A76:A117" si="1">A75+1</f>
        <v>3</v>
      </c>
      <c r="B76" s="122"/>
      <c r="C76" s="116">
        <v>31145</v>
      </c>
      <c r="D76" s="111" t="s">
        <v>45</v>
      </c>
      <c r="F76" s="126">
        <f>VLOOKUP($C76,'ASDR FY2'!$A:$X,F$16,FALSE)*100</f>
        <v>3.49</v>
      </c>
      <c r="G76" s="113"/>
      <c r="H76" s="7">
        <f>VLOOKUP($C76,'ASDR FY2'!$A:$X,H$16,FALSE)/1000</f>
        <v>31998.663150000008</v>
      </c>
      <c r="I76" s="8"/>
      <c r="J76" s="7">
        <f>VLOOKUP($C76,'ASDR FY2'!$A:$X,J$16,FALSE)/1000</f>
        <v>0</v>
      </c>
      <c r="K76" s="9"/>
      <c r="L76" s="7">
        <f>VLOOKUP($C76,'ASDR FY2'!$A:$X,L$16,FALSE)/1000</f>
        <v>0</v>
      </c>
      <c r="M76" s="9"/>
      <c r="N76" s="7">
        <f>VLOOKUP($C76,'ASDR FY2'!$A:$X,N$15,FALSE)/1000+VLOOKUP($C76,'ASDR FY2'!$A:$X,N$16,FALSE)/1000</f>
        <v>0</v>
      </c>
      <c r="O76" s="8"/>
      <c r="P76" s="7">
        <f>SUM(H76,J76,L76,N76)</f>
        <v>31998.663150000008</v>
      </c>
      <c r="Q76" s="9"/>
      <c r="R76" s="7">
        <f>VLOOKUP($C76,'ASDR FY2'!$A:$X,R$16,FALSE)/1000</f>
        <v>31998.66315</v>
      </c>
    </row>
    <row r="77" spans="1:18" x14ac:dyDescent="0.25">
      <c r="A77" s="116">
        <f t="shared" si="1"/>
        <v>4</v>
      </c>
      <c r="B77" s="122"/>
      <c r="C77" s="116">
        <v>31245</v>
      </c>
      <c r="D77" s="111" t="s">
        <v>46</v>
      </c>
      <c r="F77" s="126">
        <f>VLOOKUP($C77,'ASDR FY2'!$A:$X,F$16,FALSE)*100</f>
        <v>5.38</v>
      </c>
      <c r="G77" s="113"/>
      <c r="H77" s="7">
        <f>VLOOKUP($C77,'ASDR FY2'!$A:$X,H$16,FALSE)/1000</f>
        <v>197144.71303999992</v>
      </c>
      <c r="I77" s="8"/>
      <c r="J77" s="7">
        <f>VLOOKUP($C77,'ASDR FY2'!$A:$X,J$16,FALSE)/1000</f>
        <v>575.00288</v>
      </c>
      <c r="K77" s="9"/>
      <c r="L77" s="7">
        <f>VLOOKUP($C77,'ASDR FY2'!$A:$X,L$16,FALSE)/1000</f>
        <v>-115.00058</v>
      </c>
      <c r="M77" s="9"/>
      <c r="N77" s="7">
        <f>VLOOKUP($C77,'ASDR FY2'!$A:$X,N$15,FALSE)/1000+VLOOKUP($C77,'ASDR FY2'!$A:$X,N$16,FALSE)/1000</f>
        <v>0</v>
      </c>
      <c r="O77" s="8"/>
      <c r="P77" s="7">
        <f>SUM(H77,J77,L77,N77)</f>
        <v>197604.71533999994</v>
      </c>
      <c r="Q77" s="9"/>
      <c r="R77" s="7">
        <f>VLOOKUP($C77,'ASDR FY2'!$A:$X,R$16,FALSE)/1000</f>
        <v>197292.96518</v>
      </c>
    </row>
    <row r="78" spans="1:18" x14ac:dyDescent="0.25">
      <c r="A78" s="116">
        <f t="shared" si="1"/>
        <v>5</v>
      </c>
      <c r="B78" s="122"/>
      <c r="C78" s="116">
        <v>31545</v>
      </c>
      <c r="D78" s="111" t="s">
        <v>48</v>
      </c>
      <c r="F78" s="126">
        <f>VLOOKUP($C78,'ASDR FY2'!$A:$X,F$16,FALSE)*100</f>
        <v>2.8</v>
      </c>
      <c r="G78" s="113"/>
      <c r="H78" s="7">
        <f>VLOOKUP($C78,'ASDR FY2'!$A:$X,H$16,FALSE)/1000</f>
        <v>26849.743930000001</v>
      </c>
      <c r="I78" s="8"/>
      <c r="J78" s="7">
        <f>VLOOKUP($C78,'ASDR FY2'!$A:$X,J$16,FALSE)/1000</f>
        <v>575.00288</v>
      </c>
      <c r="K78" s="9"/>
      <c r="L78" s="7">
        <f>VLOOKUP($C78,'ASDR FY2'!$A:$X,L$16,FALSE)/1000</f>
        <v>-115.00058</v>
      </c>
      <c r="M78" s="9"/>
      <c r="N78" s="7">
        <f>VLOOKUP($C78,'ASDR FY2'!$A:$X,N$15,FALSE)/1000+VLOOKUP($C78,'ASDR FY2'!$A:$X,N$16,FALSE)/1000</f>
        <v>0</v>
      </c>
      <c r="O78" s="8"/>
      <c r="P78" s="7">
        <f>SUM(H78,J78,L78,N78)</f>
        <v>27309.746230000001</v>
      </c>
      <c r="Q78" s="9"/>
      <c r="R78" s="7">
        <f>VLOOKUP($C78,'ASDR FY2'!$A:$X,R$16,FALSE)/1000</f>
        <v>26997.996070000001</v>
      </c>
    </row>
    <row r="79" spans="1:18" x14ac:dyDescent="0.25">
      <c r="A79" s="116">
        <f t="shared" si="1"/>
        <v>6</v>
      </c>
      <c r="B79" s="122"/>
      <c r="C79" s="116">
        <v>31645</v>
      </c>
      <c r="D79" s="111" t="s">
        <v>49</v>
      </c>
      <c r="F79" s="126">
        <f>VLOOKUP($C79,'ASDR FY2'!$A:$X,F$16,FALSE)*100</f>
        <v>1.92</v>
      </c>
      <c r="G79" s="113"/>
      <c r="H79" s="7">
        <f>VLOOKUP($C79,'ASDR FY2'!$A:$X,H$16,FALSE)/1000</f>
        <v>1694.8479500000001</v>
      </c>
      <c r="I79" s="8"/>
      <c r="J79" s="7">
        <f>VLOOKUP($C79,'ASDR FY2'!$A:$X,J$16,FALSE)/1000</f>
        <v>0</v>
      </c>
      <c r="K79" s="9"/>
      <c r="L79" s="7">
        <f>VLOOKUP($C79,'ASDR FY2'!$A:$X,L$16,FALSE)/1000</f>
        <v>0</v>
      </c>
      <c r="M79" s="9"/>
      <c r="N79" s="7">
        <f>VLOOKUP($C79,'ASDR FY2'!$A:$X,N$15,FALSE)/1000+VLOOKUP($C79,'ASDR FY2'!$A:$X,N$16,FALSE)/1000</f>
        <v>0</v>
      </c>
      <c r="O79" s="8"/>
      <c r="P79" s="7">
        <f>SUM(H79,J79,L79,N79)</f>
        <v>1694.8479500000001</v>
      </c>
      <c r="Q79" s="9"/>
      <c r="R79" s="7">
        <f>VLOOKUP($C79,'ASDR FY2'!$A:$X,R$16,FALSE)/1000</f>
        <v>1694.8479499999999</v>
      </c>
    </row>
    <row r="80" spans="1:18" x14ac:dyDescent="0.25">
      <c r="A80" s="116">
        <f t="shared" si="1"/>
        <v>7</v>
      </c>
      <c r="B80" s="116"/>
      <c r="C80" s="116"/>
      <c r="D80" s="136" t="s">
        <v>63</v>
      </c>
      <c r="E80" s="129"/>
      <c r="F80" s="126"/>
      <c r="H80" s="11">
        <f>SUM(H76:H79)</f>
        <v>257687.96806999992</v>
      </c>
      <c r="I80" s="14"/>
      <c r="J80" s="11">
        <f>SUM(J76:J79)</f>
        <v>1150.00576</v>
      </c>
      <c r="K80" s="14"/>
      <c r="L80" s="11">
        <f>SUM(L76:L79)</f>
        <v>-230.00116</v>
      </c>
      <c r="M80" s="14"/>
      <c r="N80" s="11">
        <f>SUM(N76:N79)</f>
        <v>0</v>
      </c>
      <c r="O80" s="14"/>
      <c r="P80" s="11">
        <f>SUM(P76:P79)</f>
        <v>258607.97266999993</v>
      </c>
      <c r="Q80" s="14"/>
      <c r="R80" s="11">
        <f>SUM(R76:R79)</f>
        <v>257984.47235</v>
      </c>
    </row>
    <row r="81" spans="1:18" x14ac:dyDescent="0.25">
      <c r="A81" s="116">
        <f t="shared" si="1"/>
        <v>8</v>
      </c>
      <c r="B81" s="116"/>
      <c r="F81" s="127"/>
      <c r="O81" s="113"/>
    </row>
    <row r="82" spans="1:18" x14ac:dyDescent="0.25">
      <c r="A82" s="116">
        <f t="shared" si="1"/>
        <v>9</v>
      </c>
      <c r="B82" s="122"/>
      <c r="C82" s="116"/>
      <c r="D82" s="129" t="s">
        <v>64</v>
      </c>
      <c r="E82" s="129"/>
      <c r="F82" s="126"/>
      <c r="G82" s="129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x14ac:dyDescent="0.25">
      <c r="A83" s="116">
        <f t="shared" si="1"/>
        <v>10</v>
      </c>
      <c r="B83" s="122"/>
      <c r="C83" s="116">
        <v>31146</v>
      </c>
      <c r="D83" s="111" t="s">
        <v>45</v>
      </c>
      <c r="F83" s="126">
        <f>VLOOKUP($C83,'ASDR FY2'!$A:$X,F$16,FALSE)*100</f>
        <v>0</v>
      </c>
      <c r="G83" s="113"/>
      <c r="H83" s="7">
        <f>VLOOKUP($C83,'ASDR FY2'!$A:$X,H$16,FALSE)/1000</f>
        <v>0</v>
      </c>
      <c r="I83" s="8"/>
      <c r="J83" s="7">
        <f>VLOOKUP($C83,'ASDR FY2'!$A:$X,J$16,FALSE)/1000</f>
        <v>0</v>
      </c>
      <c r="K83" s="9"/>
      <c r="L83" s="7">
        <f>VLOOKUP($C83,'ASDR FY2'!$A:$X,L$16,FALSE)/1000</f>
        <v>0</v>
      </c>
      <c r="M83" s="9"/>
      <c r="N83" s="7">
        <f>VLOOKUP($C83,'ASDR FY2'!$A:$X,N$15,FALSE)/1000+VLOOKUP($C83,'ASDR FY2'!$A:$X,N$16,FALSE)/1000</f>
        <v>0</v>
      </c>
      <c r="O83" s="8"/>
      <c r="P83" s="7">
        <f>SUM(H83,J83,L83,N83)</f>
        <v>0</v>
      </c>
      <c r="Q83" s="9"/>
      <c r="R83" s="7">
        <f>VLOOKUP($C83,'ASDR FY2'!$A:$X,R$16,FALSE)/1000</f>
        <v>0</v>
      </c>
    </row>
    <row r="84" spans="1:18" x14ac:dyDescent="0.25">
      <c r="A84" s="116">
        <f t="shared" si="1"/>
        <v>11</v>
      </c>
      <c r="B84" s="122"/>
      <c r="C84" s="116">
        <v>31246</v>
      </c>
      <c r="D84" s="111" t="s">
        <v>46</v>
      </c>
      <c r="F84" s="126">
        <f>VLOOKUP($C84,'ASDR FY2'!$A:$X,F$16,FALSE)*100</f>
        <v>0</v>
      </c>
      <c r="G84" s="113"/>
      <c r="H84" s="7">
        <f>VLOOKUP($C84,'ASDR FY2'!$A:$X,H$16,FALSE)/1000</f>
        <v>0</v>
      </c>
      <c r="I84" s="8"/>
      <c r="J84" s="7">
        <f>VLOOKUP($C84,'ASDR FY2'!$A:$X,J$16,FALSE)/1000</f>
        <v>0</v>
      </c>
      <c r="K84" s="9"/>
      <c r="L84" s="7">
        <f>VLOOKUP($C84,'ASDR FY2'!$A:$X,L$16,FALSE)/1000</f>
        <v>0</v>
      </c>
      <c r="M84" s="9"/>
      <c r="N84" s="7">
        <f>VLOOKUP($C84,'ASDR FY2'!$A:$X,N$15,FALSE)/1000+VLOOKUP($C84,'ASDR FY2'!$A:$X,N$16,FALSE)/1000</f>
        <v>0</v>
      </c>
      <c r="O84" s="8"/>
      <c r="P84" s="7">
        <f>SUM(H84,J84,L84,N84)</f>
        <v>0</v>
      </c>
      <c r="Q84" s="9"/>
      <c r="R84" s="7">
        <f>VLOOKUP($C84,'ASDR FY2'!$A:$X,R$16,FALSE)/1000</f>
        <v>0</v>
      </c>
    </row>
    <row r="85" spans="1:18" x14ac:dyDescent="0.25">
      <c r="A85" s="116">
        <f t="shared" si="1"/>
        <v>12</v>
      </c>
      <c r="B85" s="122"/>
      <c r="C85" s="116">
        <v>31546</v>
      </c>
      <c r="D85" s="111" t="s">
        <v>48</v>
      </c>
      <c r="F85" s="126">
        <f>VLOOKUP($C85,'ASDR FY2'!$A:$X,F$16,FALSE)*100</f>
        <v>0</v>
      </c>
      <c r="G85" s="113"/>
      <c r="H85" s="7">
        <f>VLOOKUP($C85,'ASDR FY2'!$A:$X,H$16,FALSE)/1000</f>
        <v>0</v>
      </c>
      <c r="I85" s="8"/>
      <c r="J85" s="7">
        <f>VLOOKUP($C85,'ASDR FY2'!$A:$X,J$16,FALSE)/1000</f>
        <v>0</v>
      </c>
      <c r="K85" s="9"/>
      <c r="L85" s="7">
        <f>VLOOKUP($C85,'ASDR FY2'!$A:$X,L$16,FALSE)/1000</f>
        <v>0</v>
      </c>
      <c r="M85" s="9"/>
      <c r="N85" s="7">
        <f>VLOOKUP($C85,'ASDR FY2'!$A:$X,N$15,FALSE)/1000+VLOOKUP($C85,'ASDR FY2'!$A:$X,N$16,FALSE)/1000</f>
        <v>0</v>
      </c>
      <c r="O85" s="8"/>
      <c r="P85" s="7">
        <f>SUM(H85,J85,L85,N85)</f>
        <v>0</v>
      </c>
      <c r="Q85" s="9"/>
      <c r="R85" s="7">
        <f>VLOOKUP($C85,'ASDR FY2'!$A:$X,R$16,FALSE)/1000</f>
        <v>0</v>
      </c>
    </row>
    <row r="86" spans="1:18" x14ac:dyDescent="0.25">
      <c r="A86" s="116">
        <f t="shared" si="1"/>
        <v>13</v>
      </c>
      <c r="B86" s="122"/>
      <c r="C86" s="116">
        <v>31646</v>
      </c>
      <c r="D86" s="111" t="s">
        <v>49</v>
      </c>
      <c r="F86" s="126">
        <f>VLOOKUP($C86,'ASDR FY2'!$A:$X,F$16,FALSE)*100</f>
        <v>0</v>
      </c>
      <c r="G86" s="113"/>
      <c r="H86" s="7">
        <f>VLOOKUP($C86,'ASDR FY2'!$A:$X,H$16,FALSE)/1000</f>
        <v>0</v>
      </c>
      <c r="I86" s="8"/>
      <c r="J86" s="7">
        <f>VLOOKUP($C86,'ASDR FY2'!$A:$X,J$16,FALSE)/1000</f>
        <v>0</v>
      </c>
      <c r="K86" s="9"/>
      <c r="L86" s="7">
        <f>VLOOKUP($C86,'ASDR FY2'!$A:$X,L$16,FALSE)/1000</f>
        <v>0</v>
      </c>
      <c r="M86" s="9"/>
      <c r="N86" s="7">
        <f>VLOOKUP($C86,'ASDR FY2'!$A:$X,N$15,FALSE)/1000+VLOOKUP($C86,'ASDR FY2'!$A:$X,N$16,FALSE)/1000</f>
        <v>0</v>
      </c>
      <c r="O86" s="8"/>
      <c r="P86" s="7">
        <f>SUM(H86,J86,L86,N86)</f>
        <v>0</v>
      </c>
      <c r="Q86" s="9"/>
      <c r="R86" s="7">
        <f>VLOOKUP($C86,'ASDR FY2'!$A:$X,R$16,FALSE)/1000</f>
        <v>0</v>
      </c>
    </row>
    <row r="87" spans="1:18" x14ac:dyDescent="0.25">
      <c r="A87" s="116">
        <f t="shared" si="1"/>
        <v>14</v>
      </c>
      <c r="B87" s="122"/>
      <c r="C87" s="116"/>
      <c r="D87" s="129" t="s">
        <v>65</v>
      </c>
      <c r="E87" s="129"/>
      <c r="F87" s="126"/>
      <c r="H87" s="11">
        <f>SUM(H83:H86)</f>
        <v>0</v>
      </c>
      <c r="I87" s="14"/>
      <c r="J87" s="11">
        <f>SUM(J83:J86)</f>
        <v>0</v>
      </c>
      <c r="K87" s="14"/>
      <c r="L87" s="11">
        <f>SUM(L83:L86)</f>
        <v>0</v>
      </c>
      <c r="M87" s="14"/>
      <c r="N87" s="11">
        <f>SUM(N83:N86)</f>
        <v>0</v>
      </c>
      <c r="O87" s="14"/>
      <c r="P87" s="11">
        <f>SUM(P83:P86)</f>
        <v>0</v>
      </c>
      <c r="Q87" s="14"/>
      <c r="R87" s="11">
        <f>SUM(R83:R86)</f>
        <v>0</v>
      </c>
    </row>
    <row r="88" spans="1:18" x14ac:dyDescent="0.25">
      <c r="A88" s="116">
        <f t="shared" si="1"/>
        <v>15</v>
      </c>
      <c r="B88" s="122"/>
      <c r="F88" s="127"/>
      <c r="O88" s="113"/>
    </row>
    <row r="89" spans="1:18" x14ac:dyDescent="0.25">
      <c r="A89" s="116">
        <f t="shared" si="1"/>
        <v>16</v>
      </c>
      <c r="B89" s="122"/>
      <c r="C89" s="115"/>
      <c r="D89" s="136" t="s">
        <v>66</v>
      </c>
      <c r="F89" s="126"/>
      <c r="H89" s="20"/>
      <c r="I89" s="14"/>
      <c r="J89" s="20"/>
      <c r="K89" s="14"/>
      <c r="L89" s="20"/>
      <c r="M89" s="14"/>
      <c r="N89" s="20"/>
      <c r="O89" s="14"/>
      <c r="P89" s="20"/>
      <c r="Q89" s="14"/>
      <c r="R89" s="20"/>
    </row>
    <row r="90" spans="1:18" x14ac:dyDescent="0.25">
      <c r="A90" s="116">
        <f t="shared" si="1"/>
        <v>17</v>
      </c>
      <c r="B90" s="122"/>
      <c r="C90" s="116">
        <v>31151</v>
      </c>
      <c r="D90" s="111" t="s">
        <v>45</v>
      </c>
      <c r="F90" s="126">
        <f>VLOOKUP($C90,'ASDR FY2'!$A:$X,F$16,FALSE)*100</f>
        <v>0</v>
      </c>
      <c r="G90" s="113"/>
      <c r="H90" s="7">
        <f>VLOOKUP($C90,'ASDR FY2'!$A:$X,H$16,FALSE)/1000</f>
        <v>0</v>
      </c>
      <c r="I90" s="8"/>
      <c r="J90" s="7">
        <f>VLOOKUP($C90,'ASDR FY2'!$A:$X,J$16,FALSE)/1000</f>
        <v>0</v>
      </c>
      <c r="K90" s="9"/>
      <c r="L90" s="7">
        <f>VLOOKUP($C90,'ASDR FY2'!$A:$X,L$16,FALSE)/1000</f>
        <v>0</v>
      </c>
      <c r="M90" s="9"/>
      <c r="N90" s="7">
        <f>VLOOKUP($C90,'ASDR FY2'!$A:$X,N$15,FALSE)/1000+VLOOKUP($C90,'ASDR FY2'!$A:$X,N$16,FALSE)/1000</f>
        <v>0</v>
      </c>
      <c r="O90" s="8"/>
      <c r="P90" s="7">
        <f>SUM(H90,J90,L90,N90)</f>
        <v>0</v>
      </c>
      <c r="Q90" s="9"/>
      <c r="R90" s="7">
        <f>VLOOKUP($C90,'ASDR FY2'!$A:$X,R$16,FALSE)/1000</f>
        <v>0</v>
      </c>
    </row>
    <row r="91" spans="1:18" x14ac:dyDescent="0.25">
      <c r="A91" s="116">
        <f t="shared" si="1"/>
        <v>18</v>
      </c>
      <c r="B91" s="122"/>
      <c r="C91" s="116">
        <v>31251</v>
      </c>
      <c r="D91" s="111" t="s">
        <v>46</v>
      </c>
      <c r="F91" s="126">
        <f>VLOOKUP($C91,'ASDR FY2'!$A:$X,F$16,FALSE)*100</f>
        <v>0</v>
      </c>
      <c r="G91" s="113"/>
      <c r="H91" s="7">
        <f>VLOOKUP($C91,'ASDR FY2'!$A:$X,H$16,FALSE)/1000</f>
        <v>0</v>
      </c>
      <c r="I91" s="8"/>
      <c r="J91" s="7">
        <f>VLOOKUP($C91,'ASDR FY2'!$A:$X,J$16,FALSE)/1000</f>
        <v>0</v>
      </c>
      <c r="K91" s="9"/>
      <c r="L91" s="7">
        <f>VLOOKUP($C91,'ASDR FY2'!$A:$X,L$16,FALSE)/1000</f>
        <v>0</v>
      </c>
      <c r="M91" s="9"/>
      <c r="N91" s="7">
        <f>VLOOKUP($C91,'ASDR FY2'!$A:$X,N$15,FALSE)/1000+VLOOKUP($C91,'ASDR FY2'!$A:$X,N$16,FALSE)/1000</f>
        <v>0</v>
      </c>
      <c r="O91" s="8"/>
      <c r="P91" s="7">
        <f>SUM(H91,J91,L91,N91)</f>
        <v>0</v>
      </c>
      <c r="Q91" s="9"/>
      <c r="R91" s="7">
        <f>VLOOKUP($C91,'ASDR FY2'!$A:$X,R$16,FALSE)/1000</f>
        <v>0</v>
      </c>
    </row>
    <row r="92" spans="1:18" x14ac:dyDescent="0.25">
      <c r="A92" s="116">
        <f t="shared" si="1"/>
        <v>19</v>
      </c>
      <c r="B92" s="122"/>
      <c r="C92" s="116">
        <v>31551</v>
      </c>
      <c r="D92" s="111" t="s">
        <v>48</v>
      </c>
      <c r="F92" s="126">
        <f>VLOOKUP($C92,'ASDR FY2'!$A:$X,F$16,FALSE)*100</f>
        <v>0</v>
      </c>
      <c r="G92" s="113"/>
      <c r="H92" s="7">
        <f>VLOOKUP($C92,'ASDR FY2'!$A:$X,H$16,FALSE)/1000</f>
        <v>0</v>
      </c>
      <c r="I92" s="8"/>
      <c r="J92" s="7">
        <f>VLOOKUP($C92,'ASDR FY2'!$A:$X,J$16,FALSE)/1000</f>
        <v>0</v>
      </c>
      <c r="K92" s="9"/>
      <c r="L92" s="7">
        <f>VLOOKUP($C92,'ASDR FY2'!$A:$X,L$16,FALSE)/1000</f>
        <v>0</v>
      </c>
      <c r="M92" s="9"/>
      <c r="N92" s="7">
        <f>VLOOKUP($C92,'ASDR FY2'!$A:$X,N$15,FALSE)/1000+VLOOKUP($C92,'ASDR FY2'!$A:$X,N$16,FALSE)/1000</f>
        <v>0</v>
      </c>
      <c r="O92" s="8"/>
      <c r="P92" s="7">
        <f>SUM(H92,J92,L92,N92)</f>
        <v>0</v>
      </c>
      <c r="Q92" s="9"/>
      <c r="R92" s="7">
        <f>VLOOKUP($C92,'ASDR FY2'!$A:$X,R$16,FALSE)/1000</f>
        <v>0</v>
      </c>
    </row>
    <row r="93" spans="1:18" x14ac:dyDescent="0.25">
      <c r="A93" s="116">
        <f t="shared" si="1"/>
        <v>20</v>
      </c>
      <c r="B93" s="122"/>
      <c r="C93" s="116">
        <v>31651</v>
      </c>
      <c r="D93" s="111" t="s">
        <v>67</v>
      </c>
      <c r="F93" s="126">
        <f>VLOOKUP($C93,'ASDR FY2'!$A:$X,F$16,FALSE)*100</f>
        <v>0</v>
      </c>
      <c r="G93" s="113"/>
      <c r="H93" s="7">
        <f>VLOOKUP($C93,'ASDR FY2'!$A:$X,H$16,FALSE)/1000</f>
        <v>0</v>
      </c>
      <c r="I93" s="8"/>
      <c r="J93" s="7">
        <f>VLOOKUP($C93,'ASDR FY2'!$A:$X,J$16,FALSE)/1000</f>
        <v>0</v>
      </c>
      <c r="K93" s="9"/>
      <c r="L93" s="7">
        <f>VLOOKUP($C93,'ASDR FY2'!$A:$X,L$16,FALSE)/1000</f>
        <v>0</v>
      </c>
      <c r="M93" s="9"/>
      <c r="N93" s="7">
        <f>VLOOKUP($C93,'ASDR FY2'!$A:$X,N$15,FALSE)/1000+VLOOKUP($C93,'ASDR FY2'!$A:$X,N$16,FALSE)/1000</f>
        <v>0</v>
      </c>
      <c r="O93" s="8"/>
      <c r="P93" s="7">
        <f>SUM(H93,J93,L93,N93)</f>
        <v>0</v>
      </c>
      <c r="Q93" s="9"/>
      <c r="R93" s="7">
        <f>VLOOKUP($C93,'ASDR FY2'!$A:$X,R$16,FALSE)/1000</f>
        <v>0</v>
      </c>
    </row>
    <row r="94" spans="1:18" x14ac:dyDescent="0.25">
      <c r="A94" s="116">
        <f t="shared" si="1"/>
        <v>21</v>
      </c>
      <c r="B94" s="122"/>
      <c r="C94" s="116"/>
      <c r="D94" s="137" t="s">
        <v>68</v>
      </c>
      <c r="F94" s="127"/>
      <c r="H94" s="11">
        <f>SUM(H90:H93)</f>
        <v>0</v>
      </c>
      <c r="I94" s="14"/>
      <c r="J94" s="11">
        <f>SUM(J90:J93)</f>
        <v>0</v>
      </c>
      <c r="K94" s="14"/>
      <c r="L94" s="11">
        <f>SUM(L90:L93)</f>
        <v>0</v>
      </c>
      <c r="M94" s="14"/>
      <c r="N94" s="11">
        <f>SUM(N90:N93)</f>
        <v>0</v>
      </c>
      <c r="O94" s="14"/>
      <c r="P94" s="11">
        <f>SUM(P90:P93)</f>
        <v>0</v>
      </c>
      <c r="Q94" s="14"/>
      <c r="R94" s="11">
        <f>SUM(R90:R93)</f>
        <v>0</v>
      </c>
    </row>
    <row r="95" spans="1:18" x14ac:dyDescent="0.25">
      <c r="A95" s="116">
        <f t="shared" si="1"/>
        <v>22</v>
      </c>
      <c r="B95" s="122"/>
      <c r="F95" s="127"/>
      <c r="O95" s="113"/>
    </row>
    <row r="96" spans="1:18" x14ac:dyDescent="0.25">
      <c r="A96" s="116">
        <f t="shared" si="1"/>
        <v>23</v>
      </c>
      <c r="B96" s="122"/>
      <c r="C96" s="115"/>
      <c r="D96" s="136" t="s">
        <v>69</v>
      </c>
      <c r="E96" s="129"/>
      <c r="F96" s="126"/>
      <c r="G96" s="129"/>
      <c r="H96" s="14"/>
      <c r="I96" s="14"/>
      <c r="J96" s="14"/>
      <c r="K96" s="14"/>
      <c r="L96" s="14"/>
      <c r="M96" s="14"/>
      <c r="N96" s="13"/>
      <c r="O96" s="13"/>
      <c r="P96" s="13"/>
      <c r="Q96" s="13"/>
      <c r="R96" s="14"/>
    </row>
    <row r="97" spans="1:18" x14ac:dyDescent="0.25">
      <c r="A97" s="116">
        <f t="shared" si="1"/>
        <v>24</v>
      </c>
      <c r="B97" s="122"/>
      <c r="C97" s="116">
        <v>31152</v>
      </c>
      <c r="D97" s="111" t="s">
        <v>45</v>
      </c>
      <c r="F97" s="126">
        <f>VLOOKUP($C97,'ASDR FY2'!$A:$X,F$16,FALSE)*100</f>
        <v>0</v>
      </c>
      <c r="G97" s="113"/>
      <c r="H97" s="7">
        <f>VLOOKUP($C97,'ASDR FY2'!$A:$X,H$16,FALSE)/1000</f>
        <v>0</v>
      </c>
      <c r="I97" s="8"/>
      <c r="J97" s="7">
        <f>VLOOKUP($C97,'ASDR FY2'!$A:$X,J$16,FALSE)/1000</f>
        <v>0</v>
      </c>
      <c r="K97" s="9"/>
      <c r="L97" s="7">
        <f>VLOOKUP($C97,'ASDR FY2'!$A:$X,L$16,FALSE)/1000</f>
        <v>0</v>
      </c>
      <c r="M97" s="9"/>
      <c r="N97" s="7">
        <f>VLOOKUP($C97,'ASDR FY2'!$A:$X,N$15,FALSE)/1000+VLOOKUP($C97,'ASDR FY2'!$A:$X,N$16,FALSE)/1000</f>
        <v>0</v>
      </c>
      <c r="O97" s="8"/>
      <c r="P97" s="7">
        <f>SUM(H97,J97,L97,N97)</f>
        <v>0</v>
      </c>
      <c r="Q97" s="9"/>
      <c r="R97" s="7">
        <f>VLOOKUP($C97,'ASDR FY2'!$A:$X,R$16,FALSE)/1000</f>
        <v>0</v>
      </c>
    </row>
    <row r="98" spans="1:18" x14ac:dyDescent="0.25">
      <c r="A98" s="116">
        <f t="shared" si="1"/>
        <v>25</v>
      </c>
      <c r="B98" s="122"/>
      <c r="C98" s="116">
        <v>31252</v>
      </c>
      <c r="D98" s="111" t="s">
        <v>46</v>
      </c>
      <c r="F98" s="126">
        <f>VLOOKUP($C98,'ASDR FY2'!$A:$X,F$16,FALSE)*100</f>
        <v>0</v>
      </c>
      <c r="G98" s="113"/>
      <c r="H98" s="7">
        <f>VLOOKUP($C98,'ASDR FY2'!$A:$X,H$16,FALSE)/1000</f>
        <v>0</v>
      </c>
      <c r="I98" s="8"/>
      <c r="J98" s="7">
        <f>VLOOKUP($C98,'ASDR FY2'!$A:$X,J$16,FALSE)/1000</f>
        <v>0</v>
      </c>
      <c r="K98" s="9"/>
      <c r="L98" s="7">
        <f>VLOOKUP($C98,'ASDR FY2'!$A:$X,L$16,FALSE)/1000</f>
        <v>0</v>
      </c>
      <c r="M98" s="9"/>
      <c r="N98" s="7">
        <f>VLOOKUP($C98,'ASDR FY2'!$A:$X,N$15,FALSE)/1000+VLOOKUP($C98,'ASDR FY2'!$A:$X,N$16,FALSE)/1000</f>
        <v>0</v>
      </c>
      <c r="O98" s="8"/>
      <c r="P98" s="7">
        <f>SUM(H98,J98,L98,N98)</f>
        <v>0</v>
      </c>
      <c r="Q98" s="9"/>
      <c r="R98" s="7">
        <f>VLOOKUP($C98,'ASDR FY2'!$A:$X,R$16,FALSE)/1000</f>
        <v>0</v>
      </c>
    </row>
    <row r="99" spans="1:18" x14ac:dyDescent="0.25">
      <c r="A99" s="116">
        <f t="shared" si="1"/>
        <v>26</v>
      </c>
      <c r="B99" s="122"/>
      <c r="C99" s="116">
        <v>31552</v>
      </c>
      <c r="D99" s="111" t="s">
        <v>48</v>
      </c>
      <c r="F99" s="126">
        <f>VLOOKUP($C99,'ASDR FY2'!$A:$X,F$16,FALSE)*100</f>
        <v>0</v>
      </c>
      <c r="G99" s="113"/>
      <c r="H99" s="7">
        <f>VLOOKUP($C99,'ASDR FY2'!$A:$X,H$16,FALSE)/1000</f>
        <v>0</v>
      </c>
      <c r="I99" s="8"/>
      <c r="J99" s="7">
        <f>VLOOKUP($C99,'ASDR FY2'!$A:$X,J$16,FALSE)/1000</f>
        <v>0</v>
      </c>
      <c r="K99" s="9"/>
      <c r="L99" s="7">
        <f>VLOOKUP($C99,'ASDR FY2'!$A:$X,L$16,FALSE)/1000</f>
        <v>0</v>
      </c>
      <c r="M99" s="9"/>
      <c r="N99" s="7">
        <f>VLOOKUP($C99,'ASDR FY2'!$A:$X,N$15,FALSE)/1000+VLOOKUP($C99,'ASDR FY2'!$A:$X,N$16,FALSE)/1000</f>
        <v>0</v>
      </c>
      <c r="O99" s="8"/>
      <c r="P99" s="7">
        <f>SUM(H99,J99,L99,N99)</f>
        <v>0</v>
      </c>
      <c r="Q99" s="9"/>
      <c r="R99" s="7">
        <f>VLOOKUP($C99,'ASDR FY2'!$A:$X,R$16,FALSE)/1000</f>
        <v>0</v>
      </c>
    </row>
    <row r="100" spans="1:18" x14ac:dyDescent="0.25">
      <c r="A100" s="116">
        <f t="shared" si="1"/>
        <v>27</v>
      </c>
      <c r="B100" s="122"/>
      <c r="C100" s="116">
        <v>31652</v>
      </c>
      <c r="D100" s="111" t="s">
        <v>49</v>
      </c>
      <c r="F100" s="126">
        <f>VLOOKUP($C100,'ASDR FY2'!$A:$X,F$16,FALSE)*100</f>
        <v>0</v>
      </c>
      <c r="G100" s="113"/>
      <c r="H100" s="7">
        <f>VLOOKUP($C100,'ASDR FY2'!$A:$X,H$16,FALSE)/1000</f>
        <v>0</v>
      </c>
      <c r="I100" s="8"/>
      <c r="J100" s="7">
        <f>VLOOKUP($C100,'ASDR FY2'!$A:$X,J$16,FALSE)/1000</f>
        <v>0</v>
      </c>
      <c r="K100" s="9"/>
      <c r="L100" s="7">
        <f>VLOOKUP($C100,'ASDR FY2'!$A:$X,L$16,FALSE)/1000</f>
        <v>0</v>
      </c>
      <c r="M100" s="9"/>
      <c r="N100" s="7">
        <f>VLOOKUP($C100,'ASDR FY2'!$A:$X,N$15,FALSE)/1000+VLOOKUP($C100,'ASDR FY2'!$A:$X,N$16,FALSE)/1000</f>
        <v>0</v>
      </c>
      <c r="O100" s="8"/>
      <c r="P100" s="7">
        <f>SUM(H100,J100,L100,N100)</f>
        <v>0</v>
      </c>
      <c r="Q100" s="9"/>
      <c r="R100" s="7">
        <f>VLOOKUP($C100,'ASDR FY2'!$A:$X,R$16,FALSE)/1000</f>
        <v>0</v>
      </c>
    </row>
    <row r="101" spans="1:18" x14ac:dyDescent="0.25">
      <c r="A101" s="116">
        <f t="shared" si="1"/>
        <v>28</v>
      </c>
      <c r="B101" s="122"/>
      <c r="D101" s="136" t="s">
        <v>70</v>
      </c>
      <c r="E101" s="129"/>
      <c r="F101" s="126"/>
      <c r="H101" s="11">
        <f>SUM(H97:H100)</f>
        <v>0</v>
      </c>
      <c r="I101" s="14"/>
      <c r="J101" s="11">
        <f>SUM(J97:J100)</f>
        <v>0</v>
      </c>
      <c r="K101" s="14"/>
      <c r="L101" s="11">
        <f>SUM(L97:L100)</f>
        <v>0</v>
      </c>
      <c r="M101" s="14"/>
      <c r="N101" s="11">
        <f>SUM(N97:N100)</f>
        <v>0</v>
      </c>
      <c r="O101" s="14"/>
      <c r="P101" s="11">
        <f>SUM(P97:P100)</f>
        <v>0</v>
      </c>
      <c r="Q101" s="14"/>
      <c r="R101" s="11">
        <f>SUM(R97:R100)</f>
        <v>0</v>
      </c>
    </row>
    <row r="102" spans="1:18" x14ac:dyDescent="0.25">
      <c r="A102" s="116">
        <f t="shared" si="1"/>
        <v>29</v>
      </c>
      <c r="B102" s="122"/>
      <c r="F102" s="127"/>
      <c r="O102" s="113"/>
    </row>
    <row r="103" spans="1:18" x14ac:dyDescent="0.25">
      <c r="A103" s="116">
        <f t="shared" si="1"/>
        <v>30</v>
      </c>
      <c r="B103" s="122"/>
      <c r="C103" s="115"/>
      <c r="D103" s="136" t="s">
        <v>71</v>
      </c>
      <c r="E103" s="129"/>
      <c r="F103" s="127"/>
      <c r="G103" s="129"/>
      <c r="O103" s="113"/>
    </row>
    <row r="104" spans="1:18" x14ac:dyDescent="0.25">
      <c r="A104" s="116">
        <f t="shared" si="1"/>
        <v>31</v>
      </c>
      <c r="B104" s="122"/>
      <c r="C104" s="116">
        <v>31153</v>
      </c>
      <c r="D104" s="111" t="s">
        <v>45</v>
      </c>
      <c r="F104" s="126">
        <f>VLOOKUP($C104,'ASDR FY2'!$A:$X,F$16,FALSE)*100</f>
        <v>0</v>
      </c>
      <c r="G104" s="113"/>
      <c r="H104" s="7">
        <f>VLOOKUP($C104,'ASDR FY2'!$A:$X,H$16,FALSE)/1000</f>
        <v>0</v>
      </c>
      <c r="I104" s="8"/>
      <c r="J104" s="7">
        <f>VLOOKUP($C104,'ASDR FY2'!$A:$X,J$16,FALSE)/1000</f>
        <v>0</v>
      </c>
      <c r="K104" s="9"/>
      <c r="L104" s="7">
        <f>VLOOKUP($C104,'ASDR FY2'!$A:$X,L$16,FALSE)/1000</f>
        <v>0</v>
      </c>
      <c r="M104" s="9"/>
      <c r="N104" s="7">
        <f>VLOOKUP($C104,'ASDR FY2'!$A:$X,N$15,FALSE)/1000+VLOOKUP($C104,'ASDR FY2'!$A:$X,N$16,FALSE)/1000</f>
        <v>0</v>
      </c>
      <c r="O104" s="8"/>
      <c r="P104" s="7">
        <f>SUM(H104,J104,L104,N104)</f>
        <v>0</v>
      </c>
      <c r="Q104" s="9"/>
      <c r="R104" s="7">
        <f>VLOOKUP($C104,'ASDR FY2'!$A:$X,R$16,FALSE)/1000</f>
        <v>0</v>
      </c>
    </row>
    <row r="105" spans="1:18" x14ac:dyDescent="0.25">
      <c r="A105" s="116">
        <f t="shared" si="1"/>
        <v>32</v>
      </c>
      <c r="B105" s="122"/>
      <c r="C105" s="116">
        <v>31253</v>
      </c>
      <c r="D105" s="111" t="s">
        <v>46</v>
      </c>
      <c r="F105" s="126">
        <f>VLOOKUP($C105,'ASDR FY2'!$A:$X,F$16,FALSE)*100</f>
        <v>0</v>
      </c>
      <c r="G105" s="113"/>
      <c r="H105" s="7">
        <f>VLOOKUP($C105,'ASDR FY2'!$A:$X,H$16,FALSE)/1000</f>
        <v>0</v>
      </c>
      <c r="I105" s="8"/>
      <c r="J105" s="7">
        <f>VLOOKUP($C105,'ASDR FY2'!$A:$X,J$16,FALSE)/1000</f>
        <v>0</v>
      </c>
      <c r="K105" s="9"/>
      <c r="L105" s="7">
        <f>VLOOKUP($C105,'ASDR FY2'!$A:$X,L$16,FALSE)/1000</f>
        <v>0</v>
      </c>
      <c r="M105" s="9"/>
      <c r="N105" s="7">
        <f>VLOOKUP($C105,'ASDR FY2'!$A:$X,N$15,FALSE)/1000+VLOOKUP($C105,'ASDR FY2'!$A:$X,N$16,FALSE)/1000</f>
        <v>0</v>
      </c>
      <c r="O105" s="8"/>
      <c r="P105" s="7">
        <f>SUM(H105,J105,L105,N105)</f>
        <v>0</v>
      </c>
      <c r="Q105" s="9"/>
      <c r="R105" s="7">
        <f>VLOOKUP($C105,'ASDR FY2'!$A:$X,R$16,FALSE)/1000</f>
        <v>0</v>
      </c>
    </row>
    <row r="106" spans="1:18" x14ac:dyDescent="0.25">
      <c r="A106" s="116">
        <f t="shared" si="1"/>
        <v>33</v>
      </c>
      <c r="B106" s="122"/>
      <c r="C106" s="116">
        <v>31553</v>
      </c>
      <c r="D106" s="111" t="s">
        <v>48</v>
      </c>
      <c r="F106" s="126">
        <f>VLOOKUP($C106,'ASDR FY2'!$A:$X,F$16,FALSE)*100</f>
        <v>0</v>
      </c>
      <c r="G106" s="113"/>
      <c r="H106" s="7">
        <f>VLOOKUP($C106,'ASDR FY2'!$A:$X,H$16,FALSE)/1000</f>
        <v>0</v>
      </c>
      <c r="I106" s="8"/>
      <c r="J106" s="7">
        <f>VLOOKUP($C106,'ASDR FY2'!$A:$X,J$16,FALSE)/1000</f>
        <v>0</v>
      </c>
      <c r="K106" s="9"/>
      <c r="L106" s="7">
        <f>VLOOKUP($C106,'ASDR FY2'!$A:$X,L$16,FALSE)/1000</f>
        <v>0</v>
      </c>
      <c r="M106" s="9"/>
      <c r="N106" s="7">
        <f>VLOOKUP($C106,'ASDR FY2'!$A:$X,N$15,FALSE)/1000+VLOOKUP($C106,'ASDR FY2'!$A:$X,N$16,FALSE)/1000</f>
        <v>0</v>
      </c>
      <c r="O106" s="8"/>
      <c r="P106" s="7">
        <f>SUM(H106,J106,L106,N106)</f>
        <v>0</v>
      </c>
      <c r="Q106" s="9"/>
      <c r="R106" s="7">
        <f>VLOOKUP($C106,'ASDR FY2'!$A:$X,R$16,FALSE)/1000</f>
        <v>0</v>
      </c>
    </row>
    <row r="107" spans="1:18" x14ac:dyDescent="0.25">
      <c r="A107" s="116">
        <f t="shared" si="1"/>
        <v>34</v>
      </c>
      <c r="B107" s="122"/>
      <c r="C107" s="116">
        <v>31653</v>
      </c>
      <c r="D107" s="111" t="s">
        <v>49</v>
      </c>
      <c r="F107" s="126">
        <f>VLOOKUP($C107,'ASDR FY2'!$A:$X,F$16,FALSE)*100</f>
        <v>0</v>
      </c>
      <c r="G107" s="113"/>
      <c r="H107" s="7">
        <f>VLOOKUP($C107,'ASDR FY2'!$A:$X,H$16,FALSE)/1000</f>
        <v>0</v>
      </c>
      <c r="I107" s="8"/>
      <c r="J107" s="7">
        <f>VLOOKUP($C107,'ASDR FY2'!$A:$X,J$16,FALSE)/1000</f>
        <v>0</v>
      </c>
      <c r="K107" s="9"/>
      <c r="L107" s="7">
        <f>VLOOKUP($C107,'ASDR FY2'!$A:$X,L$16,FALSE)/1000</f>
        <v>0</v>
      </c>
      <c r="M107" s="9"/>
      <c r="N107" s="7">
        <f>VLOOKUP($C107,'ASDR FY2'!$A:$X,N$15,FALSE)/1000+VLOOKUP($C107,'ASDR FY2'!$A:$X,N$16,FALSE)/1000</f>
        <v>0</v>
      </c>
      <c r="O107" s="8"/>
      <c r="P107" s="7">
        <f>SUM(H107,J107,L107,N107)</f>
        <v>0</v>
      </c>
      <c r="Q107" s="9"/>
      <c r="R107" s="7">
        <f>VLOOKUP($C107,'ASDR FY2'!$A:$X,R$16,FALSE)/1000</f>
        <v>0</v>
      </c>
    </row>
    <row r="108" spans="1:18" x14ac:dyDescent="0.25">
      <c r="A108" s="116">
        <f t="shared" si="1"/>
        <v>35</v>
      </c>
      <c r="B108" s="122"/>
      <c r="C108" s="116"/>
      <c r="D108" s="136" t="s">
        <v>72</v>
      </c>
      <c r="E108" s="129"/>
      <c r="F108" s="126"/>
      <c r="H108" s="11">
        <f>SUM(H104:H107)</f>
        <v>0</v>
      </c>
      <c r="I108" s="14"/>
      <c r="J108" s="11">
        <f>SUM(J104:J107)</f>
        <v>0</v>
      </c>
      <c r="K108" s="14"/>
      <c r="L108" s="11">
        <f>SUM(L104:L107)</f>
        <v>0</v>
      </c>
      <c r="M108" s="14"/>
      <c r="N108" s="11">
        <f>SUM(N104:N107)</f>
        <v>0</v>
      </c>
      <c r="O108" s="14"/>
      <c r="P108" s="11">
        <f>SUM(P104:P107)</f>
        <v>0</v>
      </c>
      <c r="Q108" s="14"/>
      <c r="R108" s="11">
        <f>SUM(R104:R107)</f>
        <v>0</v>
      </c>
    </row>
    <row r="109" spans="1:18" x14ac:dyDescent="0.25">
      <c r="A109" s="116">
        <f t="shared" si="1"/>
        <v>36</v>
      </c>
      <c r="B109" s="122"/>
      <c r="F109" s="127"/>
      <c r="O109" s="113"/>
    </row>
    <row r="110" spans="1:18" x14ac:dyDescent="0.25">
      <c r="A110" s="116">
        <f t="shared" si="1"/>
        <v>37</v>
      </c>
      <c r="B110" s="122"/>
      <c r="C110" s="115"/>
      <c r="D110" s="136" t="s">
        <v>73</v>
      </c>
      <c r="E110" s="129"/>
      <c r="F110" s="126"/>
      <c r="G110" s="129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x14ac:dyDescent="0.25">
      <c r="A111" s="116">
        <f t="shared" si="1"/>
        <v>38</v>
      </c>
      <c r="B111" s="122"/>
      <c r="C111" s="116">
        <v>31154</v>
      </c>
      <c r="D111" s="111" t="s">
        <v>45</v>
      </c>
      <c r="F111" s="126">
        <f>VLOOKUP($C111,'ASDR FY2'!$A:$X,F$16,FALSE)*100</f>
        <v>3.49</v>
      </c>
      <c r="G111" s="113"/>
      <c r="H111" s="7">
        <f>VLOOKUP($C111,'ASDR FY2'!$A:$X,H$16,FALSE)/1000</f>
        <v>16995.428250000001</v>
      </c>
      <c r="I111" s="8"/>
      <c r="J111" s="7">
        <f>VLOOKUP($C111,'ASDR FY2'!$A:$X,J$16,FALSE)/1000</f>
        <v>0</v>
      </c>
      <c r="K111" s="9"/>
      <c r="L111" s="7">
        <f>VLOOKUP($C111,'ASDR FY2'!$A:$X,L$16,FALSE)/1000</f>
        <v>0</v>
      </c>
      <c r="M111" s="9"/>
      <c r="N111" s="7">
        <f>VLOOKUP($C111,'ASDR FY2'!$A:$X,N$15,FALSE)/1000+VLOOKUP($C111,'ASDR FY2'!$A:$X,N$16,FALSE)/1000</f>
        <v>0</v>
      </c>
      <c r="O111" s="8"/>
      <c r="P111" s="7">
        <f>SUM(H111,J111,L111,N111)</f>
        <v>16995.428250000001</v>
      </c>
      <c r="Q111" s="9"/>
      <c r="R111" s="7">
        <f>VLOOKUP($C111,'ASDR FY2'!$A:$X,R$16,FALSE)/1000</f>
        <v>16995.428250000001</v>
      </c>
    </row>
    <row r="112" spans="1:18" x14ac:dyDescent="0.25">
      <c r="A112" s="116">
        <f t="shared" si="1"/>
        <v>39</v>
      </c>
      <c r="B112" s="122"/>
      <c r="C112" s="116">
        <v>31254</v>
      </c>
      <c r="D112" s="111" t="s">
        <v>46</v>
      </c>
      <c r="F112" s="126">
        <f>VLOOKUP($C112,'ASDR FY2'!$A:$X,F$16,FALSE)*100</f>
        <v>5.38</v>
      </c>
      <c r="G112" s="113"/>
      <c r="H112" s="7">
        <f>VLOOKUP($C112,'ASDR FY2'!$A:$X,H$16,FALSE)/1000</f>
        <v>40267.602585000001</v>
      </c>
      <c r="I112" s="8"/>
      <c r="J112" s="7">
        <f>VLOOKUP($C112,'ASDR FY2'!$A:$X,J$16,FALSE)/1000</f>
        <v>0</v>
      </c>
      <c r="K112" s="9"/>
      <c r="L112" s="7">
        <f>VLOOKUP($C112,'ASDR FY2'!$A:$X,L$16,FALSE)/1000</f>
        <v>0</v>
      </c>
      <c r="M112" s="9"/>
      <c r="N112" s="7">
        <f>VLOOKUP($C112,'ASDR FY2'!$A:$X,N$15,FALSE)/1000+VLOOKUP($C112,'ASDR FY2'!$A:$X,N$16,FALSE)/1000</f>
        <v>0</v>
      </c>
      <c r="O112" s="8"/>
      <c r="P112" s="7">
        <f>SUM(H112,J112,L112,N112)</f>
        <v>40267.602585000001</v>
      </c>
      <c r="Q112" s="9"/>
      <c r="R112" s="7">
        <f>VLOOKUP($C112,'ASDR FY2'!$A:$X,R$16,FALSE)/1000</f>
        <v>40267.602590000002</v>
      </c>
    </row>
    <row r="113" spans="1:18" x14ac:dyDescent="0.25">
      <c r="A113" s="116">
        <f t="shared" si="1"/>
        <v>40</v>
      </c>
      <c r="B113" s="122"/>
      <c r="C113" s="116">
        <v>31554</v>
      </c>
      <c r="D113" s="111" t="s">
        <v>48</v>
      </c>
      <c r="F113" s="126">
        <f>VLOOKUP($C113,'ASDR FY2'!$A:$X,F$16,FALSE)*100</f>
        <v>2.8</v>
      </c>
      <c r="G113" s="113"/>
      <c r="H113" s="7">
        <f>VLOOKUP($C113,'ASDR FY2'!$A:$X,H$16,FALSE)/1000</f>
        <v>15495.565484999999</v>
      </c>
      <c r="I113" s="8"/>
      <c r="J113" s="7">
        <f>VLOOKUP($C113,'ASDR FY2'!$A:$X,J$16,FALSE)/1000</f>
        <v>0</v>
      </c>
      <c r="K113" s="9"/>
      <c r="L113" s="7">
        <f>VLOOKUP($C113,'ASDR FY2'!$A:$X,L$16,FALSE)/1000</f>
        <v>0</v>
      </c>
      <c r="M113" s="9"/>
      <c r="N113" s="7">
        <f>VLOOKUP($C113,'ASDR FY2'!$A:$X,N$15,FALSE)/1000+VLOOKUP($C113,'ASDR FY2'!$A:$X,N$16,FALSE)/1000</f>
        <v>0</v>
      </c>
      <c r="O113" s="8"/>
      <c r="P113" s="7">
        <f>SUM(H113,J113,L113,N113)</f>
        <v>15495.565484999999</v>
      </c>
      <c r="Q113" s="9"/>
      <c r="R113" s="7">
        <f>VLOOKUP($C113,'ASDR FY2'!$A:$X,R$16,FALSE)/1000</f>
        <v>15495.565490000001</v>
      </c>
    </row>
    <row r="114" spans="1:18" x14ac:dyDescent="0.25">
      <c r="A114" s="116">
        <f t="shared" si="1"/>
        <v>41</v>
      </c>
      <c r="B114" s="122"/>
      <c r="C114" s="116">
        <v>31654</v>
      </c>
      <c r="D114" s="111" t="s">
        <v>49</v>
      </c>
      <c r="F114" s="126">
        <f>VLOOKUP($C114,'ASDR FY2'!$A:$X,F$16,FALSE)*100</f>
        <v>1.92</v>
      </c>
      <c r="G114" s="113"/>
      <c r="H114" s="7">
        <f>VLOOKUP($C114,'ASDR FY2'!$A:$X,H$16,FALSE)/1000</f>
        <v>687.93435999999997</v>
      </c>
      <c r="I114" s="8"/>
      <c r="J114" s="7">
        <f>VLOOKUP($C114,'ASDR FY2'!$A:$X,J$16,FALSE)/1000</f>
        <v>0</v>
      </c>
      <c r="K114" s="9"/>
      <c r="L114" s="7">
        <f>VLOOKUP($C114,'ASDR FY2'!$A:$X,L$16,FALSE)/1000</f>
        <v>0</v>
      </c>
      <c r="M114" s="9"/>
      <c r="N114" s="7">
        <f>VLOOKUP($C114,'ASDR FY2'!$A:$X,N$15,FALSE)/1000+VLOOKUP($C114,'ASDR FY2'!$A:$X,N$16,FALSE)/1000</f>
        <v>0</v>
      </c>
      <c r="O114" s="8"/>
      <c r="P114" s="7">
        <f>SUM(H114,J114,L114,N114)</f>
        <v>687.93435999999997</v>
      </c>
      <c r="Q114" s="9"/>
      <c r="R114" s="7">
        <f>VLOOKUP($C114,'ASDR FY2'!$A:$X,R$16,FALSE)/1000</f>
        <v>687.93435999999997</v>
      </c>
    </row>
    <row r="115" spans="1:18" x14ac:dyDescent="0.25">
      <c r="A115" s="116">
        <f t="shared" si="1"/>
        <v>42</v>
      </c>
      <c r="B115" s="122"/>
      <c r="C115" s="116"/>
      <c r="D115" s="136" t="s">
        <v>74</v>
      </c>
      <c r="E115" s="129"/>
      <c r="F115" s="131"/>
      <c r="H115" s="11">
        <f>SUM(H111:H114)</f>
        <v>73446.530679999996</v>
      </c>
      <c r="I115" s="14"/>
      <c r="J115" s="11">
        <f>SUM(J111:J114)</f>
        <v>0</v>
      </c>
      <c r="K115" s="14"/>
      <c r="L115" s="11">
        <f>SUM(L111:L114)</f>
        <v>0</v>
      </c>
      <c r="M115" s="14"/>
      <c r="N115" s="11">
        <f>SUM(N111:N114)</f>
        <v>0</v>
      </c>
      <c r="O115" s="14"/>
      <c r="P115" s="11">
        <f>SUM(P111:P114)</f>
        <v>73446.530679999996</v>
      </c>
      <c r="Q115" s="14"/>
      <c r="R115" s="11">
        <f>SUM(R111:R114)</f>
        <v>73446.53069</v>
      </c>
    </row>
    <row r="116" spans="1:18" x14ac:dyDescent="0.25">
      <c r="A116" s="116">
        <f t="shared" si="1"/>
        <v>43</v>
      </c>
      <c r="B116" s="122"/>
      <c r="C116" s="116"/>
      <c r="F116" s="113"/>
      <c r="G116" s="113"/>
      <c r="H116" s="4"/>
      <c r="I116" s="14"/>
      <c r="J116" s="4"/>
      <c r="K116" s="14"/>
      <c r="L116" s="4"/>
      <c r="M116" s="14"/>
      <c r="N116" s="4"/>
      <c r="O116" s="14"/>
      <c r="P116" s="4"/>
      <c r="Q116" s="14"/>
      <c r="R116" s="4"/>
    </row>
    <row r="117" spans="1:18" ht="13.8" thickBot="1" x14ac:dyDescent="0.3">
      <c r="A117" s="117">
        <f t="shared" si="1"/>
        <v>44</v>
      </c>
      <c r="B117" s="19" t="s">
        <v>59</v>
      </c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32"/>
      <c r="P117" s="110"/>
      <c r="Q117" s="110"/>
      <c r="R117" s="110"/>
    </row>
    <row r="118" spans="1:18" x14ac:dyDescent="0.25">
      <c r="A118" s="111" t="str">
        <f>$A$59</f>
        <v>Supporting Schedules:  B-08, B-11</v>
      </c>
      <c r="O118" s="113"/>
      <c r="P118" s="111" t="str">
        <f>$P$59</f>
        <v>Recap Schedules:  B-03, B-06</v>
      </c>
    </row>
    <row r="119" spans="1:18" ht="13.8" thickBot="1" x14ac:dyDescent="0.3">
      <c r="A119" s="110" t="str">
        <f>$A$1</f>
        <v>SCHEDULE B-07</v>
      </c>
      <c r="B119" s="110"/>
      <c r="C119" s="110"/>
      <c r="D119" s="110"/>
      <c r="E119" s="110"/>
      <c r="F119" s="110"/>
      <c r="G119" s="110" t="str">
        <f>$G$1</f>
        <v>PLANT BALANCES BY ACCOUNT AND SUB-ACCOUNT</v>
      </c>
      <c r="H119" s="110"/>
      <c r="I119" s="110"/>
      <c r="J119" s="110"/>
      <c r="K119" s="110"/>
      <c r="L119" s="110"/>
      <c r="M119" s="110"/>
      <c r="N119" s="110"/>
      <c r="O119" s="132"/>
      <c r="P119" s="110"/>
      <c r="Q119" s="110"/>
      <c r="R119" s="110" t="str">
        <f>"Page 3 of " &amp; $P$1</f>
        <v>Page 3 of 30</v>
      </c>
    </row>
    <row r="120" spans="1:18" x14ac:dyDescent="0.25">
      <c r="A120" s="111" t="str">
        <f>$A$2</f>
        <v>FLORIDA PUBLIC SERVICE COMMISSION</v>
      </c>
      <c r="B120" s="133"/>
      <c r="E120" s="113" t="str">
        <f>$E$2</f>
        <v xml:space="preserve">                  EXPLANATION:</v>
      </c>
      <c r="F120" s="111" t="str">
        <f>IF($F$2="","",$F$2)</f>
        <v>Provide the depreciation rate and plant balances for each account or sub-account to which</v>
      </c>
      <c r="J120" s="134"/>
      <c r="K120" s="134"/>
      <c r="M120" s="134"/>
      <c r="N120" s="134"/>
      <c r="O120" s="135"/>
      <c r="P120" s="111" t="str">
        <f>$P$2</f>
        <v>Type of data shown:</v>
      </c>
      <c r="R120" s="112"/>
    </row>
    <row r="121" spans="1:18" x14ac:dyDescent="0.25">
      <c r="B121" s="133"/>
      <c r="F121" s="111" t="str">
        <f>IF($F$3="","",$F$3)</f>
        <v>a separate depreciation rate is prescribed. (Include Amortization/Recovery schedule amounts).</v>
      </c>
      <c r="J121" s="113"/>
      <c r="K121" s="112"/>
      <c r="N121" s="113"/>
      <c r="O121" s="113" t="str">
        <f>IF($O$3=0,"",$O$3)</f>
        <v>XX</v>
      </c>
      <c r="P121" s="112" t="str">
        <f>$P$3</f>
        <v>Projected Test Year Ended 12/31/2025</v>
      </c>
      <c r="R121" s="113"/>
    </row>
    <row r="122" spans="1:18" x14ac:dyDescent="0.25">
      <c r="A122" s="111" t="str">
        <f>$A$4</f>
        <v>COMPANY: TAMPA ELECTRIC COMPANY</v>
      </c>
      <c r="B122" s="133"/>
      <c r="F122" s="111" t="str">
        <f>IF(+$F$4="","",$F$4)</f>
        <v/>
      </c>
      <c r="J122" s="113"/>
      <c r="K122" s="112"/>
      <c r="L122" s="113"/>
      <c r="O122" s="113" t="str">
        <f>IF($O$4=0,"",$O$4)</f>
        <v/>
      </c>
      <c r="P122" s="112" t="str">
        <f>$P$4</f>
        <v>Projected Prior Year Ended 12/31/2024</v>
      </c>
      <c r="R122" s="113"/>
    </row>
    <row r="123" spans="1:18" x14ac:dyDescent="0.25">
      <c r="B123" s="133"/>
      <c r="F123" s="111" t="str">
        <f>IF(+$F$5="","",$F$5)</f>
        <v/>
      </c>
      <c r="J123" s="113"/>
      <c r="K123" s="112"/>
      <c r="L123" s="113"/>
      <c r="O123" s="113" t="str">
        <f>IF($O$5=0,"",$O$5)</f>
        <v/>
      </c>
      <c r="P123" s="112" t="str">
        <f>$P$5</f>
        <v>Historical Prior Year Ended 12/31/2023</v>
      </c>
      <c r="R123" s="113"/>
    </row>
    <row r="124" spans="1:18" x14ac:dyDescent="0.25">
      <c r="J124" s="113"/>
      <c r="K124" s="112"/>
      <c r="L124" s="113"/>
      <c r="O124" s="113"/>
      <c r="P124" s="161" t="s">
        <v>572</v>
      </c>
      <c r="R124" s="113"/>
    </row>
    <row r="125" spans="1:18" x14ac:dyDescent="0.25">
      <c r="J125" s="113"/>
      <c r="K125" s="112"/>
      <c r="L125" s="113"/>
      <c r="O125" s="113"/>
      <c r="P125" s="161" t="s">
        <v>573</v>
      </c>
      <c r="R125" s="113"/>
    </row>
    <row r="126" spans="1:18" x14ac:dyDescent="0.25">
      <c r="J126" s="113"/>
      <c r="K126" s="112"/>
      <c r="L126" s="113"/>
      <c r="O126" s="113"/>
      <c r="P126" s="161" t="s">
        <v>574</v>
      </c>
      <c r="R126" s="113"/>
    </row>
    <row r="127" spans="1:18" ht="13.8" thickBot="1" x14ac:dyDescent="0.3">
      <c r="A127" s="158" t="s">
        <v>576</v>
      </c>
      <c r="B127" s="110"/>
      <c r="C127" s="110"/>
      <c r="D127" s="110"/>
      <c r="E127" s="110"/>
      <c r="F127" s="110"/>
      <c r="G127" s="110"/>
      <c r="H127" s="117" t="s">
        <v>12</v>
      </c>
      <c r="I127" s="110"/>
      <c r="J127" s="110"/>
      <c r="K127" s="110"/>
      <c r="L127" s="110"/>
      <c r="M127" s="110"/>
      <c r="N127" s="110"/>
      <c r="O127" s="132"/>
      <c r="P127" s="162" t="s">
        <v>575</v>
      </c>
      <c r="Q127" s="110"/>
      <c r="R127" s="110"/>
    </row>
    <row r="128" spans="1:18" x14ac:dyDescent="0.25"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4"/>
      <c r="Q128" s="114"/>
      <c r="R128" s="114"/>
    </row>
    <row r="129" spans="1:18" x14ac:dyDescent="0.25">
      <c r="C129" s="114" t="s">
        <v>13</v>
      </c>
      <c r="D129" s="114" t="s">
        <v>14</v>
      </c>
      <c r="E129" s="114"/>
      <c r="F129" s="114" t="s">
        <v>15</v>
      </c>
      <c r="G129" s="114"/>
      <c r="H129" s="114" t="s">
        <v>16</v>
      </c>
      <c r="I129" s="114"/>
      <c r="J129" s="116" t="s">
        <v>17</v>
      </c>
      <c r="K129" s="116"/>
      <c r="L129" s="114" t="s">
        <v>18</v>
      </c>
      <c r="M129" s="114"/>
      <c r="N129" s="114" t="s">
        <v>19</v>
      </c>
      <c r="O129" s="115"/>
      <c r="P129" s="114" t="s">
        <v>20</v>
      </c>
      <c r="Q129" s="114"/>
      <c r="R129" s="114" t="s">
        <v>21</v>
      </c>
    </row>
    <row r="130" spans="1:18" x14ac:dyDescent="0.25">
      <c r="C130" s="116" t="s">
        <v>22</v>
      </c>
      <c r="D130" s="116" t="s">
        <v>22</v>
      </c>
      <c r="F130" s="116" t="s">
        <v>23</v>
      </c>
      <c r="G130" s="116"/>
      <c r="H130" s="114" t="s">
        <v>24</v>
      </c>
      <c r="I130" s="116"/>
      <c r="J130" s="114" t="s">
        <v>25</v>
      </c>
      <c r="K130" s="116"/>
      <c r="L130" s="116" t="s">
        <v>25</v>
      </c>
      <c r="M130" s="116"/>
      <c r="O130" s="113"/>
      <c r="P130" s="116" t="s">
        <v>24</v>
      </c>
      <c r="R130" s="116"/>
    </row>
    <row r="131" spans="1:18" x14ac:dyDescent="0.25">
      <c r="A131" s="116" t="s">
        <v>26</v>
      </c>
      <c r="B131" s="116"/>
      <c r="C131" s="116" t="s">
        <v>27</v>
      </c>
      <c r="D131" s="116" t="s">
        <v>27</v>
      </c>
      <c r="E131" s="114"/>
      <c r="F131" s="116" t="s">
        <v>28</v>
      </c>
      <c r="G131" s="116"/>
      <c r="H131" s="116" t="s">
        <v>29</v>
      </c>
      <c r="I131" s="116"/>
      <c r="J131" s="116" t="s">
        <v>24</v>
      </c>
      <c r="K131" s="114"/>
      <c r="L131" s="116" t="s">
        <v>24</v>
      </c>
      <c r="M131" s="112"/>
      <c r="N131" s="116" t="s">
        <v>30</v>
      </c>
      <c r="O131" s="115"/>
      <c r="P131" s="114" t="s">
        <v>29</v>
      </c>
      <c r="Q131" s="114"/>
      <c r="R131" s="116" t="s">
        <v>31</v>
      </c>
    </row>
    <row r="132" spans="1:18" ht="13.8" thickBot="1" x14ac:dyDescent="0.3">
      <c r="A132" s="117" t="s">
        <v>32</v>
      </c>
      <c r="B132" s="117"/>
      <c r="C132" s="117" t="s">
        <v>33</v>
      </c>
      <c r="D132" s="117" t="s">
        <v>34</v>
      </c>
      <c r="E132" s="117"/>
      <c r="F132" s="118" t="s">
        <v>35</v>
      </c>
      <c r="G132" s="118"/>
      <c r="H132" s="118" t="s">
        <v>36</v>
      </c>
      <c r="I132" s="119"/>
      <c r="J132" s="118" t="s">
        <v>37</v>
      </c>
      <c r="K132" s="119"/>
      <c r="L132" s="119" t="s">
        <v>38</v>
      </c>
      <c r="M132" s="120"/>
      <c r="N132" s="120" t="s">
        <v>39</v>
      </c>
      <c r="O132" s="121"/>
      <c r="P132" s="120" t="s">
        <v>40</v>
      </c>
      <c r="Q132" s="120"/>
      <c r="R132" s="120" t="s">
        <v>41</v>
      </c>
    </row>
    <row r="133" spans="1:18" x14ac:dyDescent="0.25">
      <c r="A133" s="116">
        <v>1</v>
      </c>
      <c r="B133" s="116"/>
      <c r="O133" s="113"/>
    </row>
    <row r="134" spans="1:18" x14ac:dyDescent="0.25">
      <c r="A134" s="116">
        <f>A133+1</f>
        <v>2</v>
      </c>
      <c r="B134" s="122"/>
      <c r="C134" s="116">
        <v>31247</v>
      </c>
      <c r="D134" s="111" t="s">
        <v>75</v>
      </c>
      <c r="F134" s="126">
        <f>VLOOKUP($C134,'ASDR FY2'!$A:$X,F$16,FALSE)*100</f>
        <v>20</v>
      </c>
      <c r="G134" s="113"/>
      <c r="H134" s="7">
        <f>VLOOKUP($C134,'ASDR FY2'!$A:$X,H$16,FALSE)/1000</f>
        <v>10156.523809999999</v>
      </c>
      <c r="I134" s="8"/>
      <c r="J134" s="7">
        <f>VLOOKUP($C134,'ASDR FY2'!$A:$X,J$16,FALSE)/1000</f>
        <v>0</v>
      </c>
      <c r="K134" s="9"/>
      <c r="L134" s="7">
        <f>VLOOKUP($C134,'ASDR FY2'!$A:$X,L$16,FALSE)/1000</f>
        <v>0</v>
      </c>
      <c r="M134" s="9"/>
      <c r="N134" s="7">
        <f>VLOOKUP($C134,'ASDR FY2'!$A:$X,N$15,FALSE)/1000+VLOOKUP($C134,'ASDR FY2'!$A:$X,N$16,FALSE)/1000</f>
        <v>0</v>
      </c>
      <c r="O134" s="8"/>
      <c r="P134" s="7">
        <f>SUM(H134,J134,L134,N134)</f>
        <v>10156.523809999999</v>
      </c>
      <c r="Q134" s="9"/>
      <c r="R134" s="7">
        <f>VLOOKUP($C134,'ASDR FY2'!$A:$X,R$16,FALSE)/1000</f>
        <v>10156.523810000001</v>
      </c>
    </row>
    <row r="135" spans="1:18" x14ac:dyDescent="0.25">
      <c r="A135" s="116">
        <f t="shared" ref="A135:A176" si="2">A134+1</f>
        <v>3</v>
      </c>
      <c r="B135" s="122"/>
      <c r="C135" s="114">
        <v>31647</v>
      </c>
      <c r="D135" s="111" t="s">
        <v>76</v>
      </c>
      <c r="F135" s="126">
        <f>VLOOKUP($C135,'ASDR FY2'!$A:$X,F$16,FALSE)*100</f>
        <v>14.3</v>
      </c>
      <c r="G135" s="113"/>
      <c r="H135" s="7">
        <f>VLOOKUP($C135,'ASDR FY2'!$A:$X,H$16,FALSE)/1000</f>
        <v>765.49425000000019</v>
      </c>
      <c r="I135" s="8"/>
      <c r="J135" s="7">
        <f>VLOOKUP($C135,'ASDR FY2'!$A:$X,J$16,FALSE)/1000</f>
        <v>0</v>
      </c>
      <c r="K135" s="9"/>
      <c r="L135" s="7">
        <f>VLOOKUP($C135,'ASDR FY2'!$A:$X,L$16,FALSE)/1000</f>
        <v>-37.591320000000003</v>
      </c>
      <c r="M135" s="9"/>
      <c r="N135" s="7">
        <f>VLOOKUP($C135,'ASDR FY2'!$A:$X,N$15,FALSE)/1000+VLOOKUP($C135,'ASDR FY2'!$A:$X,N$16,FALSE)/1000</f>
        <v>0</v>
      </c>
      <c r="O135" s="8"/>
      <c r="P135" s="7">
        <f>SUM(H135,J135,L135,N135)</f>
        <v>727.9029300000002</v>
      </c>
      <c r="Q135" s="9"/>
      <c r="R135" s="7">
        <f>VLOOKUP($C135,'ASDR FY2'!$A:$X,R$16,FALSE)/1000</f>
        <v>736.13936999999999</v>
      </c>
    </row>
    <row r="136" spans="1:18" x14ac:dyDescent="0.25">
      <c r="A136" s="116">
        <f t="shared" si="2"/>
        <v>4</v>
      </c>
      <c r="B136" s="122"/>
      <c r="C136" s="116"/>
      <c r="F136" s="126"/>
      <c r="H136" s="21"/>
      <c r="I136" s="14"/>
      <c r="J136" s="21"/>
      <c r="K136" s="14"/>
      <c r="L136" s="21"/>
      <c r="M136" s="14"/>
      <c r="N136" s="21"/>
      <c r="O136" s="14"/>
      <c r="P136" s="21"/>
      <c r="Q136" s="14"/>
      <c r="R136" s="21"/>
    </row>
    <row r="137" spans="1:18" ht="13.8" thickBot="1" x14ac:dyDescent="0.3">
      <c r="A137" s="116">
        <f t="shared" si="2"/>
        <v>5</v>
      </c>
      <c r="B137" s="122"/>
      <c r="C137" s="116"/>
      <c r="D137" s="137" t="s">
        <v>77</v>
      </c>
      <c r="F137" s="126"/>
      <c r="G137" s="113"/>
      <c r="H137" s="18">
        <f>SUM(H24,H32,H40,H48,H56,H80,H87,H94,H101,H108,H115,H134,H135)</f>
        <v>1470824.9526399998</v>
      </c>
      <c r="I137" s="14"/>
      <c r="J137" s="18">
        <f>SUM(J24,J32,J40,J48,J56,J80,J87,J94,J101,J108,J115,J134,J135)</f>
        <v>18434.255680000002</v>
      </c>
      <c r="K137" s="14"/>
      <c r="L137" s="18">
        <f>SUM(L24,L32,L40,L48,L56,L80,L87,L94,L101,L108,L115,L134,L135)</f>
        <v>-3724.44238</v>
      </c>
      <c r="M137" s="14"/>
      <c r="N137" s="18">
        <f>SUM(N24,N32,N40,N48,N56,N80,N87,N94,N101,N108,N115,N134,N135)</f>
        <v>0</v>
      </c>
      <c r="O137" s="14"/>
      <c r="P137" s="18">
        <f>SUM(P24,P32,P40,P48,P56,P80,P87,P94,P101,P108,P115,P134,P135)</f>
        <v>1485534.7659400001</v>
      </c>
      <c r="Q137" s="14"/>
      <c r="R137" s="18">
        <f>SUM(R24,R32,R40,R48,R56,R80,R87,R94,R101,R108,R115,R134,R135)</f>
        <v>1476690.8798599998</v>
      </c>
    </row>
    <row r="138" spans="1:18" ht="13.8" thickTop="1" x14ac:dyDescent="0.25">
      <c r="A138" s="116">
        <f t="shared" si="2"/>
        <v>6</v>
      </c>
      <c r="B138" s="122"/>
      <c r="C138" s="116"/>
      <c r="F138" s="138"/>
      <c r="G138" s="113"/>
      <c r="H138" s="4"/>
      <c r="I138" s="14"/>
      <c r="J138" s="4"/>
      <c r="K138" s="14"/>
      <c r="L138" s="4"/>
      <c r="M138" s="14"/>
      <c r="N138" s="4"/>
      <c r="O138" s="14"/>
      <c r="P138" s="4"/>
      <c r="Q138" s="14"/>
      <c r="R138" s="4"/>
    </row>
    <row r="139" spans="1:18" ht="13.8" thickBot="1" x14ac:dyDescent="0.3">
      <c r="A139" s="116">
        <f t="shared" si="2"/>
        <v>7</v>
      </c>
      <c r="B139" s="116"/>
      <c r="C139" s="116"/>
      <c r="D139" s="111" t="s">
        <v>78</v>
      </c>
      <c r="F139" s="138"/>
      <c r="G139" s="113"/>
      <c r="H139" s="18">
        <f>H137</f>
        <v>1470824.9526399998</v>
      </c>
      <c r="I139" s="14"/>
      <c r="J139" s="18">
        <f>J137</f>
        <v>18434.255680000002</v>
      </c>
      <c r="K139" s="14"/>
      <c r="L139" s="18">
        <f>L137</f>
        <v>-3724.44238</v>
      </c>
      <c r="M139" s="14"/>
      <c r="N139" s="18">
        <f>N137</f>
        <v>0</v>
      </c>
      <c r="O139" s="14"/>
      <c r="P139" s="18">
        <f>P137</f>
        <v>1485534.7659400001</v>
      </c>
      <c r="Q139" s="14"/>
      <c r="R139" s="18">
        <f>R137</f>
        <v>1476690.8798599998</v>
      </c>
    </row>
    <row r="140" spans="1:18" ht="13.8" thickTop="1" x14ac:dyDescent="0.25">
      <c r="A140" s="116">
        <f t="shared" si="2"/>
        <v>8</v>
      </c>
      <c r="B140" s="116"/>
      <c r="F140" s="127"/>
      <c r="O140" s="113"/>
    </row>
    <row r="141" spans="1:18" x14ac:dyDescent="0.25">
      <c r="A141" s="116">
        <f t="shared" si="2"/>
        <v>9</v>
      </c>
      <c r="B141" s="122"/>
      <c r="D141" s="111" t="s">
        <v>79</v>
      </c>
      <c r="F141" s="127"/>
      <c r="O141" s="113"/>
    </row>
    <row r="142" spans="1:18" x14ac:dyDescent="0.25">
      <c r="A142" s="116">
        <f t="shared" si="2"/>
        <v>10</v>
      </c>
      <c r="B142" s="122"/>
      <c r="D142" s="111" t="s">
        <v>43</v>
      </c>
      <c r="F142" s="127"/>
      <c r="O142" s="113"/>
    </row>
    <row r="143" spans="1:18" x14ac:dyDescent="0.25">
      <c r="A143" s="116">
        <f t="shared" si="2"/>
        <v>11</v>
      </c>
      <c r="B143" s="122"/>
      <c r="D143" s="111" t="s">
        <v>80</v>
      </c>
      <c r="E143" s="116"/>
      <c r="F143" s="126"/>
      <c r="G143" s="139"/>
      <c r="H143" s="7"/>
      <c r="I143" s="22"/>
      <c r="J143" s="7"/>
      <c r="K143" s="22"/>
      <c r="L143" s="22"/>
      <c r="M143" s="22"/>
      <c r="N143" s="22"/>
      <c r="O143" s="60"/>
      <c r="P143" s="22"/>
      <c r="Q143" s="22"/>
      <c r="R143" s="22"/>
    </row>
    <row r="144" spans="1:18" x14ac:dyDescent="0.25">
      <c r="A144" s="116">
        <f t="shared" si="2"/>
        <v>12</v>
      </c>
      <c r="B144" s="122"/>
      <c r="C144" s="114">
        <v>34144</v>
      </c>
      <c r="D144" s="111" t="s">
        <v>45</v>
      </c>
      <c r="E144" s="116"/>
      <c r="F144" s="126">
        <f>VLOOKUP($C144,'ASDR FY2'!$A:$X,F$16,FALSE)*100</f>
        <v>3.38</v>
      </c>
      <c r="G144" s="113"/>
      <c r="H144" s="7">
        <f>VLOOKUP($C144,'ASDR FY2'!$A:$X,H$16,FALSE)/1000</f>
        <v>3335.8825499999998</v>
      </c>
      <c r="I144" s="8"/>
      <c r="J144" s="7">
        <f>VLOOKUP($C144,'ASDR FY2'!$A:$X,J$16,FALSE)/1000</f>
        <v>0</v>
      </c>
      <c r="K144" s="9"/>
      <c r="L144" s="7">
        <f>VLOOKUP($C144,'ASDR FY2'!$A:$X,L$16,FALSE)/1000</f>
        <v>0</v>
      </c>
      <c r="M144" s="9"/>
      <c r="N144" s="7">
        <f>VLOOKUP($C144,'ASDR FY2'!$A:$X,N$15,FALSE)/1000+VLOOKUP($C144,'ASDR FY2'!$A:$X,N$16,FALSE)/1000</f>
        <v>0</v>
      </c>
      <c r="O144" s="8"/>
      <c r="P144" s="7">
        <f>SUM(H144,J144,L144,N144)</f>
        <v>3335.8825499999998</v>
      </c>
      <c r="Q144" s="9"/>
      <c r="R144" s="7">
        <f>VLOOKUP($C144,'ASDR FY2'!$A:$X,R$16,FALSE)/1000</f>
        <v>3335.8825499999998</v>
      </c>
    </row>
    <row r="145" spans="1:18" x14ac:dyDescent="0.25">
      <c r="A145" s="116">
        <f t="shared" si="2"/>
        <v>13</v>
      </c>
      <c r="B145" s="122"/>
      <c r="C145" s="114">
        <v>34244</v>
      </c>
      <c r="D145" s="111" t="s">
        <v>81</v>
      </c>
      <c r="E145" s="116"/>
      <c r="F145" s="126">
        <f>VLOOKUP($C145,'ASDR FY2'!$A:$X,F$16,FALSE)*100</f>
        <v>4.45</v>
      </c>
      <c r="G145" s="113"/>
      <c r="H145" s="7">
        <f>VLOOKUP($C145,'ASDR FY2'!$A:$X,H$16,FALSE)/1000</f>
        <v>3722.7413250000009</v>
      </c>
      <c r="I145" s="8"/>
      <c r="J145" s="7">
        <f>VLOOKUP($C145,'ASDR FY2'!$A:$X,J$16,FALSE)/1000</f>
        <v>0</v>
      </c>
      <c r="K145" s="9"/>
      <c r="L145" s="7">
        <f>VLOOKUP($C145,'ASDR FY2'!$A:$X,L$16,FALSE)/1000</f>
        <v>0</v>
      </c>
      <c r="M145" s="9"/>
      <c r="N145" s="7">
        <f>VLOOKUP($C145,'ASDR FY2'!$A:$X,N$15,FALSE)/1000+VLOOKUP($C145,'ASDR FY2'!$A:$X,N$16,FALSE)/1000</f>
        <v>0</v>
      </c>
      <c r="O145" s="8"/>
      <c r="P145" s="7">
        <f>SUM(H145,J145,L145,N145)</f>
        <v>3722.7413250000009</v>
      </c>
      <c r="Q145" s="9"/>
      <c r="R145" s="7">
        <f>VLOOKUP($C145,'ASDR FY2'!$A:$X,R$16,FALSE)/1000</f>
        <v>3722.7413300000003</v>
      </c>
    </row>
    <row r="146" spans="1:18" x14ac:dyDescent="0.25">
      <c r="A146" s="116">
        <f t="shared" si="2"/>
        <v>14</v>
      </c>
      <c r="B146" s="122"/>
      <c r="C146" s="114">
        <v>34344</v>
      </c>
      <c r="D146" s="111" t="s">
        <v>82</v>
      </c>
      <c r="E146" s="116"/>
      <c r="F146" s="126">
        <f>VLOOKUP($C146,'ASDR FY2'!$A:$X,F$16,FALSE)*100</f>
        <v>2.72</v>
      </c>
      <c r="G146" s="113"/>
      <c r="H146" s="7">
        <f>VLOOKUP($C146,'ASDR FY2'!$A:$X,H$16,FALSE)/1000</f>
        <v>21710.268795000004</v>
      </c>
      <c r="I146" s="8"/>
      <c r="J146" s="7">
        <f>VLOOKUP($C146,'ASDR FY2'!$A:$X,J$16,FALSE)/1000</f>
        <v>0</v>
      </c>
      <c r="K146" s="9"/>
      <c r="L146" s="7">
        <f>VLOOKUP($C146,'ASDR FY2'!$A:$X,L$16,FALSE)/1000</f>
        <v>0</v>
      </c>
      <c r="M146" s="9"/>
      <c r="N146" s="7">
        <f>VLOOKUP($C146,'ASDR FY2'!$A:$X,N$15,FALSE)/1000+VLOOKUP($C146,'ASDR FY2'!$A:$X,N$16,FALSE)/1000</f>
        <v>0</v>
      </c>
      <c r="O146" s="8"/>
      <c r="P146" s="7">
        <f>SUM(H146,J146,L146,N146)</f>
        <v>21710.268795000004</v>
      </c>
      <c r="Q146" s="9"/>
      <c r="R146" s="7">
        <f>VLOOKUP($C146,'ASDR FY2'!$A:$X,R$16,FALSE)/1000</f>
        <v>21710.268800000002</v>
      </c>
    </row>
    <row r="147" spans="1:18" x14ac:dyDescent="0.25">
      <c r="A147" s="116">
        <f t="shared" si="2"/>
        <v>15</v>
      </c>
      <c r="B147" s="122"/>
      <c r="C147" s="114">
        <v>34544</v>
      </c>
      <c r="D147" s="111" t="s">
        <v>48</v>
      </c>
      <c r="E147" s="116"/>
      <c r="F147" s="126">
        <f>VLOOKUP($C147,'ASDR FY2'!$A:$X,F$16,FALSE)*100</f>
        <v>2.42</v>
      </c>
      <c r="G147" s="113"/>
      <c r="H147" s="7">
        <f>VLOOKUP($C147,'ASDR FY2'!$A:$X,H$16,FALSE)/1000</f>
        <v>16328.713470000001</v>
      </c>
      <c r="I147" s="8"/>
      <c r="J147" s="7">
        <f>VLOOKUP($C147,'ASDR FY2'!$A:$X,J$16,FALSE)/1000</f>
        <v>0</v>
      </c>
      <c r="K147" s="9"/>
      <c r="L147" s="7">
        <f>VLOOKUP($C147,'ASDR FY2'!$A:$X,L$16,FALSE)/1000</f>
        <v>0</v>
      </c>
      <c r="M147" s="9"/>
      <c r="N147" s="7">
        <f>VLOOKUP($C147,'ASDR FY2'!$A:$X,N$15,FALSE)/1000+VLOOKUP($C147,'ASDR FY2'!$A:$X,N$16,FALSE)/1000</f>
        <v>0</v>
      </c>
      <c r="O147" s="8"/>
      <c r="P147" s="7">
        <f>SUM(H147,J147,L147,N147)</f>
        <v>16328.713470000001</v>
      </c>
      <c r="Q147" s="9"/>
      <c r="R147" s="7">
        <f>VLOOKUP($C147,'ASDR FY2'!$A:$X,R$16,FALSE)/1000</f>
        <v>16328.713470000001</v>
      </c>
    </row>
    <row r="148" spans="1:18" x14ac:dyDescent="0.25">
      <c r="A148" s="116">
        <f t="shared" si="2"/>
        <v>16</v>
      </c>
      <c r="B148" s="122"/>
      <c r="C148" s="114">
        <v>34644</v>
      </c>
      <c r="D148" s="111" t="s">
        <v>49</v>
      </c>
      <c r="F148" s="126">
        <f>VLOOKUP($C148,'ASDR FY2'!$A:$X,F$16,FALSE)*100</f>
        <v>3.1300000000000003</v>
      </c>
      <c r="G148" s="113"/>
      <c r="H148" s="7">
        <f>VLOOKUP($C148,'ASDR FY2'!$A:$X,H$16,FALSE)/1000</f>
        <v>510.66471000000001</v>
      </c>
      <c r="I148" s="8"/>
      <c r="J148" s="7">
        <f>VLOOKUP($C148,'ASDR FY2'!$A:$X,J$16,FALSE)/1000</f>
        <v>0</v>
      </c>
      <c r="K148" s="9"/>
      <c r="L148" s="7">
        <f>VLOOKUP($C148,'ASDR FY2'!$A:$X,L$16,FALSE)/1000</f>
        <v>0</v>
      </c>
      <c r="M148" s="9"/>
      <c r="N148" s="7">
        <f>VLOOKUP($C148,'ASDR FY2'!$A:$X,N$15,FALSE)/1000+VLOOKUP($C148,'ASDR FY2'!$A:$X,N$16,FALSE)/1000</f>
        <v>0</v>
      </c>
      <c r="O148" s="8"/>
      <c r="P148" s="7">
        <f>SUM(H148,J148,L148,N148)</f>
        <v>510.66471000000001</v>
      </c>
      <c r="Q148" s="9"/>
      <c r="R148" s="7">
        <f>VLOOKUP($C148,'ASDR FY2'!$A:$X,R$16,FALSE)/1000</f>
        <v>510.66471000000001</v>
      </c>
    </row>
    <row r="149" spans="1:18" x14ac:dyDescent="0.25">
      <c r="A149" s="116">
        <f t="shared" si="2"/>
        <v>17</v>
      </c>
      <c r="B149" s="122"/>
      <c r="C149" s="114"/>
      <c r="D149" s="137" t="s">
        <v>83</v>
      </c>
      <c r="E149" s="116"/>
      <c r="F149" s="126"/>
      <c r="H149" s="11">
        <f>SUM(H144:H148)</f>
        <v>45608.270850000001</v>
      </c>
      <c r="I149" s="12"/>
      <c r="J149" s="11">
        <f>SUM(J144:J148)</f>
        <v>0</v>
      </c>
      <c r="K149" s="12"/>
      <c r="L149" s="11">
        <f>SUM(L144:L148)</f>
        <v>0</v>
      </c>
      <c r="M149" s="12"/>
      <c r="N149" s="11">
        <f>SUM(N144:N148)</f>
        <v>0</v>
      </c>
      <c r="O149" s="12"/>
      <c r="P149" s="11">
        <f>SUM(P144:P148)</f>
        <v>45608.270850000001</v>
      </c>
      <c r="Q149" s="12"/>
      <c r="R149" s="11">
        <f>SUM(R144:R148)</f>
        <v>45608.270859999997</v>
      </c>
    </row>
    <row r="150" spans="1:18" x14ac:dyDescent="0.25">
      <c r="A150" s="116">
        <f t="shared" si="2"/>
        <v>18</v>
      </c>
      <c r="B150" s="122"/>
      <c r="F150" s="127"/>
      <c r="O150" s="113"/>
    </row>
    <row r="151" spans="1:18" x14ac:dyDescent="0.25">
      <c r="A151" s="116">
        <f t="shared" si="2"/>
        <v>19</v>
      </c>
      <c r="B151" s="122"/>
      <c r="C151" s="114"/>
      <c r="D151" s="111" t="s">
        <v>84</v>
      </c>
      <c r="F151" s="127"/>
      <c r="O151" s="113"/>
    </row>
    <row r="152" spans="1:18" x14ac:dyDescent="0.25">
      <c r="A152" s="116">
        <f t="shared" si="2"/>
        <v>20</v>
      </c>
      <c r="B152" s="122"/>
      <c r="C152" s="114">
        <v>34145</v>
      </c>
      <c r="D152" s="111" t="s">
        <v>45</v>
      </c>
      <c r="F152" s="126">
        <f>VLOOKUP($C152,'ASDR FY2'!$A:$X,F$16,FALSE)*100</f>
        <v>2.2000000000000002</v>
      </c>
      <c r="G152" s="113"/>
      <c r="H152" s="7">
        <f>VLOOKUP($C152,'ASDR FY2'!$A:$X,H$16,FALSE)/1000</f>
        <v>0</v>
      </c>
      <c r="I152" s="8"/>
      <c r="J152" s="7">
        <f>VLOOKUP($C152,'ASDR FY2'!$A:$X,J$16,FALSE)/1000</f>
        <v>0</v>
      </c>
      <c r="K152" s="9"/>
      <c r="L152" s="7">
        <f>VLOOKUP($C152,'ASDR FY2'!$A:$X,L$16,FALSE)/1000</f>
        <v>0</v>
      </c>
      <c r="M152" s="9"/>
      <c r="N152" s="7">
        <f>VLOOKUP($C152,'ASDR FY2'!$A:$X,N$15,FALSE)/1000+VLOOKUP($C152,'ASDR FY2'!$A:$X,N$16,FALSE)/1000</f>
        <v>0</v>
      </c>
      <c r="O152" s="8"/>
      <c r="P152" s="7">
        <f>SUM(H152,J152,L152,N152)</f>
        <v>0</v>
      </c>
      <c r="Q152" s="9"/>
      <c r="R152" s="7">
        <f>VLOOKUP($C152,'ASDR FY2'!$A:$X,R$16,FALSE)/1000</f>
        <v>0</v>
      </c>
    </row>
    <row r="153" spans="1:18" x14ac:dyDescent="0.25">
      <c r="A153" s="116">
        <f t="shared" si="2"/>
        <v>21</v>
      </c>
      <c r="B153" s="122"/>
      <c r="C153" s="114">
        <v>34245</v>
      </c>
      <c r="D153" s="111" t="s">
        <v>81</v>
      </c>
      <c r="F153" s="126">
        <f>VLOOKUP($C153,'ASDR FY2'!$A:$X,F$16,FALSE)*100</f>
        <v>3.7800000000000002</v>
      </c>
      <c r="G153" s="113"/>
      <c r="H153" s="7">
        <f>VLOOKUP($C153,'ASDR FY2'!$A:$X,H$16,FALSE)/1000</f>
        <v>307.02813000000003</v>
      </c>
      <c r="I153" s="8"/>
      <c r="J153" s="7">
        <f>VLOOKUP($C153,'ASDR FY2'!$A:$X,J$16,FALSE)/1000</f>
        <v>202.5</v>
      </c>
      <c r="K153" s="9"/>
      <c r="L153" s="7">
        <f>VLOOKUP($C153,'ASDR FY2'!$A:$X,L$16,FALSE)/1000</f>
        <v>0</v>
      </c>
      <c r="M153" s="9"/>
      <c r="N153" s="7">
        <f>VLOOKUP($C153,'ASDR FY2'!$A:$X,N$15,FALSE)/1000+VLOOKUP($C153,'ASDR FY2'!$A:$X,N$16,FALSE)/1000</f>
        <v>0</v>
      </c>
      <c r="O153" s="8"/>
      <c r="P153" s="7">
        <f>SUM(H153,J153,L153,N153)</f>
        <v>509.52813000000003</v>
      </c>
      <c r="Q153" s="9"/>
      <c r="R153" s="7">
        <f>VLOOKUP($C153,'ASDR FY2'!$A:$X,R$16,FALSE)/1000</f>
        <v>391.83582000000001</v>
      </c>
    </row>
    <row r="154" spans="1:18" x14ac:dyDescent="0.25">
      <c r="A154" s="116">
        <f t="shared" si="2"/>
        <v>22</v>
      </c>
      <c r="B154" s="122"/>
      <c r="C154" s="114">
        <v>34345</v>
      </c>
      <c r="D154" s="111" t="s">
        <v>82</v>
      </c>
      <c r="F154" s="126">
        <f>VLOOKUP($C154,'ASDR FY2'!$A:$X,F$16,FALSE)*100</f>
        <v>3.5000000000000004</v>
      </c>
      <c r="G154" s="113"/>
      <c r="H154" s="7">
        <f>VLOOKUP($C154,'ASDR FY2'!$A:$X,H$16,FALSE)/1000</f>
        <v>176825.3832500001</v>
      </c>
      <c r="I154" s="8"/>
      <c r="J154" s="7">
        <f>VLOOKUP($C154,'ASDR FY2'!$A:$X,J$16,FALSE)/1000</f>
        <v>202.5</v>
      </c>
      <c r="K154" s="9"/>
      <c r="L154" s="7">
        <f>VLOOKUP($C154,'ASDR FY2'!$A:$X,L$16,FALSE)/1000</f>
        <v>0</v>
      </c>
      <c r="M154" s="9"/>
      <c r="N154" s="7">
        <f>VLOOKUP($C154,'ASDR FY2'!$A:$X,N$15,FALSE)/1000+VLOOKUP($C154,'ASDR FY2'!$A:$X,N$16,FALSE)/1000</f>
        <v>0</v>
      </c>
      <c r="O154" s="8"/>
      <c r="P154" s="7">
        <f>SUM(H154,J154,L154,N154)</f>
        <v>177027.8832500001</v>
      </c>
      <c r="Q154" s="9"/>
      <c r="R154" s="7">
        <f>VLOOKUP($C154,'ASDR FY2'!$A:$X,R$16,FALSE)/1000</f>
        <v>176910.19094</v>
      </c>
    </row>
    <row r="155" spans="1:18" x14ac:dyDescent="0.25">
      <c r="A155" s="116">
        <f t="shared" si="2"/>
        <v>23</v>
      </c>
      <c r="B155" s="122"/>
      <c r="C155" s="114">
        <v>34545</v>
      </c>
      <c r="D155" s="111" t="s">
        <v>48</v>
      </c>
      <c r="F155" s="126">
        <f>VLOOKUP($C155,'ASDR FY2'!$A:$X,F$16,FALSE)*100</f>
        <v>1.8900000000000001</v>
      </c>
      <c r="G155" s="113"/>
      <c r="H155" s="7">
        <f>VLOOKUP($C155,'ASDR FY2'!$A:$X,H$16,FALSE)/1000</f>
        <v>58.769359999999999</v>
      </c>
      <c r="I155" s="8"/>
      <c r="J155" s="7">
        <f>VLOOKUP($C155,'ASDR FY2'!$A:$X,J$16,FALSE)/1000</f>
        <v>0</v>
      </c>
      <c r="K155" s="9"/>
      <c r="L155" s="7">
        <f>VLOOKUP($C155,'ASDR FY2'!$A:$X,L$16,FALSE)/1000</f>
        <v>0</v>
      </c>
      <c r="M155" s="9"/>
      <c r="N155" s="7">
        <f>VLOOKUP($C155,'ASDR FY2'!$A:$X,N$15,FALSE)/1000+VLOOKUP($C155,'ASDR FY2'!$A:$X,N$16,FALSE)/1000</f>
        <v>0</v>
      </c>
      <c r="O155" s="8"/>
      <c r="P155" s="7">
        <f>SUM(H155,J155,L155,N155)</f>
        <v>58.769359999999999</v>
      </c>
      <c r="Q155" s="9"/>
      <c r="R155" s="7">
        <f>VLOOKUP($C155,'ASDR FY2'!$A:$X,R$16,FALSE)/1000</f>
        <v>58.769359999999999</v>
      </c>
    </row>
    <row r="156" spans="1:18" x14ac:dyDescent="0.25">
      <c r="A156" s="116">
        <f t="shared" si="2"/>
        <v>24</v>
      </c>
      <c r="B156" s="122"/>
      <c r="C156" s="114">
        <v>34645</v>
      </c>
      <c r="D156" s="111" t="s">
        <v>49</v>
      </c>
      <c r="F156" s="126">
        <f>VLOOKUP($C156,'ASDR FY2'!$A:$X,F$16,FALSE)*100</f>
        <v>2.94</v>
      </c>
      <c r="G156" s="113"/>
      <c r="H156" s="7">
        <f>VLOOKUP($C156,'ASDR FY2'!$A:$X,H$16,FALSE)/1000</f>
        <v>0</v>
      </c>
      <c r="I156" s="8"/>
      <c r="J156" s="7">
        <f>VLOOKUP($C156,'ASDR FY2'!$A:$X,J$16,FALSE)/1000</f>
        <v>0</v>
      </c>
      <c r="K156" s="9"/>
      <c r="L156" s="7">
        <f>VLOOKUP($C156,'ASDR FY2'!$A:$X,L$16,FALSE)/1000</f>
        <v>0</v>
      </c>
      <c r="M156" s="9"/>
      <c r="N156" s="7">
        <f>VLOOKUP($C156,'ASDR FY2'!$A:$X,N$15,FALSE)/1000+VLOOKUP($C156,'ASDR FY2'!$A:$X,N$16,FALSE)/1000</f>
        <v>0</v>
      </c>
      <c r="O156" s="8"/>
      <c r="P156" s="7">
        <f>SUM(H156,J156,L156,N156)</f>
        <v>0</v>
      </c>
      <c r="Q156" s="9"/>
      <c r="R156" s="7">
        <f>VLOOKUP($C156,'ASDR FY2'!$A:$X,R$16,FALSE)/1000</f>
        <v>0</v>
      </c>
    </row>
    <row r="157" spans="1:18" x14ac:dyDescent="0.25">
      <c r="A157" s="116">
        <f t="shared" si="2"/>
        <v>25</v>
      </c>
      <c r="B157" s="122"/>
      <c r="C157" s="114"/>
      <c r="D157" s="137" t="s">
        <v>85</v>
      </c>
      <c r="F157" s="127"/>
      <c r="H157" s="11">
        <f>SUM(H152:H156)</f>
        <v>177191.1807400001</v>
      </c>
      <c r="I157" s="12"/>
      <c r="J157" s="11">
        <f>SUM(J152:J156)</f>
        <v>405</v>
      </c>
      <c r="K157" s="12"/>
      <c r="L157" s="11">
        <f>SUM(L152:L156)</f>
        <v>0</v>
      </c>
      <c r="M157" s="12"/>
      <c r="N157" s="11">
        <f>SUM(N152:N156)</f>
        <v>0</v>
      </c>
      <c r="O157" s="12"/>
      <c r="P157" s="11">
        <f>SUM(P152:P156)</f>
        <v>177596.1807400001</v>
      </c>
      <c r="Q157" s="12"/>
      <c r="R157" s="11">
        <f>SUM(R152:R156)</f>
        <v>177360.79612000001</v>
      </c>
    </row>
    <row r="158" spans="1:18" x14ac:dyDescent="0.25">
      <c r="A158" s="116">
        <f t="shared" si="2"/>
        <v>26</v>
      </c>
      <c r="B158" s="122"/>
      <c r="C158" s="116"/>
      <c r="D158" s="116"/>
      <c r="E158" s="116"/>
      <c r="F158" s="126"/>
      <c r="G158" s="139"/>
      <c r="H158" s="7"/>
      <c r="I158" s="12"/>
      <c r="J158" s="7"/>
      <c r="K158" s="12"/>
      <c r="L158" s="7"/>
      <c r="M158" s="12"/>
      <c r="N158" s="7"/>
      <c r="O158" s="12"/>
      <c r="P158" s="7"/>
      <c r="Q158" s="12"/>
      <c r="R158" s="7"/>
    </row>
    <row r="159" spans="1:18" x14ac:dyDescent="0.25">
      <c r="A159" s="116">
        <f t="shared" si="2"/>
        <v>27</v>
      </c>
      <c r="B159" s="122"/>
      <c r="C159" s="114"/>
      <c r="D159" s="111" t="s">
        <v>86</v>
      </c>
      <c r="F159" s="127"/>
      <c r="O159" s="113"/>
    </row>
    <row r="160" spans="1:18" x14ac:dyDescent="0.25">
      <c r="A160" s="116">
        <f t="shared" si="2"/>
        <v>28</v>
      </c>
      <c r="B160" s="122"/>
      <c r="C160" s="114">
        <v>34146</v>
      </c>
      <c r="D160" s="111" t="s">
        <v>45</v>
      </c>
      <c r="F160" s="126">
        <f>VLOOKUP($C160,'ASDR FY2'!$A:$X,F$16,FALSE)*100</f>
        <v>2.2000000000000002</v>
      </c>
      <c r="G160" s="113"/>
      <c r="H160" s="7">
        <f>VLOOKUP($C160,'ASDR FY2'!$A:$X,H$16,FALSE)/1000</f>
        <v>0</v>
      </c>
      <c r="I160" s="8"/>
      <c r="J160" s="7">
        <f>VLOOKUP($C160,'ASDR FY2'!$A:$X,J$16,FALSE)/1000</f>
        <v>0</v>
      </c>
      <c r="K160" s="9"/>
      <c r="L160" s="7">
        <f>VLOOKUP($C160,'ASDR FY2'!$A:$X,L$16,FALSE)/1000</f>
        <v>0</v>
      </c>
      <c r="M160" s="9"/>
      <c r="N160" s="7">
        <f>VLOOKUP($C160,'ASDR FY2'!$A:$X,N$15,FALSE)/1000+VLOOKUP($C160,'ASDR FY2'!$A:$X,N$16,FALSE)/1000</f>
        <v>0</v>
      </c>
      <c r="O160" s="8"/>
      <c r="P160" s="7">
        <f>SUM(H160,J160,L160,N160)</f>
        <v>0</v>
      </c>
      <c r="Q160" s="9"/>
      <c r="R160" s="7">
        <f>VLOOKUP($C160,'ASDR FY2'!$A:$X,R$16,FALSE)/1000</f>
        <v>0</v>
      </c>
    </row>
    <row r="161" spans="1:18" x14ac:dyDescent="0.25">
      <c r="A161" s="116">
        <f t="shared" si="2"/>
        <v>29</v>
      </c>
      <c r="B161" s="122"/>
      <c r="C161" s="114">
        <v>34246</v>
      </c>
      <c r="D161" s="111" t="s">
        <v>81</v>
      </c>
      <c r="F161" s="126">
        <f>VLOOKUP($C161,'ASDR FY2'!$A:$X,F$16,FALSE)*100</f>
        <v>3.65</v>
      </c>
      <c r="G161" s="113"/>
      <c r="H161" s="7">
        <f>VLOOKUP($C161,'ASDR FY2'!$A:$X,H$16,FALSE)/1000</f>
        <v>388.11342500000018</v>
      </c>
      <c r="I161" s="8"/>
      <c r="J161" s="7">
        <f>VLOOKUP($C161,'ASDR FY2'!$A:$X,J$16,FALSE)/1000</f>
        <v>0</v>
      </c>
      <c r="K161" s="9"/>
      <c r="L161" s="7">
        <f>VLOOKUP($C161,'ASDR FY2'!$A:$X,L$16,FALSE)/1000</f>
        <v>0</v>
      </c>
      <c r="M161" s="9"/>
      <c r="N161" s="7">
        <f>VLOOKUP($C161,'ASDR FY2'!$A:$X,N$15,FALSE)/1000+VLOOKUP($C161,'ASDR FY2'!$A:$X,N$16,FALSE)/1000</f>
        <v>0</v>
      </c>
      <c r="O161" s="8"/>
      <c r="P161" s="7">
        <f>SUM(H161,J161,L161,N161)</f>
        <v>388.11342500000018</v>
      </c>
      <c r="Q161" s="9"/>
      <c r="R161" s="7">
        <f>VLOOKUP($C161,'ASDR FY2'!$A:$X,R$16,FALSE)/1000</f>
        <v>388.11342999999999</v>
      </c>
    </row>
    <row r="162" spans="1:18" x14ac:dyDescent="0.25">
      <c r="A162" s="116">
        <f t="shared" si="2"/>
        <v>30</v>
      </c>
      <c r="B162" s="122"/>
      <c r="C162" s="114">
        <v>34346</v>
      </c>
      <c r="D162" s="111" t="s">
        <v>82</v>
      </c>
      <c r="F162" s="126">
        <f>VLOOKUP($C162,'ASDR FY2'!$A:$X,F$16,FALSE)*100</f>
        <v>3.5000000000000004</v>
      </c>
      <c r="G162" s="113"/>
      <c r="H162" s="7">
        <f>VLOOKUP($C162,'ASDR FY2'!$A:$X,H$16,FALSE)/1000</f>
        <v>175636.43262500013</v>
      </c>
      <c r="I162" s="8"/>
      <c r="J162" s="7">
        <f>VLOOKUP($C162,'ASDR FY2'!$A:$X,J$16,FALSE)/1000</f>
        <v>0</v>
      </c>
      <c r="K162" s="9"/>
      <c r="L162" s="7">
        <f>VLOOKUP($C162,'ASDR FY2'!$A:$X,L$16,FALSE)/1000</f>
        <v>0</v>
      </c>
      <c r="M162" s="9"/>
      <c r="N162" s="7">
        <f>VLOOKUP($C162,'ASDR FY2'!$A:$X,N$15,FALSE)/1000+VLOOKUP($C162,'ASDR FY2'!$A:$X,N$16,FALSE)/1000</f>
        <v>0</v>
      </c>
      <c r="O162" s="8"/>
      <c r="P162" s="7">
        <f>SUM(H162,J162,L162,N162)</f>
        <v>175636.43262500013</v>
      </c>
      <c r="Q162" s="9"/>
      <c r="R162" s="7">
        <f>VLOOKUP($C162,'ASDR FY2'!$A:$X,R$16,FALSE)/1000</f>
        <v>175636.43263</v>
      </c>
    </row>
    <row r="163" spans="1:18" x14ac:dyDescent="0.25">
      <c r="A163" s="116">
        <f t="shared" si="2"/>
        <v>31</v>
      </c>
      <c r="B163" s="122"/>
      <c r="C163" s="114">
        <v>34546</v>
      </c>
      <c r="D163" s="111" t="s">
        <v>48</v>
      </c>
      <c r="F163" s="126">
        <f>VLOOKUP($C163,'ASDR FY2'!$A:$X,F$16,FALSE)*100</f>
        <v>1.8900000000000001</v>
      </c>
      <c r="G163" s="113"/>
      <c r="H163" s="7">
        <f>VLOOKUP($C163,'ASDR FY2'!$A:$X,H$16,FALSE)/1000</f>
        <v>19.190819999999999</v>
      </c>
      <c r="I163" s="8"/>
      <c r="J163" s="7">
        <f>VLOOKUP($C163,'ASDR FY2'!$A:$X,J$16,FALSE)/1000</f>
        <v>0</v>
      </c>
      <c r="K163" s="9"/>
      <c r="L163" s="7">
        <f>VLOOKUP($C163,'ASDR FY2'!$A:$X,L$16,FALSE)/1000</f>
        <v>0</v>
      </c>
      <c r="M163" s="9"/>
      <c r="N163" s="7">
        <f>VLOOKUP($C163,'ASDR FY2'!$A:$X,N$15,FALSE)/1000+VLOOKUP($C163,'ASDR FY2'!$A:$X,N$16,FALSE)/1000</f>
        <v>0</v>
      </c>
      <c r="O163" s="8"/>
      <c r="P163" s="7">
        <f>SUM(H163,J163,L163,N163)</f>
        <v>19.190819999999999</v>
      </c>
      <c r="Q163" s="9"/>
      <c r="R163" s="7">
        <f>VLOOKUP($C163,'ASDR FY2'!$A:$X,R$16,FALSE)/1000</f>
        <v>19.190819999999999</v>
      </c>
    </row>
    <row r="164" spans="1:18" x14ac:dyDescent="0.25">
      <c r="A164" s="116">
        <f t="shared" si="2"/>
        <v>32</v>
      </c>
      <c r="B164" s="122"/>
      <c r="C164" s="114">
        <v>34646</v>
      </c>
      <c r="D164" s="111" t="s">
        <v>49</v>
      </c>
      <c r="F164" s="126">
        <f>VLOOKUP($C164,'ASDR FY2'!$A:$X,F$16,FALSE)*100</f>
        <v>2.94</v>
      </c>
      <c r="G164" s="113"/>
      <c r="H164" s="7">
        <f>VLOOKUP($C164,'ASDR FY2'!$A:$X,H$16,FALSE)/1000</f>
        <v>0</v>
      </c>
      <c r="I164" s="8"/>
      <c r="J164" s="7">
        <f>VLOOKUP($C164,'ASDR FY2'!$A:$X,J$16,FALSE)/1000</f>
        <v>0</v>
      </c>
      <c r="K164" s="9"/>
      <c r="L164" s="7">
        <f>VLOOKUP($C164,'ASDR FY2'!$A:$X,L$16,FALSE)/1000</f>
        <v>0</v>
      </c>
      <c r="M164" s="9"/>
      <c r="N164" s="7">
        <f>VLOOKUP($C164,'ASDR FY2'!$A:$X,N$15,FALSE)/1000+VLOOKUP($C164,'ASDR FY2'!$A:$X,N$16,FALSE)/1000</f>
        <v>0</v>
      </c>
      <c r="O164" s="8"/>
      <c r="P164" s="7">
        <f>SUM(H164,J164,L164,N164)</f>
        <v>0</v>
      </c>
      <c r="Q164" s="9"/>
      <c r="R164" s="7">
        <f>VLOOKUP($C164,'ASDR FY2'!$A:$X,R$16,FALSE)/1000</f>
        <v>0</v>
      </c>
    </row>
    <row r="165" spans="1:18" x14ac:dyDescent="0.25">
      <c r="A165" s="116">
        <f t="shared" si="2"/>
        <v>33</v>
      </c>
      <c r="B165" s="122"/>
      <c r="D165" s="137" t="s">
        <v>87</v>
      </c>
      <c r="F165" s="127"/>
      <c r="H165" s="11">
        <f>SUM(H160:H164)</f>
        <v>176043.73687000011</v>
      </c>
      <c r="I165" s="12"/>
      <c r="J165" s="11">
        <f>SUM(J160:J164)</f>
        <v>0</v>
      </c>
      <c r="K165" s="12"/>
      <c r="L165" s="11">
        <f>SUM(L160:L164)</f>
        <v>0</v>
      </c>
      <c r="M165" s="12"/>
      <c r="N165" s="11">
        <f>SUM(N160:N164)</f>
        <v>0</v>
      </c>
      <c r="O165" s="12"/>
      <c r="P165" s="11">
        <f>SUM(P160:P164)</f>
        <v>176043.73687000011</v>
      </c>
      <c r="Q165" s="12"/>
      <c r="R165" s="11">
        <f>SUM(R160:R164)</f>
        <v>176043.73687999998</v>
      </c>
    </row>
    <row r="166" spans="1:18" x14ac:dyDescent="0.25">
      <c r="A166" s="116">
        <f t="shared" si="2"/>
        <v>34</v>
      </c>
      <c r="B166" s="122"/>
      <c r="F166" s="127"/>
      <c r="O166" s="113"/>
    </row>
    <row r="167" spans="1:18" x14ac:dyDescent="0.25">
      <c r="A167" s="116">
        <f t="shared" si="2"/>
        <v>35</v>
      </c>
      <c r="B167" s="122"/>
      <c r="C167" s="114"/>
      <c r="D167" s="111" t="s">
        <v>88</v>
      </c>
      <c r="F167" s="127"/>
      <c r="O167" s="113"/>
    </row>
    <row r="168" spans="1:18" x14ac:dyDescent="0.25">
      <c r="A168" s="116">
        <f t="shared" si="2"/>
        <v>36</v>
      </c>
      <c r="B168" s="122"/>
      <c r="C168" s="114">
        <v>34143</v>
      </c>
      <c r="D168" s="111" t="s">
        <v>45</v>
      </c>
      <c r="F168" s="126">
        <f>VLOOKUP($C168,'ASDR FY2'!$A:$X,F$16,FALSE)*100</f>
        <v>3.4300000000000006</v>
      </c>
      <c r="G168" s="113"/>
      <c r="H168" s="7">
        <f>VLOOKUP($C168,'ASDR FY2'!$A:$X,H$16,FALSE)/1000</f>
        <v>2290.54898</v>
      </c>
      <c r="I168" s="8"/>
      <c r="J168" s="7">
        <f>VLOOKUP($C168,'ASDR FY2'!$A:$X,J$16,FALSE)/1000</f>
        <v>0</v>
      </c>
      <c r="K168" s="9"/>
      <c r="L168" s="7">
        <f>VLOOKUP($C168,'ASDR FY2'!$A:$X,L$16,FALSE)/1000</f>
        <v>0</v>
      </c>
      <c r="M168" s="9"/>
      <c r="N168" s="7">
        <f>VLOOKUP($C168,'ASDR FY2'!$A:$X,N$15,FALSE)/1000+VLOOKUP($C168,'ASDR FY2'!$A:$X,N$16,FALSE)/1000</f>
        <v>0</v>
      </c>
      <c r="O168" s="8"/>
      <c r="P168" s="7">
        <f>SUM(H168,J168,L168,N168)</f>
        <v>2290.54898</v>
      </c>
      <c r="Q168" s="9"/>
      <c r="R168" s="7">
        <f>VLOOKUP($C168,'ASDR FY2'!$A:$X,R$16,FALSE)/1000</f>
        <v>2290.54898</v>
      </c>
    </row>
    <row r="169" spans="1:18" x14ac:dyDescent="0.25">
      <c r="A169" s="116">
        <f t="shared" si="2"/>
        <v>37</v>
      </c>
      <c r="B169" s="122"/>
      <c r="C169" s="114">
        <v>34243</v>
      </c>
      <c r="D169" s="111" t="s">
        <v>81</v>
      </c>
      <c r="F169" s="126">
        <f>VLOOKUP($C169,'ASDR FY2'!$A:$X,F$16,FALSE)*100</f>
        <v>2.2200000000000002</v>
      </c>
      <c r="G169" s="113"/>
      <c r="H169" s="7">
        <f>VLOOKUP($C169,'ASDR FY2'!$A:$X,H$16,FALSE)/1000</f>
        <v>3578.3287149999996</v>
      </c>
      <c r="I169" s="8"/>
      <c r="J169" s="7">
        <f>VLOOKUP($C169,'ASDR FY2'!$A:$X,J$16,FALSE)/1000</f>
        <v>22.673639999999999</v>
      </c>
      <c r="K169" s="9"/>
      <c r="L169" s="7">
        <f>VLOOKUP($C169,'ASDR FY2'!$A:$X,L$16,FALSE)/1000</f>
        <v>0</v>
      </c>
      <c r="M169" s="9"/>
      <c r="N169" s="7">
        <f>VLOOKUP($C169,'ASDR FY2'!$A:$X,N$15,FALSE)/1000+VLOOKUP($C169,'ASDR FY2'!$A:$X,N$16,FALSE)/1000</f>
        <v>0</v>
      </c>
      <c r="O169" s="8"/>
      <c r="P169" s="7">
        <f>SUM(H169,J169,L169,N169)</f>
        <v>3601.0023549999996</v>
      </c>
      <c r="Q169" s="9"/>
      <c r="R169" s="7">
        <f>VLOOKUP($C169,'ASDR FY2'!$A:$X,R$16,FALSE)/1000</f>
        <v>3590.5376000000001</v>
      </c>
    </row>
    <row r="170" spans="1:18" x14ac:dyDescent="0.25">
      <c r="A170" s="116">
        <f t="shared" si="2"/>
        <v>38</v>
      </c>
      <c r="B170" s="122"/>
      <c r="C170" s="114">
        <v>34343</v>
      </c>
      <c r="D170" s="111" t="s">
        <v>82</v>
      </c>
      <c r="F170" s="126">
        <f>VLOOKUP($C170,'ASDR FY2'!$A:$X,F$16,FALSE)*100</f>
        <v>3.64</v>
      </c>
      <c r="G170" s="113"/>
      <c r="H170" s="7">
        <f>VLOOKUP($C170,'ASDR FY2'!$A:$X,H$16,FALSE)/1000</f>
        <v>459235.39642500004</v>
      </c>
      <c r="I170" s="8"/>
      <c r="J170" s="7">
        <f>VLOOKUP($C170,'ASDR FY2'!$A:$X,J$16,FALSE)/1000</f>
        <v>22.673639999999999</v>
      </c>
      <c r="K170" s="9"/>
      <c r="L170" s="7">
        <f>VLOOKUP($C170,'ASDR FY2'!$A:$X,L$16,FALSE)/1000</f>
        <v>0</v>
      </c>
      <c r="M170" s="9"/>
      <c r="N170" s="7">
        <f>VLOOKUP($C170,'ASDR FY2'!$A:$X,N$15,FALSE)/1000+VLOOKUP($C170,'ASDR FY2'!$A:$X,N$16,FALSE)/1000</f>
        <v>0</v>
      </c>
      <c r="O170" s="8"/>
      <c r="P170" s="7">
        <f>SUM(H170,J170,L170,N170)</f>
        <v>459258.07006500004</v>
      </c>
      <c r="Q170" s="9"/>
      <c r="R170" s="7">
        <f>VLOOKUP($C170,'ASDR FY2'!$A:$X,R$16,FALSE)/1000</f>
        <v>459247.60531000001</v>
      </c>
    </row>
    <row r="171" spans="1:18" x14ac:dyDescent="0.25">
      <c r="A171" s="116">
        <f t="shared" si="2"/>
        <v>39</v>
      </c>
      <c r="B171" s="122"/>
      <c r="C171" s="114">
        <v>34543</v>
      </c>
      <c r="D171" s="111" t="s">
        <v>48</v>
      </c>
      <c r="F171" s="126">
        <f>VLOOKUP($C171,'ASDR FY2'!$A:$X,F$16,FALSE)*100</f>
        <v>2.92</v>
      </c>
      <c r="G171" s="113"/>
      <c r="H171" s="7">
        <f>VLOOKUP($C171,'ASDR FY2'!$A:$X,H$16,FALSE)/1000</f>
        <v>700.67701999999997</v>
      </c>
      <c r="I171" s="8"/>
      <c r="J171" s="7">
        <f>VLOOKUP($C171,'ASDR FY2'!$A:$X,J$16,FALSE)/1000</f>
        <v>0</v>
      </c>
      <c r="K171" s="9"/>
      <c r="L171" s="7">
        <f>VLOOKUP($C171,'ASDR FY2'!$A:$X,L$16,FALSE)/1000</f>
        <v>0</v>
      </c>
      <c r="M171" s="9"/>
      <c r="N171" s="7">
        <f>VLOOKUP($C171,'ASDR FY2'!$A:$X,N$15,FALSE)/1000+VLOOKUP($C171,'ASDR FY2'!$A:$X,N$16,FALSE)/1000</f>
        <v>0</v>
      </c>
      <c r="O171" s="8"/>
      <c r="P171" s="7">
        <f>SUM(H171,J171,L171,N171)</f>
        <v>700.67701999999997</v>
      </c>
      <c r="Q171" s="9"/>
      <c r="R171" s="7">
        <f>VLOOKUP($C171,'ASDR FY2'!$A:$X,R$16,FALSE)/1000</f>
        <v>700.67701999999997</v>
      </c>
    </row>
    <row r="172" spans="1:18" x14ac:dyDescent="0.25">
      <c r="A172" s="116">
        <f t="shared" si="2"/>
        <v>40</v>
      </c>
      <c r="B172" s="122"/>
      <c r="C172" s="114">
        <v>34643</v>
      </c>
      <c r="D172" s="111" t="s">
        <v>49</v>
      </c>
      <c r="F172" s="126">
        <f>VLOOKUP($C172,'ASDR FY2'!$A:$X,F$16,FALSE)*100</f>
        <v>2.66</v>
      </c>
      <c r="G172" s="113"/>
      <c r="H172" s="7">
        <f>VLOOKUP($C172,'ASDR FY2'!$A:$X,H$16,FALSE)/1000</f>
        <v>308.52593000000002</v>
      </c>
      <c r="I172" s="8"/>
      <c r="J172" s="7">
        <f>VLOOKUP($C172,'ASDR FY2'!$A:$X,J$16,FALSE)/1000</f>
        <v>0</v>
      </c>
      <c r="K172" s="9"/>
      <c r="L172" s="7">
        <f>VLOOKUP($C172,'ASDR FY2'!$A:$X,L$16,FALSE)/1000</f>
        <v>0</v>
      </c>
      <c r="M172" s="9"/>
      <c r="N172" s="7">
        <f>VLOOKUP($C172,'ASDR FY2'!$A:$X,N$15,FALSE)/1000+VLOOKUP($C172,'ASDR FY2'!$A:$X,N$16,FALSE)/1000</f>
        <v>0</v>
      </c>
      <c r="O172" s="8"/>
      <c r="P172" s="7">
        <f>SUM(H172,J172,L172,N172)</f>
        <v>308.52593000000002</v>
      </c>
      <c r="Q172" s="9"/>
      <c r="R172" s="7">
        <f>VLOOKUP($C172,'ASDR FY2'!$A:$X,R$16,FALSE)/1000</f>
        <v>308.52593000000002</v>
      </c>
    </row>
    <row r="173" spans="1:18" x14ac:dyDescent="0.25">
      <c r="A173" s="116">
        <f t="shared" si="2"/>
        <v>41</v>
      </c>
      <c r="B173" s="122"/>
      <c r="D173" s="137" t="s">
        <v>89</v>
      </c>
      <c r="H173" s="11">
        <f>SUM(H168:H172)</f>
        <v>466113.47707000002</v>
      </c>
      <c r="I173" s="12"/>
      <c r="J173" s="11">
        <f>SUM(J168:J172)</f>
        <v>45.347279999999998</v>
      </c>
      <c r="K173" s="12"/>
      <c r="L173" s="11">
        <f>SUM(L168:L172)</f>
        <v>0</v>
      </c>
      <c r="M173" s="12"/>
      <c r="N173" s="11">
        <f>SUM(N168:N172)</f>
        <v>0</v>
      </c>
      <c r="O173" s="12"/>
      <c r="P173" s="11">
        <f>SUM(P168:P172)</f>
        <v>466158.82435000007</v>
      </c>
      <c r="Q173" s="12"/>
      <c r="R173" s="11">
        <f>SUM(R168:R172)</f>
        <v>466137.89484000002</v>
      </c>
    </row>
    <row r="174" spans="1:18" x14ac:dyDescent="0.25">
      <c r="A174" s="116">
        <f t="shared" si="2"/>
        <v>42</v>
      </c>
      <c r="B174" s="122"/>
      <c r="H174" s="140"/>
      <c r="J174" s="140"/>
      <c r="L174" s="140"/>
      <c r="N174" s="140"/>
      <c r="O174" s="113"/>
      <c r="P174" s="140"/>
      <c r="R174" s="140"/>
    </row>
    <row r="175" spans="1:18" ht="13.8" thickBot="1" x14ac:dyDescent="0.3">
      <c r="A175" s="116">
        <f t="shared" si="2"/>
        <v>43</v>
      </c>
      <c r="B175" s="122"/>
      <c r="D175" s="137" t="s">
        <v>77</v>
      </c>
      <c r="F175" s="131"/>
      <c r="G175" s="141"/>
      <c r="H175" s="18">
        <f>SUM(H149,H157,H165,H173)</f>
        <v>864956.66553000023</v>
      </c>
      <c r="I175" s="12"/>
      <c r="J175" s="18">
        <f>SUM(J149,J157,J165,J173)</f>
        <v>450.34728000000001</v>
      </c>
      <c r="K175" s="12"/>
      <c r="L175" s="18">
        <f>SUM(L149,L157,L165,L173)</f>
        <v>0</v>
      </c>
      <c r="M175" s="12"/>
      <c r="N175" s="18">
        <f>SUM(N149,N157,N165,N173)</f>
        <v>0</v>
      </c>
      <c r="O175" s="12"/>
      <c r="P175" s="18">
        <f>SUM(P149,P157,P165,P173)</f>
        <v>865407.01281000022</v>
      </c>
      <c r="Q175" s="12"/>
      <c r="R175" s="18">
        <f>SUM(R149,R157,R165,R173)</f>
        <v>865150.69870000007</v>
      </c>
    </row>
    <row r="176" spans="1:18" ht="14.4" thickTop="1" thickBot="1" x14ac:dyDescent="0.3">
      <c r="A176" s="117">
        <f t="shared" si="2"/>
        <v>44</v>
      </c>
      <c r="B176" s="19" t="s">
        <v>59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32"/>
      <c r="P176" s="110"/>
      <c r="Q176" s="110"/>
      <c r="R176" s="110"/>
    </row>
    <row r="177" spans="1:18" x14ac:dyDescent="0.25">
      <c r="A177" s="111" t="str">
        <f>$A$59</f>
        <v>Supporting Schedules:  B-08, B-11</v>
      </c>
      <c r="O177" s="113"/>
      <c r="P177" s="111" t="str">
        <f>$P$59</f>
        <v>Recap Schedules:  B-03, B-06</v>
      </c>
    </row>
    <row r="178" spans="1:18" ht="13.8" thickBot="1" x14ac:dyDescent="0.3">
      <c r="A178" s="110" t="str">
        <f>$A$1</f>
        <v>SCHEDULE B-07</v>
      </c>
      <c r="B178" s="110"/>
      <c r="C178" s="110"/>
      <c r="D178" s="110"/>
      <c r="E178" s="110"/>
      <c r="F178" s="110"/>
      <c r="G178" s="110" t="str">
        <f>$G$1</f>
        <v>PLANT BALANCES BY ACCOUNT AND SUB-ACCOUNT</v>
      </c>
      <c r="H178" s="110"/>
      <c r="I178" s="110"/>
      <c r="J178" s="110"/>
      <c r="K178" s="110"/>
      <c r="L178" s="110"/>
      <c r="M178" s="110"/>
      <c r="N178" s="110"/>
      <c r="O178" s="132"/>
      <c r="P178" s="110"/>
      <c r="Q178" s="110"/>
      <c r="R178" s="110" t="str">
        <f>"Page 4 of " &amp; $P$1</f>
        <v>Page 4 of 30</v>
      </c>
    </row>
    <row r="179" spans="1:18" x14ac:dyDescent="0.25">
      <c r="A179" s="111" t="str">
        <f>$A$2</f>
        <v>FLORIDA PUBLIC SERVICE COMMISSION</v>
      </c>
      <c r="B179" s="133"/>
      <c r="E179" s="113" t="str">
        <f>$E$2</f>
        <v xml:space="preserve">                  EXPLANATION:</v>
      </c>
      <c r="F179" s="111" t="str">
        <f>IF($F$2="","",$F$2)</f>
        <v>Provide the depreciation rate and plant balances for each account or sub-account to which</v>
      </c>
      <c r="J179" s="134"/>
      <c r="K179" s="134"/>
      <c r="M179" s="134"/>
      <c r="N179" s="134"/>
      <c r="O179" s="135"/>
      <c r="P179" s="111" t="str">
        <f>$P$2</f>
        <v>Type of data shown:</v>
      </c>
      <c r="R179" s="112"/>
    </row>
    <row r="180" spans="1:18" x14ac:dyDescent="0.25">
      <c r="B180" s="133"/>
      <c r="F180" s="111" t="str">
        <f>IF($F$3="","",$F$3)</f>
        <v>a separate depreciation rate is prescribed. (Include Amortization/Recovery schedule amounts).</v>
      </c>
      <c r="J180" s="113"/>
      <c r="K180" s="112"/>
      <c r="N180" s="113"/>
      <c r="O180" s="113" t="str">
        <f>IF($O$3=0,"",$O$3)</f>
        <v>XX</v>
      </c>
      <c r="P180" s="112" t="str">
        <f>$P$3</f>
        <v>Projected Test Year Ended 12/31/2025</v>
      </c>
      <c r="R180" s="113"/>
    </row>
    <row r="181" spans="1:18" x14ac:dyDescent="0.25">
      <c r="A181" s="111" t="str">
        <f>$A$4</f>
        <v>COMPANY: TAMPA ELECTRIC COMPANY</v>
      </c>
      <c r="B181" s="133"/>
      <c r="F181" s="111" t="str">
        <f>IF(+$F$4="","",$F$4)</f>
        <v/>
      </c>
      <c r="J181" s="113"/>
      <c r="K181" s="112"/>
      <c r="L181" s="113"/>
      <c r="O181" s="113" t="str">
        <f>IF($O$4=0,"",$O$4)</f>
        <v/>
      </c>
      <c r="P181" s="112" t="str">
        <f>$P$4</f>
        <v>Projected Prior Year Ended 12/31/2024</v>
      </c>
      <c r="R181" s="113"/>
    </row>
    <row r="182" spans="1:18" x14ac:dyDescent="0.25">
      <c r="B182" s="133"/>
      <c r="F182" s="111" t="str">
        <f>IF(+$F$5="","",$F$5)</f>
        <v/>
      </c>
      <c r="J182" s="113"/>
      <c r="K182" s="112"/>
      <c r="L182" s="113"/>
      <c r="O182" s="113" t="str">
        <f>IF($O$5=0,"",$O$5)</f>
        <v/>
      </c>
      <c r="P182" s="112" t="str">
        <f>$P$5</f>
        <v>Historical Prior Year Ended 12/31/2023</v>
      </c>
      <c r="R182" s="113"/>
    </row>
    <row r="183" spans="1:18" x14ac:dyDescent="0.25">
      <c r="J183" s="113"/>
      <c r="K183" s="112"/>
      <c r="L183" s="113"/>
      <c r="O183" s="113"/>
      <c r="P183" s="161" t="s">
        <v>572</v>
      </c>
      <c r="R183" s="113"/>
    </row>
    <row r="184" spans="1:18" x14ac:dyDescent="0.25">
      <c r="J184" s="113"/>
      <c r="K184" s="112"/>
      <c r="L184" s="113"/>
      <c r="O184" s="113"/>
      <c r="P184" s="161" t="s">
        <v>573</v>
      </c>
      <c r="R184" s="113"/>
    </row>
    <row r="185" spans="1:18" x14ac:dyDescent="0.25">
      <c r="J185" s="113"/>
      <c r="K185" s="112"/>
      <c r="L185" s="113"/>
      <c r="O185" s="113"/>
      <c r="P185" s="161" t="s">
        <v>574</v>
      </c>
      <c r="R185" s="113"/>
    </row>
    <row r="186" spans="1:18" ht="13.8" thickBot="1" x14ac:dyDescent="0.3">
      <c r="A186" s="158" t="s">
        <v>576</v>
      </c>
      <c r="B186" s="110"/>
      <c r="C186" s="110"/>
      <c r="D186" s="110"/>
      <c r="E186" s="110"/>
      <c r="F186" s="110"/>
      <c r="G186" s="110"/>
      <c r="H186" s="117" t="s">
        <v>12</v>
      </c>
      <c r="I186" s="110"/>
      <c r="J186" s="110"/>
      <c r="K186" s="110"/>
      <c r="L186" s="110"/>
      <c r="M186" s="110"/>
      <c r="N186" s="110"/>
      <c r="O186" s="132"/>
      <c r="P186" s="162" t="s">
        <v>575</v>
      </c>
      <c r="Q186" s="110"/>
      <c r="R186" s="110"/>
    </row>
    <row r="187" spans="1:18" x14ac:dyDescent="0.25"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5"/>
      <c r="P187" s="114"/>
      <c r="Q187" s="114"/>
      <c r="R187" s="114"/>
    </row>
    <row r="188" spans="1:18" x14ac:dyDescent="0.25">
      <c r="C188" s="114" t="s">
        <v>13</v>
      </c>
      <c r="D188" s="114" t="s">
        <v>14</v>
      </c>
      <c r="E188" s="114"/>
      <c r="F188" s="114" t="s">
        <v>15</v>
      </c>
      <c r="G188" s="114"/>
      <c r="H188" s="114" t="s">
        <v>16</v>
      </c>
      <c r="I188" s="114"/>
      <c r="J188" s="116" t="s">
        <v>17</v>
      </c>
      <c r="K188" s="116"/>
      <c r="L188" s="114" t="s">
        <v>18</v>
      </c>
      <c r="M188" s="114"/>
      <c r="N188" s="114" t="s">
        <v>19</v>
      </c>
      <c r="O188" s="115"/>
      <c r="P188" s="114" t="s">
        <v>20</v>
      </c>
      <c r="Q188" s="114"/>
      <c r="R188" s="114" t="s">
        <v>21</v>
      </c>
    </row>
    <row r="189" spans="1:18" x14ac:dyDescent="0.25">
      <c r="C189" s="116" t="s">
        <v>22</v>
      </c>
      <c r="D189" s="116" t="s">
        <v>22</v>
      </c>
      <c r="F189" s="116" t="s">
        <v>23</v>
      </c>
      <c r="G189" s="116"/>
      <c r="H189" s="114" t="s">
        <v>24</v>
      </c>
      <c r="I189" s="116"/>
      <c r="J189" s="114" t="s">
        <v>25</v>
      </c>
      <c r="K189" s="116"/>
      <c r="L189" s="116" t="s">
        <v>25</v>
      </c>
      <c r="M189" s="116"/>
      <c r="O189" s="113"/>
      <c r="P189" s="116" t="s">
        <v>24</v>
      </c>
      <c r="R189" s="116"/>
    </row>
    <row r="190" spans="1:18" x14ac:dyDescent="0.25">
      <c r="A190" s="116" t="s">
        <v>26</v>
      </c>
      <c r="B190" s="116"/>
      <c r="C190" s="116" t="s">
        <v>27</v>
      </c>
      <c r="D190" s="116" t="s">
        <v>27</v>
      </c>
      <c r="E190" s="114"/>
      <c r="F190" s="116" t="s">
        <v>28</v>
      </c>
      <c r="G190" s="116"/>
      <c r="H190" s="116" t="s">
        <v>29</v>
      </c>
      <c r="I190" s="116"/>
      <c r="J190" s="116" t="s">
        <v>24</v>
      </c>
      <c r="K190" s="114"/>
      <c r="L190" s="116" t="s">
        <v>24</v>
      </c>
      <c r="M190" s="112"/>
      <c r="N190" s="116" t="s">
        <v>30</v>
      </c>
      <c r="O190" s="115"/>
      <c r="P190" s="114" t="s">
        <v>29</v>
      </c>
      <c r="Q190" s="114"/>
      <c r="R190" s="116" t="s">
        <v>31</v>
      </c>
    </row>
    <row r="191" spans="1:18" ht="13.8" thickBot="1" x14ac:dyDescent="0.3">
      <c r="A191" s="117" t="s">
        <v>32</v>
      </c>
      <c r="B191" s="117"/>
      <c r="C191" s="117" t="s">
        <v>33</v>
      </c>
      <c r="D191" s="117" t="s">
        <v>34</v>
      </c>
      <c r="E191" s="117"/>
      <c r="F191" s="118" t="s">
        <v>35</v>
      </c>
      <c r="G191" s="118"/>
      <c r="H191" s="118" t="s">
        <v>36</v>
      </c>
      <c r="I191" s="119"/>
      <c r="J191" s="118" t="s">
        <v>37</v>
      </c>
      <c r="K191" s="119"/>
      <c r="L191" s="119" t="s">
        <v>38</v>
      </c>
      <c r="M191" s="120"/>
      <c r="N191" s="120" t="s">
        <v>39</v>
      </c>
      <c r="O191" s="121"/>
      <c r="P191" s="120" t="s">
        <v>40</v>
      </c>
      <c r="Q191" s="120"/>
      <c r="R191" s="120" t="s">
        <v>41</v>
      </c>
    </row>
    <row r="192" spans="1:18" x14ac:dyDescent="0.25">
      <c r="A192" s="116">
        <v>1</v>
      </c>
      <c r="B192" s="116"/>
      <c r="O192" s="113"/>
    </row>
    <row r="193" spans="1:18" x14ac:dyDescent="0.25">
      <c r="A193" s="116">
        <f>A192+1</f>
        <v>2</v>
      </c>
      <c r="B193" s="116"/>
      <c r="D193" s="111" t="s">
        <v>90</v>
      </c>
      <c r="I193" s="8"/>
      <c r="K193" s="8"/>
      <c r="M193" s="8"/>
      <c r="O193" s="8"/>
      <c r="Q193" s="8"/>
    </row>
    <row r="194" spans="1:18" x14ac:dyDescent="0.25">
      <c r="A194" s="116">
        <f t="shared" ref="A194:A235" si="3">A193+1</f>
        <v>3</v>
      </c>
      <c r="B194" s="116"/>
      <c r="C194" s="116"/>
      <c r="D194" s="137" t="s">
        <v>91</v>
      </c>
      <c r="F194" s="131"/>
      <c r="G194" s="141"/>
      <c r="H194" s="14"/>
      <c r="I194" s="8"/>
      <c r="J194" s="142"/>
      <c r="K194" s="8"/>
      <c r="L194" s="142"/>
      <c r="M194" s="8"/>
      <c r="N194" s="142"/>
      <c r="O194" s="8"/>
      <c r="P194" s="142"/>
      <c r="Q194" s="8"/>
      <c r="R194" s="142"/>
    </row>
    <row r="195" spans="1:18" x14ac:dyDescent="0.25">
      <c r="A195" s="116">
        <f t="shared" si="3"/>
        <v>4</v>
      </c>
      <c r="B195" s="116"/>
      <c r="C195" s="114">
        <v>34180</v>
      </c>
      <c r="D195" s="111" t="s">
        <v>45</v>
      </c>
      <c r="F195" s="126">
        <f>VLOOKUP($C195,'ASDR FY2'!$A:$X,F$16,FALSE)*100</f>
        <v>2.98</v>
      </c>
      <c r="G195" s="113"/>
      <c r="H195" s="7">
        <f>VLOOKUP($C195,'ASDR FY2'!$A:$X,H$16,FALSE)/1000</f>
        <v>193028.87769000002</v>
      </c>
      <c r="I195" s="8"/>
      <c r="J195" s="7">
        <f>VLOOKUP($C195,'ASDR FY2'!$A:$X,J$16,FALSE)/1000</f>
        <v>0</v>
      </c>
      <c r="K195" s="9"/>
      <c r="L195" s="7">
        <f>VLOOKUP($C195,'ASDR FY2'!$A:$X,L$16,FALSE)/1000</f>
        <v>0</v>
      </c>
      <c r="M195" s="9"/>
      <c r="N195" s="7">
        <f>VLOOKUP($C195,'ASDR FY2'!$A:$X,N$15,FALSE)/1000+VLOOKUP($C195,'ASDR FY2'!$A:$X,N$16,FALSE)/1000</f>
        <v>0</v>
      </c>
      <c r="O195" s="8"/>
      <c r="P195" s="7">
        <f>SUM(H195,J195,L195,N195)</f>
        <v>193028.87769000002</v>
      </c>
      <c r="Q195" s="9"/>
      <c r="R195" s="7">
        <f>VLOOKUP($C195,'ASDR FY2'!$A:$X,R$16,FALSE)/1000</f>
        <v>193028.87768999999</v>
      </c>
    </row>
    <row r="196" spans="1:18" x14ac:dyDescent="0.25">
      <c r="A196" s="116">
        <f t="shared" si="3"/>
        <v>5</v>
      </c>
      <c r="B196" s="116"/>
      <c r="C196" s="114">
        <v>34280</v>
      </c>
      <c r="D196" s="111" t="s">
        <v>81</v>
      </c>
      <c r="F196" s="126">
        <f>VLOOKUP($C196,'ASDR FY2'!$A:$X,F$16,FALSE)*100</f>
        <v>3.18</v>
      </c>
      <c r="G196" s="113"/>
      <c r="H196" s="7">
        <f>VLOOKUP($C196,'ASDR FY2'!$A:$X,H$16,FALSE)/1000</f>
        <v>12463.388849999996</v>
      </c>
      <c r="I196" s="8"/>
      <c r="J196" s="7">
        <f>VLOOKUP($C196,'ASDR FY2'!$A:$X,J$16,FALSE)/1000</f>
        <v>3094.8429799999999</v>
      </c>
      <c r="K196" s="9"/>
      <c r="L196" s="7">
        <f>VLOOKUP($C196,'ASDR FY2'!$A:$X,L$16,FALSE)/1000</f>
        <v>-618.96858999999995</v>
      </c>
      <c r="M196" s="9"/>
      <c r="N196" s="7">
        <f>VLOOKUP($C196,'ASDR FY2'!$A:$X,N$15,FALSE)/1000+VLOOKUP($C196,'ASDR FY2'!$A:$X,N$16,FALSE)/1000</f>
        <v>0</v>
      </c>
      <c r="O196" s="8"/>
      <c r="P196" s="7">
        <f>SUM(H196,J196,L196,N196)</f>
        <v>14939.263239999995</v>
      </c>
      <c r="Q196" s="9"/>
      <c r="R196" s="7">
        <f>VLOOKUP($C196,'ASDR FY2'!$A:$X,R$16,FALSE)/1000</f>
        <v>13157.136470000001</v>
      </c>
    </row>
    <row r="197" spans="1:18" x14ac:dyDescent="0.25">
      <c r="A197" s="116">
        <f t="shared" si="3"/>
        <v>6</v>
      </c>
      <c r="B197" s="116"/>
      <c r="C197" s="114">
        <v>34380</v>
      </c>
      <c r="D197" s="111" t="s">
        <v>82</v>
      </c>
      <c r="F197" s="126">
        <f>VLOOKUP($C197,'ASDR FY2'!$A:$X,F$16,FALSE)*100</f>
        <v>3.7800000000000002</v>
      </c>
      <c r="G197" s="113"/>
      <c r="H197" s="7">
        <f>VLOOKUP($C197,'ASDR FY2'!$A:$X,H$16,FALSE)/1000</f>
        <v>13374.221219999996</v>
      </c>
      <c r="I197" s="8"/>
      <c r="J197" s="7">
        <f>VLOOKUP($C197,'ASDR FY2'!$A:$X,J$16,FALSE)/1000</f>
        <v>3094.8429799999999</v>
      </c>
      <c r="K197" s="9"/>
      <c r="L197" s="7">
        <f>VLOOKUP($C197,'ASDR FY2'!$A:$X,L$16,FALSE)/1000</f>
        <v>-618.96858999999995</v>
      </c>
      <c r="M197" s="9"/>
      <c r="N197" s="7">
        <f>VLOOKUP($C197,'ASDR FY2'!$A:$X,N$15,FALSE)/1000+VLOOKUP($C197,'ASDR FY2'!$A:$X,N$16,FALSE)/1000</f>
        <v>0</v>
      </c>
      <c r="O197" s="8"/>
      <c r="P197" s="7">
        <f>SUM(H197,J197,L197,N197)</f>
        <v>15850.095609999997</v>
      </c>
      <c r="Q197" s="9"/>
      <c r="R197" s="7">
        <f>VLOOKUP($C197,'ASDR FY2'!$A:$X,R$16,FALSE)/1000</f>
        <v>14067.96884</v>
      </c>
    </row>
    <row r="198" spans="1:18" x14ac:dyDescent="0.25">
      <c r="A198" s="116">
        <f t="shared" si="3"/>
        <v>7</v>
      </c>
      <c r="B198" s="116"/>
      <c r="C198" s="114">
        <v>34580</v>
      </c>
      <c r="D198" s="111" t="s">
        <v>48</v>
      </c>
      <c r="F198" s="126">
        <f>VLOOKUP($C198,'ASDR FY2'!$A:$X,F$16,FALSE)*100</f>
        <v>2.84</v>
      </c>
      <c r="G198" s="113"/>
      <c r="H198" s="7">
        <f>VLOOKUP($C198,'ASDR FY2'!$A:$X,H$16,FALSE)/1000</f>
        <v>14500.596529999997</v>
      </c>
      <c r="I198" s="8"/>
      <c r="J198" s="7">
        <f>VLOOKUP($C198,'ASDR FY2'!$A:$X,J$16,FALSE)/1000</f>
        <v>0</v>
      </c>
      <c r="K198" s="9"/>
      <c r="L198" s="7">
        <f>VLOOKUP($C198,'ASDR FY2'!$A:$X,L$16,FALSE)/1000</f>
        <v>0</v>
      </c>
      <c r="M198" s="9"/>
      <c r="N198" s="7">
        <f>VLOOKUP($C198,'ASDR FY2'!$A:$X,N$15,FALSE)/1000+VLOOKUP($C198,'ASDR FY2'!$A:$X,N$16,FALSE)/1000</f>
        <v>0</v>
      </c>
      <c r="O198" s="8"/>
      <c r="P198" s="7">
        <f>SUM(H198,J198,L198,N198)</f>
        <v>14500.596529999997</v>
      </c>
      <c r="Q198" s="9"/>
      <c r="R198" s="7">
        <f>VLOOKUP($C198,'ASDR FY2'!$A:$X,R$16,FALSE)/1000</f>
        <v>14500.596529999999</v>
      </c>
    </row>
    <row r="199" spans="1:18" x14ac:dyDescent="0.25">
      <c r="A199" s="116">
        <f t="shared" si="3"/>
        <v>8</v>
      </c>
      <c r="B199" s="116"/>
      <c r="C199" s="114">
        <v>34680</v>
      </c>
      <c r="D199" s="111" t="s">
        <v>49</v>
      </c>
      <c r="F199" s="126">
        <f>VLOOKUP($C199,'ASDR FY2'!$A:$X,F$16,FALSE)*100</f>
        <v>4.67</v>
      </c>
      <c r="G199" s="113"/>
      <c r="H199" s="7">
        <f>VLOOKUP($C199,'ASDR FY2'!$A:$X,H$16,FALSE)/1000</f>
        <v>1259.5077800000001</v>
      </c>
      <c r="I199" s="8"/>
      <c r="J199" s="7">
        <f>VLOOKUP($C199,'ASDR FY2'!$A:$X,J$16,FALSE)/1000</f>
        <v>0</v>
      </c>
      <c r="K199" s="9"/>
      <c r="L199" s="7">
        <f>VLOOKUP($C199,'ASDR FY2'!$A:$X,L$16,FALSE)/1000</f>
        <v>0</v>
      </c>
      <c r="M199" s="9"/>
      <c r="N199" s="7">
        <f>VLOOKUP($C199,'ASDR FY2'!$A:$X,N$15,FALSE)/1000+VLOOKUP($C199,'ASDR FY2'!$A:$X,N$16,FALSE)/1000</f>
        <v>0</v>
      </c>
      <c r="O199" s="8"/>
      <c r="P199" s="7">
        <f>SUM(H199,J199,L199,N199)</f>
        <v>1259.5077800000001</v>
      </c>
      <c r="Q199" s="9"/>
      <c r="R199" s="7">
        <f>VLOOKUP($C199,'ASDR FY2'!$A:$X,R$16,FALSE)/1000</f>
        <v>1259.5077800000001</v>
      </c>
    </row>
    <row r="200" spans="1:18" x14ac:dyDescent="0.25">
      <c r="A200" s="116">
        <f t="shared" si="3"/>
        <v>9</v>
      </c>
      <c r="B200" s="122"/>
      <c r="C200" s="116"/>
      <c r="D200" s="111" t="s">
        <v>92</v>
      </c>
      <c r="F200" s="126"/>
      <c r="H200" s="11">
        <f>SUM(H195:H199)</f>
        <v>234626.59207000004</v>
      </c>
      <c r="I200" s="14"/>
      <c r="J200" s="11">
        <f>SUM(J195:J199)</f>
        <v>6189.6859599999998</v>
      </c>
      <c r="K200" s="14"/>
      <c r="L200" s="11">
        <f>SUM(L195:L199)</f>
        <v>-1237.9371799999999</v>
      </c>
      <c r="M200" s="14"/>
      <c r="N200" s="11">
        <f>SUM(N195:N199)</f>
        <v>0</v>
      </c>
      <c r="O200" s="14"/>
      <c r="P200" s="11">
        <f>SUM(P195:P199)</f>
        <v>239578.34085000004</v>
      </c>
      <c r="Q200" s="14"/>
      <c r="R200" s="11">
        <f>SUM(R195:R199)</f>
        <v>236014.08731</v>
      </c>
    </row>
    <row r="201" spans="1:18" x14ac:dyDescent="0.25">
      <c r="A201" s="116">
        <f t="shared" si="3"/>
        <v>10</v>
      </c>
      <c r="B201" s="122"/>
      <c r="F201" s="127"/>
      <c r="O201" s="113"/>
    </row>
    <row r="202" spans="1:18" x14ac:dyDescent="0.25">
      <c r="A202" s="116">
        <f t="shared" si="3"/>
        <v>11</v>
      </c>
      <c r="B202" s="122"/>
      <c r="D202" s="111" t="s">
        <v>93</v>
      </c>
      <c r="F202" s="126"/>
      <c r="G202" s="141"/>
      <c r="H202" s="13"/>
      <c r="I202" s="8"/>
      <c r="J202" s="13"/>
      <c r="K202" s="8"/>
      <c r="L202" s="14"/>
      <c r="M202" s="8"/>
      <c r="N202" s="14"/>
      <c r="O202" s="8"/>
      <c r="P202" s="14"/>
      <c r="Q202" s="8"/>
      <c r="R202" s="14"/>
    </row>
    <row r="203" spans="1:18" x14ac:dyDescent="0.25">
      <c r="A203" s="116">
        <f t="shared" si="3"/>
        <v>12</v>
      </c>
      <c r="B203" s="122"/>
      <c r="C203" s="114">
        <v>34181</v>
      </c>
      <c r="D203" s="111" t="s">
        <v>45</v>
      </c>
      <c r="F203" s="126">
        <f>VLOOKUP($C203,'ASDR FY2'!$A:$X,F$16,FALSE)*100</f>
        <v>4.9000000000000004</v>
      </c>
      <c r="G203" s="113"/>
      <c r="H203" s="7">
        <f>VLOOKUP($C203,'ASDR FY2'!$A:$X,H$16,FALSE)/1000</f>
        <v>53101.275780000018</v>
      </c>
      <c r="I203" s="8"/>
      <c r="J203" s="7">
        <f>VLOOKUP($C203,'ASDR FY2'!$A:$X,J$16,FALSE)/1000</f>
        <v>0</v>
      </c>
      <c r="K203" s="9"/>
      <c r="L203" s="7">
        <f>VLOOKUP($C203,'ASDR FY2'!$A:$X,L$16,FALSE)/1000</f>
        <v>0</v>
      </c>
      <c r="M203" s="9"/>
      <c r="N203" s="7">
        <f>VLOOKUP($C203,'ASDR FY2'!$A:$X,N$15,FALSE)/1000+VLOOKUP($C203,'ASDR FY2'!$A:$X,N$16,FALSE)/1000</f>
        <v>0</v>
      </c>
      <c r="O203" s="8"/>
      <c r="P203" s="7">
        <f>SUM(H203,J203,L203,N203)</f>
        <v>53101.275780000018</v>
      </c>
      <c r="Q203" s="9"/>
      <c r="R203" s="7">
        <f>VLOOKUP($C203,'ASDR FY2'!$A:$X,R$16,FALSE)/1000</f>
        <v>53101.275780000004</v>
      </c>
    </row>
    <row r="204" spans="1:18" x14ac:dyDescent="0.25">
      <c r="A204" s="116">
        <f t="shared" si="3"/>
        <v>13</v>
      </c>
      <c r="B204" s="122"/>
      <c r="C204" s="114">
        <v>34281</v>
      </c>
      <c r="D204" s="111" t="s">
        <v>81</v>
      </c>
      <c r="F204" s="126">
        <f>VLOOKUP($C204,'ASDR FY2'!$A:$X,F$16,FALSE)*100</f>
        <v>3.73</v>
      </c>
      <c r="G204" s="113"/>
      <c r="H204" s="7">
        <f>VLOOKUP($C204,'ASDR FY2'!$A:$X,H$16,FALSE)/1000</f>
        <v>249190.68745500001</v>
      </c>
      <c r="I204" s="8"/>
      <c r="J204" s="7">
        <f>VLOOKUP($C204,'ASDR FY2'!$A:$X,J$16,FALSE)/1000</f>
        <v>41699.077409999998</v>
      </c>
      <c r="K204" s="9"/>
      <c r="L204" s="7">
        <f>VLOOKUP($C204,'ASDR FY2'!$A:$X,L$16,FALSE)/1000</f>
        <v>-282.92578000000003</v>
      </c>
      <c r="M204" s="9"/>
      <c r="N204" s="7">
        <f>VLOOKUP($C204,'ASDR FY2'!$A:$X,N$15,FALSE)/1000+VLOOKUP($C204,'ASDR FY2'!$A:$X,N$16,FALSE)/1000</f>
        <v>0</v>
      </c>
      <c r="O204" s="8"/>
      <c r="P204" s="7">
        <f>SUM(H204,J204,L204,N204)</f>
        <v>290606.83908500004</v>
      </c>
      <c r="Q204" s="9"/>
      <c r="R204" s="7">
        <f>VLOOKUP($C204,'ASDR FY2'!$A:$X,R$16,FALSE)/1000</f>
        <v>274202.64438000001</v>
      </c>
    </row>
    <row r="205" spans="1:18" x14ac:dyDescent="0.25">
      <c r="A205" s="116">
        <f t="shared" si="3"/>
        <v>14</v>
      </c>
      <c r="B205" s="122"/>
      <c r="C205" s="114">
        <v>34381</v>
      </c>
      <c r="D205" s="111" t="s">
        <v>82</v>
      </c>
      <c r="F205" s="126">
        <f>VLOOKUP($C205,'ASDR FY2'!$A:$X,F$16,FALSE)*100</f>
        <v>4.28</v>
      </c>
      <c r="G205" s="113"/>
      <c r="H205" s="7">
        <f>VLOOKUP($C205,'ASDR FY2'!$A:$X,H$16,FALSE)/1000</f>
        <v>164019.28071499991</v>
      </c>
      <c r="I205" s="8"/>
      <c r="J205" s="7">
        <f>VLOOKUP($C205,'ASDR FY2'!$A:$X,J$16,FALSE)/1000</f>
        <v>41699.077409999998</v>
      </c>
      <c r="K205" s="9"/>
      <c r="L205" s="7">
        <f>VLOOKUP($C205,'ASDR FY2'!$A:$X,L$16,FALSE)/1000</f>
        <v>-282.92578000000003</v>
      </c>
      <c r="M205" s="9"/>
      <c r="N205" s="7">
        <f>VLOOKUP($C205,'ASDR FY2'!$A:$X,N$15,FALSE)/1000+VLOOKUP($C205,'ASDR FY2'!$A:$X,N$16,FALSE)/1000</f>
        <v>0</v>
      </c>
      <c r="O205" s="8"/>
      <c r="P205" s="7">
        <f>SUM(H205,J205,L205,N205)</f>
        <v>205435.43234499992</v>
      </c>
      <c r="Q205" s="9"/>
      <c r="R205" s="7">
        <f>VLOOKUP($C205,'ASDR FY2'!$A:$X,R$16,FALSE)/1000</f>
        <v>189031.23763999998</v>
      </c>
    </row>
    <row r="206" spans="1:18" x14ac:dyDescent="0.25">
      <c r="A206" s="116">
        <f t="shared" si="3"/>
        <v>15</v>
      </c>
      <c r="B206" s="122"/>
      <c r="C206" s="114">
        <v>34581</v>
      </c>
      <c r="D206" s="111" t="s">
        <v>48</v>
      </c>
      <c r="F206" s="126">
        <f>VLOOKUP($C206,'ASDR FY2'!$A:$X,F$16,FALSE)*100</f>
        <v>2.54</v>
      </c>
      <c r="G206" s="113"/>
      <c r="H206" s="7">
        <f>VLOOKUP($C206,'ASDR FY2'!$A:$X,H$16,FALSE)/1000</f>
        <v>60502.604230000012</v>
      </c>
      <c r="I206" s="8"/>
      <c r="J206" s="7">
        <f>VLOOKUP($C206,'ASDR FY2'!$A:$X,J$16,FALSE)/1000</f>
        <v>0</v>
      </c>
      <c r="K206" s="9"/>
      <c r="L206" s="7">
        <f>VLOOKUP($C206,'ASDR FY2'!$A:$X,L$16,FALSE)/1000</f>
        <v>0</v>
      </c>
      <c r="M206" s="9"/>
      <c r="N206" s="7">
        <f>VLOOKUP($C206,'ASDR FY2'!$A:$X,N$15,FALSE)/1000+VLOOKUP($C206,'ASDR FY2'!$A:$X,N$16,FALSE)/1000</f>
        <v>0</v>
      </c>
      <c r="O206" s="8"/>
      <c r="P206" s="7">
        <f>SUM(H206,J206,L206,N206)</f>
        <v>60502.604230000012</v>
      </c>
      <c r="Q206" s="9"/>
      <c r="R206" s="7">
        <f>VLOOKUP($C206,'ASDR FY2'!$A:$X,R$16,FALSE)/1000</f>
        <v>60502.604229999997</v>
      </c>
    </row>
    <row r="207" spans="1:18" x14ac:dyDescent="0.25">
      <c r="A207" s="116">
        <f t="shared" si="3"/>
        <v>16</v>
      </c>
      <c r="B207" s="122"/>
      <c r="C207" s="114">
        <v>34681</v>
      </c>
      <c r="D207" s="111" t="s">
        <v>49</v>
      </c>
      <c r="F207" s="126">
        <f>VLOOKUP($C207,'ASDR FY2'!$A:$X,F$16,FALSE)*100</f>
        <v>5.28</v>
      </c>
      <c r="G207" s="113"/>
      <c r="H207" s="7">
        <f>VLOOKUP($C207,'ASDR FY2'!$A:$X,H$16,FALSE)/1000</f>
        <v>6717.0605899999982</v>
      </c>
      <c r="I207" s="8"/>
      <c r="J207" s="7">
        <f>VLOOKUP($C207,'ASDR FY2'!$A:$X,J$16,FALSE)/1000</f>
        <v>0</v>
      </c>
      <c r="K207" s="9"/>
      <c r="L207" s="7">
        <f>VLOOKUP($C207,'ASDR FY2'!$A:$X,L$16,FALSE)/1000</f>
        <v>0</v>
      </c>
      <c r="M207" s="9"/>
      <c r="N207" s="7">
        <f>VLOOKUP($C207,'ASDR FY2'!$A:$X,N$15,FALSE)/1000+VLOOKUP($C207,'ASDR FY2'!$A:$X,N$16,FALSE)/1000</f>
        <v>0</v>
      </c>
      <c r="O207" s="8"/>
      <c r="P207" s="7">
        <f>SUM(H207,J207,L207,N207)</f>
        <v>6717.0605899999982</v>
      </c>
      <c r="Q207" s="9"/>
      <c r="R207" s="7">
        <f>VLOOKUP($C207,'ASDR FY2'!$A:$X,R$16,FALSE)/1000</f>
        <v>6717.06059</v>
      </c>
    </row>
    <row r="208" spans="1:18" x14ac:dyDescent="0.25">
      <c r="A208" s="116">
        <f t="shared" si="3"/>
        <v>17</v>
      </c>
      <c r="B208" s="122"/>
      <c r="C208" s="114"/>
      <c r="D208" s="137" t="s">
        <v>94</v>
      </c>
      <c r="F208" s="126"/>
      <c r="H208" s="11">
        <f>SUM(H203:H207)</f>
        <v>533530.90876999998</v>
      </c>
      <c r="I208" s="14"/>
      <c r="J208" s="11">
        <f>SUM(J203:J207)</f>
        <v>83398.154819999996</v>
      </c>
      <c r="K208" s="14"/>
      <c r="L208" s="11">
        <f>SUM(L203:L207)</f>
        <v>-565.85156000000006</v>
      </c>
      <c r="M208" s="14"/>
      <c r="N208" s="11">
        <f>SUM(N203:N207)</f>
        <v>0</v>
      </c>
      <c r="O208" s="14"/>
      <c r="P208" s="11">
        <f>SUM(P203:P207)</f>
        <v>616363.21203000005</v>
      </c>
      <c r="Q208" s="14"/>
      <c r="R208" s="11">
        <f>SUM(R203:R207)</f>
        <v>583554.82262000011</v>
      </c>
    </row>
    <row r="209" spans="1:18" x14ac:dyDescent="0.25">
      <c r="A209" s="116">
        <f t="shared" si="3"/>
        <v>18</v>
      </c>
      <c r="B209" s="122"/>
      <c r="F209" s="127"/>
      <c r="O209" s="113"/>
    </row>
    <row r="210" spans="1:18" x14ac:dyDescent="0.25">
      <c r="A210" s="116">
        <f t="shared" si="3"/>
        <v>19</v>
      </c>
      <c r="B210" s="122"/>
      <c r="C210" s="116"/>
      <c r="D210" s="137" t="s">
        <v>95</v>
      </c>
      <c r="F210" s="127"/>
      <c r="H210" s="23"/>
      <c r="I210" s="8"/>
      <c r="J210" s="143"/>
      <c r="K210" s="8"/>
      <c r="L210" s="143"/>
      <c r="M210" s="8"/>
      <c r="N210" s="143"/>
      <c r="O210" s="8"/>
      <c r="P210" s="143"/>
      <c r="Q210" s="8"/>
      <c r="R210" s="143"/>
    </row>
    <row r="211" spans="1:18" x14ac:dyDescent="0.25">
      <c r="A211" s="116">
        <f t="shared" si="3"/>
        <v>20</v>
      </c>
      <c r="B211" s="122"/>
      <c r="C211" s="114">
        <v>34182</v>
      </c>
      <c r="D211" s="111" t="s">
        <v>45</v>
      </c>
      <c r="F211" s="126">
        <f>VLOOKUP($C211,'ASDR FY2'!$A:$X,F$16,FALSE)*100</f>
        <v>2.2599999999999998</v>
      </c>
      <c r="G211" s="113"/>
      <c r="H211" s="7">
        <f>VLOOKUP($C211,'ASDR FY2'!$A:$X,H$16,FALSE)/1000</f>
        <v>2342.1552899999997</v>
      </c>
      <c r="I211" s="8"/>
      <c r="J211" s="7">
        <f>VLOOKUP($C211,'ASDR FY2'!$A:$X,J$16,FALSE)/1000</f>
        <v>0</v>
      </c>
      <c r="K211" s="9"/>
      <c r="L211" s="7">
        <f>VLOOKUP($C211,'ASDR FY2'!$A:$X,L$16,FALSE)/1000</f>
        <v>0</v>
      </c>
      <c r="M211" s="9"/>
      <c r="N211" s="7">
        <f>VLOOKUP($C211,'ASDR FY2'!$A:$X,N$15,FALSE)/1000+VLOOKUP($C211,'ASDR FY2'!$A:$X,N$16,FALSE)/1000</f>
        <v>0</v>
      </c>
      <c r="O211" s="8"/>
      <c r="P211" s="7">
        <f>SUM(H211,J211,L211,N211)</f>
        <v>2342.1552899999997</v>
      </c>
      <c r="Q211" s="9"/>
      <c r="R211" s="7">
        <f>VLOOKUP($C211,'ASDR FY2'!$A:$X,R$16,FALSE)/1000</f>
        <v>2342.1552900000002</v>
      </c>
    </row>
    <row r="212" spans="1:18" x14ac:dyDescent="0.25">
      <c r="A212" s="116">
        <f t="shared" si="3"/>
        <v>21</v>
      </c>
      <c r="B212" s="122"/>
      <c r="C212" s="114">
        <v>34282</v>
      </c>
      <c r="D212" s="111" t="s">
        <v>81</v>
      </c>
      <c r="F212" s="126">
        <f>VLOOKUP($C212,'ASDR FY2'!$A:$X,F$16,FALSE)*100</f>
        <v>3.08</v>
      </c>
      <c r="G212" s="113"/>
      <c r="H212" s="7">
        <f>VLOOKUP($C212,'ASDR FY2'!$A:$X,H$16,FALSE)/1000</f>
        <v>3721.2405999999996</v>
      </c>
      <c r="I212" s="8"/>
      <c r="J212" s="7">
        <f>VLOOKUP($C212,'ASDR FY2'!$A:$X,J$16,FALSE)/1000</f>
        <v>5122.4308200000005</v>
      </c>
      <c r="K212" s="9"/>
      <c r="L212" s="7">
        <f>VLOOKUP($C212,'ASDR FY2'!$A:$X,L$16,FALSE)/1000</f>
        <v>-1024.4861899999999</v>
      </c>
      <c r="M212" s="9"/>
      <c r="N212" s="7">
        <f>VLOOKUP($C212,'ASDR FY2'!$A:$X,N$15,FALSE)/1000+VLOOKUP($C212,'ASDR FY2'!$A:$X,N$16,FALSE)/1000</f>
        <v>0</v>
      </c>
      <c r="O212" s="8"/>
      <c r="P212" s="7">
        <f>SUM(H212,J212,L212,N212)</f>
        <v>7819.185230000001</v>
      </c>
      <c r="Q212" s="9"/>
      <c r="R212" s="7">
        <f>VLOOKUP($C212,'ASDR FY2'!$A:$X,R$16,FALSE)/1000</f>
        <v>4238.1230599999999</v>
      </c>
    </row>
    <row r="213" spans="1:18" x14ac:dyDescent="0.25">
      <c r="A213" s="116">
        <f t="shared" si="3"/>
        <v>22</v>
      </c>
      <c r="B213" s="122"/>
      <c r="C213" s="114">
        <v>34382</v>
      </c>
      <c r="D213" s="111" t="s">
        <v>82</v>
      </c>
      <c r="F213" s="126">
        <f>VLOOKUP($C213,'ASDR FY2'!$A:$X,F$16,FALSE)*100</f>
        <v>3.92</v>
      </c>
      <c r="G213" s="113"/>
      <c r="H213" s="7">
        <f>VLOOKUP($C213,'ASDR FY2'!$A:$X,H$16,FALSE)/1000</f>
        <v>37467.329220000029</v>
      </c>
      <c r="I213" s="8"/>
      <c r="J213" s="7">
        <f>VLOOKUP($C213,'ASDR FY2'!$A:$X,J$16,FALSE)/1000</f>
        <v>5122.4308200000005</v>
      </c>
      <c r="K213" s="9"/>
      <c r="L213" s="7">
        <f>VLOOKUP($C213,'ASDR FY2'!$A:$X,L$16,FALSE)/1000</f>
        <v>-1024.4861899999999</v>
      </c>
      <c r="M213" s="9"/>
      <c r="N213" s="7">
        <f>VLOOKUP($C213,'ASDR FY2'!$A:$X,N$15,FALSE)/1000+VLOOKUP($C213,'ASDR FY2'!$A:$X,N$16,FALSE)/1000</f>
        <v>0</v>
      </c>
      <c r="O213" s="8"/>
      <c r="P213" s="7">
        <f>SUM(H213,J213,L213,N213)</f>
        <v>41565.273850000027</v>
      </c>
      <c r="Q213" s="9"/>
      <c r="R213" s="7">
        <f>VLOOKUP($C213,'ASDR FY2'!$A:$X,R$16,FALSE)/1000</f>
        <v>37984.21168</v>
      </c>
    </row>
    <row r="214" spans="1:18" x14ac:dyDescent="0.25">
      <c r="A214" s="116">
        <f t="shared" si="3"/>
        <v>23</v>
      </c>
      <c r="B214" s="122"/>
      <c r="C214" s="114">
        <v>34582</v>
      </c>
      <c r="D214" s="111" t="s">
        <v>48</v>
      </c>
      <c r="F214" s="126">
        <f>VLOOKUP($C214,'ASDR FY2'!$A:$X,F$16,FALSE)*100</f>
        <v>1.9299999999999997</v>
      </c>
      <c r="G214" s="113"/>
      <c r="H214" s="7">
        <f>VLOOKUP($C214,'ASDR FY2'!$A:$X,H$16,FALSE)/1000</f>
        <v>19218.097860000002</v>
      </c>
      <c r="I214" s="8"/>
      <c r="J214" s="7">
        <f>VLOOKUP($C214,'ASDR FY2'!$A:$X,J$16,FALSE)/1000</f>
        <v>0</v>
      </c>
      <c r="K214" s="9"/>
      <c r="L214" s="7">
        <f>VLOOKUP($C214,'ASDR FY2'!$A:$X,L$16,FALSE)/1000</f>
        <v>0</v>
      </c>
      <c r="M214" s="9"/>
      <c r="N214" s="7">
        <f>VLOOKUP($C214,'ASDR FY2'!$A:$X,N$15,FALSE)/1000+VLOOKUP($C214,'ASDR FY2'!$A:$X,N$16,FALSE)/1000</f>
        <v>0</v>
      </c>
      <c r="O214" s="8"/>
      <c r="P214" s="7">
        <f>SUM(H214,J214,L214,N214)</f>
        <v>19218.097860000002</v>
      </c>
      <c r="Q214" s="9"/>
      <c r="R214" s="7">
        <f>VLOOKUP($C214,'ASDR FY2'!$A:$X,R$16,FALSE)/1000</f>
        <v>19218.097859999998</v>
      </c>
    </row>
    <row r="215" spans="1:18" x14ac:dyDescent="0.25">
      <c r="A215" s="116">
        <f t="shared" si="3"/>
        <v>24</v>
      </c>
      <c r="B215" s="122"/>
      <c r="C215" s="114">
        <v>34682</v>
      </c>
      <c r="D215" s="111" t="s">
        <v>49</v>
      </c>
      <c r="F215" s="126">
        <f>VLOOKUP($C215,'ASDR FY2'!$A:$X,F$16,FALSE)*100</f>
        <v>1.5</v>
      </c>
      <c r="G215" s="113"/>
      <c r="H215" s="7">
        <f>VLOOKUP($C215,'ASDR FY2'!$A:$X,H$16,FALSE)/1000</f>
        <v>173.20990999999998</v>
      </c>
      <c r="I215" s="8"/>
      <c r="J215" s="7">
        <f>VLOOKUP($C215,'ASDR FY2'!$A:$X,J$16,FALSE)/1000</f>
        <v>0</v>
      </c>
      <c r="K215" s="9"/>
      <c r="L215" s="7">
        <f>VLOOKUP($C215,'ASDR FY2'!$A:$X,L$16,FALSE)/1000</f>
        <v>0</v>
      </c>
      <c r="M215" s="9"/>
      <c r="N215" s="7">
        <f>VLOOKUP($C215,'ASDR FY2'!$A:$X,N$15,FALSE)/1000+VLOOKUP($C215,'ASDR FY2'!$A:$X,N$16,FALSE)/1000</f>
        <v>0</v>
      </c>
      <c r="O215" s="8"/>
      <c r="P215" s="7">
        <f>SUM(H215,J215,L215,N215)</f>
        <v>173.20990999999998</v>
      </c>
      <c r="Q215" s="9"/>
      <c r="R215" s="7">
        <f>VLOOKUP($C215,'ASDR FY2'!$A:$X,R$16,FALSE)/1000</f>
        <v>173.20991000000001</v>
      </c>
    </row>
    <row r="216" spans="1:18" x14ac:dyDescent="0.25">
      <c r="A216" s="116">
        <f t="shared" si="3"/>
        <v>25</v>
      </c>
      <c r="B216" s="122"/>
      <c r="C216" s="116"/>
      <c r="D216" s="137" t="s">
        <v>96</v>
      </c>
      <c r="F216" s="126"/>
      <c r="H216" s="11">
        <f>SUM(H211:H215)</f>
        <v>62922.032880000028</v>
      </c>
      <c r="I216" s="14"/>
      <c r="J216" s="11">
        <f>SUM(J211:J215)</f>
        <v>10244.861640000001</v>
      </c>
      <c r="K216" s="14"/>
      <c r="L216" s="11">
        <f>SUM(L211:L215)</f>
        <v>-2048.9723799999997</v>
      </c>
      <c r="M216" s="14"/>
      <c r="N216" s="11">
        <f>SUM(N211:N215)</f>
        <v>0</v>
      </c>
      <c r="O216" s="14"/>
      <c r="P216" s="11">
        <f>SUM(P211:P215)</f>
        <v>71117.922140000039</v>
      </c>
      <c r="Q216" s="14"/>
      <c r="R216" s="11">
        <f>SUM(R211:R215)</f>
        <v>63955.797799999993</v>
      </c>
    </row>
    <row r="217" spans="1:18" x14ac:dyDescent="0.25">
      <c r="A217" s="116">
        <f t="shared" si="3"/>
        <v>26</v>
      </c>
      <c r="B217" s="122"/>
      <c r="F217" s="127"/>
      <c r="O217" s="113"/>
    </row>
    <row r="218" spans="1:18" x14ac:dyDescent="0.25">
      <c r="A218" s="116">
        <f t="shared" si="3"/>
        <v>27</v>
      </c>
      <c r="B218" s="122"/>
      <c r="C218" s="126"/>
      <c r="D218" s="137" t="s">
        <v>97</v>
      </c>
      <c r="F218" s="126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x14ac:dyDescent="0.25">
      <c r="A219" s="116">
        <f t="shared" si="3"/>
        <v>28</v>
      </c>
      <c r="B219" s="122"/>
      <c r="C219" s="114">
        <v>34183</v>
      </c>
      <c r="D219" s="111" t="s">
        <v>45</v>
      </c>
      <c r="F219" s="126">
        <f>VLOOKUP($C219,'ASDR FY2'!$A:$X,F$16,FALSE)*100</f>
        <v>2.27</v>
      </c>
      <c r="G219" s="113"/>
      <c r="H219" s="7">
        <f>VLOOKUP($C219,'ASDR FY2'!$A:$X,H$16,FALSE)/1000</f>
        <v>10708.676690000002</v>
      </c>
      <c r="I219" s="8"/>
      <c r="J219" s="7">
        <f>VLOOKUP($C219,'ASDR FY2'!$A:$X,J$16,FALSE)/1000</f>
        <v>0</v>
      </c>
      <c r="K219" s="9"/>
      <c r="L219" s="7">
        <f>VLOOKUP($C219,'ASDR FY2'!$A:$X,L$16,FALSE)/1000</f>
        <v>0</v>
      </c>
      <c r="M219" s="9"/>
      <c r="N219" s="7">
        <f>VLOOKUP($C219,'ASDR FY2'!$A:$X,N$15,FALSE)/1000+VLOOKUP($C219,'ASDR FY2'!$A:$X,N$16,FALSE)/1000</f>
        <v>0</v>
      </c>
      <c r="O219" s="8"/>
      <c r="P219" s="7">
        <f>SUM(H219,J219,L219,N219)</f>
        <v>10708.676690000002</v>
      </c>
      <c r="Q219" s="9"/>
      <c r="R219" s="7">
        <f>VLOOKUP($C219,'ASDR FY2'!$A:$X,R$16,FALSE)/1000</f>
        <v>10708.67669</v>
      </c>
    </row>
    <row r="220" spans="1:18" x14ac:dyDescent="0.25">
      <c r="A220" s="116">
        <f t="shared" si="3"/>
        <v>29</v>
      </c>
      <c r="B220" s="122"/>
      <c r="C220" s="114">
        <v>34283</v>
      </c>
      <c r="D220" s="111" t="s">
        <v>81</v>
      </c>
      <c r="F220" s="126">
        <f>VLOOKUP($C220,'ASDR FY2'!$A:$X,F$16,FALSE)*100</f>
        <v>2.56</v>
      </c>
      <c r="G220" s="113"/>
      <c r="H220" s="7">
        <f>VLOOKUP($C220,'ASDR FY2'!$A:$X,H$16,FALSE)/1000</f>
        <v>1847.0910100000001</v>
      </c>
      <c r="I220" s="8"/>
      <c r="J220" s="7">
        <f>VLOOKUP($C220,'ASDR FY2'!$A:$X,J$16,FALSE)/1000</f>
        <v>1949.8017600000001</v>
      </c>
      <c r="K220" s="9"/>
      <c r="L220" s="7">
        <f>VLOOKUP($C220,'ASDR FY2'!$A:$X,L$16,FALSE)/1000</f>
        <v>-389.96034999999995</v>
      </c>
      <c r="M220" s="9"/>
      <c r="N220" s="7">
        <f>VLOOKUP($C220,'ASDR FY2'!$A:$X,N$15,FALSE)/1000+VLOOKUP($C220,'ASDR FY2'!$A:$X,N$16,FALSE)/1000</f>
        <v>0</v>
      </c>
      <c r="O220" s="8"/>
      <c r="P220" s="7">
        <f>SUM(H220,J220,L220,N220)</f>
        <v>3406.9324200000005</v>
      </c>
      <c r="Q220" s="9"/>
      <c r="R220" s="7">
        <f>VLOOKUP($C220,'ASDR FY2'!$A:$X,R$16,FALSE)/1000</f>
        <v>1967.07881</v>
      </c>
    </row>
    <row r="221" spans="1:18" x14ac:dyDescent="0.25">
      <c r="A221" s="116">
        <f t="shared" si="3"/>
        <v>30</v>
      </c>
      <c r="B221" s="122"/>
      <c r="C221" s="114">
        <v>34383</v>
      </c>
      <c r="D221" s="111" t="s">
        <v>82</v>
      </c>
      <c r="F221" s="126">
        <f>VLOOKUP($C221,'ASDR FY2'!$A:$X,F$16,FALSE)*100</f>
        <v>2.2599999999999998</v>
      </c>
      <c r="G221" s="113"/>
      <c r="H221" s="7">
        <f>VLOOKUP($C221,'ASDR FY2'!$A:$X,H$16,FALSE)/1000</f>
        <v>38711.529969999996</v>
      </c>
      <c r="I221" s="8"/>
      <c r="J221" s="7">
        <f>VLOOKUP($C221,'ASDR FY2'!$A:$X,J$16,FALSE)/1000</f>
        <v>1949.8017600000001</v>
      </c>
      <c r="K221" s="9"/>
      <c r="L221" s="7">
        <f>VLOOKUP($C221,'ASDR FY2'!$A:$X,L$16,FALSE)/1000</f>
        <v>-389.96034999999995</v>
      </c>
      <c r="M221" s="9"/>
      <c r="N221" s="7">
        <f>VLOOKUP($C221,'ASDR FY2'!$A:$X,N$15,FALSE)/1000+VLOOKUP($C221,'ASDR FY2'!$A:$X,N$16,FALSE)/1000</f>
        <v>0</v>
      </c>
      <c r="O221" s="8"/>
      <c r="P221" s="7">
        <f>SUM(H221,J221,L221,N221)</f>
        <v>40271.371379999997</v>
      </c>
      <c r="Q221" s="9"/>
      <c r="R221" s="7">
        <f>VLOOKUP($C221,'ASDR FY2'!$A:$X,R$16,FALSE)/1000</f>
        <v>38831.517770000006</v>
      </c>
    </row>
    <row r="222" spans="1:18" x14ac:dyDescent="0.25">
      <c r="A222" s="116">
        <f t="shared" si="3"/>
        <v>31</v>
      </c>
      <c r="C222" s="114">
        <v>34583</v>
      </c>
      <c r="D222" s="111" t="s">
        <v>48</v>
      </c>
      <c r="F222" s="126">
        <f>VLOOKUP($C222,'ASDR FY2'!$A:$X,F$16,FALSE)*100</f>
        <v>1.66</v>
      </c>
      <c r="G222" s="113"/>
      <c r="H222" s="7">
        <f>VLOOKUP($C222,'ASDR FY2'!$A:$X,H$16,FALSE)/1000</f>
        <v>9146.6915499999996</v>
      </c>
      <c r="I222" s="8"/>
      <c r="J222" s="7">
        <f>VLOOKUP($C222,'ASDR FY2'!$A:$X,J$16,FALSE)/1000</f>
        <v>0</v>
      </c>
      <c r="K222" s="9"/>
      <c r="L222" s="7">
        <f>VLOOKUP($C222,'ASDR FY2'!$A:$X,L$16,FALSE)/1000</f>
        <v>0</v>
      </c>
      <c r="M222" s="9"/>
      <c r="N222" s="7">
        <f>VLOOKUP($C222,'ASDR FY2'!$A:$X,N$15,FALSE)/1000+VLOOKUP($C222,'ASDR FY2'!$A:$X,N$16,FALSE)/1000</f>
        <v>0</v>
      </c>
      <c r="O222" s="8"/>
      <c r="P222" s="7">
        <f>SUM(H222,J222,L222,N222)</f>
        <v>9146.6915499999996</v>
      </c>
      <c r="Q222" s="9"/>
      <c r="R222" s="7">
        <f>VLOOKUP($C222,'ASDR FY2'!$A:$X,R$16,FALSE)/1000</f>
        <v>9146.6915500000014</v>
      </c>
    </row>
    <row r="223" spans="1:18" x14ac:dyDescent="0.25">
      <c r="A223" s="116">
        <f t="shared" si="3"/>
        <v>32</v>
      </c>
      <c r="C223" s="114">
        <v>34683</v>
      </c>
      <c r="D223" s="111" t="s">
        <v>49</v>
      </c>
      <c r="F223" s="126">
        <f>VLOOKUP($C223,'ASDR FY2'!$A:$X,F$16,FALSE)*100</f>
        <v>2.44</v>
      </c>
      <c r="G223" s="113"/>
      <c r="H223" s="7">
        <f>VLOOKUP($C223,'ASDR FY2'!$A:$X,H$16,FALSE)/1000</f>
        <v>432.91041999999999</v>
      </c>
      <c r="I223" s="8"/>
      <c r="J223" s="7">
        <f>VLOOKUP($C223,'ASDR FY2'!$A:$X,J$16,FALSE)/1000</f>
        <v>0</v>
      </c>
      <c r="K223" s="9"/>
      <c r="L223" s="7">
        <f>VLOOKUP($C223,'ASDR FY2'!$A:$X,L$16,FALSE)/1000</f>
        <v>0</v>
      </c>
      <c r="M223" s="9"/>
      <c r="N223" s="7">
        <f>VLOOKUP($C223,'ASDR FY2'!$A:$X,N$15,FALSE)/1000+VLOOKUP($C223,'ASDR FY2'!$A:$X,N$16,FALSE)/1000</f>
        <v>0</v>
      </c>
      <c r="O223" s="8"/>
      <c r="P223" s="7">
        <f>SUM(H223,J223,L223,N223)</f>
        <v>432.91041999999999</v>
      </c>
      <c r="Q223" s="9"/>
      <c r="R223" s="7">
        <f>VLOOKUP($C223,'ASDR FY2'!$A:$X,R$16,FALSE)/1000</f>
        <v>432.91041999999999</v>
      </c>
    </row>
    <row r="224" spans="1:18" x14ac:dyDescent="0.25">
      <c r="A224" s="116">
        <f t="shared" si="3"/>
        <v>33</v>
      </c>
      <c r="D224" s="137" t="s">
        <v>98</v>
      </c>
      <c r="F224" s="126"/>
      <c r="H224" s="11">
        <f>SUM(H219:H223)</f>
        <v>60846.899640000003</v>
      </c>
      <c r="I224" s="14"/>
      <c r="J224" s="11">
        <f>SUM(J219:J223)</f>
        <v>3899.6035200000001</v>
      </c>
      <c r="K224" s="14"/>
      <c r="L224" s="11">
        <f>SUM(L219:L223)</f>
        <v>-779.9206999999999</v>
      </c>
      <c r="M224" s="14"/>
      <c r="N224" s="11">
        <f>SUM(N219:N223)</f>
        <v>0</v>
      </c>
      <c r="O224" s="14"/>
      <c r="P224" s="11">
        <f>SUM(P219:P223)</f>
        <v>63966.582460000005</v>
      </c>
      <c r="Q224" s="14"/>
      <c r="R224" s="11">
        <f>SUM(R219:R223)</f>
        <v>61086.875240000008</v>
      </c>
    </row>
    <row r="225" spans="1:18" x14ac:dyDescent="0.25">
      <c r="A225" s="116">
        <f t="shared" si="3"/>
        <v>34</v>
      </c>
      <c r="F225" s="127"/>
      <c r="I225" s="14"/>
      <c r="K225" s="14"/>
      <c r="M225" s="14"/>
      <c r="O225" s="14"/>
      <c r="Q225" s="14"/>
    </row>
    <row r="226" spans="1:18" x14ac:dyDescent="0.25">
      <c r="A226" s="116">
        <f t="shared" si="3"/>
        <v>35</v>
      </c>
      <c r="C226" s="116"/>
      <c r="D226" s="137" t="s">
        <v>99</v>
      </c>
      <c r="F226" s="126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x14ac:dyDescent="0.25">
      <c r="A227" s="116">
        <f t="shared" si="3"/>
        <v>36</v>
      </c>
      <c r="C227" s="114">
        <v>34184</v>
      </c>
      <c r="D227" s="111" t="s">
        <v>45</v>
      </c>
      <c r="F227" s="126">
        <f>VLOOKUP($C227,'ASDR FY2'!$A:$X,F$16,FALSE)*100</f>
        <v>2.74</v>
      </c>
      <c r="G227" s="113"/>
      <c r="H227" s="7">
        <f>VLOOKUP($C227,'ASDR FY2'!$A:$X,H$16,FALSE)/1000</f>
        <v>5812.0621499999997</v>
      </c>
      <c r="I227" s="8"/>
      <c r="J227" s="7">
        <f>VLOOKUP($C227,'ASDR FY2'!$A:$X,J$16,FALSE)/1000</f>
        <v>0</v>
      </c>
      <c r="K227" s="9"/>
      <c r="L227" s="7">
        <f>VLOOKUP($C227,'ASDR FY2'!$A:$X,L$16,FALSE)/1000</f>
        <v>0</v>
      </c>
      <c r="M227" s="9"/>
      <c r="N227" s="7">
        <f>VLOOKUP($C227,'ASDR FY2'!$A:$X,N$15,FALSE)/1000+VLOOKUP($C227,'ASDR FY2'!$A:$X,N$16,FALSE)/1000</f>
        <v>0</v>
      </c>
      <c r="O227" s="8"/>
      <c r="P227" s="7">
        <f>SUM(H227,J227,L227,N227)</f>
        <v>5812.0621499999997</v>
      </c>
      <c r="Q227" s="9"/>
      <c r="R227" s="7">
        <f>VLOOKUP($C227,'ASDR FY2'!$A:$X,R$16,FALSE)/1000</f>
        <v>5812.0621500000007</v>
      </c>
    </row>
    <row r="228" spans="1:18" x14ac:dyDescent="0.25">
      <c r="A228" s="116">
        <f t="shared" si="3"/>
        <v>37</v>
      </c>
      <c r="C228" s="114">
        <v>34284</v>
      </c>
      <c r="D228" s="111" t="s">
        <v>81</v>
      </c>
      <c r="F228" s="126">
        <f>VLOOKUP($C228,'ASDR FY2'!$A:$X,F$16,FALSE)*100</f>
        <v>3.88</v>
      </c>
      <c r="G228" s="113"/>
      <c r="H228" s="7">
        <f>VLOOKUP($C228,'ASDR FY2'!$A:$X,H$16,FALSE)/1000</f>
        <v>2710.6655649999989</v>
      </c>
      <c r="I228" s="8"/>
      <c r="J228" s="7">
        <f>VLOOKUP($C228,'ASDR FY2'!$A:$X,J$16,FALSE)/1000</f>
        <v>3206.9106499999998</v>
      </c>
      <c r="K228" s="9"/>
      <c r="L228" s="7">
        <f>VLOOKUP($C228,'ASDR FY2'!$A:$X,L$16,FALSE)/1000</f>
        <v>-641.38212999999996</v>
      </c>
      <c r="M228" s="9"/>
      <c r="N228" s="7">
        <f>VLOOKUP($C228,'ASDR FY2'!$A:$X,N$15,FALSE)/1000+VLOOKUP($C228,'ASDR FY2'!$A:$X,N$16,FALSE)/1000</f>
        <v>0</v>
      </c>
      <c r="O228" s="8"/>
      <c r="P228" s="7">
        <f>SUM(H228,J228,L228,N228)</f>
        <v>5276.1940849999992</v>
      </c>
      <c r="Q228" s="9"/>
      <c r="R228" s="7">
        <f>VLOOKUP($C228,'ASDR FY2'!$A:$X,R$16,FALSE)/1000</f>
        <v>2908.0139100000001</v>
      </c>
    </row>
    <row r="229" spans="1:18" x14ac:dyDescent="0.25">
      <c r="A229" s="116">
        <f t="shared" si="3"/>
        <v>38</v>
      </c>
      <c r="C229" s="114">
        <v>34384</v>
      </c>
      <c r="D229" s="111" t="s">
        <v>82</v>
      </c>
      <c r="F229" s="126">
        <f>VLOOKUP($C229,'ASDR FY2'!$A:$X,F$16,FALSE)*100</f>
        <v>4.08</v>
      </c>
      <c r="G229" s="113"/>
      <c r="H229" s="7">
        <f>VLOOKUP($C229,'ASDR FY2'!$A:$X,H$16,FALSE)/1000</f>
        <v>28730.215395000007</v>
      </c>
      <c r="I229" s="8"/>
      <c r="J229" s="7">
        <f>VLOOKUP($C229,'ASDR FY2'!$A:$X,J$16,FALSE)/1000</f>
        <v>3206.9106499999998</v>
      </c>
      <c r="K229" s="9"/>
      <c r="L229" s="7">
        <f>VLOOKUP($C229,'ASDR FY2'!$A:$X,L$16,FALSE)/1000</f>
        <v>-641.38212999999996</v>
      </c>
      <c r="M229" s="9"/>
      <c r="N229" s="7">
        <f>VLOOKUP($C229,'ASDR FY2'!$A:$X,N$15,FALSE)/1000+VLOOKUP($C229,'ASDR FY2'!$A:$X,N$16,FALSE)/1000</f>
        <v>0</v>
      </c>
      <c r="O229" s="8"/>
      <c r="P229" s="7">
        <f>SUM(H229,J229,L229,N229)</f>
        <v>31295.743915000006</v>
      </c>
      <c r="Q229" s="9"/>
      <c r="R229" s="7">
        <f>VLOOKUP($C229,'ASDR FY2'!$A:$X,R$16,FALSE)/1000</f>
        <v>28927.563739999998</v>
      </c>
    </row>
    <row r="230" spans="1:18" x14ac:dyDescent="0.25">
      <c r="A230" s="116">
        <f t="shared" si="3"/>
        <v>39</v>
      </c>
      <c r="C230" s="114">
        <v>34584</v>
      </c>
      <c r="D230" s="111" t="s">
        <v>48</v>
      </c>
      <c r="F230" s="126">
        <f>VLOOKUP($C230,'ASDR FY2'!$A:$X,F$16,FALSE)*100</f>
        <v>1.7500000000000002</v>
      </c>
      <c r="G230" s="113"/>
      <c r="H230" s="7">
        <f>VLOOKUP($C230,'ASDR FY2'!$A:$X,H$16,FALSE)/1000</f>
        <v>5586.7474299999994</v>
      </c>
      <c r="I230" s="8"/>
      <c r="J230" s="7">
        <f>VLOOKUP($C230,'ASDR FY2'!$A:$X,J$16,FALSE)/1000</f>
        <v>0</v>
      </c>
      <c r="K230" s="9"/>
      <c r="L230" s="7">
        <f>VLOOKUP($C230,'ASDR FY2'!$A:$X,L$16,FALSE)/1000</f>
        <v>0</v>
      </c>
      <c r="M230" s="9"/>
      <c r="N230" s="7">
        <f>VLOOKUP($C230,'ASDR FY2'!$A:$X,N$15,FALSE)/1000+VLOOKUP($C230,'ASDR FY2'!$A:$X,N$16,FALSE)/1000</f>
        <v>0</v>
      </c>
      <c r="O230" s="8"/>
      <c r="P230" s="7">
        <f>SUM(H230,J230,L230,N230)</f>
        <v>5586.7474299999994</v>
      </c>
      <c r="Q230" s="9"/>
      <c r="R230" s="7">
        <f>VLOOKUP($C230,'ASDR FY2'!$A:$X,R$16,FALSE)/1000</f>
        <v>5586.7474299999994</v>
      </c>
    </row>
    <row r="231" spans="1:18" x14ac:dyDescent="0.25">
      <c r="A231" s="116">
        <f t="shared" si="3"/>
        <v>40</v>
      </c>
      <c r="C231" s="114">
        <v>34684</v>
      </c>
      <c r="D231" s="111" t="s">
        <v>49</v>
      </c>
      <c r="F231" s="126">
        <f>VLOOKUP($C231,'ASDR FY2'!$A:$X,F$16,FALSE)*100</f>
        <v>2.94</v>
      </c>
      <c r="G231" s="113"/>
      <c r="H231" s="7">
        <f>VLOOKUP($C231,'ASDR FY2'!$A:$X,H$16,FALSE)/1000</f>
        <v>0</v>
      </c>
      <c r="I231" s="8"/>
      <c r="J231" s="7">
        <f>VLOOKUP($C231,'ASDR FY2'!$A:$X,J$16,FALSE)/1000</f>
        <v>0</v>
      </c>
      <c r="K231" s="9"/>
      <c r="L231" s="7">
        <f>VLOOKUP($C231,'ASDR FY2'!$A:$X,L$16,FALSE)/1000</f>
        <v>0</v>
      </c>
      <c r="M231" s="9"/>
      <c r="N231" s="7">
        <f>VLOOKUP($C231,'ASDR FY2'!$A:$X,N$15,FALSE)/1000+VLOOKUP($C231,'ASDR FY2'!$A:$X,N$16,FALSE)/1000</f>
        <v>0</v>
      </c>
      <c r="O231" s="8"/>
      <c r="P231" s="7">
        <f>SUM(H231,J231,L231,N231)</f>
        <v>0</v>
      </c>
      <c r="Q231" s="9"/>
      <c r="R231" s="7">
        <f>VLOOKUP($C231,'ASDR FY2'!$A:$X,R$16,FALSE)/1000</f>
        <v>0</v>
      </c>
    </row>
    <row r="232" spans="1:18" x14ac:dyDescent="0.25">
      <c r="A232" s="116">
        <f t="shared" si="3"/>
        <v>41</v>
      </c>
      <c r="C232" s="116"/>
      <c r="D232" s="137" t="s">
        <v>100</v>
      </c>
      <c r="F232" s="131"/>
      <c r="H232" s="11">
        <f>SUM(H227:H231)</f>
        <v>42839.690540000011</v>
      </c>
      <c r="I232" s="14"/>
      <c r="J232" s="11">
        <f>SUM(J227:J231)</f>
        <v>6413.8212999999996</v>
      </c>
      <c r="K232" s="14"/>
      <c r="L232" s="11">
        <f>SUM(L227:L231)</f>
        <v>-1282.7642599999999</v>
      </c>
      <c r="M232" s="14"/>
      <c r="N232" s="11">
        <f>SUM(N227:N231)</f>
        <v>0</v>
      </c>
      <c r="O232" s="14"/>
      <c r="P232" s="11">
        <f>SUM(P227:P231)</f>
        <v>47970.74758000001</v>
      </c>
      <c r="Q232" s="14"/>
      <c r="R232" s="11">
        <f>SUM(R227:R231)</f>
        <v>43234.387229999993</v>
      </c>
    </row>
    <row r="233" spans="1:18" x14ac:dyDescent="0.25">
      <c r="A233" s="116">
        <f t="shared" si="3"/>
        <v>42</v>
      </c>
      <c r="O233" s="113"/>
    </row>
    <row r="234" spans="1:18" x14ac:dyDescent="0.25">
      <c r="A234" s="116">
        <f t="shared" si="3"/>
        <v>43</v>
      </c>
      <c r="O234" s="113"/>
    </row>
    <row r="235" spans="1:18" ht="13.8" thickBot="1" x14ac:dyDescent="0.3">
      <c r="A235" s="117">
        <f t="shared" si="3"/>
        <v>44</v>
      </c>
      <c r="B235" s="19" t="s">
        <v>59</v>
      </c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32"/>
      <c r="P235" s="110"/>
      <c r="Q235" s="110"/>
      <c r="R235" s="110"/>
    </row>
    <row r="236" spans="1:18" x14ac:dyDescent="0.25">
      <c r="A236" s="111" t="str">
        <f>$A$59</f>
        <v>Supporting Schedules:  B-08, B-11</v>
      </c>
      <c r="O236" s="113"/>
      <c r="P236" s="111" t="str">
        <f>$P$59</f>
        <v>Recap Schedules:  B-03, B-06</v>
      </c>
    </row>
    <row r="237" spans="1:18" ht="13.8" thickBot="1" x14ac:dyDescent="0.3">
      <c r="A237" s="110" t="str">
        <f>$A$1</f>
        <v>SCHEDULE B-07</v>
      </c>
      <c r="B237" s="110"/>
      <c r="C237" s="110"/>
      <c r="D237" s="110"/>
      <c r="E237" s="110"/>
      <c r="F237" s="110"/>
      <c r="G237" s="110" t="str">
        <f>$G$1</f>
        <v>PLANT BALANCES BY ACCOUNT AND SUB-ACCOUNT</v>
      </c>
      <c r="H237" s="110"/>
      <c r="I237" s="110"/>
      <c r="J237" s="110"/>
      <c r="K237" s="110"/>
      <c r="L237" s="110"/>
      <c r="M237" s="110"/>
      <c r="N237" s="110"/>
      <c r="O237" s="132"/>
      <c r="P237" s="110"/>
      <c r="Q237" s="110"/>
      <c r="R237" s="110" t="str">
        <f>"Page 5 of " &amp; $P$1</f>
        <v>Page 5 of 30</v>
      </c>
    </row>
    <row r="238" spans="1:18" x14ac:dyDescent="0.25">
      <c r="A238" s="111" t="str">
        <f>$A$2</f>
        <v>FLORIDA PUBLIC SERVICE COMMISSION</v>
      </c>
      <c r="B238" s="133"/>
      <c r="E238" s="113" t="str">
        <f>$E$2</f>
        <v xml:space="preserve">                  EXPLANATION:</v>
      </c>
      <c r="F238" s="111" t="str">
        <f>IF($F$2="","",$F$2)</f>
        <v>Provide the depreciation rate and plant balances for each account or sub-account to which</v>
      </c>
      <c r="J238" s="134"/>
      <c r="K238" s="134"/>
      <c r="M238" s="134"/>
      <c r="N238" s="134"/>
      <c r="O238" s="135"/>
      <c r="P238" s="111" t="str">
        <f>$P$2</f>
        <v>Type of data shown:</v>
      </c>
      <c r="R238" s="112"/>
    </row>
    <row r="239" spans="1:18" x14ac:dyDescent="0.25">
      <c r="B239" s="133"/>
      <c r="F239" s="111" t="str">
        <f>IF($F$3="","",$F$3)</f>
        <v>a separate depreciation rate is prescribed. (Include Amortization/Recovery schedule amounts).</v>
      </c>
      <c r="J239" s="113"/>
      <c r="K239" s="112"/>
      <c r="N239" s="113"/>
      <c r="O239" s="113" t="str">
        <f>IF($O$3=0,"",$O$3)</f>
        <v>XX</v>
      </c>
      <c r="P239" s="112" t="str">
        <f>$P$3</f>
        <v>Projected Test Year Ended 12/31/2025</v>
      </c>
      <c r="R239" s="113"/>
    </row>
    <row r="240" spans="1:18" x14ac:dyDescent="0.25">
      <c r="A240" s="111" t="str">
        <f>$A$4</f>
        <v>COMPANY: TAMPA ELECTRIC COMPANY</v>
      </c>
      <c r="B240" s="133"/>
      <c r="F240" s="111" t="str">
        <f>IF(+$F$4="","",$F$4)</f>
        <v/>
      </c>
      <c r="J240" s="113"/>
      <c r="K240" s="112"/>
      <c r="L240" s="113"/>
      <c r="O240" s="113" t="str">
        <f>IF($O$4=0,"",$O$4)</f>
        <v/>
      </c>
      <c r="P240" s="112" t="str">
        <f>$P$4</f>
        <v>Projected Prior Year Ended 12/31/2024</v>
      </c>
      <c r="R240" s="113"/>
    </row>
    <row r="241" spans="1:18" x14ac:dyDescent="0.25">
      <c r="B241" s="133"/>
      <c r="F241" s="111" t="str">
        <f>IF(+$F$5="","",$F$5)</f>
        <v/>
      </c>
      <c r="J241" s="113"/>
      <c r="K241" s="112"/>
      <c r="L241" s="113"/>
      <c r="O241" s="113" t="str">
        <f>IF($O$5=0,"",$O$5)</f>
        <v/>
      </c>
      <c r="P241" s="112" t="str">
        <f>$P$5</f>
        <v>Historical Prior Year Ended 12/31/2023</v>
      </c>
      <c r="R241" s="113"/>
    </row>
    <row r="242" spans="1:18" x14ac:dyDescent="0.25">
      <c r="J242" s="113"/>
      <c r="K242" s="112"/>
      <c r="L242" s="113"/>
      <c r="O242" s="113"/>
      <c r="P242" s="161" t="s">
        <v>572</v>
      </c>
      <c r="R242" s="113"/>
    </row>
    <row r="243" spans="1:18" x14ac:dyDescent="0.25">
      <c r="J243" s="113"/>
      <c r="K243" s="112"/>
      <c r="L243" s="113"/>
      <c r="O243" s="113"/>
      <c r="P243" s="161" t="s">
        <v>573</v>
      </c>
      <c r="R243" s="113"/>
    </row>
    <row r="244" spans="1:18" x14ac:dyDescent="0.25">
      <c r="J244" s="113"/>
      <c r="K244" s="112"/>
      <c r="L244" s="113"/>
      <c r="O244" s="113"/>
      <c r="P244" s="161" t="s">
        <v>574</v>
      </c>
      <c r="R244" s="113"/>
    </row>
    <row r="245" spans="1:18" ht="13.8" thickBot="1" x14ac:dyDescent="0.3">
      <c r="A245" s="158" t="s">
        <v>576</v>
      </c>
      <c r="B245" s="110"/>
      <c r="C245" s="110"/>
      <c r="D245" s="110"/>
      <c r="E245" s="110"/>
      <c r="F245" s="110"/>
      <c r="G245" s="110"/>
      <c r="H245" s="117" t="s">
        <v>12</v>
      </c>
      <c r="I245" s="110"/>
      <c r="J245" s="110"/>
      <c r="K245" s="110"/>
      <c r="L245" s="110"/>
      <c r="M245" s="110"/>
      <c r="N245" s="110"/>
      <c r="O245" s="132"/>
      <c r="P245" s="162" t="s">
        <v>575</v>
      </c>
      <c r="Q245" s="110"/>
      <c r="R245" s="110"/>
    </row>
    <row r="246" spans="1:18" x14ac:dyDescent="0.25"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5"/>
      <c r="P246" s="114"/>
      <c r="Q246" s="114"/>
      <c r="R246" s="114"/>
    </row>
    <row r="247" spans="1:18" x14ac:dyDescent="0.25">
      <c r="C247" s="114" t="s">
        <v>13</v>
      </c>
      <c r="D247" s="114" t="s">
        <v>14</v>
      </c>
      <c r="E247" s="114"/>
      <c r="F247" s="114" t="s">
        <v>15</v>
      </c>
      <c r="G247" s="114"/>
      <c r="H247" s="114" t="s">
        <v>16</v>
      </c>
      <c r="I247" s="114"/>
      <c r="J247" s="116" t="s">
        <v>17</v>
      </c>
      <c r="K247" s="116"/>
      <c r="L247" s="114" t="s">
        <v>18</v>
      </c>
      <c r="M247" s="114"/>
      <c r="N247" s="114" t="s">
        <v>19</v>
      </c>
      <c r="O247" s="115"/>
      <c r="P247" s="114" t="s">
        <v>20</v>
      </c>
      <c r="Q247" s="114"/>
      <c r="R247" s="114" t="s">
        <v>21</v>
      </c>
    </row>
    <row r="248" spans="1:18" x14ac:dyDescent="0.25">
      <c r="C248" s="116" t="s">
        <v>22</v>
      </c>
      <c r="D248" s="116" t="s">
        <v>22</v>
      </c>
      <c r="F248" s="116" t="s">
        <v>23</v>
      </c>
      <c r="G248" s="116"/>
      <c r="H248" s="114" t="s">
        <v>24</v>
      </c>
      <c r="I248" s="116"/>
      <c r="J248" s="114" t="s">
        <v>25</v>
      </c>
      <c r="K248" s="116"/>
      <c r="L248" s="116" t="s">
        <v>25</v>
      </c>
      <c r="M248" s="116"/>
      <c r="O248" s="113"/>
      <c r="P248" s="116" t="s">
        <v>24</v>
      </c>
      <c r="R248" s="116"/>
    </row>
    <row r="249" spans="1:18" x14ac:dyDescent="0.25">
      <c r="A249" s="116" t="s">
        <v>26</v>
      </c>
      <c r="B249" s="116"/>
      <c r="C249" s="116" t="s">
        <v>27</v>
      </c>
      <c r="D249" s="116" t="s">
        <v>27</v>
      </c>
      <c r="E249" s="114"/>
      <c r="F249" s="116" t="s">
        <v>28</v>
      </c>
      <c r="G249" s="116"/>
      <c r="H249" s="116" t="s">
        <v>29</v>
      </c>
      <c r="I249" s="116"/>
      <c r="J249" s="116" t="s">
        <v>24</v>
      </c>
      <c r="K249" s="114"/>
      <c r="L249" s="116" t="s">
        <v>24</v>
      </c>
      <c r="M249" s="112"/>
      <c r="N249" s="116" t="s">
        <v>30</v>
      </c>
      <c r="O249" s="115"/>
      <c r="P249" s="114" t="s">
        <v>29</v>
      </c>
      <c r="Q249" s="114"/>
      <c r="R249" s="116" t="s">
        <v>31</v>
      </c>
    </row>
    <row r="250" spans="1:18" ht="13.8" thickBot="1" x14ac:dyDescent="0.3">
      <c r="A250" s="117" t="s">
        <v>32</v>
      </c>
      <c r="B250" s="117"/>
      <c r="C250" s="117" t="s">
        <v>33</v>
      </c>
      <c r="D250" s="117" t="s">
        <v>34</v>
      </c>
      <c r="E250" s="117"/>
      <c r="F250" s="118" t="s">
        <v>35</v>
      </c>
      <c r="G250" s="118"/>
      <c r="H250" s="118" t="s">
        <v>36</v>
      </c>
      <c r="I250" s="119"/>
      <c r="J250" s="118" t="s">
        <v>37</v>
      </c>
      <c r="K250" s="119"/>
      <c r="L250" s="119" t="s">
        <v>38</v>
      </c>
      <c r="M250" s="120"/>
      <c r="N250" s="120" t="s">
        <v>39</v>
      </c>
      <c r="O250" s="121"/>
      <c r="P250" s="120" t="s">
        <v>40</v>
      </c>
      <c r="Q250" s="120"/>
      <c r="R250" s="120" t="s">
        <v>41</v>
      </c>
    </row>
    <row r="251" spans="1:18" x14ac:dyDescent="0.25">
      <c r="A251" s="116">
        <v>1</v>
      </c>
      <c r="B251" s="116"/>
      <c r="O251" s="113"/>
    </row>
    <row r="252" spans="1:18" x14ac:dyDescent="0.25">
      <c r="A252" s="116">
        <f>A251+1</f>
        <v>2</v>
      </c>
      <c r="B252" s="122"/>
      <c r="C252" s="116"/>
      <c r="D252" s="137" t="s">
        <v>101</v>
      </c>
      <c r="F252" s="131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x14ac:dyDescent="0.25">
      <c r="A253" s="116">
        <f t="shared" ref="A253:A294" si="4">A252+1</f>
        <v>3</v>
      </c>
      <c r="B253" s="122"/>
      <c r="C253" s="114">
        <v>34185</v>
      </c>
      <c r="D253" s="111" t="s">
        <v>45</v>
      </c>
      <c r="F253" s="126">
        <f>VLOOKUP($C253,'ASDR FY2'!$A:$X,F$16,FALSE)*100</f>
        <v>2.72</v>
      </c>
      <c r="G253" s="113"/>
      <c r="H253" s="7">
        <f>VLOOKUP($C253,'ASDR FY2'!$A:$X,H$16,FALSE)/1000</f>
        <v>5746.5801100000008</v>
      </c>
      <c r="I253" s="8"/>
      <c r="J253" s="7">
        <f>VLOOKUP($C253,'ASDR FY2'!$A:$X,J$16,FALSE)/1000</f>
        <v>0</v>
      </c>
      <c r="K253" s="9"/>
      <c r="L253" s="7">
        <f>VLOOKUP($C253,'ASDR FY2'!$A:$X,L$16,FALSE)/1000</f>
        <v>0</v>
      </c>
      <c r="M253" s="9"/>
      <c r="N253" s="7">
        <f>VLOOKUP($C253,'ASDR FY2'!$A:$X,N$15,FALSE)/1000+VLOOKUP($C253,'ASDR FY2'!$A:$X,N$16,FALSE)/1000</f>
        <v>0</v>
      </c>
      <c r="O253" s="8"/>
      <c r="P253" s="7">
        <f>SUM(H253,J253,L253,N253)</f>
        <v>5746.5801100000008</v>
      </c>
      <c r="Q253" s="9"/>
      <c r="R253" s="7">
        <f>VLOOKUP($C253,'ASDR FY2'!$A:$X,R$16,FALSE)/1000</f>
        <v>5746.5801100000008</v>
      </c>
    </row>
    <row r="254" spans="1:18" x14ac:dyDescent="0.25">
      <c r="A254" s="116">
        <f t="shared" si="4"/>
        <v>4</v>
      </c>
      <c r="B254" s="122"/>
      <c r="C254" s="114">
        <v>34285</v>
      </c>
      <c r="D254" s="111" t="s">
        <v>81</v>
      </c>
      <c r="F254" s="126">
        <f>VLOOKUP($C254,'ASDR FY2'!$A:$X,F$16,FALSE)*100</f>
        <v>3.1300000000000003</v>
      </c>
      <c r="G254" s="113"/>
      <c r="H254" s="7">
        <f>VLOOKUP($C254,'ASDR FY2'!$A:$X,H$16,FALSE)/1000</f>
        <v>3090.9542100000003</v>
      </c>
      <c r="I254" s="8"/>
      <c r="J254" s="7">
        <f>VLOOKUP($C254,'ASDR FY2'!$A:$X,J$16,FALSE)/1000</f>
        <v>3543.0645299999996</v>
      </c>
      <c r="K254" s="9"/>
      <c r="L254" s="7">
        <f>VLOOKUP($C254,'ASDR FY2'!$A:$X,L$16,FALSE)/1000</f>
        <v>-708.61291000000006</v>
      </c>
      <c r="M254" s="9"/>
      <c r="N254" s="7">
        <f>VLOOKUP($C254,'ASDR FY2'!$A:$X,N$15,FALSE)/1000+VLOOKUP($C254,'ASDR FY2'!$A:$X,N$16,FALSE)/1000</f>
        <v>0</v>
      </c>
      <c r="O254" s="8"/>
      <c r="P254" s="7">
        <f>SUM(H254,J254,L254,N254)</f>
        <v>5925.4058299999997</v>
      </c>
      <c r="Q254" s="9"/>
      <c r="R254" s="7">
        <f>VLOOKUP($C254,'ASDR FY2'!$A:$X,R$16,FALSE)/1000</f>
        <v>3437.80512</v>
      </c>
    </row>
    <row r="255" spans="1:18" x14ac:dyDescent="0.25">
      <c r="A255" s="116">
        <f t="shared" si="4"/>
        <v>5</v>
      </c>
      <c r="B255" s="122"/>
      <c r="C255" s="114">
        <v>34385</v>
      </c>
      <c r="D255" s="111" t="s">
        <v>82</v>
      </c>
      <c r="F255" s="126">
        <f>VLOOKUP($C255,'ASDR FY2'!$A:$X,F$16,FALSE)*100</f>
        <v>4.18</v>
      </c>
      <c r="G255" s="113"/>
      <c r="H255" s="7">
        <f>VLOOKUP($C255,'ASDR FY2'!$A:$X,H$16,FALSE)/1000</f>
        <v>25537.597419999995</v>
      </c>
      <c r="I255" s="8"/>
      <c r="J255" s="7">
        <f>VLOOKUP($C255,'ASDR FY2'!$A:$X,J$16,FALSE)/1000</f>
        <v>3543.0645299999996</v>
      </c>
      <c r="K255" s="9"/>
      <c r="L255" s="7">
        <f>VLOOKUP($C255,'ASDR FY2'!$A:$X,L$16,FALSE)/1000</f>
        <v>-708.61291000000006</v>
      </c>
      <c r="M255" s="9"/>
      <c r="N255" s="7">
        <f>VLOOKUP($C255,'ASDR FY2'!$A:$X,N$15,FALSE)/1000+VLOOKUP($C255,'ASDR FY2'!$A:$X,N$16,FALSE)/1000</f>
        <v>0</v>
      </c>
      <c r="O255" s="8"/>
      <c r="P255" s="7">
        <f>SUM(H255,J255,L255,N255)</f>
        <v>28372.049039999994</v>
      </c>
      <c r="Q255" s="9"/>
      <c r="R255" s="7">
        <f>VLOOKUP($C255,'ASDR FY2'!$A:$X,R$16,FALSE)/1000</f>
        <v>25884.448329999999</v>
      </c>
    </row>
    <row r="256" spans="1:18" x14ac:dyDescent="0.25">
      <c r="A256" s="116">
        <f t="shared" si="4"/>
        <v>6</v>
      </c>
      <c r="B256" s="122"/>
      <c r="C256" s="114">
        <v>34585</v>
      </c>
      <c r="D256" s="111" t="s">
        <v>48</v>
      </c>
      <c r="F256" s="126">
        <f>VLOOKUP($C256,'ASDR FY2'!$A:$X,F$16,FALSE)*100</f>
        <v>1.71</v>
      </c>
      <c r="G256" s="113"/>
      <c r="H256" s="7">
        <f>VLOOKUP($C256,'ASDR FY2'!$A:$X,H$16,FALSE)/1000</f>
        <v>5489.2689800000016</v>
      </c>
      <c r="I256" s="8"/>
      <c r="J256" s="7">
        <f>VLOOKUP($C256,'ASDR FY2'!$A:$X,J$16,FALSE)/1000</f>
        <v>0</v>
      </c>
      <c r="K256" s="9"/>
      <c r="L256" s="7">
        <f>VLOOKUP($C256,'ASDR FY2'!$A:$X,L$16,FALSE)/1000</f>
        <v>0</v>
      </c>
      <c r="M256" s="9"/>
      <c r="N256" s="7">
        <f>VLOOKUP($C256,'ASDR FY2'!$A:$X,N$15,FALSE)/1000+VLOOKUP($C256,'ASDR FY2'!$A:$X,N$16,FALSE)/1000</f>
        <v>0</v>
      </c>
      <c r="O256" s="8"/>
      <c r="P256" s="7">
        <f>SUM(H256,J256,L256,N256)</f>
        <v>5489.2689800000016</v>
      </c>
      <c r="Q256" s="9"/>
      <c r="R256" s="7">
        <f>VLOOKUP($C256,'ASDR FY2'!$A:$X,R$16,FALSE)/1000</f>
        <v>5489.2689800000007</v>
      </c>
    </row>
    <row r="257" spans="1:18" x14ac:dyDescent="0.25">
      <c r="A257" s="116">
        <f t="shared" si="4"/>
        <v>7</v>
      </c>
      <c r="B257" s="116"/>
      <c r="C257" s="114">
        <v>34685</v>
      </c>
      <c r="D257" s="111" t="s">
        <v>49</v>
      </c>
      <c r="F257" s="126">
        <f>VLOOKUP($C257,'ASDR FY2'!$A:$X,F$16,FALSE)*100</f>
        <v>2.94</v>
      </c>
      <c r="G257" s="113"/>
      <c r="H257" s="7">
        <f>VLOOKUP($C257,'ASDR FY2'!$A:$X,H$16,FALSE)/1000</f>
        <v>0</v>
      </c>
      <c r="I257" s="8"/>
      <c r="J257" s="7">
        <f>VLOOKUP($C257,'ASDR FY2'!$A:$X,J$16,FALSE)/1000</f>
        <v>0</v>
      </c>
      <c r="K257" s="9"/>
      <c r="L257" s="7">
        <f>VLOOKUP($C257,'ASDR FY2'!$A:$X,L$16,FALSE)/1000</f>
        <v>0</v>
      </c>
      <c r="M257" s="9"/>
      <c r="N257" s="7">
        <f>VLOOKUP($C257,'ASDR FY2'!$A:$X,N$15,FALSE)/1000+VLOOKUP($C257,'ASDR FY2'!$A:$X,N$16,FALSE)/1000</f>
        <v>0</v>
      </c>
      <c r="O257" s="8"/>
      <c r="P257" s="7">
        <f>SUM(H257,J257,L257,N257)</f>
        <v>0</v>
      </c>
      <c r="Q257" s="9"/>
      <c r="R257" s="7">
        <f>VLOOKUP($C257,'ASDR FY2'!$A:$X,R$16,FALSE)/1000</f>
        <v>0</v>
      </c>
    </row>
    <row r="258" spans="1:18" x14ac:dyDescent="0.25">
      <c r="A258" s="116">
        <f t="shared" si="4"/>
        <v>8</v>
      </c>
      <c r="B258" s="116"/>
      <c r="C258" s="116"/>
      <c r="D258" s="137" t="s">
        <v>102</v>
      </c>
      <c r="F258" s="126"/>
      <c r="H258" s="11">
        <f>SUM(H253:H257)</f>
        <v>39864.400719999998</v>
      </c>
      <c r="I258" s="14"/>
      <c r="J258" s="11">
        <f>SUM(J253:J257)</f>
        <v>7086.1290599999993</v>
      </c>
      <c r="K258" s="14"/>
      <c r="L258" s="11">
        <f>SUM(L253:L257)</f>
        <v>-1417.2258200000001</v>
      </c>
      <c r="M258" s="14"/>
      <c r="N258" s="11">
        <f>SUM(N253:N257)</f>
        <v>0</v>
      </c>
      <c r="O258" s="14"/>
      <c r="P258" s="11">
        <f>SUM(P253:P257)</f>
        <v>45533.303959999997</v>
      </c>
      <c r="Q258" s="14"/>
      <c r="R258" s="11">
        <f>SUM(R253:R257)</f>
        <v>40558.10254</v>
      </c>
    </row>
    <row r="259" spans="1:18" x14ac:dyDescent="0.25">
      <c r="A259" s="116">
        <f t="shared" si="4"/>
        <v>9</v>
      </c>
      <c r="B259" s="116"/>
      <c r="F259" s="127"/>
      <c r="O259" s="113"/>
    </row>
    <row r="260" spans="1:18" x14ac:dyDescent="0.25">
      <c r="A260" s="116">
        <f t="shared" si="4"/>
        <v>10</v>
      </c>
      <c r="B260" s="116"/>
      <c r="C260" s="116"/>
      <c r="D260" s="137" t="s">
        <v>103</v>
      </c>
      <c r="F260" s="126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</row>
    <row r="261" spans="1:18" x14ac:dyDescent="0.25">
      <c r="A261" s="116">
        <f t="shared" si="4"/>
        <v>11</v>
      </c>
      <c r="B261" s="116"/>
      <c r="C261" s="114">
        <v>34186</v>
      </c>
      <c r="D261" s="111" t="s">
        <v>45</v>
      </c>
      <c r="F261" s="126">
        <f>VLOOKUP($C261,'ASDR FY2'!$A:$X,F$16,FALSE)*100</f>
        <v>2.93</v>
      </c>
      <c r="G261" s="113"/>
      <c r="H261" s="7">
        <f>VLOOKUP($C261,'ASDR FY2'!$A:$X,H$16,FALSE)/1000</f>
        <v>13374.554050000001</v>
      </c>
      <c r="I261" s="8"/>
      <c r="J261" s="7">
        <f>VLOOKUP($C261,'ASDR FY2'!$A:$X,J$16,FALSE)/1000</f>
        <v>1291.1110700000002</v>
      </c>
      <c r="K261" s="9"/>
      <c r="L261" s="7">
        <f>VLOOKUP($C261,'ASDR FY2'!$A:$X,L$16,FALSE)/1000</f>
        <v>-258.22221999999999</v>
      </c>
      <c r="M261" s="9"/>
      <c r="N261" s="7">
        <f>VLOOKUP($C261,'ASDR FY2'!$A:$X,N$15,FALSE)/1000+VLOOKUP($C261,'ASDR FY2'!$A:$X,N$16,FALSE)/1000</f>
        <v>0</v>
      </c>
      <c r="O261" s="8"/>
      <c r="P261" s="7">
        <f>SUM(H261,J261,L261,N261)</f>
        <v>14407.442900000002</v>
      </c>
      <c r="Q261" s="9"/>
      <c r="R261" s="7">
        <f>VLOOKUP($C261,'ASDR FY2'!$A:$X,R$16,FALSE)/1000</f>
        <v>13593.04977</v>
      </c>
    </row>
    <row r="262" spans="1:18" x14ac:dyDescent="0.25">
      <c r="A262" s="116">
        <f t="shared" si="4"/>
        <v>12</v>
      </c>
      <c r="B262" s="122"/>
      <c r="C262" s="114">
        <v>34286</v>
      </c>
      <c r="D262" s="111" t="s">
        <v>81</v>
      </c>
      <c r="F262" s="126">
        <f>VLOOKUP($C262,'ASDR FY2'!$A:$X,F$16,FALSE)*100</f>
        <v>3.37</v>
      </c>
      <c r="G262" s="113"/>
      <c r="H262" s="7">
        <f>VLOOKUP($C262,'ASDR FY2'!$A:$X,H$16,FALSE)/1000</f>
        <v>215270.34614499996</v>
      </c>
      <c r="I262" s="8"/>
      <c r="J262" s="7">
        <f>VLOOKUP($C262,'ASDR FY2'!$A:$X,J$16,FALSE)/1000</f>
        <v>3629.3581400000003</v>
      </c>
      <c r="K262" s="9"/>
      <c r="L262" s="7">
        <f>VLOOKUP($C262,'ASDR FY2'!$A:$X,L$16,FALSE)/1000</f>
        <v>-725.87164000000007</v>
      </c>
      <c r="M262" s="9"/>
      <c r="N262" s="7">
        <f>VLOOKUP($C262,'ASDR FY2'!$A:$X,N$15,FALSE)/1000+VLOOKUP($C262,'ASDR FY2'!$A:$X,N$16,FALSE)/1000</f>
        <v>0</v>
      </c>
      <c r="O262" s="8"/>
      <c r="P262" s="7">
        <f>SUM(H262,J262,L262,N262)</f>
        <v>218173.83264499996</v>
      </c>
      <c r="Q262" s="9"/>
      <c r="R262" s="7">
        <f>VLOOKUP($C262,'ASDR FY2'!$A:$X,R$16,FALSE)/1000</f>
        <v>215839.67416999998</v>
      </c>
    </row>
    <row r="263" spans="1:18" x14ac:dyDescent="0.25">
      <c r="A263" s="116">
        <f t="shared" si="4"/>
        <v>13</v>
      </c>
      <c r="B263" s="122"/>
      <c r="C263" s="114">
        <v>34386</v>
      </c>
      <c r="D263" s="111" t="s">
        <v>82</v>
      </c>
      <c r="F263" s="126">
        <f>VLOOKUP($C263,'ASDR FY2'!$A:$X,F$16,FALSE)*100</f>
        <v>3.4800000000000004</v>
      </c>
      <c r="G263" s="113"/>
      <c r="H263" s="7">
        <f>VLOOKUP($C263,'ASDR FY2'!$A:$X,H$16,FALSE)/1000</f>
        <v>225351.01547500005</v>
      </c>
      <c r="I263" s="8"/>
      <c r="J263" s="7">
        <f>VLOOKUP($C263,'ASDR FY2'!$A:$X,J$16,FALSE)/1000</f>
        <v>3629.3581400000003</v>
      </c>
      <c r="K263" s="9"/>
      <c r="L263" s="7">
        <f>VLOOKUP($C263,'ASDR FY2'!$A:$X,L$16,FALSE)/1000</f>
        <v>-725.87164000000007</v>
      </c>
      <c r="M263" s="9"/>
      <c r="N263" s="7">
        <f>VLOOKUP($C263,'ASDR FY2'!$A:$X,N$15,FALSE)/1000+VLOOKUP($C263,'ASDR FY2'!$A:$X,N$16,FALSE)/1000</f>
        <v>0</v>
      </c>
      <c r="O263" s="8"/>
      <c r="P263" s="7">
        <f>SUM(H263,J263,L263,N263)</f>
        <v>228254.50197500005</v>
      </c>
      <c r="Q263" s="9"/>
      <c r="R263" s="7">
        <f>VLOOKUP($C263,'ASDR FY2'!$A:$X,R$16,FALSE)/1000</f>
        <v>225920.34349999999</v>
      </c>
    </row>
    <row r="264" spans="1:18" x14ac:dyDescent="0.25">
      <c r="A264" s="116">
        <f t="shared" si="4"/>
        <v>14</v>
      </c>
      <c r="B264" s="122"/>
      <c r="C264" s="114">
        <v>34586</v>
      </c>
      <c r="D264" s="111" t="s">
        <v>48</v>
      </c>
      <c r="F264" s="126">
        <f>VLOOKUP($C264,'ASDR FY2'!$A:$X,F$16,FALSE)*100</f>
        <v>3.04</v>
      </c>
      <c r="G264" s="113"/>
      <c r="H264" s="7">
        <f>VLOOKUP($C264,'ASDR FY2'!$A:$X,H$16,FALSE)/1000</f>
        <v>18338.595009999997</v>
      </c>
      <c r="I264" s="8"/>
      <c r="J264" s="7">
        <f>VLOOKUP($C264,'ASDR FY2'!$A:$X,J$16,FALSE)/1000</f>
        <v>0</v>
      </c>
      <c r="K264" s="9"/>
      <c r="L264" s="7">
        <f>VLOOKUP($C264,'ASDR FY2'!$A:$X,L$16,FALSE)/1000</f>
        <v>0</v>
      </c>
      <c r="M264" s="9"/>
      <c r="N264" s="7">
        <f>VLOOKUP($C264,'ASDR FY2'!$A:$X,N$15,FALSE)/1000+VLOOKUP($C264,'ASDR FY2'!$A:$X,N$16,FALSE)/1000</f>
        <v>0</v>
      </c>
      <c r="O264" s="8"/>
      <c r="P264" s="7">
        <f>SUM(H264,J264,L264,N264)</f>
        <v>18338.595009999997</v>
      </c>
      <c r="Q264" s="9"/>
      <c r="R264" s="7">
        <f>VLOOKUP($C264,'ASDR FY2'!$A:$X,R$16,FALSE)/1000</f>
        <v>18338.595010000001</v>
      </c>
    </row>
    <row r="265" spans="1:18" x14ac:dyDescent="0.25">
      <c r="A265" s="116">
        <f t="shared" si="4"/>
        <v>15</v>
      </c>
      <c r="B265" s="122"/>
      <c r="C265" s="114">
        <v>34686</v>
      </c>
      <c r="D265" s="111" t="s">
        <v>49</v>
      </c>
      <c r="F265" s="126">
        <f>VLOOKUP($C265,'ASDR FY2'!$A:$X,F$16,FALSE)*100</f>
        <v>3.71</v>
      </c>
      <c r="G265" s="113"/>
      <c r="H265" s="7">
        <f>VLOOKUP($C265,'ASDR FY2'!$A:$X,H$16,FALSE)/1000</f>
        <v>141.62640999999999</v>
      </c>
      <c r="I265" s="8"/>
      <c r="J265" s="7">
        <f>VLOOKUP($C265,'ASDR FY2'!$A:$X,J$16,FALSE)/1000</f>
        <v>0</v>
      </c>
      <c r="K265" s="9"/>
      <c r="L265" s="7">
        <f>VLOOKUP($C265,'ASDR FY2'!$A:$X,L$16,FALSE)/1000</f>
        <v>0</v>
      </c>
      <c r="M265" s="9"/>
      <c r="N265" s="7">
        <f>VLOOKUP($C265,'ASDR FY2'!$A:$X,N$15,FALSE)/1000+VLOOKUP($C265,'ASDR FY2'!$A:$X,N$16,FALSE)/1000</f>
        <v>0</v>
      </c>
      <c r="O265" s="8"/>
      <c r="P265" s="7">
        <f>SUM(H265,J265,L265,N265)</f>
        <v>141.62640999999999</v>
      </c>
      <c r="Q265" s="9"/>
      <c r="R265" s="7">
        <f>VLOOKUP($C265,'ASDR FY2'!$A:$X,R$16,FALSE)/1000</f>
        <v>141.62640999999999</v>
      </c>
    </row>
    <row r="266" spans="1:18" x14ac:dyDescent="0.25">
      <c r="A266" s="116">
        <f t="shared" si="4"/>
        <v>16</v>
      </c>
      <c r="B266" s="122"/>
      <c r="C266" s="114"/>
      <c r="D266" s="137" t="s">
        <v>104</v>
      </c>
      <c r="F266" s="126"/>
      <c r="H266" s="11">
        <f>SUM(H261:H265)</f>
        <v>472476.13709000003</v>
      </c>
      <c r="I266" s="14"/>
      <c r="J266" s="11">
        <f>SUM(J261:J265)</f>
        <v>8549.8273499999996</v>
      </c>
      <c r="K266" s="14"/>
      <c r="L266" s="11">
        <f>SUM(L261:L265)</f>
        <v>-1709.9655000000002</v>
      </c>
      <c r="M266" s="14"/>
      <c r="N266" s="11">
        <f>SUM(N261:N265)</f>
        <v>0</v>
      </c>
      <c r="O266" s="14"/>
      <c r="P266" s="11">
        <f>SUM(P261:P265)</f>
        <v>479315.99894000002</v>
      </c>
      <c r="Q266" s="14"/>
      <c r="R266" s="11">
        <f>SUM(R261:R265)</f>
        <v>473833.28886000003</v>
      </c>
    </row>
    <row r="267" spans="1:18" x14ac:dyDescent="0.25">
      <c r="A267" s="116">
        <f t="shared" si="4"/>
        <v>17</v>
      </c>
      <c r="B267" s="122"/>
      <c r="F267" s="127"/>
      <c r="O267" s="113"/>
    </row>
    <row r="268" spans="1:18" x14ac:dyDescent="0.25">
      <c r="A268" s="116">
        <f t="shared" si="4"/>
        <v>18</v>
      </c>
      <c r="B268" s="122"/>
      <c r="C268" s="114">
        <v>34287</v>
      </c>
      <c r="D268" s="137" t="s">
        <v>105</v>
      </c>
      <c r="F268" s="126">
        <f>VLOOKUP($C268,'ASDR FY2'!$A:$X,F$16,FALSE)*100</f>
        <v>20</v>
      </c>
      <c r="G268" s="113"/>
      <c r="H268" s="7">
        <f>VLOOKUP($C268,'ASDR FY2'!$A:$X,H$16,FALSE)/1000</f>
        <v>0</v>
      </c>
      <c r="I268" s="8"/>
      <c r="J268" s="7">
        <f>VLOOKUP($C268,'ASDR FY2'!$A:$X,J$16,FALSE)/1000</f>
        <v>0</v>
      </c>
      <c r="K268" s="9"/>
      <c r="L268" s="7">
        <f>VLOOKUP($C268,'ASDR FY2'!$A:$X,L$16,FALSE)/1000</f>
        <v>0</v>
      </c>
      <c r="M268" s="9"/>
      <c r="N268" s="7">
        <f>VLOOKUP($C268,'ASDR FY2'!$A:$X,N$15,FALSE)/1000+VLOOKUP($C268,'ASDR FY2'!$A:$X,N$16,FALSE)/1000</f>
        <v>0</v>
      </c>
      <c r="O268" s="8"/>
      <c r="P268" s="7">
        <f>SUM(H268,J268,L268,N268)</f>
        <v>0</v>
      </c>
      <c r="Q268" s="9"/>
      <c r="R268" s="7">
        <f>VLOOKUP($C268,'ASDR FY2'!$A:$X,R$16,FALSE)/1000</f>
        <v>0</v>
      </c>
    </row>
    <row r="269" spans="1:18" x14ac:dyDescent="0.25">
      <c r="A269" s="116">
        <f t="shared" si="4"/>
        <v>19</v>
      </c>
      <c r="B269" s="122"/>
      <c r="C269" s="114">
        <v>34687</v>
      </c>
      <c r="D269" s="111" t="s">
        <v>106</v>
      </c>
      <c r="F269" s="126">
        <f>VLOOKUP($C269,'ASDR FY2'!$A:$X,F$16,FALSE)*100</f>
        <v>14.3</v>
      </c>
      <c r="G269" s="113"/>
      <c r="H269" s="7">
        <f>VLOOKUP($C269,'ASDR FY2'!$A:$X,H$16,FALSE)/1000</f>
        <v>2111.9599400000002</v>
      </c>
      <c r="I269" s="8"/>
      <c r="J269" s="7">
        <f>VLOOKUP($C269,'ASDR FY2'!$A:$X,J$16,FALSE)/1000</f>
        <v>0</v>
      </c>
      <c r="K269" s="9"/>
      <c r="L269" s="7">
        <f>VLOOKUP($C269,'ASDR FY2'!$A:$X,L$16,FALSE)/1000</f>
        <v>0</v>
      </c>
      <c r="M269" s="9"/>
      <c r="N269" s="7">
        <f>VLOOKUP($C269,'ASDR FY2'!$A:$X,N$15,FALSE)/1000+VLOOKUP($C269,'ASDR FY2'!$A:$X,N$16,FALSE)/1000</f>
        <v>0</v>
      </c>
      <c r="O269" s="8"/>
      <c r="P269" s="7">
        <f>SUM(H269,J269,L269,N269)</f>
        <v>2111.9599400000002</v>
      </c>
      <c r="Q269" s="9"/>
      <c r="R269" s="7">
        <f>VLOOKUP($C269,'ASDR FY2'!$A:$X,R$16,FALSE)/1000</f>
        <v>2111.9599399999997</v>
      </c>
    </row>
    <row r="270" spans="1:18" x14ac:dyDescent="0.25">
      <c r="A270" s="116">
        <f t="shared" si="4"/>
        <v>20</v>
      </c>
      <c r="B270" s="122"/>
      <c r="C270" s="116"/>
      <c r="F270" s="126"/>
      <c r="H270" s="11"/>
      <c r="I270" s="14"/>
      <c r="J270" s="11"/>
      <c r="K270" s="14"/>
      <c r="L270" s="11"/>
      <c r="M270" s="14"/>
      <c r="N270" s="11"/>
      <c r="O270" s="14"/>
      <c r="P270" s="11"/>
      <c r="Q270" s="14"/>
      <c r="R270" s="11"/>
    </row>
    <row r="271" spans="1:18" ht="13.8" thickBot="1" x14ac:dyDescent="0.3">
      <c r="A271" s="116">
        <f t="shared" si="4"/>
        <v>21</v>
      </c>
      <c r="B271" s="122"/>
      <c r="C271" s="116"/>
      <c r="D271" s="111" t="s">
        <v>107</v>
      </c>
      <c r="F271" s="126"/>
      <c r="H271" s="18">
        <f>SUM(H200,H208,H216,H224,H232,H258,H266,H268,H269)</f>
        <v>1449218.6216500001</v>
      </c>
      <c r="I271" s="14"/>
      <c r="J271" s="18">
        <f>SUM(J200,J208,J216,J224,J232,J258,J266,J268,J269)</f>
        <v>125782.08365000002</v>
      </c>
      <c r="K271" s="14"/>
      <c r="L271" s="18">
        <f>SUM(L200,L208,L216,L224,L232,L258,L266,L268,L269)</f>
        <v>-9042.6373999999996</v>
      </c>
      <c r="M271" s="14"/>
      <c r="N271" s="18">
        <f>SUM(N200,N208,N216,N224,N232,N258,N266,N268,N269)</f>
        <v>0</v>
      </c>
      <c r="O271" s="14"/>
      <c r="P271" s="18">
        <f>SUM(P200,P208,P216,P224,P232,P258,P266,P268,P269)</f>
        <v>1565958.0679000001</v>
      </c>
      <c r="Q271" s="14"/>
      <c r="R271" s="18">
        <f>SUM(R200,R208,R216,R224,R232,R258,R266,R268,R269)</f>
        <v>1504349.3215399999</v>
      </c>
    </row>
    <row r="272" spans="1:18" ht="13.8" thickTop="1" x14ac:dyDescent="0.25">
      <c r="A272" s="116">
        <f t="shared" si="4"/>
        <v>22</v>
      </c>
      <c r="B272" s="122"/>
      <c r="F272" s="127"/>
      <c r="O272" s="113"/>
    </row>
    <row r="273" spans="1:18" x14ac:dyDescent="0.25">
      <c r="A273" s="116">
        <f t="shared" si="4"/>
        <v>23</v>
      </c>
      <c r="B273" s="122"/>
      <c r="F273" s="127"/>
      <c r="O273" s="113"/>
    </row>
    <row r="274" spans="1:18" x14ac:dyDescent="0.25">
      <c r="A274" s="116">
        <f t="shared" si="4"/>
        <v>24</v>
      </c>
      <c r="B274" s="122"/>
      <c r="F274" s="127"/>
      <c r="O274" s="113"/>
    </row>
    <row r="275" spans="1:18" x14ac:dyDescent="0.25">
      <c r="A275" s="116">
        <f t="shared" si="4"/>
        <v>25</v>
      </c>
      <c r="B275" s="122"/>
      <c r="D275" s="111" t="s">
        <v>108</v>
      </c>
      <c r="F275" s="127"/>
      <c r="O275" s="113"/>
    </row>
    <row r="276" spans="1:18" x14ac:dyDescent="0.25">
      <c r="A276" s="116">
        <f t="shared" si="4"/>
        <v>26</v>
      </c>
      <c r="B276" s="130"/>
      <c r="D276" s="137" t="s">
        <v>109</v>
      </c>
      <c r="F276" s="126"/>
      <c r="H276" s="142"/>
      <c r="I276" s="14"/>
      <c r="J276" s="142"/>
      <c r="K276" s="14"/>
      <c r="L276" s="142"/>
      <c r="M276" s="14"/>
      <c r="N276" s="142"/>
      <c r="O276" s="14"/>
      <c r="P276" s="142"/>
      <c r="Q276" s="14"/>
      <c r="R276" s="142"/>
    </row>
    <row r="277" spans="1:18" x14ac:dyDescent="0.25">
      <c r="A277" s="116">
        <f t="shared" si="4"/>
        <v>27</v>
      </c>
      <c r="B277" s="130"/>
      <c r="C277" s="116">
        <v>34130</v>
      </c>
      <c r="D277" s="111" t="s">
        <v>45</v>
      </c>
      <c r="F277" s="126">
        <f>VLOOKUP($C277,'ASDR FY2'!$A:$X,F$16,FALSE)*100</f>
        <v>3.7000000000000006</v>
      </c>
      <c r="G277" s="113"/>
      <c r="H277" s="7">
        <f>VLOOKUP($C277,'ASDR FY2'!$A:$X,H$16,FALSE)/1000</f>
        <v>112232.11392</v>
      </c>
      <c r="I277" s="8"/>
      <c r="J277" s="7">
        <f>VLOOKUP($C277,'ASDR FY2'!$A:$X,J$16,FALSE)/1000</f>
        <v>0</v>
      </c>
      <c r="K277" s="9"/>
      <c r="L277" s="7">
        <f>VLOOKUP($C277,'ASDR FY2'!$A:$X,L$16,FALSE)/1000</f>
        <v>0</v>
      </c>
      <c r="M277" s="9"/>
      <c r="N277" s="7">
        <f>VLOOKUP($C277,'ASDR FY2'!$A:$X,N$15,FALSE)/1000+VLOOKUP($C277,'ASDR FY2'!$A:$X,N$16,FALSE)/1000</f>
        <v>0</v>
      </c>
      <c r="O277" s="8"/>
      <c r="P277" s="7">
        <f>SUM(H277,J277,L277,N277)</f>
        <v>112232.11392</v>
      </c>
      <c r="Q277" s="9"/>
      <c r="R277" s="7">
        <f>VLOOKUP($C277,'ASDR FY2'!$A:$X,R$16,FALSE)/1000</f>
        <v>112232.11392</v>
      </c>
    </row>
    <row r="278" spans="1:18" x14ac:dyDescent="0.25">
      <c r="A278" s="116">
        <f t="shared" si="4"/>
        <v>28</v>
      </c>
      <c r="B278" s="130"/>
      <c r="C278" s="116">
        <v>34230</v>
      </c>
      <c r="D278" s="111" t="s">
        <v>81</v>
      </c>
      <c r="F278" s="126">
        <f>VLOOKUP($C278,'ASDR FY2'!$A:$X,F$16,FALSE)*100</f>
        <v>4.26</v>
      </c>
      <c r="G278" s="113"/>
      <c r="H278" s="7">
        <f>VLOOKUP($C278,'ASDR FY2'!$A:$X,H$16,FALSE)/1000</f>
        <v>41315.289069999999</v>
      </c>
      <c r="I278" s="8"/>
      <c r="J278" s="7">
        <f>VLOOKUP($C278,'ASDR FY2'!$A:$X,J$16,FALSE)/1000</f>
        <v>8972.4303900000014</v>
      </c>
      <c r="K278" s="9"/>
      <c r="L278" s="7">
        <f>VLOOKUP($C278,'ASDR FY2'!$A:$X,L$16,FALSE)/1000</f>
        <v>-1794.4860800000001</v>
      </c>
      <c r="M278" s="9"/>
      <c r="N278" s="7">
        <f>VLOOKUP($C278,'ASDR FY2'!$A:$X,N$15,FALSE)/1000+VLOOKUP($C278,'ASDR FY2'!$A:$X,N$16,FALSE)/1000</f>
        <v>0</v>
      </c>
      <c r="O278" s="8"/>
      <c r="P278" s="7">
        <f>SUM(H278,J278,L278,N278)</f>
        <v>48493.233379999998</v>
      </c>
      <c r="Q278" s="9"/>
      <c r="R278" s="7">
        <f>VLOOKUP($C278,'ASDR FY2'!$A:$X,R$16,FALSE)/1000</f>
        <v>45243.593820000002</v>
      </c>
    </row>
    <row r="279" spans="1:18" x14ac:dyDescent="0.25">
      <c r="A279" s="116">
        <f t="shared" si="4"/>
        <v>29</v>
      </c>
      <c r="B279" s="122"/>
      <c r="C279" s="116">
        <v>34330</v>
      </c>
      <c r="D279" s="111" t="s">
        <v>82</v>
      </c>
      <c r="F279" s="126">
        <f>VLOOKUP($C279,'ASDR FY2'!$A:$X,F$16,FALSE)*100</f>
        <v>5.47</v>
      </c>
      <c r="G279" s="113"/>
      <c r="H279" s="7">
        <f>VLOOKUP($C279,'ASDR FY2'!$A:$X,H$16,FALSE)/1000</f>
        <v>56329.274839999998</v>
      </c>
      <c r="I279" s="8"/>
      <c r="J279" s="7">
        <f>VLOOKUP($C279,'ASDR FY2'!$A:$X,J$16,FALSE)/1000</f>
        <v>8972.4303900000014</v>
      </c>
      <c r="K279" s="9"/>
      <c r="L279" s="7">
        <f>VLOOKUP($C279,'ASDR FY2'!$A:$X,L$16,FALSE)/1000</f>
        <v>-1794.4860800000001</v>
      </c>
      <c r="M279" s="9"/>
      <c r="N279" s="7">
        <f>VLOOKUP($C279,'ASDR FY2'!$A:$X,N$15,FALSE)/1000+VLOOKUP($C279,'ASDR FY2'!$A:$X,N$16,FALSE)/1000</f>
        <v>0</v>
      </c>
      <c r="O279" s="8"/>
      <c r="P279" s="7">
        <f>SUM(H279,J279,L279,N279)</f>
        <v>63507.219149999997</v>
      </c>
      <c r="Q279" s="9"/>
      <c r="R279" s="7">
        <f>VLOOKUP($C279,'ASDR FY2'!$A:$X,R$16,FALSE)/1000</f>
        <v>60257.579590000001</v>
      </c>
    </row>
    <row r="280" spans="1:18" x14ac:dyDescent="0.25">
      <c r="A280" s="116">
        <f t="shared" si="4"/>
        <v>30</v>
      </c>
      <c r="B280" s="122"/>
      <c r="C280" s="116">
        <v>34530</v>
      </c>
      <c r="D280" s="111" t="s">
        <v>48</v>
      </c>
      <c r="F280" s="126">
        <f>VLOOKUP($C280,'ASDR FY2'!$A:$X,F$16,FALSE)*100</f>
        <v>2.46</v>
      </c>
      <c r="G280" s="113"/>
      <c r="H280" s="7">
        <f>VLOOKUP($C280,'ASDR FY2'!$A:$X,H$16,FALSE)/1000</f>
        <v>32858.830609999997</v>
      </c>
      <c r="I280" s="8"/>
      <c r="J280" s="7">
        <f>VLOOKUP($C280,'ASDR FY2'!$A:$X,J$16,FALSE)/1000</f>
        <v>0</v>
      </c>
      <c r="K280" s="9"/>
      <c r="L280" s="7">
        <f>VLOOKUP($C280,'ASDR FY2'!$A:$X,L$16,FALSE)/1000</f>
        <v>0</v>
      </c>
      <c r="M280" s="9"/>
      <c r="N280" s="7">
        <f>VLOOKUP($C280,'ASDR FY2'!$A:$X,N$15,FALSE)/1000+VLOOKUP($C280,'ASDR FY2'!$A:$X,N$16,FALSE)/1000</f>
        <v>0</v>
      </c>
      <c r="O280" s="8"/>
      <c r="P280" s="7">
        <f>SUM(H280,J280,L280,N280)</f>
        <v>32858.830609999997</v>
      </c>
      <c r="Q280" s="9"/>
      <c r="R280" s="7">
        <f>VLOOKUP($C280,'ASDR FY2'!$A:$X,R$16,FALSE)/1000</f>
        <v>32858.830609999997</v>
      </c>
    </row>
    <row r="281" spans="1:18" x14ac:dyDescent="0.25">
      <c r="A281" s="116">
        <f t="shared" si="4"/>
        <v>31</v>
      </c>
      <c r="B281" s="122"/>
      <c r="C281" s="116">
        <v>34630</v>
      </c>
      <c r="D281" s="111" t="s">
        <v>49</v>
      </c>
      <c r="F281" s="126">
        <f>VLOOKUP($C281,'ASDR FY2'!$A:$X,F$16,FALSE)*100</f>
        <v>3.26</v>
      </c>
      <c r="G281" s="113"/>
      <c r="H281" s="7">
        <f>VLOOKUP($C281,'ASDR FY2'!$A:$X,H$16,FALSE)/1000</f>
        <v>11491.776410000002</v>
      </c>
      <c r="I281" s="8"/>
      <c r="J281" s="7">
        <f>VLOOKUP($C281,'ASDR FY2'!$A:$X,J$16,FALSE)/1000</f>
        <v>0</v>
      </c>
      <c r="K281" s="9"/>
      <c r="L281" s="7">
        <f>VLOOKUP($C281,'ASDR FY2'!$A:$X,L$16,FALSE)/1000</f>
        <v>0</v>
      </c>
      <c r="M281" s="9"/>
      <c r="N281" s="7">
        <f>VLOOKUP($C281,'ASDR FY2'!$A:$X,N$15,FALSE)/1000+VLOOKUP($C281,'ASDR FY2'!$A:$X,N$16,FALSE)/1000</f>
        <v>0</v>
      </c>
      <c r="O281" s="8"/>
      <c r="P281" s="7">
        <f>SUM(H281,J281,L281,N281)</f>
        <v>11491.776410000002</v>
      </c>
      <c r="Q281" s="9"/>
      <c r="R281" s="7">
        <f>VLOOKUP($C281,'ASDR FY2'!$A:$X,R$16,FALSE)/1000</f>
        <v>11491.77641</v>
      </c>
    </row>
    <row r="282" spans="1:18" x14ac:dyDescent="0.25">
      <c r="A282" s="116">
        <f t="shared" si="4"/>
        <v>32</v>
      </c>
      <c r="B282" s="122"/>
      <c r="C282" s="116"/>
      <c r="D282" s="137" t="s">
        <v>110</v>
      </c>
      <c r="F282" s="126"/>
      <c r="H282" s="11">
        <f>SUM(H277:H281)</f>
        <v>254227.28485</v>
      </c>
      <c r="I282" s="14"/>
      <c r="J282" s="11">
        <f>SUM(J277:J281)</f>
        <v>17944.860780000003</v>
      </c>
      <c r="K282" s="14"/>
      <c r="L282" s="11">
        <f>SUM(L277:L281)</f>
        <v>-3588.9721600000003</v>
      </c>
      <c r="M282" s="14"/>
      <c r="N282" s="11">
        <f>SUM(N277:N281)</f>
        <v>0</v>
      </c>
      <c r="O282" s="14"/>
      <c r="P282" s="11">
        <f>SUM(P277:P281)</f>
        <v>268583.17346999998</v>
      </c>
      <c r="Q282" s="14"/>
      <c r="R282" s="11">
        <f>SUM(R277:R281)</f>
        <v>262083.89435000002</v>
      </c>
    </row>
    <row r="283" spans="1:18" x14ac:dyDescent="0.25">
      <c r="A283" s="116">
        <f t="shared" si="4"/>
        <v>33</v>
      </c>
      <c r="B283" s="122"/>
      <c r="F283" s="127"/>
      <c r="O283" s="113"/>
    </row>
    <row r="284" spans="1:18" x14ac:dyDescent="0.25">
      <c r="A284" s="116">
        <f t="shared" si="4"/>
        <v>34</v>
      </c>
      <c r="D284" s="137" t="s">
        <v>111</v>
      </c>
      <c r="F284" s="127"/>
      <c r="H284" s="24"/>
      <c r="I284" s="24"/>
      <c r="J284" s="24"/>
      <c r="K284" s="24"/>
      <c r="L284" s="143"/>
      <c r="M284" s="143"/>
      <c r="N284" s="143"/>
      <c r="O284" s="144"/>
      <c r="P284" s="24"/>
      <c r="Q284" s="24"/>
      <c r="R284" s="24"/>
    </row>
    <row r="285" spans="1:18" x14ac:dyDescent="0.25">
      <c r="A285" s="116">
        <f t="shared" si="4"/>
        <v>35</v>
      </c>
      <c r="C285" s="114">
        <v>34131</v>
      </c>
      <c r="D285" s="111" t="s">
        <v>45</v>
      </c>
      <c r="F285" s="126">
        <f>VLOOKUP($C285,'ASDR FY2'!$A:$X,F$16,FALSE)*100</f>
        <v>4.9000000000000004</v>
      </c>
      <c r="G285" s="113"/>
      <c r="H285" s="7">
        <f>VLOOKUP($C285,'ASDR FY2'!$A:$X,H$16,FALSE)/1000</f>
        <v>21253.120770000005</v>
      </c>
      <c r="I285" s="8"/>
      <c r="J285" s="7">
        <f>VLOOKUP($C285,'ASDR FY2'!$A:$X,J$16,FALSE)/1000</f>
        <v>0</v>
      </c>
      <c r="K285" s="9"/>
      <c r="L285" s="7">
        <f>VLOOKUP($C285,'ASDR FY2'!$A:$X,L$16,FALSE)/1000</f>
        <v>0</v>
      </c>
      <c r="M285" s="9"/>
      <c r="N285" s="7">
        <f>VLOOKUP($C285,'ASDR FY2'!$A:$X,N$15,FALSE)/1000+VLOOKUP($C285,'ASDR FY2'!$A:$X,N$16,FALSE)/1000</f>
        <v>0</v>
      </c>
      <c r="O285" s="8"/>
      <c r="P285" s="7">
        <f>SUM(H285,J285,L285,N285)</f>
        <v>21253.120770000005</v>
      </c>
      <c r="Q285" s="9"/>
      <c r="R285" s="7">
        <f>VLOOKUP($C285,'ASDR FY2'!$A:$X,R$16,FALSE)/1000</f>
        <v>21253.120770000001</v>
      </c>
    </row>
    <row r="286" spans="1:18" x14ac:dyDescent="0.25">
      <c r="A286" s="116">
        <f t="shared" si="4"/>
        <v>36</v>
      </c>
      <c r="C286" s="114">
        <v>34231</v>
      </c>
      <c r="D286" s="111" t="s">
        <v>81</v>
      </c>
      <c r="F286" s="126">
        <f>VLOOKUP($C286,'ASDR FY2'!$A:$X,F$16,FALSE)*100</f>
        <v>4.71</v>
      </c>
      <c r="G286" s="113"/>
      <c r="H286" s="7">
        <f>VLOOKUP($C286,'ASDR FY2'!$A:$X,H$16,FALSE)/1000</f>
        <v>90649.036199999973</v>
      </c>
      <c r="I286" s="8"/>
      <c r="J286" s="7">
        <f>VLOOKUP($C286,'ASDR FY2'!$A:$X,J$16,FALSE)/1000</f>
        <v>17523.903679999999</v>
      </c>
      <c r="K286" s="9"/>
      <c r="L286" s="7">
        <f>VLOOKUP($C286,'ASDR FY2'!$A:$X,L$16,FALSE)/1000</f>
        <v>-3504.7807400000002</v>
      </c>
      <c r="M286" s="9"/>
      <c r="N286" s="7">
        <f>VLOOKUP($C286,'ASDR FY2'!$A:$X,N$15,FALSE)/1000+VLOOKUP($C286,'ASDR FY2'!$A:$X,N$16,FALSE)/1000</f>
        <v>0</v>
      </c>
      <c r="O286" s="8"/>
      <c r="P286" s="7">
        <f>SUM(H286,J286,L286,N286)</f>
        <v>104668.15913999997</v>
      </c>
      <c r="Q286" s="9"/>
      <c r="R286" s="7">
        <f>VLOOKUP($C286,'ASDR FY2'!$A:$X,R$16,FALSE)/1000</f>
        <v>97775.274160000001</v>
      </c>
    </row>
    <row r="287" spans="1:18" x14ac:dyDescent="0.25">
      <c r="A287" s="116">
        <f t="shared" si="4"/>
        <v>37</v>
      </c>
      <c r="C287" s="114">
        <v>34331</v>
      </c>
      <c r="D287" s="111" t="s">
        <v>82</v>
      </c>
      <c r="F287" s="126">
        <f>VLOOKUP($C287,'ASDR FY2'!$A:$X,F$16,FALSE)*100</f>
        <v>5.17</v>
      </c>
      <c r="G287" s="113"/>
      <c r="H287" s="7">
        <f>VLOOKUP($C287,'ASDR FY2'!$A:$X,H$16,FALSE)/1000</f>
        <v>257142.96082999994</v>
      </c>
      <c r="I287" s="8"/>
      <c r="J287" s="7">
        <f>VLOOKUP($C287,'ASDR FY2'!$A:$X,J$16,FALSE)/1000</f>
        <v>17523.903679999999</v>
      </c>
      <c r="K287" s="9"/>
      <c r="L287" s="7">
        <f>VLOOKUP($C287,'ASDR FY2'!$A:$X,L$16,FALSE)/1000</f>
        <v>-3504.7807400000002</v>
      </c>
      <c r="M287" s="9"/>
      <c r="N287" s="7">
        <f>VLOOKUP($C287,'ASDR FY2'!$A:$X,N$15,FALSE)/1000+VLOOKUP($C287,'ASDR FY2'!$A:$X,N$16,FALSE)/1000</f>
        <v>0</v>
      </c>
      <c r="O287" s="8"/>
      <c r="P287" s="7">
        <f>SUM(H287,J287,L287,N287)</f>
        <v>271162.08376999991</v>
      </c>
      <c r="Q287" s="9"/>
      <c r="R287" s="7">
        <f>VLOOKUP($C287,'ASDR FY2'!$A:$X,R$16,FALSE)/1000</f>
        <v>264269.19878999999</v>
      </c>
    </row>
    <row r="288" spans="1:18" x14ac:dyDescent="0.25">
      <c r="A288" s="116">
        <f t="shared" si="4"/>
        <v>38</v>
      </c>
      <c r="C288" s="114">
        <v>34531</v>
      </c>
      <c r="D288" s="111" t="s">
        <v>48</v>
      </c>
      <c r="F288" s="126">
        <f>VLOOKUP($C288,'ASDR FY2'!$A:$X,F$16,FALSE)*100</f>
        <v>3.36</v>
      </c>
      <c r="G288" s="113"/>
      <c r="H288" s="7">
        <f>VLOOKUP($C288,'ASDR FY2'!$A:$X,H$16,FALSE)/1000</f>
        <v>40601.976499999997</v>
      </c>
      <c r="I288" s="8"/>
      <c r="J288" s="7">
        <f>VLOOKUP($C288,'ASDR FY2'!$A:$X,J$16,FALSE)/1000</f>
        <v>0</v>
      </c>
      <c r="K288" s="9"/>
      <c r="L288" s="7">
        <f>VLOOKUP($C288,'ASDR FY2'!$A:$X,L$16,FALSE)/1000</f>
        <v>0</v>
      </c>
      <c r="M288" s="9"/>
      <c r="N288" s="7">
        <f>VLOOKUP($C288,'ASDR FY2'!$A:$X,N$15,FALSE)/1000+VLOOKUP($C288,'ASDR FY2'!$A:$X,N$16,FALSE)/1000</f>
        <v>0</v>
      </c>
      <c r="O288" s="8"/>
      <c r="P288" s="7">
        <f>SUM(H288,J288,L288,N288)</f>
        <v>40601.976499999997</v>
      </c>
      <c r="Q288" s="9"/>
      <c r="R288" s="7">
        <f>VLOOKUP($C288,'ASDR FY2'!$A:$X,R$16,FALSE)/1000</f>
        <v>40601.976499999997</v>
      </c>
    </row>
    <row r="289" spans="1:18" x14ac:dyDescent="0.25">
      <c r="A289" s="116">
        <f t="shared" si="4"/>
        <v>39</v>
      </c>
      <c r="C289" s="114">
        <v>34631</v>
      </c>
      <c r="D289" s="111" t="s">
        <v>49</v>
      </c>
      <c r="F289" s="126">
        <f>VLOOKUP($C289,'ASDR FY2'!$A:$X,F$16,FALSE)*100</f>
        <v>4.29</v>
      </c>
      <c r="G289" s="113"/>
      <c r="H289" s="7">
        <f>VLOOKUP($C289,'ASDR FY2'!$A:$X,H$16,FALSE)/1000</f>
        <v>1175.7052099999999</v>
      </c>
      <c r="I289" s="8"/>
      <c r="J289" s="7">
        <f>VLOOKUP($C289,'ASDR FY2'!$A:$X,J$16,FALSE)/1000</f>
        <v>0</v>
      </c>
      <c r="K289" s="9"/>
      <c r="L289" s="7">
        <f>VLOOKUP($C289,'ASDR FY2'!$A:$X,L$16,FALSE)/1000</f>
        <v>0</v>
      </c>
      <c r="M289" s="9"/>
      <c r="N289" s="7">
        <f>VLOOKUP($C289,'ASDR FY2'!$A:$X,N$15,FALSE)/1000+VLOOKUP($C289,'ASDR FY2'!$A:$X,N$16,FALSE)/1000</f>
        <v>0</v>
      </c>
      <c r="O289" s="8"/>
      <c r="P289" s="7">
        <f>SUM(H289,J289,L289,N289)</f>
        <v>1175.7052099999999</v>
      </c>
      <c r="Q289" s="9"/>
      <c r="R289" s="7">
        <f>VLOOKUP($C289,'ASDR FY2'!$A:$X,R$16,FALSE)/1000</f>
        <v>1175.7052099999999</v>
      </c>
    </row>
    <row r="290" spans="1:18" x14ac:dyDescent="0.25">
      <c r="A290" s="116">
        <f t="shared" si="4"/>
        <v>40</v>
      </c>
      <c r="C290" s="116"/>
      <c r="D290" s="137" t="s">
        <v>112</v>
      </c>
      <c r="F290" s="131"/>
      <c r="H290" s="11">
        <f>SUM(H285:H289)</f>
        <v>410822.79950999987</v>
      </c>
      <c r="I290" s="14"/>
      <c r="J290" s="11">
        <f>SUM(J285:J289)</f>
        <v>35047.807359999999</v>
      </c>
      <c r="K290" s="14"/>
      <c r="L290" s="11">
        <f>SUM(L285:L289)</f>
        <v>-7009.5614800000003</v>
      </c>
      <c r="M290" s="14"/>
      <c r="N290" s="11">
        <f>SUM(N285:N289)</f>
        <v>0</v>
      </c>
      <c r="O290" s="14"/>
      <c r="P290" s="11">
        <f>SUM(P285:P289)</f>
        <v>438861.04538999987</v>
      </c>
      <c r="Q290" s="14"/>
      <c r="R290" s="11">
        <f>SUM(R285:R289)</f>
        <v>425075.27542999998</v>
      </c>
    </row>
    <row r="291" spans="1:18" x14ac:dyDescent="0.25">
      <c r="A291" s="116">
        <f t="shared" si="4"/>
        <v>41</v>
      </c>
      <c r="O291" s="113"/>
    </row>
    <row r="292" spans="1:18" x14ac:dyDescent="0.25">
      <c r="A292" s="116">
        <f t="shared" si="4"/>
        <v>42</v>
      </c>
      <c r="O292" s="113"/>
    </row>
    <row r="293" spans="1:18" x14ac:dyDescent="0.25">
      <c r="A293" s="116">
        <f t="shared" si="4"/>
        <v>43</v>
      </c>
      <c r="O293" s="113"/>
    </row>
    <row r="294" spans="1:18" ht="13.8" thickBot="1" x14ac:dyDescent="0.3">
      <c r="A294" s="117">
        <f t="shared" si="4"/>
        <v>44</v>
      </c>
      <c r="B294" s="19" t="s">
        <v>59</v>
      </c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32"/>
      <c r="P294" s="110"/>
      <c r="Q294" s="110"/>
      <c r="R294" s="110"/>
    </row>
    <row r="295" spans="1:18" x14ac:dyDescent="0.25">
      <c r="A295" s="111" t="str">
        <f>$A$59</f>
        <v>Supporting Schedules:  B-08, B-11</v>
      </c>
      <c r="O295" s="113"/>
      <c r="P295" s="111" t="str">
        <f>$P$59</f>
        <v>Recap Schedules:  B-03, B-06</v>
      </c>
    </row>
    <row r="296" spans="1:18" ht="13.8" thickBot="1" x14ac:dyDescent="0.3">
      <c r="A296" s="110" t="str">
        <f>$A$1</f>
        <v>SCHEDULE B-07</v>
      </c>
      <c r="B296" s="110"/>
      <c r="C296" s="110"/>
      <c r="D296" s="110"/>
      <c r="E296" s="110"/>
      <c r="F296" s="110"/>
      <c r="G296" s="110" t="str">
        <f>$G$1</f>
        <v>PLANT BALANCES BY ACCOUNT AND SUB-ACCOUNT</v>
      </c>
      <c r="H296" s="110"/>
      <c r="I296" s="110"/>
      <c r="J296" s="110"/>
      <c r="K296" s="110"/>
      <c r="L296" s="110"/>
      <c r="M296" s="110"/>
      <c r="N296" s="110"/>
      <c r="O296" s="132"/>
      <c r="P296" s="110"/>
      <c r="Q296" s="110"/>
      <c r="R296" s="110" t="str">
        <f>"Page 6 of " &amp; $P$1</f>
        <v>Page 6 of 30</v>
      </c>
    </row>
    <row r="297" spans="1:18" x14ac:dyDescent="0.25">
      <c r="A297" s="111" t="str">
        <f>$A$2</f>
        <v>FLORIDA PUBLIC SERVICE COMMISSION</v>
      </c>
      <c r="B297" s="133"/>
      <c r="E297" s="113" t="str">
        <f>$E$2</f>
        <v xml:space="preserve">                  EXPLANATION:</v>
      </c>
      <c r="F297" s="111" t="str">
        <f>IF($F$2="","",$F$2)</f>
        <v>Provide the depreciation rate and plant balances for each account or sub-account to which</v>
      </c>
      <c r="J297" s="134"/>
      <c r="K297" s="134"/>
      <c r="M297" s="134"/>
      <c r="N297" s="134"/>
      <c r="O297" s="135"/>
      <c r="P297" s="111" t="str">
        <f>$P$2</f>
        <v>Type of data shown:</v>
      </c>
      <c r="R297" s="112"/>
    </row>
    <row r="298" spans="1:18" x14ac:dyDescent="0.25">
      <c r="B298" s="133"/>
      <c r="F298" s="111" t="str">
        <f>IF($F$3="","",$F$3)</f>
        <v>a separate depreciation rate is prescribed. (Include Amortization/Recovery schedule amounts).</v>
      </c>
      <c r="J298" s="113"/>
      <c r="K298" s="112"/>
      <c r="N298" s="113"/>
      <c r="O298" s="113" t="str">
        <f>IF($O$3=0,"",$O$3)</f>
        <v>XX</v>
      </c>
      <c r="P298" s="112" t="str">
        <f>$P$3</f>
        <v>Projected Test Year Ended 12/31/2025</v>
      </c>
      <c r="R298" s="113"/>
    </row>
    <row r="299" spans="1:18" x14ac:dyDescent="0.25">
      <c r="A299" s="111" t="str">
        <f>$A$4</f>
        <v>COMPANY: TAMPA ELECTRIC COMPANY</v>
      </c>
      <c r="B299" s="133"/>
      <c r="F299" s="111" t="str">
        <f>IF(+$F$4="","",$F$4)</f>
        <v/>
      </c>
      <c r="J299" s="113"/>
      <c r="K299" s="112"/>
      <c r="L299" s="113"/>
      <c r="O299" s="113" t="str">
        <f>IF($O$4=0,"",$O$4)</f>
        <v/>
      </c>
      <c r="P299" s="112" t="str">
        <f>$P$4</f>
        <v>Projected Prior Year Ended 12/31/2024</v>
      </c>
      <c r="R299" s="113"/>
    </row>
    <row r="300" spans="1:18" x14ac:dyDescent="0.25">
      <c r="B300" s="133"/>
      <c r="F300" s="111" t="str">
        <f>IF(+$F$5="","",$F$5)</f>
        <v/>
      </c>
      <c r="J300" s="113"/>
      <c r="K300" s="112"/>
      <c r="L300" s="113"/>
      <c r="O300" s="113" t="str">
        <f>IF($O$5=0,"",$O$5)</f>
        <v/>
      </c>
      <c r="P300" s="112" t="str">
        <f>$P$5</f>
        <v>Historical Prior Year Ended 12/31/2023</v>
      </c>
      <c r="R300" s="113"/>
    </row>
    <row r="301" spans="1:18" x14ac:dyDescent="0.25">
      <c r="J301" s="113"/>
      <c r="K301" s="112"/>
      <c r="L301" s="113"/>
      <c r="O301" s="113"/>
      <c r="P301" s="161" t="s">
        <v>572</v>
      </c>
      <c r="R301" s="113"/>
    </row>
    <row r="302" spans="1:18" x14ac:dyDescent="0.25">
      <c r="J302" s="113"/>
      <c r="K302" s="112"/>
      <c r="L302" s="113"/>
      <c r="O302" s="113"/>
      <c r="P302" s="161" t="s">
        <v>573</v>
      </c>
      <c r="R302" s="113"/>
    </row>
    <row r="303" spans="1:18" x14ac:dyDescent="0.25">
      <c r="J303" s="113"/>
      <c r="K303" s="112"/>
      <c r="L303" s="113"/>
      <c r="O303" s="113"/>
      <c r="P303" s="161" t="s">
        <v>574</v>
      </c>
      <c r="R303" s="113"/>
    </row>
    <row r="304" spans="1:18" ht="13.8" thickBot="1" x14ac:dyDescent="0.3">
      <c r="A304" s="158" t="s">
        <v>576</v>
      </c>
      <c r="B304" s="110"/>
      <c r="C304" s="110"/>
      <c r="D304" s="110"/>
      <c r="E304" s="110"/>
      <c r="F304" s="110"/>
      <c r="G304" s="110"/>
      <c r="H304" s="117" t="s">
        <v>12</v>
      </c>
      <c r="I304" s="110"/>
      <c r="J304" s="110"/>
      <c r="K304" s="110"/>
      <c r="L304" s="110"/>
      <c r="M304" s="110"/>
      <c r="N304" s="110"/>
      <c r="O304" s="132"/>
      <c r="P304" s="162" t="s">
        <v>575</v>
      </c>
      <c r="Q304" s="110"/>
      <c r="R304" s="110"/>
    </row>
    <row r="305" spans="1:18" x14ac:dyDescent="0.25"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5"/>
      <c r="P305" s="114"/>
      <c r="Q305" s="114"/>
      <c r="R305" s="114"/>
    </row>
    <row r="306" spans="1:18" x14ac:dyDescent="0.25">
      <c r="C306" s="114" t="s">
        <v>13</v>
      </c>
      <c r="D306" s="114" t="s">
        <v>14</v>
      </c>
      <c r="E306" s="114"/>
      <c r="F306" s="114" t="s">
        <v>15</v>
      </c>
      <c r="G306" s="114"/>
      <c r="H306" s="114" t="s">
        <v>16</v>
      </c>
      <c r="I306" s="114"/>
      <c r="J306" s="116" t="s">
        <v>17</v>
      </c>
      <c r="K306" s="116"/>
      <c r="L306" s="114" t="s">
        <v>18</v>
      </c>
      <c r="M306" s="114"/>
      <c r="N306" s="114" t="s">
        <v>19</v>
      </c>
      <c r="O306" s="115"/>
      <c r="P306" s="114" t="s">
        <v>20</v>
      </c>
      <c r="Q306" s="114"/>
      <c r="R306" s="114" t="s">
        <v>21</v>
      </c>
    </row>
    <row r="307" spans="1:18" x14ac:dyDescent="0.25">
      <c r="C307" s="116" t="s">
        <v>22</v>
      </c>
      <c r="D307" s="116" t="s">
        <v>22</v>
      </c>
      <c r="F307" s="116" t="s">
        <v>23</v>
      </c>
      <c r="G307" s="116"/>
      <c r="H307" s="114" t="s">
        <v>24</v>
      </c>
      <c r="I307" s="116"/>
      <c r="J307" s="114" t="s">
        <v>25</v>
      </c>
      <c r="K307" s="116"/>
      <c r="L307" s="116" t="s">
        <v>25</v>
      </c>
      <c r="M307" s="116"/>
      <c r="O307" s="113"/>
      <c r="P307" s="116" t="s">
        <v>24</v>
      </c>
      <c r="R307" s="116"/>
    </row>
    <row r="308" spans="1:18" x14ac:dyDescent="0.25">
      <c r="A308" s="116" t="s">
        <v>26</v>
      </c>
      <c r="B308" s="116"/>
      <c r="C308" s="116" t="s">
        <v>27</v>
      </c>
      <c r="D308" s="116" t="s">
        <v>27</v>
      </c>
      <c r="E308" s="114"/>
      <c r="F308" s="116" t="s">
        <v>28</v>
      </c>
      <c r="G308" s="116"/>
      <c r="H308" s="116" t="s">
        <v>29</v>
      </c>
      <c r="I308" s="116"/>
      <c r="J308" s="116" t="s">
        <v>24</v>
      </c>
      <c r="K308" s="114"/>
      <c r="L308" s="116" t="s">
        <v>24</v>
      </c>
      <c r="M308" s="112"/>
      <c r="N308" s="116" t="s">
        <v>30</v>
      </c>
      <c r="O308" s="115"/>
      <c r="P308" s="114" t="s">
        <v>29</v>
      </c>
      <c r="Q308" s="114"/>
      <c r="R308" s="116" t="s">
        <v>31</v>
      </c>
    </row>
    <row r="309" spans="1:18" ht="13.8" thickBot="1" x14ac:dyDescent="0.3">
      <c r="A309" s="117" t="s">
        <v>32</v>
      </c>
      <c r="B309" s="117"/>
      <c r="C309" s="117" t="s">
        <v>33</v>
      </c>
      <c r="D309" s="117" t="s">
        <v>34</v>
      </c>
      <c r="E309" s="117"/>
      <c r="F309" s="118" t="s">
        <v>35</v>
      </c>
      <c r="G309" s="118"/>
      <c r="H309" s="118" t="s">
        <v>36</v>
      </c>
      <c r="I309" s="119"/>
      <c r="J309" s="118" t="s">
        <v>37</v>
      </c>
      <c r="K309" s="119"/>
      <c r="L309" s="119" t="s">
        <v>38</v>
      </c>
      <c r="M309" s="120"/>
      <c r="N309" s="120" t="s">
        <v>39</v>
      </c>
      <c r="O309" s="121"/>
      <c r="P309" s="120" t="s">
        <v>40</v>
      </c>
      <c r="Q309" s="120"/>
      <c r="R309" s="120" t="s">
        <v>41</v>
      </c>
    </row>
    <row r="310" spans="1:18" x14ac:dyDescent="0.25">
      <c r="A310" s="116">
        <v>1</v>
      </c>
      <c r="B310" s="122"/>
      <c r="O310" s="113"/>
    </row>
    <row r="311" spans="1:18" x14ac:dyDescent="0.25">
      <c r="A311" s="116">
        <f>A310+1</f>
        <v>2</v>
      </c>
      <c r="B311" s="122"/>
      <c r="C311" s="116"/>
      <c r="D311" s="137" t="s">
        <v>113</v>
      </c>
      <c r="F311" s="131"/>
      <c r="H311" s="13"/>
      <c r="I311" s="14"/>
      <c r="J311" s="14"/>
      <c r="K311" s="14"/>
      <c r="L311" s="14"/>
      <c r="M311" s="14"/>
      <c r="N311" s="14"/>
      <c r="O311" s="14"/>
      <c r="P311" s="12"/>
      <c r="Q311" s="14"/>
      <c r="R311" s="14"/>
    </row>
    <row r="312" spans="1:18" x14ac:dyDescent="0.25">
      <c r="A312" s="116">
        <f t="shared" ref="A312:A353" si="5">A311+1</f>
        <v>3</v>
      </c>
      <c r="B312" s="122"/>
      <c r="C312" s="114">
        <v>34132</v>
      </c>
      <c r="D312" s="111" t="s">
        <v>45</v>
      </c>
      <c r="F312" s="126">
        <f>VLOOKUP($C312,'ASDR FY2'!$A:$X,F$16,FALSE)*100</f>
        <v>4.24</v>
      </c>
      <c r="G312" s="113"/>
      <c r="H312" s="7">
        <f>VLOOKUP($C312,'ASDR FY2'!$A:$X,H$16,FALSE)/1000</f>
        <v>27131.136169999998</v>
      </c>
      <c r="I312" s="8"/>
      <c r="J312" s="7">
        <f>VLOOKUP($C312,'ASDR FY2'!$A:$X,J$16,FALSE)/1000</f>
        <v>0</v>
      </c>
      <c r="K312" s="9"/>
      <c r="L312" s="7">
        <f>VLOOKUP($C312,'ASDR FY2'!$A:$X,L$16,FALSE)/1000</f>
        <v>0</v>
      </c>
      <c r="M312" s="9"/>
      <c r="N312" s="7">
        <f>VLOOKUP($C312,'ASDR FY2'!$A:$X,N$15,FALSE)/1000+VLOOKUP($C312,'ASDR FY2'!$A:$X,N$16,FALSE)/1000</f>
        <v>0</v>
      </c>
      <c r="O312" s="8"/>
      <c r="P312" s="7">
        <f>SUM(H312,J312,L312,N312)</f>
        <v>27131.136169999998</v>
      </c>
      <c r="Q312" s="9"/>
      <c r="R312" s="7">
        <f>VLOOKUP($C312,'ASDR FY2'!$A:$X,R$16,FALSE)/1000</f>
        <v>27131.136170000002</v>
      </c>
    </row>
    <row r="313" spans="1:18" x14ac:dyDescent="0.25">
      <c r="A313" s="116">
        <f t="shared" si="5"/>
        <v>4</v>
      </c>
      <c r="B313" s="122"/>
      <c r="C313" s="114">
        <v>34232</v>
      </c>
      <c r="D313" s="111" t="s">
        <v>81</v>
      </c>
      <c r="F313" s="126">
        <f>VLOOKUP($C313,'ASDR FY2'!$A:$X,F$16,FALSE)*100</f>
        <v>5.6</v>
      </c>
      <c r="G313" s="113"/>
      <c r="H313" s="7">
        <f>VLOOKUP($C313,'ASDR FY2'!$A:$X,H$16,FALSE)/1000</f>
        <v>142690.12431499999</v>
      </c>
      <c r="I313" s="8"/>
      <c r="J313" s="7">
        <f>VLOOKUP($C313,'ASDR FY2'!$A:$X,J$16,FALSE)/1000</f>
        <v>5985.4894999999997</v>
      </c>
      <c r="K313" s="9"/>
      <c r="L313" s="7">
        <f>VLOOKUP($C313,'ASDR FY2'!$A:$X,L$16,FALSE)/1000</f>
        <v>-1197.0979</v>
      </c>
      <c r="M313" s="9"/>
      <c r="N313" s="7">
        <f>VLOOKUP($C313,'ASDR FY2'!$A:$X,N$15,FALSE)/1000+VLOOKUP($C313,'ASDR FY2'!$A:$X,N$16,FALSE)/1000</f>
        <v>0</v>
      </c>
      <c r="O313" s="8"/>
      <c r="P313" s="7">
        <f>SUM(H313,J313,L313,N313)</f>
        <v>147478.515915</v>
      </c>
      <c r="Q313" s="9"/>
      <c r="R313" s="7">
        <f>VLOOKUP($C313,'ASDR FY2'!$A:$X,R$16,FALSE)/1000</f>
        <v>144286.02987999999</v>
      </c>
    </row>
    <row r="314" spans="1:18" x14ac:dyDescent="0.25">
      <c r="A314" s="116">
        <f t="shared" si="5"/>
        <v>5</v>
      </c>
      <c r="B314" s="122"/>
      <c r="C314" s="114">
        <v>34332</v>
      </c>
      <c r="D314" s="111" t="s">
        <v>82</v>
      </c>
      <c r="F314" s="126">
        <f>VLOOKUP($C314,'ASDR FY2'!$A:$X,F$16,FALSE)*100</f>
        <v>5.4</v>
      </c>
      <c r="G314" s="113"/>
      <c r="H314" s="7">
        <f>VLOOKUP($C314,'ASDR FY2'!$A:$X,H$16,FALSE)/1000</f>
        <v>325379.58298500016</v>
      </c>
      <c r="I314" s="8"/>
      <c r="J314" s="7">
        <f>VLOOKUP($C314,'ASDR FY2'!$A:$X,J$16,FALSE)/1000</f>
        <v>5985.4894999999997</v>
      </c>
      <c r="K314" s="9"/>
      <c r="L314" s="7">
        <f>VLOOKUP($C314,'ASDR FY2'!$A:$X,L$16,FALSE)/1000</f>
        <v>-1197.0979</v>
      </c>
      <c r="M314" s="9"/>
      <c r="N314" s="7">
        <f>VLOOKUP($C314,'ASDR FY2'!$A:$X,N$15,FALSE)/1000+VLOOKUP($C314,'ASDR FY2'!$A:$X,N$16,FALSE)/1000</f>
        <v>0</v>
      </c>
      <c r="O314" s="8"/>
      <c r="P314" s="7">
        <f>SUM(H314,J314,L314,N314)</f>
        <v>330167.97458500019</v>
      </c>
      <c r="Q314" s="9"/>
      <c r="R314" s="7">
        <f>VLOOKUP($C314,'ASDR FY2'!$A:$X,R$16,FALSE)/1000</f>
        <v>326975.48855000001</v>
      </c>
    </row>
    <row r="315" spans="1:18" x14ac:dyDescent="0.25">
      <c r="A315" s="116">
        <f t="shared" si="5"/>
        <v>6</v>
      </c>
      <c r="B315" s="122"/>
      <c r="C315" s="114">
        <v>34532</v>
      </c>
      <c r="D315" s="111" t="s">
        <v>48</v>
      </c>
      <c r="F315" s="126">
        <f>VLOOKUP($C315,'ASDR FY2'!$A:$X,F$16,FALSE)*100</f>
        <v>3.58</v>
      </c>
      <c r="G315" s="113"/>
      <c r="H315" s="7">
        <f>VLOOKUP($C315,'ASDR FY2'!$A:$X,H$16,FALSE)/1000</f>
        <v>44698.672580000006</v>
      </c>
      <c r="I315" s="8"/>
      <c r="J315" s="7">
        <f>VLOOKUP($C315,'ASDR FY2'!$A:$X,J$16,FALSE)/1000</f>
        <v>0</v>
      </c>
      <c r="K315" s="9"/>
      <c r="L315" s="7">
        <f>VLOOKUP($C315,'ASDR FY2'!$A:$X,L$16,FALSE)/1000</f>
        <v>0</v>
      </c>
      <c r="M315" s="9"/>
      <c r="N315" s="7">
        <f>VLOOKUP($C315,'ASDR FY2'!$A:$X,N$15,FALSE)/1000+VLOOKUP($C315,'ASDR FY2'!$A:$X,N$16,FALSE)/1000</f>
        <v>0</v>
      </c>
      <c r="O315" s="8"/>
      <c r="P315" s="7">
        <f>SUM(H315,J315,L315,N315)</f>
        <v>44698.672580000006</v>
      </c>
      <c r="Q315" s="9"/>
      <c r="R315" s="7">
        <f>VLOOKUP($C315,'ASDR FY2'!$A:$X,R$16,FALSE)/1000</f>
        <v>44698.672579999999</v>
      </c>
    </row>
    <row r="316" spans="1:18" x14ac:dyDescent="0.25">
      <c r="A316" s="116">
        <f t="shared" si="5"/>
        <v>7</v>
      </c>
      <c r="B316" s="122"/>
      <c r="C316" s="114">
        <v>34632</v>
      </c>
      <c r="D316" s="111" t="s">
        <v>49</v>
      </c>
      <c r="F316" s="126">
        <f>VLOOKUP($C316,'ASDR FY2'!$A:$X,F$16,FALSE)*100</f>
        <v>4.1399999999999997</v>
      </c>
      <c r="G316" s="113"/>
      <c r="H316" s="7">
        <f>VLOOKUP($C316,'ASDR FY2'!$A:$X,H$16,FALSE)/1000</f>
        <v>1455.5923500000001</v>
      </c>
      <c r="I316" s="8"/>
      <c r="J316" s="7">
        <f>VLOOKUP($C316,'ASDR FY2'!$A:$X,J$16,FALSE)/1000</f>
        <v>0</v>
      </c>
      <c r="K316" s="9"/>
      <c r="L316" s="7">
        <f>VLOOKUP($C316,'ASDR FY2'!$A:$X,L$16,FALSE)/1000</f>
        <v>0</v>
      </c>
      <c r="M316" s="9"/>
      <c r="N316" s="7">
        <f>VLOOKUP($C316,'ASDR FY2'!$A:$X,N$15,FALSE)/1000+VLOOKUP($C316,'ASDR FY2'!$A:$X,N$16,FALSE)/1000</f>
        <v>0</v>
      </c>
      <c r="O316" s="8"/>
      <c r="P316" s="7">
        <f>SUM(H316,J316,L316,N316)</f>
        <v>1455.5923500000001</v>
      </c>
      <c r="Q316" s="9"/>
      <c r="R316" s="7">
        <f>VLOOKUP($C316,'ASDR FY2'!$A:$X,R$16,FALSE)/1000</f>
        <v>1455.5923500000001</v>
      </c>
    </row>
    <row r="317" spans="1:18" x14ac:dyDescent="0.25">
      <c r="A317" s="116">
        <f t="shared" si="5"/>
        <v>8</v>
      </c>
      <c r="B317" s="122"/>
      <c r="C317" s="116"/>
      <c r="D317" s="137" t="s">
        <v>114</v>
      </c>
      <c r="F317" s="126"/>
      <c r="H317" s="11">
        <f>SUM(H312:H316)</f>
        <v>541355.10840000014</v>
      </c>
      <c r="I317" s="14"/>
      <c r="J317" s="11">
        <f>SUM(J312:J316)</f>
        <v>11970.978999999999</v>
      </c>
      <c r="K317" s="14"/>
      <c r="L317" s="11">
        <f>SUM(L312:L316)</f>
        <v>-2394.1958</v>
      </c>
      <c r="M317" s="14"/>
      <c r="N317" s="11">
        <f>SUM(N312:N316)</f>
        <v>0</v>
      </c>
      <c r="O317" s="14"/>
      <c r="P317" s="11">
        <f>SUM(P312:P316)</f>
        <v>550931.89160000021</v>
      </c>
      <c r="Q317" s="14"/>
      <c r="R317" s="11">
        <f>SUM(R312:R316)</f>
        <v>544546.91953000007</v>
      </c>
    </row>
    <row r="318" spans="1:18" x14ac:dyDescent="0.25">
      <c r="A318" s="116">
        <f t="shared" si="5"/>
        <v>9</v>
      </c>
      <c r="B318" s="122"/>
      <c r="F318" s="127"/>
      <c r="O318" s="113"/>
    </row>
    <row r="319" spans="1:18" x14ac:dyDescent="0.25">
      <c r="A319" s="116">
        <f t="shared" si="5"/>
        <v>10</v>
      </c>
      <c r="B319" s="122"/>
      <c r="C319" s="116"/>
      <c r="D319" s="137" t="s">
        <v>115</v>
      </c>
      <c r="F319" s="127"/>
      <c r="I319" s="14"/>
      <c r="K319" s="14"/>
      <c r="M319" s="14"/>
      <c r="O319" s="14"/>
      <c r="Q319" s="14"/>
    </row>
    <row r="320" spans="1:18" x14ac:dyDescent="0.25">
      <c r="A320" s="116">
        <f t="shared" si="5"/>
        <v>11</v>
      </c>
      <c r="B320" s="122"/>
      <c r="C320" s="114">
        <v>34133</v>
      </c>
      <c r="D320" s="111" t="s">
        <v>45</v>
      </c>
      <c r="F320" s="126">
        <f>VLOOKUP($C320,'ASDR FY2'!$A:$X,F$16,FALSE)*100</f>
        <v>4.24</v>
      </c>
      <c r="G320" s="113"/>
      <c r="H320" s="7">
        <f>VLOOKUP($C320,'ASDR FY2'!$A:$X,H$16,FALSE)/1000</f>
        <v>656.34929</v>
      </c>
      <c r="I320" s="8"/>
      <c r="J320" s="7">
        <f>VLOOKUP($C320,'ASDR FY2'!$A:$X,J$16,FALSE)/1000</f>
        <v>0</v>
      </c>
      <c r="K320" s="9"/>
      <c r="L320" s="7">
        <f>VLOOKUP($C320,'ASDR FY2'!$A:$X,L$16,FALSE)/1000</f>
        <v>0</v>
      </c>
      <c r="M320" s="9"/>
      <c r="N320" s="7">
        <f>VLOOKUP($C320,'ASDR FY2'!$A:$X,N$15,FALSE)/1000+VLOOKUP($C320,'ASDR FY2'!$A:$X,N$16,FALSE)/1000</f>
        <v>0</v>
      </c>
      <c r="O320" s="8"/>
      <c r="P320" s="7">
        <f>SUM(H320,J320,L320,N320)</f>
        <v>656.34929</v>
      </c>
      <c r="Q320" s="9"/>
      <c r="R320" s="7">
        <f>VLOOKUP($C320,'ASDR FY2'!$A:$X,R$16,FALSE)/1000</f>
        <v>656.34929</v>
      </c>
    </row>
    <row r="321" spans="1:18" x14ac:dyDescent="0.25">
      <c r="A321" s="116">
        <f t="shared" si="5"/>
        <v>12</v>
      </c>
      <c r="B321" s="122"/>
      <c r="C321" s="114">
        <v>34233</v>
      </c>
      <c r="D321" s="111" t="s">
        <v>81</v>
      </c>
      <c r="F321" s="126">
        <f>VLOOKUP($C321,'ASDR FY2'!$A:$X,F$16,FALSE)*100</f>
        <v>3.2300000000000004</v>
      </c>
      <c r="G321" s="113"/>
      <c r="H321" s="7">
        <f>VLOOKUP($C321,'ASDR FY2'!$A:$X,H$16,FALSE)/1000</f>
        <v>4701.026284999999</v>
      </c>
      <c r="I321" s="8"/>
      <c r="J321" s="7">
        <f>VLOOKUP($C321,'ASDR FY2'!$A:$X,J$16,FALSE)/1000</f>
        <v>0</v>
      </c>
      <c r="K321" s="9"/>
      <c r="L321" s="7">
        <f>VLOOKUP($C321,'ASDR FY2'!$A:$X,L$16,FALSE)/1000</f>
        <v>0</v>
      </c>
      <c r="M321" s="9"/>
      <c r="N321" s="7">
        <f>VLOOKUP($C321,'ASDR FY2'!$A:$X,N$15,FALSE)/1000+VLOOKUP($C321,'ASDR FY2'!$A:$X,N$16,FALSE)/1000</f>
        <v>0</v>
      </c>
      <c r="O321" s="8"/>
      <c r="P321" s="7">
        <f>SUM(H321,J321,L321,N321)</f>
        <v>4701.026284999999</v>
      </c>
      <c r="Q321" s="9"/>
      <c r="R321" s="7">
        <f>VLOOKUP($C321,'ASDR FY2'!$A:$X,R$16,FALSE)/1000</f>
        <v>4701.0262899999998</v>
      </c>
    </row>
    <row r="322" spans="1:18" x14ac:dyDescent="0.25">
      <c r="A322" s="116">
        <f t="shared" si="5"/>
        <v>13</v>
      </c>
      <c r="B322" s="122"/>
      <c r="C322" s="114">
        <v>34333</v>
      </c>
      <c r="D322" s="111" t="s">
        <v>82</v>
      </c>
      <c r="F322" s="126">
        <f>VLOOKUP($C322,'ASDR FY2'!$A:$X,F$16,FALSE)*100</f>
        <v>2.12</v>
      </c>
      <c r="G322" s="113"/>
      <c r="H322" s="7">
        <f>VLOOKUP($C322,'ASDR FY2'!$A:$X,H$16,FALSE)/1000</f>
        <v>16800.143014999994</v>
      </c>
      <c r="I322" s="8"/>
      <c r="J322" s="7">
        <f>VLOOKUP($C322,'ASDR FY2'!$A:$X,J$16,FALSE)/1000</f>
        <v>0</v>
      </c>
      <c r="K322" s="9"/>
      <c r="L322" s="7">
        <f>VLOOKUP($C322,'ASDR FY2'!$A:$X,L$16,FALSE)/1000</f>
        <v>0</v>
      </c>
      <c r="M322" s="9"/>
      <c r="N322" s="7">
        <f>VLOOKUP($C322,'ASDR FY2'!$A:$X,N$15,FALSE)/1000+VLOOKUP($C322,'ASDR FY2'!$A:$X,N$16,FALSE)/1000</f>
        <v>0</v>
      </c>
      <c r="O322" s="8"/>
      <c r="P322" s="7">
        <f>SUM(H322,J322,L322,N322)</f>
        <v>16800.143014999994</v>
      </c>
      <c r="Q322" s="9"/>
      <c r="R322" s="7">
        <f>VLOOKUP($C322,'ASDR FY2'!$A:$X,R$16,FALSE)/1000</f>
        <v>16800.14302</v>
      </c>
    </row>
    <row r="323" spans="1:18" x14ac:dyDescent="0.25">
      <c r="A323" s="116">
        <f t="shared" si="5"/>
        <v>14</v>
      </c>
      <c r="B323" s="122"/>
      <c r="C323" s="114">
        <v>34533</v>
      </c>
      <c r="D323" s="111" t="s">
        <v>48</v>
      </c>
      <c r="F323" s="126">
        <f>VLOOKUP($C323,'ASDR FY2'!$A:$X,F$16,FALSE)*100</f>
        <v>2.57</v>
      </c>
      <c r="G323" s="113"/>
      <c r="H323" s="7">
        <f>VLOOKUP($C323,'ASDR FY2'!$A:$X,H$16,FALSE)/1000</f>
        <v>14174.190639999999</v>
      </c>
      <c r="I323" s="8"/>
      <c r="J323" s="7">
        <f>VLOOKUP($C323,'ASDR FY2'!$A:$X,J$16,FALSE)/1000</f>
        <v>0</v>
      </c>
      <c r="K323" s="9"/>
      <c r="L323" s="7">
        <f>VLOOKUP($C323,'ASDR FY2'!$A:$X,L$16,FALSE)/1000</f>
        <v>0</v>
      </c>
      <c r="M323" s="9"/>
      <c r="N323" s="7">
        <f>VLOOKUP($C323,'ASDR FY2'!$A:$X,N$15,FALSE)/1000+VLOOKUP($C323,'ASDR FY2'!$A:$X,N$16,FALSE)/1000</f>
        <v>0</v>
      </c>
      <c r="O323" s="8"/>
      <c r="P323" s="7">
        <f>SUM(H323,J323,L323,N323)</f>
        <v>14174.190639999999</v>
      </c>
      <c r="Q323" s="9"/>
      <c r="R323" s="7">
        <f>VLOOKUP($C323,'ASDR FY2'!$A:$X,R$16,FALSE)/1000</f>
        <v>14174.190640000001</v>
      </c>
    </row>
    <row r="324" spans="1:18" x14ac:dyDescent="0.25">
      <c r="A324" s="116">
        <f t="shared" si="5"/>
        <v>15</v>
      </c>
      <c r="B324" s="122"/>
      <c r="C324" s="114">
        <v>34633</v>
      </c>
      <c r="D324" s="111" t="s">
        <v>49</v>
      </c>
      <c r="F324" s="126">
        <f>VLOOKUP($C324,'ASDR FY2'!$A:$X,F$16,FALSE)*100</f>
        <v>2.87</v>
      </c>
      <c r="G324" s="113"/>
      <c r="H324" s="7">
        <f>VLOOKUP($C324,'ASDR FY2'!$A:$X,H$16,FALSE)/1000</f>
        <v>0.90461000000000003</v>
      </c>
      <c r="I324" s="8"/>
      <c r="J324" s="7">
        <f>VLOOKUP($C324,'ASDR FY2'!$A:$X,J$16,FALSE)/1000</f>
        <v>0</v>
      </c>
      <c r="K324" s="9"/>
      <c r="L324" s="7">
        <f>VLOOKUP($C324,'ASDR FY2'!$A:$X,L$16,FALSE)/1000</f>
        <v>0</v>
      </c>
      <c r="M324" s="9"/>
      <c r="N324" s="7">
        <f>VLOOKUP($C324,'ASDR FY2'!$A:$X,N$15,FALSE)/1000+VLOOKUP($C324,'ASDR FY2'!$A:$X,N$16,FALSE)/1000</f>
        <v>0</v>
      </c>
      <c r="O324" s="8"/>
      <c r="P324" s="7">
        <f>SUM(H324,J324,L324,N324)</f>
        <v>0.90461000000000003</v>
      </c>
      <c r="Q324" s="9"/>
      <c r="R324" s="7">
        <f>VLOOKUP($C324,'ASDR FY2'!$A:$X,R$16,FALSE)/1000</f>
        <v>0.90461000000000003</v>
      </c>
    </row>
    <row r="325" spans="1:18" x14ac:dyDescent="0.25">
      <c r="A325" s="116">
        <f t="shared" si="5"/>
        <v>16</v>
      </c>
      <c r="B325" s="122"/>
      <c r="D325" s="137" t="s">
        <v>116</v>
      </c>
      <c r="F325" s="126"/>
      <c r="H325" s="11">
        <f>SUM(H320:H324)</f>
        <v>36332.613839999991</v>
      </c>
      <c r="I325" s="14"/>
      <c r="J325" s="11">
        <f>SUM(J320:J324)</f>
        <v>0</v>
      </c>
      <c r="K325" s="14"/>
      <c r="L325" s="11">
        <f>SUM(L320:L324)</f>
        <v>0</v>
      </c>
      <c r="M325" s="14"/>
      <c r="N325" s="11">
        <f>SUM(N320:N324)</f>
        <v>0</v>
      </c>
      <c r="O325" s="14"/>
      <c r="P325" s="11">
        <f>SUM(P320:P324)</f>
        <v>36332.613839999991</v>
      </c>
      <c r="Q325" s="14"/>
      <c r="R325" s="11">
        <f>SUM(R320:R324)</f>
        <v>36332.613849999994</v>
      </c>
    </row>
    <row r="326" spans="1:18" x14ac:dyDescent="0.25">
      <c r="A326" s="116">
        <f t="shared" si="5"/>
        <v>17</v>
      </c>
      <c r="B326" s="122"/>
      <c r="F326" s="127"/>
      <c r="O326" s="113"/>
    </row>
    <row r="327" spans="1:18" x14ac:dyDescent="0.25">
      <c r="A327" s="116">
        <f t="shared" si="5"/>
        <v>18</v>
      </c>
      <c r="B327" s="122"/>
      <c r="C327" s="116"/>
      <c r="D327" s="137" t="s">
        <v>117</v>
      </c>
      <c r="F327" s="127"/>
      <c r="I327" s="14"/>
      <c r="K327" s="14"/>
      <c r="M327" s="14"/>
      <c r="O327" s="14"/>
      <c r="Q327" s="14"/>
    </row>
    <row r="328" spans="1:18" x14ac:dyDescent="0.25">
      <c r="A328" s="116">
        <f t="shared" si="5"/>
        <v>19</v>
      </c>
      <c r="B328" s="122"/>
      <c r="C328" s="114">
        <v>34134</v>
      </c>
      <c r="D328" s="111" t="s">
        <v>45</v>
      </c>
      <c r="F328" s="126">
        <f>VLOOKUP($C328,'ASDR FY2'!$A:$X,F$16,FALSE)*100</f>
        <v>6.05</v>
      </c>
      <c r="G328" s="113"/>
      <c r="H328" s="7">
        <f>VLOOKUP($C328,'ASDR FY2'!$A:$X,H$16,FALSE)/1000</f>
        <v>242.33395999999999</v>
      </c>
      <c r="I328" s="8"/>
      <c r="J328" s="7">
        <f>VLOOKUP($C328,'ASDR FY2'!$A:$X,J$16,FALSE)/1000</f>
        <v>0</v>
      </c>
      <c r="K328" s="9"/>
      <c r="L328" s="7">
        <f>VLOOKUP($C328,'ASDR FY2'!$A:$X,L$16,FALSE)/1000</f>
        <v>0</v>
      </c>
      <c r="M328" s="9"/>
      <c r="N328" s="7">
        <f>VLOOKUP($C328,'ASDR FY2'!$A:$X,N$15,FALSE)/1000+VLOOKUP($C328,'ASDR FY2'!$A:$X,N$16,FALSE)/1000</f>
        <v>0</v>
      </c>
      <c r="O328" s="8"/>
      <c r="P328" s="7">
        <f>SUM(H328,J328,L328,N328)</f>
        <v>242.33395999999999</v>
      </c>
      <c r="Q328" s="9"/>
      <c r="R328" s="7">
        <f>VLOOKUP($C328,'ASDR FY2'!$A:$X,R$16,FALSE)/1000</f>
        <v>242.33395999999999</v>
      </c>
    </row>
    <row r="329" spans="1:18" x14ac:dyDescent="0.25">
      <c r="A329" s="116">
        <f t="shared" si="5"/>
        <v>20</v>
      </c>
      <c r="B329" s="122"/>
      <c r="C329" s="114">
        <v>34234</v>
      </c>
      <c r="D329" s="111" t="s">
        <v>81</v>
      </c>
      <c r="F329" s="126">
        <f>VLOOKUP($C329,'ASDR FY2'!$A:$X,F$16,FALSE)*100</f>
        <v>2.81</v>
      </c>
      <c r="G329" s="113"/>
      <c r="H329" s="7">
        <f>VLOOKUP($C329,'ASDR FY2'!$A:$X,H$16,FALSE)/1000</f>
        <v>3384.0975599999997</v>
      </c>
      <c r="I329" s="8"/>
      <c r="J329" s="7">
        <f>VLOOKUP($C329,'ASDR FY2'!$A:$X,J$16,FALSE)/1000</f>
        <v>0</v>
      </c>
      <c r="K329" s="9"/>
      <c r="L329" s="7">
        <f>VLOOKUP($C329,'ASDR FY2'!$A:$X,L$16,FALSE)/1000</f>
        <v>0</v>
      </c>
      <c r="M329" s="9"/>
      <c r="N329" s="7">
        <f>VLOOKUP($C329,'ASDR FY2'!$A:$X,N$15,FALSE)/1000+VLOOKUP($C329,'ASDR FY2'!$A:$X,N$16,FALSE)/1000</f>
        <v>0</v>
      </c>
      <c r="O329" s="8"/>
      <c r="P329" s="7">
        <f>SUM(H329,J329,L329,N329)</f>
        <v>3384.0975599999997</v>
      </c>
      <c r="Q329" s="9"/>
      <c r="R329" s="7">
        <f>VLOOKUP($C329,'ASDR FY2'!$A:$X,R$16,FALSE)/1000</f>
        <v>3384.0975600000002</v>
      </c>
    </row>
    <row r="330" spans="1:18" x14ac:dyDescent="0.25">
      <c r="A330" s="116">
        <f t="shared" si="5"/>
        <v>21</v>
      </c>
      <c r="B330" s="122"/>
      <c r="C330" s="114">
        <v>34334</v>
      </c>
      <c r="D330" s="111" t="s">
        <v>82</v>
      </c>
      <c r="F330" s="126">
        <f>VLOOKUP($C330,'ASDR FY2'!$A:$X,F$16,FALSE)*100</f>
        <v>2.0499999999999998</v>
      </c>
      <c r="G330" s="113"/>
      <c r="H330" s="7">
        <f>VLOOKUP($C330,'ASDR FY2'!$A:$X,H$16,FALSE)/1000</f>
        <v>16052.10497</v>
      </c>
      <c r="I330" s="8"/>
      <c r="J330" s="7">
        <f>VLOOKUP($C330,'ASDR FY2'!$A:$X,J$16,FALSE)/1000</f>
        <v>0</v>
      </c>
      <c r="K330" s="9"/>
      <c r="L330" s="7">
        <f>VLOOKUP($C330,'ASDR FY2'!$A:$X,L$16,FALSE)/1000</f>
        <v>0</v>
      </c>
      <c r="M330" s="9"/>
      <c r="N330" s="7">
        <f>VLOOKUP($C330,'ASDR FY2'!$A:$X,N$15,FALSE)/1000+VLOOKUP($C330,'ASDR FY2'!$A:$X,N$16,FALSE)/1000</f>
        <v>0</v>
      </c>
      <c r="O330" s="8"/>
      <c r="P330" s="7">
        <f>SUM(H330,J330,L330,N330)</f>
        <v>16052.10497</v>
      </c>
      <c r="Q330" s="9"/>
      <c r="R330" s="7">
        <f>VLOOKUP($C330,'ASDR FY2'!$A:$X,R$16,FALSE)/1000</f>
        <v>16052.10497</v>
      </c>
    </row>
    <row r="331" spans="1:18" x14ac:dyDescent="0.25">
      <c r="A331" s="116">
        <f t="shared" si="5"/>
        <v>22</v>
      </c>
      <c r="B331" s="122"/>
      <c r="C331" s="114">
        <v>34534</v>
      </c>
      <c r="D331" s="111" t="s">
        <v>48</v>
      </c>
      <c r="F331" s="126">
        <f>VLOOKUP($C331,'ASDR FY2'!$A:$X,F$16,FALSE)*100</f>
        <v>2.4300000000000002</v>
      </c>
      <c r="G331" s="113"/>
      <c r="H331" s="7">
        <f>VLOOKUP($C331,'ASDR FY2'!$A:$X,H$16,FALSE)/1000</f>
        <v>4189.43102</v>
      </c>
      <c r="I331" s="8"/>
      <c r="J331" s="7">
        <f>VLOOKUP($C331,'ASDR FY2'!$A:$X,J$16,FALSE)/1000</f>
        <v>0</v>
      </c>
      <c r="K331" s="9"/>
      <c r="L331" s="7">
        <f>VLOOKUP($C331,'ASDR FY2'!$A:$X,L$16,FALSE)/1000</f>
        <v>0</v>
      </c>
      <c r="M331" s="9"/>
      <c r="N331" s="7">
        <f>VLOOKUP($C331,'ASDR FY2'!$A:$X,N$15,FALSE)/1000+VLOOKUP($C331,'ASDR FY2'!$A:$X,N$16,FALSE)/1000</f>
        <v>0</v>
      </c>
      <c r="O331" s="8"/>
      <c r="P331" s="7">
        <f>SUM(H331,J331,L331,N331)</f>
        <v>4189.43102</v>
      </c>
      <c r="Q331" s="9"/>
      <c r="R331" s="7">
        <f>VLOOKUP($C331,'ASDR FY2'!$A:$X,R$16,FALSE)/1000</f>
        <v>4189.43102</v>
      </c>
    </row>
    <row r="332" spans="1:18" x14ac:dyDescent="0.25">
      <c r="A332" s="116">
        <f t="shared" si="5"/>
        <v>23</v>
      </c>
      <c r="B332" s="122"/>
      <c r="C332" s="114">
        <v>34634</v>
      </c>
      <c r="D332" s="111" t="s">
        <v>49</v>
      </c>
      <c r="F332" s="126">
        <f>VLOOKUP($C332,'ASDR FY2'!$A:$X,F$16,FALSE)*100</f>
        <v>2.87</v>
      </c>
      <c r="G332" s="113"/>
      <c r="H332" s="7">
        <f>VLOOKUP($C332,'ASDR FY2'!$A:$X,H$16,FALSE)/1000</f>
        <v>0.90461000000000003</v>
      </c>
      <c r="I332" s="8"/>
      <c r="J332" s="7">
        <f>VLOOKUP($C332,'ASDR FY2'!$A:$X,J$16,FALSE)/1000</f>
        <v>0</v>
      </c>
      <c r="K332" s="9"/>
      <c r="L332" s="7">
        <f>VLOOKUP($C332,'ASDR FY2'!$A:$X,L$16,FALSE)/1000</f>
        <v>0</v>
      </c>
      <c r="M332" s="9"/>
      <c r="N332" s="7">
        <f>VLOOKUP($C332,'ASDR FY2'!$A:$X,N$15,FALSE)/1000+VLOOKUP($C332,'ASDR FY2'!$A:$X,N$16,FALSE)/1000</f>
        <v>0</v>
      </c>
      <c r="O332" s="8"/>
      <c r="P332" s="7">
        <f>SUM(H332,J332,L332,N332)</f>
        <v>0.90461000000000003</v>
      </c>
      <c r="Q332" s="9"/>
      <c r="R332" s="7">
        <f>VLOOKUP($C332,'ASDR FY2'!$A:$X,R$16,FALSE)/1000</f>
        <v>0.90461000000000003</v>
      </c>
    </row>
    <row r="333" spans="1:18" x14ac:dyDescent="0.25">
      <c r="A333" s="116">
        <f t="shared" si="5"/>
        <v>24</v>
      </c>
      <c r="B333" s="122"/>
      <c r="C333" s="116"/>
      <c r="D333" s="137" t="s">
        <v>118</v>
      </c>
      <c r="F333" s="126"/>
      <c r="H333" s="11">
        <f>SUM(H328:H332)</f>
        <v>23868.87212</v>
      </c>
      <c r="I333" s="14"/>
      <c r="J333" s="11">
        <f>SUM(J328:J332)</f>
        <v>0</v>
      </c>
      <c r="K333" s="14"/>
      <c r="L333" s="11">
        <f>SUM(L328:L332)</f>
        <v>0</v>
      </c>
      <c r="M333" s="14"/>
      <c r="N333" s="11">
        <f>SUM(N328:N332)</f>
        <v>0</v>
      </c>
      <c r="O333" s="14"/>
      <c r="P333" s="11">
        <f>SUM(P328:P332)</f>
        <v>23868.87212</v>
      </c>
      <c r="Q333" s="14"/>
      <c r="R333" s="11">
        <f>SUM(R328:R332)</f>
        <v>23868.87212</v>
      </c>
    </row>
    <row r="334" spans="1:18" x14ac:dyDescent="0.25">
      <c r="A334" s="116">
        <f t="shared" si="5"/>
        <v>25</v>
      </c>
      <c r="B334" s="122"/>
      <c r="F334" s="127"/>
      <c r="O334" s="113"/>
    </row>
    <row r="335" spans="1:18" x14ac:dyDescent="0.25">
      <c r="A335" s="116">
        <f t="shared" si="5"/>
        <v>26</v>
      </c>
      <c r="B335" s="122"/>
      <c r="C335" s="126"/>
      <c r="D335" s="137" t="s">
        <v>119</v>
      </c>
      <c r="E335" s="116"/>
      <c r="F335" s="126"/>
      <c r="G335" s="139"/>
      <c r="H335" s="139"/>
      <c r="I335" s="145"/>
      <c r="J335" s="139"/>
      <c r="K335" s="145"/>
      <c r="L335" s="145"/>
      <c r="M335" s="114"/>
      <c r="N335" s="114"/>
      <c r="O335" s="115"/>
      <c r="P335" s="114"/>
      <c r="Q335" s="114"/>
      <c r="R335" s="114"/>
    </row>
    <row r="336" spans="1:18" x14ac:dyDescent="0.25">
      <c r="A336" s="116">
        <f t="shared" si="5"/>
        <v>27</v>
      </c>
      <c r="B336" s="122"/>
      <c r="C336" s="114">
        <v>34135</v>
      </c>
      <c r="D336" s="111" t="s">
        <v>45</v>
      </c>
      <c r="E336" s="116"/>
      <c r="F336" s="126">
        <f>VLOOKUP($C336,'ASDR FY2'!$A:$X,F$16,FALSE)*100</f>
        <v>4.8600000000000003</v>
      </c>
      <c r="G336" s="113"/>
      <c r="H336" s="7">
        <f>VLOOKUP($C336,'ASDR FY2'!$A:$X,H$16,FALSE)/1000</f>
        <v>793.11426000000006</v>
      </c>
      <c r="I336" s="8"/>
      <c r="J336" s="7">
        <f>VLOOKUP($C336,'ASDR FY2'!$A:$X,J$16,FALSE)/1000</f>
        <v>0</v>
      </c>
      <c r="K336" s="9"/>
      <c r="L336" s="7">
        <f>VLOOKUP($C336,'ASDR FY2'!$A:$X,L$16,FALSE)/1000</f>
        <v>0</v>
      </c>
      <c r="M336" s="9"/>
      <c r="N336" s="7">
        <f>VLOOKUP($C336,'ASDR FY2'!$A:$X,N$15,FALSE)/1000+VLOOKUP($C336,'ASDR FY2'!$A:$X,N$16,FALSE)/1000</f>
        <v>0</v>
      </c>
      <c r="O336" s="8"/>
      <c r="P336" s="7">
        <f>SUM(H336,J336,L336,N336)</f>
        <v>793.11426000000006</v>
      </c>
      <c r="Q336" s="9"/>
      <c r="R336" s="7">
        <f>VLOOKUP($C336,'ASDR FY2'!$A:$X,R$16,FALSE)/1000</f>
        <v>793.11426000000006</v>
      </c>
    </row>
    <row r="337" spans="1:18" x14ac:dyDescent="0.25">
      <c r="A337" s="116">
        <f t="shared" si="5"/>
        <v>28</v>
      </c>
      <c r="B337" s="122"/>
      <c r="C337" s="114">
        <v>34235</v>
      </c>
      <c r="D337" s="111" t="s">
        <v>81</v>
      </c>
      <c r="E337" s="116"/>
      <c r="F337" s="126">
        <f>VLOOKUP($C337,'ASDR FY2'!$A:$X,F$16,FALSE)*100</f>
        <v>3.05</v>
      </c>
      <c r="G337" s="113"/>
      <c r="H337" s="7">
        <f>VLOOKUP($C337,'ASDR FY2'!$A:$X,H$16,FALSE)/1000</f>
        <v>2224.6556949999999</v>
      </c>
      <c r="I337" s="8"/>
      <c r="J337" s="7">
        <f>VLOOKUP($C337,'ASDR FY2'!$A:$X,J$16,FALSE)/1000</f>
        <v>0</v>
      </c>
      <c r="K337" s="9"/>
      <c r="L337" s="7">
        <f>VLOOKUP($C337,'ASDR FY2'!$A:$X,L$16,FALSE)/1000</f>
        <v>0</v>
      </c>
      <c r="M337" s="9"/>
      <c r="N337" s="7">
        <f>VLOOKUP($C337,'ASDR FY2'!$A:$X,N$15,FALSE)/1000+VLOOKUP($C337,'ASDR FY2'!$A:$X,N$16,FALSE)/1000</f>
        <v>0</v>
      </c>
      <c r="O337" s="8"/>
      <c r="P337" s="7">
        <f>SUM(H337,J337,L337,N337)</f>
        <v>2224.6556949999999</v>
      </c>
      <c r="Q337" s="9"/>
      <c r="R337" s="7">
        <f>VLOOKUP($C337,'ASDR FY2'!$A:$X,R$16,FALSE)/1000</f>
        <v>2224.6557000000003</v>
      </c>
    </row>
    <row r="338" spans="1:18" x14ac:dyDescent="0.25">
      <c r="A338" s="116">
        <f t="shared" si="5"/>
        <v>29</v>
      </c>
      <c r="B338" s="122"/>
      <c r="C338" s="114">
        <v>34335</v>
      </c>
      <c r="D338" s="111" t="s">
        <v>82</v>
      </c>
      <c r="E338" s="116"/>
      <c r="F338" s="126">
        <f>VLOOKUP($C338,'ASDR FY2'!$A:$X,F$16,FALSE)*100</f>
        <v>2.0699999999999998</v>
      </c>
      <c r="G338" s="113"/>
      <c r="H338" s="7">
        <f>VLOOKUP($C338,'ASDR FY2'!$A:$X,H$16,FALSE)/1000</f>
        <v>18801.752445000002</v>
      </c>
      <c r="I338" s="8"/>
      <c r="J338" s="7">
        <f>VLOOKUP($C338,'ASDR FY2'!$A:$X,J$16,FALSE)/1000</f>
        <v>0</v>
      </c>
      <c r="K338" s="9"/>
      <c r="L338" s="7">
        <f>VLOOKUP($C338,'ASDR FY2'!$A:$X,L$16,FALSE)/1000</f>
        <v>0</v>
      </c>
      <c r="M338" s="9"/>
      <c r="N338" s="7">
        <f>VLOOKUP($C338,'ASDR FY2'!$A:$X,N$15,FALSE)/1000+VLOOKUP($C338,'ASDR FY2'!$A:$X,N$16,FALSE)/1000</f>
        <v>0</v>
      </c>
      <c r="O338" s="8"/>
      <c r="P338" s="7">
        <f>SUM(H338,J338,L338,N338)</f>
        <v>18801.752445000002</v>
      </c>
      <c r="Q338" s="9"/>
      <c r="R338" s="7">
        <f>VLOOKUP($C338,'ASDR FY2'!$A:$X,R$16,FALSE)/1000</f>
        <v>18801.75245</v>
      </c>
    </row>
    <row r="339" spans="1:18" x14ac:dyDescent="0.25">
      <c r="A339" s="116">
        <f t="shared" si="5"/>
        <v>30</v>
      </c>
      <c r="B339" s="122"/>
      <c r="C339" s="114">
        <v>34535</v>
      </c>
      <c r="D339" s="111" t="s">
        <v>48</v>
      </c>
      <c r="E339" s="116"/>
      <c r="F339" s="126">
        <f>VLOOKUP($C339,'ASDR FY2'!$A:$X,F$16,FALSE)*100</f>
        <v>1.76</v>
      </c>
      <c r="G339" s="113"/>
      <c r="H339" s="7">
        <f>VLOOKUP($C339,'ASDR FY2'!$A:$X,H$16,FALSE)/1000</f>
        <v>10408.627609999998</v>
      </c>
      <c r="I339" s="8"/>
      <c r="J339" s="7">
        <f>VLOOKUP($C339,'ASDR FY2'!$A:$X,J$16,FALSE)/1000</f>
        <v>0</v>
      </c>
      <c r="K339" s="9"/>
      <c r="L339" s="7">
        <f>VLOOKUP($C339,'ASDR FY2'!$A:$X,L$16,FALSE)/1000</f>
        <v>0</v>
      </c>
      <c r="M339" s="9"/>
      <c r="N339" s="7">
        <f>VLOOKUP($C339,'ASDR FY2'!$A:$X,N$15,FALSE)/1000+VLOOKUP($C339,'ASDR FY2'!$A:$X,N$16,FALSE)/1000</f>
        <v>0</v>
      </c>
      <c r="O339" s="8"/>
      <c r="P339" s="7">
        <f>SUM(H339,J339,L339,N339)</f>
        <v>10408.627609999998</v>
      </c>
      <c r="Q339" s="9"/>
      <c r="R339" s="7">
        <f>VLOOKUP($C339,'ASDR FY2'!$A:$X,R$16,FALSE)/1000</f>
        <v>10408.62761</v>
      </c>
    </row>
    <row r="340" spans="1:18" x14ac:dyDescent="0.25">
      <c r="A340" s="116">
        <f t="shared" si="5"/>
        <v>31</v>
      </c>
      <c r="B340" s="122"/>
      <c r="C340" s="114">
        <v>34635</v>
      </c>
      <c r="D340" s="111" t="s">
        <v>49</v>
      </c>
      <c r="F340" s="126">
        <f>VLOOKUP($C340,'ASDR FY2'!$A:$X,F$16,FALSE)*100</f>
        <v>2.94</v>
      </c>
      <c r="G340" s="113"/>
      <c r="H340" s="7">
        <f>VLOOKUP($C340,'ASDR FY2'!$A:$X,H$16,FALSE)/1000</f>
        <v>0</v>
      </c>
      <c r="I340" s="8"/>
      <c r="J340" s="7">
        <f>VLOOKUP($C340,'ASDR FY2'!$A:$X,J$16,FALSE)/1000</f>
        <v>0</v>
      </c>
      <c r="K340" s="9"/>
      <c r="L340" s="7">
        <f>VLOOKUP($C340,'ASDR FY2'!$A:$X,L$16,FALSE)/1000</f>
        <v>0</v>
      </c>
      <c r="M340" s="9"/>
      <c r="N340" s="7">
        <f>VLOOKUP($C340,'ASDR FY2'!$A:$X,N$15,FALSE)/1000+VLOOKUP($C340,'ASDR FY2'!$A:$X,N$16,FALSE)/1000</f>
        <v>0</v>
      </c>
      <c r="O340" s="8"/>
      <c r="P340" s="7">
        <f>SUM(H340,J340,L340,N340)</f>
        <v>0</v>
      </c>
      <c r="Q340" s="9"/>
      <c r="R340" s="7">
        <f>VLOOKUP($C340,'ASDR FY2'!$A:$X,R$16,FALSE)/1000</f>
        <v>0</v>
      </c>
    </row>
    <row r="341" spans="1:18" x14ac:dyDescent="0.25">
      <c r="A341" s="116">
        <f t="shared" si="5"/>
        <v>32</v>
      </c>
      <c r="B341" s="122"/>
      <c r="C341" s="116"/>
      <c r="D341" s="137" t="s">
        <v>120</v>
      </c>
      <c r="E341" s="116"/>
      <c r="F341" s="126"/>
      <c r="H341" s="11">
        <f>SUM(H336:H340)</f>
        <v>32228.150009999998</v>
      </c>
      <c r="I341" s="14"/>
      <c r="J341" s="11">
        <f>SUM(J336:J340)</f>
        <v>0</v>
      </c>
      <c r="K341" s="14"/>
      <c r="L341" s="11">
        <f>SUM(L336:L340)</f>
        <v>0</v>
      </c>
      <c r="M341" s="14"/>
      <c r="N341" s="11">
        <f>SUM(N336:N340)</f>
        <v>0</v>
      </c>
      <c r="O341" s="14"/>
      <c r="P341" s="11">
        <f>SUM(P336:P340)</f>
        <v>32228.150009999998</v>
      </c>
      <c r="Q341" s="14"/>
      <c r="R341" s="11">
        <f>SUM(R336:R340)</f>
        <v>32228.150020000001</v>
      </c>
    </row>
    <row r="342" spans="1:18" x14ac:dyDescent="0.25">
      <c r="A342" s="116">
        <f t="shared" si="5"/>
        <v>33</v>
      </c>
      <c r="B342" s="122"/>
      <c r="F342" s="127"/>
      <c r="O342" s="113"/>
    </row>
    <row r="343" spans="1:18" x14ac:dyDescent="0.25">
      <c r="A343" s="116">
        <f t="shared" si="5"/>
        <v>34</v>
      </c>
      <c r="B343" s="122"/>
      <c r="C343" s="116"/>
      <c r="D343" s="137" t="s">
        <v>121</v>
      </c>
      <c r="F343" s="127"/>
      <c r="I343" s="14"/>
      <c r="K343" s="14"/>
      <c r="M343" s="14"/>
      <c r="O343" s="14"/>
      <c r="Q343" s="14"/>
    </row>
    <row r="344" spans="1:18" x14ac:dyDescent="0.25">
      <c r="A344" s="116">
        <f t="shared" si="5"/>
        <v>35</v>
      </c>
      <c r="B344" s="122"/>
      <c r="C344" s="114">
        <v>34136</v>
      </c>
      <c r="D344" s="111" t="s">
        <v>45</v>
      </c>
      <c r="F344" s="126">
        <f>VLOOKUP($C344,'ASDR FY2'!$A:$X,F$16,FALSE)*100</f>
        <v>3.62</v>
      </c>
      <c r="G344" s="113"/>
      <c r="H344" s="7">
        <f>VLOOKUP($C344,'ASDR FY2'!$A:$X,H$16,FALSE)/1000</f>
        <v>2656.2315400000002</v>
      </c>
      <c r="I344" s="8"/>
      <c r="J344" s="7">
        <f>VLOOKUP($C344,'ASDR FY2'!$A:$X,J$16,FALSE)/1000</f>
        <v>0</v>
      </c>
      <c r="K344" s="9"/>
      <c r="L344" s="7">
        <f>VLOOKUP($C344,'ASDR FY2'!$A:$X,L$16,FALSE)/1000</f>
        <v>0</v>
      </c>
      <c r="M344" s="9"/>
      <c r="N344" s="7">
        <f>VLOOKUP($C344,'ASDR FY2'!$A:$X,N$15,FALSE)/1000+VLOOKUP($C344,'ASDR FY2'!$A:$X,N$16,FALSE)/1000</f>
        <v>0</v>
      </c>
      <c r="O344" s="8"/>
      <c r="P344" s="7">
        <f>SUM(H344,J344,L344,N344)</f>
        <v>2656.2315400000002</v>
      </c>
      <c r="Q344" s="9"/>
      <c r="R344" s="7">
        <f>VLOOKUP($C344,'ASDR FY2'!$A:$X,R$16,FALSE)/1000</f>
        <v>2656.2315400000002</v>
      </c>
    </row>
    <row r="345" spans="1:18" x14ac:dyDescent="0.25">
      <c r="A345" s="116">
        <f t="shared" si="5"/>
        <v>36</v>
      </c>
      <c r="B345" s="122"/>
      <c r="C345" s="114">
        <v>34236</v>
      </c>
      <c r="D345" s="111" t="s">
        <v>81</v>
      </c>
      <c r="F345" s="126">
        <f>VLOOKUP($C345,'ASDR FY2'!$A:$X,F$16,FALSE)*100</f>
        <v>2.84</v>
      </c>
      <c r="G345" s="113"/>
      <c r="H345" s="7">
        <f>VLOOKUP($C345,'ASDR FY2'!$A:$X,H$16,FALSE)/1000</f>
        <v>1562.8909699999999</v>
      </c>
      <c r="I345" s="8"/>
      <c r="J345" s="7">
        <f>VLOOKUP($C345,'ASDR FY2'!$A:$X,J$16,FALSE)/1000</f>
        <v>0</v>
      </c>
      <c r="K345" s="9"/>
      <c r="L345" s="7">
        <f>VLOOKUP($C345,'ASDR FY2'!$A:$X,L$16,FALSE)/1000</f>
        <v>0</v>
      </c>
      <c r="M345" s="9"/>
      <c r="N345" s="7">
        <f>VLOOKUP($C345,'ASDR FY2'!$A:$X,N$15,FALSE)/1000+VLOOKUP($C345,'ASDR FY2'!$A:$X,N$16,FALSE)/1000</f>
        <v>0</v>
      </c>
      <c r="O345" s="8"/>
      <c r="P345" s="7">
        <f>SUM(H345,J345,L345,N345)</f>
        <v>1562.8909699999999</v>
      </c>
      <c r="Q345" s="9"/>
      <c r="R345" s="7">
        <f>VLOOKUP($C345,'ASDR FY2'!$A:$X,R$16,FALSE)/1000</f>
        <v>1562.8909699999999</v>
      </c>
    </row>
    <row r="346" spans="1:18" x14ac:dyDescent="0.25">
      <c r="A346" s="116">
        <f t="shared" si="5"/>
        <v>37</v>
      </c>
      <c r="B346" s="122"/>
      <c r="C346" s="114">
        <v>34336</v>
      </c>
      <c r="D346" s="111" t="s">
        <v>82</v>
      </c>
      <c r="F346" s="126">
        <f>VLOOKUP($C346,'ASDR FY2'!$A:$X,F$16,FALSE)*100</f>
        <v>1.8000000000000003</v>
      </c>
      <c r="G346" s="113"/>
      <c r="H346" s="7">
        <f>VLOOKUP($C346,'ASDR FY2'!$A:$X,H$16,FALSE)/1000</f>
        <v>17542.092239999998</v>
      </c>
      <c r="I346" s="8"/>
      <c r="J346" s="7">
        <f>VLOOKUP($C346,'ASDR FY2'!$A:$X,J$16,FALSE)/1000</f>
        <v>0</v>
      </c>
      <c r="K346" s="9"/>
      <c r="L346" s="7">
        <f>VLOOKUP($C346,'ASDR FY2'!$A:$X,L$16,FALSE)/1000</f>
        <v>0</v>
      </c>
      <c r="M346" s="9"/>
      <c r="N346" s="7">
        <f>VLOOKUP($C346,'ASDR FY2'!$A:$X,N$15,FALSE)/1000+VLOOKUP($C346,'ASDR FY2'!$A:$X,N$16,FALSE)/1000</f>
        <v>0</v>
      </c>
      <c r="O346" s="8"/>
      <c r="P346" s="7">
        <f>SUM(H346,J346,L346,N346)</f>
        <v>17542.092239999998</v>
      </c>
      <c r="Q346" s="9"/>
      <c r="R346" s="7">
        <f>VLOOKUP($C346,'ASDR FY2'!$A:$X,R$16,FALSE)/1000</f>
        <v>17542.092239999998</v>
      </c>
    </row>
    <row r="347" spans="1:18" x14ac:dyDescent="0.25">
      <c r="A347" s="116">
        <f t="shared" si="5"/>
        <v>38</v>
      </c>
      <c r="B347" s="122"/>
      <c r="C347" s="114">
        <v>34536</v>
      </c>
      <c r="D347" s="111" t="s">
        <v>48</v>
      </c>
      <c r="F347" s="126">
        <f>VLOOKUP($C347,'ASDR FY2'!$A:$X,F$16,FALSE)*100</f>
        <v>2.41</v>
      </c>
      <c r="G347" s="113"/>
      <c r="H347" s="7">
        <f>VLOOKUP($C347,'ASDR FY2'!$A:$X,H$16,FALSE)/1000</f>
        <v>14353.367069999998</v>
      </c>
      <c r="I347" s="8"/>
      <c r="J347" s="7">
        <f>VLOOKUP($C347,'ASDR FY2'!$A:$X,J$16,FALSE)/1000</f>
        <v>0</v>
      </c>
      <c r="K347" s="9"/>
      <c r="L347" s="7">
        <f>VLOOKUP($C347,'ASDR FY2'!$A:$X,L$16,FALSE)/1000</f>
        <v>0</v>
      </c>
      <c r="M347" s="9"/>
      <c r="N347" s="7">
        <f>VLOOKUP($C347,'ASDR FY2'!$A:$X,N$15,FALSE)/1000+VLOOKUP($C347,'ASDR FY2'!$A:$X,N$16,FALSE)/1000</f>
        <v>0</v>
      </c>
      <c r="O347" s="8"/>
      <c r="P347" s="7">
        <f>SUM(H347,J347,L347,N347)</f>
        <v>14353.367069999998</v>
      </c>
      <c r="Q347" s="9"/>
      <c r="R347" s="7">
        <f>VLOOKUP($C347,'ASDR FY2'!$A:$X,R$16,FALSE)/1000</f>
        <v>14353.36707</v>
      </c>
    </row>
    <row r="348" spans="1:18" x14ac:dyDescent="0.25">
      <c r="A348" s="116">
        <f t="shared" si="5"/>
        <v>39</v>
      </c>
      <c r="B348" s="122"/>
      <c r="C348" s="114">
        <v>34636</v>
      </c>
      <c r="D348" s="111" t="s">
        <v>49</v>
      </c>
      <c r="F348" s="126">
        <f>VLOOKUP($C348,'ASDR FY2'!$A:$X,F$16,FALSE)*100</f>
        <v>3.1</v>
      </c>
      <c r="G348" s="113"/>
      <c r="H348" s="7">
        <f>VLOOKUP($C348,'ASDR FY2'!$A:$X,H$16,FALSE)/1000</f>
        <v>11.73648</v>
      </c>
      <c r="I348" s="8"/>
      <c r="J348" s="7">
        <f>VLOOKUP($C348,'ASDR FY2'!$A:$X,J$16,FALSE)/1000</f>
        <v>0</v>
      </c>
      <c r="K348" s="9"/>
      <c r="L348" s="7">
        <f>VLOOKUP($C348,'ASDR FY2'!$A:$X,L$16,FALSE)/1000</f>
        <v>0</v>
      </c>
      <c r="M348" s="9"/>
      <c r="N348" s="7">
        <f>VLOOKUP($C348,'ASDR FY2'!$A:$X,N$15,FALSE)/1000+VLOOKUP($C348,'ASDR FY2'!$A:$X,N$16,FALSE)/1000</f>
        <v>0</v>
      </c>
      <c r="O348" s="8"/>
      <c r="P348" s="7">
        <f>SUM(H348,J348,L348,N348)</f>
        <v>11.73648</v>
      </c>
      <c r="Q348" s="9"/>
      <c r="R348" s="7">
        <f>VLOOKUP($C348,'ASDR FY2'!$A:$X,R$16,FALSE)/1000</f>
        <v>11.73648</v>
      </c>
    </row>
    <row r="349" spans="1:18" x14ac:dyDescent="0.25">
      <c r="A349" s="116">
        <f t="shared" si="5"/>
        <v>40</v>
      </c>
      <c r="B349" s="122"/>
      <c r="C349" s="116"/>
      <c r="D349" s="137" t="s">
        <v>122</v>
      </c>
      <c r="F349" s="126"/>
      <c r="H349" s="11">
        <f>SUM(H344:H348)</f>
        <v>36126.318299999999</v>
      </c>
      <c r="I349" s="14"/>
      <c r="J349" s="11">
        <f>SUM(J344:J348)</f>
        <v>0</v>
      </c>
      <c r="K349" s="14"/>
      <c r="L349" s="11">
        <f>SUM(L344:L348)</f>
        <v>0</v>
      </c>
      <c r="M349" s="14"/>
      <c r="N349" s="11">
        <f>SUM(N344:N348)</f>
        <v>0</v>
      </c>
      <c r="O349" s="14"/>
      <c r="P349" s="11">
        <f>SUM(P344:P348)</f>
        <v>36126.318299999999</v>
      </c>
      <c r="Q349" s="14"/>
      <c r="R349" s="11">
        <f>SUM(R344:R348)</f>
        <v>36126.318299999999</v>
      </c>
    </row>
    <row r="350" spans="1:18" x14ac:dyDescent="0.25">
      <c r="A350" s="116">
        <f t="shared" si="5"/>
        <v>41</v>
      </c>
      <c r="B350" s="122"/>
      <c r="F350" s="127"/>
      <c r="H350" s="146"/>
      <c r="O350" s="113"/>
    </row>
    <row r="351" spans="1:18" x14ac:dyDescent="0.25">
      <c r="A351" s="116">
        <f t="shared" si="5"/>
        <v>42</v>
      </c>
      <c r="B351" s="122"/>
      <c r="C351" s="114">
        <v>34637</v>
      </c>
      <c r="D351" s="137" t="s">
        <v>123</v>
      </c>
      <c r="F351" s="126">
        <f>VLOOKUP($C351,'ASDR FY2'!$A:$X,F$16,FALSE)*100</f>
        <v>14.3</v>
      </c>
      <c r="G351" s="113"/>
      <c r="H351" s="7">
        <f>VLOOKUP($C351,'ASDR FY2'!$A:$X,H$16,FALSE)/1000</f>
        <v>268.32619999999991</v>
      </c>
      <c r="I351" s="8"/>
      <c r="J351" s="7">
        <f>VLOOKUP($C351,'ASDR FY2'!$A:$X,J$16,FALSE)/1000</f>
        <v>0</v>
      </c>
      <c r="K351" s="9"/>
      <c r="L351" s="7">
        <f>VLOOKUP($C351,'ASDR FY2'!$A:$X,L$16,FALSE)/1000</f>
        <v>-47.209019999999995</v>
      </c>
      <c r="M351" s="9"/>
      <c r="N351" s="7">
        <f>VLOOKUP($C351,'ASDR FY2'!$A:$X,N$15,FALSE)/1000+VLOOKUP($C351,'ASDR FY2'!$A:$X,N$16,FALSE)/1000</f>
        <v>0</v>
      </c>
      <c r="O351" s="8"/>
      <c r="P351" s="7">
        <f>SUM(H351,J351,L351,N351)</f>
        <v>221.11717999999991</v>
      </c>
      <c r="Q351" s="9"/>
      <c r="R351" s="7">
        <f>VLOOKUP($C351,'ASDR FY2'!$A:$X,R$16,FALSE)/1000</f>
        <v>253.80035000000001</v>
      </c>
    </row>
    <row r="352" spans="1:18" ht="13.8" thickBot="1" x14ac:dyDescent="0.3">
      <c r="A352" s="116">
        <f t="shared" si="5"/>
        <v>43</v>
      </c>
      <c r="B352" s="122"/>
      <c r="D352" s="111" t="s">
        <v>124</v>
      </c>
      <c r="F352" s="131"/>
      <c r="H352" s="61">
        <f>SUM(H282,H290,H317,H325,H333,H341,H349,H351)</f>
        <v>1335229.4732299999</v>
      </c>
      <c r="I352" s="14"/>
      <c r="J352" s="61">
        <f>SUM(J282,J290,J317,J325,J333,J341,J349,J351)</f>
        <v>64963.647140000001</v>
      </c>
      <c r="K352" s="14"/>
      <c r="L352" s="61">
        <f>SUM(L282,L290,L317,L325,L333,L341,L349,L351)</f>
        <v>-13039.938460000001</v>
      </c>
      <c r="M352" s="14"/>
      <c r="N352" s="61">
        <f>SUM(N282,N290,N317,N325,N333,N341,N349,N351)</f>
        <v>0</v>
      </c>
      <c r="O352" s="14"/>
      <c r="P352" s="61">
        <f>SUM(P282,P290,P317,P325,P333,P341,P349,P351)</f>
        <v>1387153.18191</v>
      </c>
      <c r="Q352" s="14"/>
      <c r="R352" s="61">
        <f>SUM(R282,R290,R317,R325,R333,R341,R349,R351)</f>
        <v>1360515.8439500001</v>
      </c>
    </row>
    <row r="353" spans="1:18" ht="14.4" thickTop="1" thickBot="1" x14ac:dyDescent="0.3">
      <c r="A353" s="117">
        <f t="shared" si="5"/>
        <v>44</v>
      </c>
      <c r="B353" s="19" t="s">
        <v>59</v>
      </c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32"/>
      <c r="P353" s="110"/>
      <c r="Q353" s="110"/>
      <c r="R353" s="110"/>
    </row>
    <row r="354" spans="1:18" x14ac:dyDescent="0.25">
      <c r="A354" s="111" t="str">
        <f>$A$59</f>
        <v>Supporting Schedules:  B-08, B-11</v>
      </c>
      <c r="O354" s="113"/>
      <c r="P354" s="111" t="str">
        <f>$P$59</f>
        <v>Recap Schedules:  B-03, B-06</v>
      </c>
    </row>
    <row r="355" spans="1:18" ht="13.8" thickBot="1" x14ac:dyDescent="0.3">
      <c r="A355" s="110" t="str">
        <f>$A$1</f>
        <v>SCHEDULE B-07</v>
      </c>
      <c r="B355" s="110"/>
      <c r="C355" s="110"/>
      <c r="D355" s="110"/>
      <c r="E355" s="110"/>
      <c r="F355" s="110"/>
      <c r="G355" s="110" t="str">
        <f>$G$1</f>
        <v>PLANT BALANCES BY ACCOUNT AND SUB-ACCOUNT</v>
      </c>
      <c r="H355" s="110"/>
      <c r="I355" s="110"/>
      <c r="J355" s="110"/>
      <c r="K355" s="110"/>
      <c r="L355" s="110"/>
      <c r="M355" s="110"/>
      <c r="N355" s="110"/>
      <c r="O355" s="132"/>
      <c r="P355" s="110"/>
      <c r="Q355" s="110"/>
      <c r="R355" s="110" t="str">
        <f>"Page 7 of " &amp; $P$1</f>
        <v>Page 7 of 30</v>
      </c>
    </row>
    <row r="356" spans="1:18" x14ac:dyDescent="0.25">
      <c r="A356" s="111" t="str">
        <f>$A$2</f>
        <v>FLORIDA PUBLIC SERVICE COMMISSION</v>
      </c>
      <c r="B356" s="133"/>
      <c r="E356" s="113" t="str">
        <f>$E$2</f>
        <v xml:space="preserve">                  EXPLANATION:</v>
      </c>
      <c r="F356" s="111" t="str">
        <f>IF($F$2="","",$F$2)</f>
        <v>Provide the depreciation rate and plant balances for each account or sub-account to which</v>
      </c>
      <c r="J356" s="134"/>
      <c r="K356" s="134"/>
      <c r="M356" s="134"/>
      <c r="N356" s="134"/>
      <c r="O356" s="135"/>
      <c r="P356" s="111" t="str">
        <f>$P$2</f>
        <v>Type of data shown:</v>
      </c>
      <c r="R356" s="112"/>
    </row>
    <row r="357" spans="1:18" x14ac:dyDescent="0.25">
      <c r="B357" s="133"/>
      <c r="F357" s="111" t="str">
        <f>IF($F$3="","",$F$3)</f>
        <v>a separate depreciation rate is prescribed. (Include Amortization/Recovery schedule amounts).</v>
      </c>
      <c r="J357" s="113"/>
      <c r="K357" s="112"/>
      <c r="N357" s="113"/>
      <c r="O357" s="113" t="str">
        <f>IF($O$3=0,"",$O$3)</f>
        <v>XX</v>
      </c>
      <c r="P357" s="112" t="str">
        <f>$P$3</f>
        <v>Projected Test Year Ended 12/31/2025</v>
      </c>
      <c r="R357" s="113"/>
    </row>
    <row r="358" spans="1:18" x14ac:dyDescent="0.25">
      <c r="A358" s="111" t="str">
        <f>$A$4</f>
        <v>COMPANY: TAMPA ELECTRIC COMPANY</v>
      </c>
      <c r="B358" s="133"/>
      <c r="F358" s="111" t="str">
        <f>IF(+$F$4="","",$F$4)</f>
        <v/>
      </c>
      <c r="J358" s="113"/>
      <c r="K358" s="112"/>
      <c r="L358" s="113"/>
      <c r="O358" s="113" t="str">
        <f>IF($O$4=0,"",$O$4)</f>
        <v/>
      </c>
      <c r="P358" s="112" t="str">
        <f>$P$4</f>
        <v>Projected Prior Year Ended 12/31/2024</v>
      </c>
      <c r="R358" s="113"/>
    </row>
    <row r="359" spans="1:18" x14ac:dyDescent="0.25">
      <c r="B359" s="133"/>
      <c r="F359" s="111" t="str">
        <f>IF(+$F$5="","",$F$5)</f>
        <v/>
      </c>
      <c r="J359" s="113"/>
      <c r="K359" s="112"/>
      <c r="L359" s="113"/>
      <c r="O359" s="113" t="str">
        <f>IF($O$5=0,"",$O$5)</f>
        <v/>
      </c>
      <c r="P359" s="112" t="str">
        <f>$P$5</f>
        <v>Historical Prior Year Ended 12/31/2023</v>
      </c>
      <c r="R359" s="113"/>
    </row>
    <row r="360" spans="1:18" x14ac:dyDescent="0.25">
      <c r="J360" s="113"/>
      <c r="K360" s="112"/>
      <c r="L360" s="113"/>
      <c r="O360" s="113"/>
      <c r="P360" s="161" t="s">
        <v>572</v>
      </c>
      <c r="R360" s="113"/>
    </row>
    <row r="361" spans="1:18" x14ac:dyDescent="0.25">
      <c r="J361" s="113"/>
      <c r="K361" s="112"/>
      <c r="L361" s="113"/>
      <c r="O361" s="113"/>
      <c r="P361" s="161" t="s">
        <v>573</v>
      </c>
      <c r="R361" s="113"/>
    </row>
    <row r="362" spans="1:18" x14ac:dyDescent="0.25">
      <c r="J362" s="113"/>
      <c r="K362" s="112"/>
      <c r="L362" s="113"/>
      <c r="O362" s="113"/>
      <c r="P362" s="161" t="s">
        <v>574</v>
      </c>
      <c r="R362" s="113"/>
    </row>
    <row r="363" spans="1:18" ht="13.8" thickBot="1" x14ac:dyDescent="0.3">
      <c r="A363" s="158" t="s">
        <v>576</v>
      </c>
      <c r="B363" s="110"/>
      <c r="C363" s="110"/>
      <c r="D363" s="110"/>
      <c r="E363" s="110"/>
      <c r="F363" s="110"/>
      <c r="G363" s="110"/>
      <c r="H363" s="117" t="s">
        <v>12</v>
      </c>
      <c r="I363" s="110"/>
      <c r="J363" s="110"/>
      <c r="K363" s="110"/>
      <c r="L363" s="110"/>
      <c r="M363" s="110"/>
      <c r="N363" s="110"/>
      <c r="O363" s="132"/>
      <c r="P363" s="162" t="s">
        <v>575</v>
      </c>
      <c r="Q363" s="110"/>
      <c r="R363" s="110"/>
    </row>
    <row r="364" spans="1:18" x14ac:dyDescent="0.25"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5"/>
      <c r="P364" s="114"/>
      <c r="Q364" s="114"/>
      <c r="R364" s="114"/>
    </row>
    <row r="365" spans="1:18" x14ac:dyDescent="0.25">
      <c r="C365" s="114" t="s">
        <v>13</v>
      </c>
      <c r="D365" s="114" t="s">
        <v>14</v>
      </c>
      <c r="E365" s="114"/>
      <c r="F365" s="114" t="s">
        <v>15</v>
      </c>
      <c r="G365" s="114"/>
      <c r="H365" s="114" t="s">
        <v>16</v>
      </c>
      <c r="I365" s="114"/>
      <c r="J365" s="116" t="s">
        <v>17</v>
      </c>
      <c r="K365" s="116"/>
      <c r="L365" s="114" t="s">
        <v>18</v>
      </c>
      <c r="M365" s="114"/>
      <c r="N365" s="114" t="s">
        <v>19</v>
      </c>
      <c r="O365" s="115"/>
      <c r="P365" s="114" t="s">
        <v>20</v>
      </c>
      <c r="Q365" s="114"/>
      <c r="R365" s="114" t="s">
        <v>21</v>
      </c>
    </row>
    <row r="366" spans="1:18" x14ac:dyDescent="0.25">
      <c r="C366" s="116" t="s">
        <v>22</v>
      </c>
      <c r="D366" s="116" t="s">
        <v>22</v>
      </c>
      <c r="F366" s="116" t="s">
        <v>23</v>
      </c>
      <c r="G366" s="116"/>
      <c r="H366" s="114" t="s">
        <v>24</v>
      </c>
      <c r="I366" s="116"/>
      <c r="J366" s="114" t="s">
        <v>25</v>
      </c>
      <c r="K366" s="116"/>
      <c r="L366" s="116" t="s">
        <v>25</v>
      </c>
      <c r="M366" s="116"/>
      <c r="O366" s="113"/>
      <c r="P366" s="116" t="s">
        <v>24</v>
      </c>
      <c r="R366" s="116"/>
    </row>
    <row r="367" spans="1:18" x14ac:dyDescent="0.25">
      <c r="A367" s="116" t="s">
        <v>26</v>
      </c>
      <c r="B367" s="116"/>
      <c r="C367" s="116" t="s">
        <v>27</v>
      </c>
      <c r="D367" s="116" t="s">
        <v>27</v>
      </c>
      <c r="E367" s="114"/>
      <c r="F367" s="116" t="s">
        <v>28</v>
      </c>
      <c r="G367" s="116"/>
      <c r="H367" s="116" t="s">
        <v>29</v>
      </c>
      <c r="I367" s="116"/>
      <c r="J367" s="116" t="s">
        <v>24</v>
      </c>
      <c r="K367" s="114"/>
      <c r="L367" s="116" t="s">
        <v>24</v>
      </c>
      <c r="M367" s="112"/>
      <c r="N367" s="116" t="s">
        <v>30</v>
      </c>
      <c r="O367" s="115"/>
      <c r="P367" s="114" t="s">
        <v>29</v>
      </c>
      <c r="Q367" s="114"/>
      <c r="R367" s="116" t="s">
        <v>31</v>
      </c>
    </row>
    <row r="368" spans="1:18" ht="13.8" thickBot="1" x14ac:dyDescent="0.3">
      <c r="A368" s="117" t="s">
        <v>32</v>
      </c>
      <c r="B368" s="117"/>
      <c r="C368" s="117" t="s">
        <v>33</v>
      </c>
      <c r="D368" s="117" t="s">
        <v>34</v>
      </c>
      <c r="E368" s="117"/>
      <c r="F368" s="118" t="s">
        <v>35</v>
      </c>
      <c r="G368" s="118"/>
      <c r="H368" s="118" t="s">
        <v>36</v>
      </c>
      <c r="I368" s="119"/>
      <c r="J368" s="118" t="s">
        <v>37</v>
      </c>
      <c r="K368" s="119"/>
      <c r="L368" s="119" t="s">
        <v>38</v>
      </c>
      <c r="M368" s="120"/>
      <c r="N368" s="120" t="s">
        <v>39</v>
      </c>
      <c r="O368" s="121"/>
      <c r="P368" s="120" t="s">
        <v>40</v>
      </c>
      <c r="Q368" s="120"/>
      <c r="R368" s="120" t="s">
        <v>41</v>
      </c>
    </row>
    <row r="369" spans="1:18" x14ac:dyDescent="0.25">
      <c r="A369" s="116">
        <v>1</v>
      </c>
      <c r="B369" s="122"/>
      <c r="O369" s="113"/>
    </row>
    <row r="370" spans="1:18" x14ac:dyDescent="0.25">
      <c r="A370" s="116">
        <f>A369+1</f>
        <v>2</v>
      </c>
      <c r="B370" s="122"/>
      <c r="D370" s="111" t="s">
        <v>125</v>
      </c>
      <c r="I370" s="14"/>
      <c r="K370" s="14"/>
      <c r="M370" s="14"/>
      <c r="O370" s="14"/>
      <c r="Q370" s="14"/>
    </row>
    <row r="371" spans="1:18" x14ac:dyDescent="0.25">
      <c r="A371" s="116">
        <f t="shared" ref="A371:A412" si="6">A370+1</f>
        <v>3</v>
      </c>
      <c r="B371" s="122"/>
      <c r="C371" s="114">
        <v>34199</v>
      </c>
      <c r="D371" s="111" t="s">
        <v>45</v>
      </c>
      <c r="F371" s="126">
        <f>VLOOKUP($C371,'ASDR FY2'!$A:$X,F$16,FALSE)*100</f>
        <v>3.37</v>
      </c>
      <c r="G371" s="113"/>
      <c r="H371" s="7">
        <f>VLOOKUP($C371,'ASDR FY2'!$A:$X,H$16,FALSE)/1000</f>
        <v>470718.92008000007</v>
      </c>
      <c r="I371" s="8"/>
      <c r="J371" s="7">
        <f>VLOOKUP($C371,'ASDR FY2'!$A:$X,J$16,FALSE)/1000</f>
        <v>0</v>
      </c>
      <c r="K371" s="9"/>
      <c r="L371" s="7">
        <f>VLOOKUP($C371,'ASDR FY2'!$A:$X,L$16,FALSE)/1000</f>
        <v>0</v>
      </c>
      <c r="M371" s="9"/>
      <c r="N371" s="7">
        <f>VLOOKUP($C371,'ASDR FY2'!$A:$X,N$15,FALSE)/1000+VLOOKUP($C371,'ASDR FY2'!$A:$X,N$16,FALSE)/1000</f>
        <v>0</v>
      </c>
      <c r="O371" s="8"/>
      <c r="P371" s="7">
        <f>SUM(H371,J371,L371,N371)</f>
        <v>470718.92008000007</v>
      </c>
      <c r="Q371" s="9"/>
      <c r="R371" s="7">
        <f>VLOOKUP($C371,'ASDR FY2'!$A:$X,R$16,FALSE)/1000</f>
        <v>470718.92008000001</v>
      </c>
    </row>
    <row r="372" spans="1:18" x14ac:dyDescent="0.25">
      <c r="A372" s="116">
        <f t="shared" si="6"/>
        <v>4</v>
      </c>
      <c r="B372" s="122"/>
      <c r="C372" s="116">
        <v>34399</v>
      </c>
      <c r="D372" s="111" t="s">
        <v>82</v>
      </c>
      <c r="F372" s="126">
        <f>VLOOKUP($C372,'ASDR FY2'!$A:$X,F$16,FALSE)*100</f>
        <v>3.39</v>
      </c>
      <c r="G372" s="113"/>
      <c r="H372" s="7">
        <f>VLOOKUP($C372,'ASDR FY2'!$A:$X,H$16,FALSE)/1000</f>
        <v>960796.15264999995</v>
      </c>
      <c r="I372" s="8"/>
      <c r="J372" s="7">
        <f>VLOOKUP($C372,'ASDR FY2'!$A:$X,J$16,FALSE)/1000</f>
        <v>222493.91577000002</v>
      </c>
      <c r="K372" s="9"/>
      <c r="L372" s="7">
        <f>VLOOKUP($C372,'ASDR FY2'!$A:$X,L$16,FALSE)/1000</f>
        <v>0</v>
      </c>
      <c r="M372" s="9"/>
      <c r="N372" s="7">
        <f>VLOOKUP($C372,'ASDR FY2'!$A:$X,N$15,FALSE)/1000+VLOOKUP($C372,'ASDR FY2'!$A:$X,N$16,FALSE)/1000</f>
        <v>0</v>
      </c>
      <c r="O372" s="8"/>
      <c r="P372" s="7">
        <f>SUM(H372,J372,L372,N372)</f>
        <v>1183290.0684199999</v>
      </c>
      <c r="Q372" s="9"/>
      <c r="R372" s="7">
        <f>VLOOKUP($C372,'ASDR FY2'!$A:$X,R$16,FALSE)/1000</f>
        <v>988809.30215999996</v>
      </c>
    </row>
    <row r="373" spans="1:18" x14ac:dyDescent="0.25">
      <c r="A373" s="116">
        <f t="shared" si="6"/>
        <v>5</v>
      </c>
      <c r="B373" s="122"/>
      <c r="C373" s="116">
        <v>34599</v>
      </c>
      <c r="D373" s="111" t="s">
        <v>48</v>
      </c>
      <c r="F373" s="126">
        <f>VLOOKUP($C373,'ASDR FY2'!$A:$X,F$16,FALSE)*100</f>
        <v>3.38</v>
      </c>
      <c r="G373" s="113"/>
      <c r="H373" s="7">
        <f>VLOOKUP($C373,'ASDR FY2'!$A:$X,H$16,FALSE)/1000</f>
        <v>324613.47578000015</v>
      </c>
      <c r="I373" s="8"/>
      <c r="J373" s="7">
        <f>VLOOKUP($C373,'ASDR FY2'!$A:$X,J$16,FALSE)/1000</f>
        <v>0</v>
      </c>
      <c r="K373" s="9"/>
      <c r="L373" s="7">
        <f>VLOOKUP($C373,'ASDR FY2'!$A:$X,L$16,FALSE)/1000</f>
        <v>0</v>
      </c>
      <c r="M373" s="9"/>
      <c r="N373" s="7">
        <f>VLOOKUP($C373,'ASDR FY2'!$A:$X,N$15,FALSE)/1000+VLOOKUP($C373,'ASDR FY2'!$A:$X,N$16,FALSE)/1000</f>
        <v>0</v>
      </c>
      <c r="O373" s="8"/>
      <c r="P373" s="7">
        <f>SUM(H373,J373,L373,N373)</f>
        <v>324613.47578000015</v>
      </c>
      <c r="Q373" s="9"/>
      <c r="R373" s="7">
        <f>VLOOKUP($C373,'ASDR FY2'!$A:$X,R$16,FALSE)/1000</f>
        <v>324613.47577999998</v>
      </c>
    </row>
    <row r="374" spans="1:18" x14ac:dyDescent="0.25">
      <c r="A374" s="116">
        <f t="shared" si="6"/>
        <v>6</v>
      </c>
      <c r="B374" s="122"/>
      <c r="C374" s="114">
        <v>34899</v>
      </c>
      <c r="D374" s="111" t="s">
        <v>126</v>
      </c>
      <c r="F374" s="126">
        <f>VLOOKUP($C374,'ASDR FY2'!$A:$X,F$16,FALSE)*100</f>
        <v>10.28</v>
      </c>
      <c r="G374" s="113"/>
      <c r="H374" s="7">
        <f>VLOOKUP($C374,'ASDR FY2'!$A:$X,H$16,FALSE)/1000</f>
        <v>28009.837169999999</v>
      </c>
      <c r="I374" s="8"/>
      <c r="J374" s="7">
        <f>VLOOKUP($C374,'ASDR FY2'!$A:$X,J$16,FALSE)/1000</f>
        <v>115229.27585999999</v>
      </c>
      <c r="K374" s="9"/>
      <c r="L374" s="7">
        <f>VLOOKUP($C374,'ASDR FY2'!$A:$X,L$16,FALSE)/1000</f>
        <v>0</v>
      </c>
      <c r="M374" s="9"/>
      <c r="N374" s="7">
        <f>VLOOKUP($C374,'ASDR FY2'!$A:$X,N$15,FALSE)/1000+VLOOKUP($C374,'ASDR FY2'!$A:$X,N$16,FALSE)/1000</f>
        <v>0</v>
      </c>
      <c r="O374" s="8"/>
      <c r="P374" s="7">
        <f>SUM(H374,J374,L374,N374)</f>
        <v>143239.11303000001</v>
      </c>
      <c r="Q374" s="9"/>
      <c r="R374" s="7">
        <f>VLOOKUP($C374,'ASDR FY2'!$A:$X,R$16,FALSE)/1000</f>
        <v>108541.76938</v>
      </c>
    </row>
    <row r="375" spans="1:18" ht="13.8" thickBot="1" x14ac:dyDescent="0.3">
      <c r="A375" s="116">
        <f t="shared" si="6"/>
        <v>7</v>
      </c>
      <c r="B375" s="122"/>
      <c r="C375" s="116"/>
      <c r="D375" s="111" t="s">
        <v>127</v>
      </c>
      <c r="F375" s="126"/>
      <c r="H375" s="62">
        <f>SUM(H371:H374)</f>
        <v>1784138.3856800003</v>
      </c>
      <c r="I375" s="7"/>
      <c r="J375" s="62">
        <f>SUM(J371:J374)</f>
        <v>337723.19163000002</v>
      </c>
      <c r="K375" s="12"/>
      <c r="L375" s="62">
        <f>SUM(L371:L374)</f>
        <v>0</v>
      </c>
      <c r="M375" s="12"/>
      <c r="N375" s="62">
        <f>SUM(N371:N374)</f>
        <v>0</v>
      </c>
      <c r="O375" s="12"/>
      <c r="P375" s="62">
        <f>SUM(P371:P374)</f>
        <v>2121861.5773100001</v>
      </c>
      <c r="Q375" s="12"/>
      <c r="R375" s="62">
        <f>SUM(R371:R374)</f>
        <v>1892683.4674</v>
      </c>
    </row>
    <row r="376" spans="1:18" ht="13.8" thickTop="1" x14ac:dyDescent="0.25">
      <c r="A376" s="116">
        <f t="shared" si="6"/>
        <v>8</v>
      </c>
      <c r="B376" s="122"/>
      <c r="F376" s="127"/>
      <c r="O376" s="113"/>
    </row>
    <row r="377" spans="1:18" x14ac:dyDescent="0.25">
      <c r="A377" s="116">
        <f t="shared" si="6"/>
        <v>9</v>
      </c>
      <c r="B377" s="122"/>
      <c r="D377" s="111" t="s">
        <v>128</v>
      </c>
      <c r="F377" s="127"/>
      <c r="I377" s="14"/>
      <c r="K377" s="14"/>
      <c r="M377" s="14"/>
      <c r="O377" s="14"/>
      <c r="Q377" s="14"/>
    </row>
    <row r="378" spans="1:18" x14ac:dyDescent="0.25">
      <c r="A378" s="116">
        <f t="shared" si="6"/>
        <v>10</v>
      </c>
      <c r="B378" s="122"/>
      <c r="C378" s="114">
        <v>34198</v>
      </c>
      <c r="D378" s="111" t="s">
        <v>45</v>
      </c>
      <c r="F378" s="126">
        <f>VLOOKUP($C378,'ASDR FY2'!$A:$X,F$16,FALSE)*100</f>
        <v>3.3300000000000005</v>
      </c>
      <c r="G378" s="113"/>
      <c r="H378" s="7">
        <f>VLOOKUP($C378,'ASDR FY2'!$A:$X,H$16,FALSE)/1000</f>
        <v>0</v>
      </c>
      <c r="I378" s="8"/>
      <c r="J378" s="7">
        <f>VLOOKUP($C378,'ASDR FY2'!$A:$X,J$16,FALSE)/1000</f>
        <v>0</v>
      </c>
      <c r="K378" s="9"/>
      <c r="L378" s="7">
        <f>VLOOKUP($C378,'ASDR FY2'!$A:$X,L$16,FALSE)/1000</f>
        <v>0</v>
      </c>
      <c r="M378" s="9"/>
      <c r="N378" s="7">
        <f>VLOOKUP($C378,'ASDR FY2'!$A:$X,N$15,FALSE)/1000+VLOOKUP($C378,'ASDR FY2'!$A:$X,N$16,FALSE)/1000</f>
        <v>0</v>
      </c>
      <c r="O378" s="8"/>
      <c r="P378" s="7">
        <f>SUM(H378,J378,L378,N378)</f>
        <v>0</v>
      </c>
      <c r="Q378" s="9"/>
      <c r="R378" s="7">
        <f>VLOOKUP($C378,'ASDR FY2'!$A:$X,R$16,FALSE)/1000</f>
        <v>0</v>
      </c>
    </row>
    <row r="379" spans="1:18" x14ac:dyDescent="0.25">
      <c r="A379" s="116">
        <f t="shared" si="6"/>
        <v>11</v>
      </c>
      <c r="B379" s="122"/>
      <c r="C379" s="116">
        <v>34398</v>
      </c>
      <c r="D379" s="111" t="s">
        <v>82</v>
      </c>
      <c r="F379" s="126">
        <f>VLOOKUP($C379,'ASDR FY2'!$A:$X,F$16,FALSE)*100</f>
        <v>3.4099999999999997</v>
      </c>
      <c r="G379" s="113"/>
      <c r="H379" s="7">
        <f>VLOOKUP($C379,'ASDR FY2'!$A:$X,H$16,FALSE)/1000</f>
        <v>940.67219000000023</v>
      </c>
      <c r="I379" s="8"/>
      <c r="J379" s="7">
        <f>VLOOKUP($C379,'ASDR FY2'!$A:$X,J$16,FALSE)/1000</f>
        <v>0</v>
      </c>
      <c r="K379" s="9"/>
      <c r="L379" s="7">
        <f>VLOOKUP($C379,'ASDR FY2'!$A:$X,L$16,FALSE)/1000</f>
        <v>0</v>
      </c>
      <c r="M379" s="9"/>
      <c r="N379" s="7">
        <f>VLOOKUP($C379,'ASDR FY2'!$A:$X,N$15,FALSE)/1000+VLOOKUP($C379,'ASDR FY2'!$A:$X,N$16,FALSE)/1000</f>
        <v>0</v>
      </c>
      <c r="O379" s="8"/>
      <c r="P379" s="7">
        <f>SUM(H379,J379,L379,N379)</f>
        <v>940.67219000000023</v>
      </c>
      <c r="Q379" s="9"/>
      <c r="R379" s="7">
        <f>VLOOKUP($C379,'ASDR FY2'!$A:$X,R$16,FALSE)/1000</f>
        <v>940.67219</v>
      </c>
    </row>
    <row r="380" spans="1:18" x14ac:dyDescent="0.25">
      <c r="A380" s="116">
        <f t="shared" si="6"/>
        <v>12</v>
      </c>
      <c r="B380" s="122"/>
      <c r="C380" s="116">
        <v>34598</v>
      </c>
      <c r="D380" s="111" t="s">
        <v>48</v>
      </c>
      <c r="F380" s="126">
        <f>VLOOKUP($C380,'ASDR FY2'!$A:$X,F$16,FALSE)*100</f>
        <v>3.3300000000000005</v>
      </c>
      <c r="G380" s="113"/>
      <c r="H380" s="7">
        <f>VLOOKUP($C380,'ASDR FY2'!$A:$X,H$16,FALSE)/1000</f>
        <v>0</v>
      </c>
      <c r="I380" s="8"/>
      <c r="J380" s="7">
        <f>VLOOKUP($C380,'ASDR FY2'!$A:$X,J$16,FALSE)/1000</f>
        <v>0</v>
      </c>
      <c r="K380" s="9"/>
      <c r="L380" s="7">
        <f>VLOOKUP($C380,'ASDR FY2'!$A:$X,L$16,FALSE)/1000</f>
        <v>0</v>
      </c>
      <c r="M380" s="9"/>
      <c r="N380" s="7">
        <f>VLOOKUP($C380,'ASDR FY2'!$A:$X,N$15,FALSE)/1000+VLOOKUP($C380,'ASDR FY2'!$A:$X,N$16,FALSE)/1000</f>
        <v>0</v>
      </c>
      <c r="O380" s="8"/>
      <c r="P380" s="7">
        <f>SUM(H380,J380,L380,N380)</f>
        <v>0</v>
      </c>
      <c r="Q380" s="9"/>
      <c r="R380" s="7">
        <f>VLOOKUP($C380,'ASDR FY2'!$A:$X,R$16,FALSE)/1000</f>
        <v>0</v>
      </c>
    </row>
    <row r="381" spans="1:18" x14ac:dyDescent="0.25">
      <c r="A381" s="116">
        <f t="shared" si="6"/>
        <v>13</v>
      </c>
      <c r="B381" s="122"/>
      <c r="C381" s="114">
        <v>34898</v>
      </c>
      <c r="D381" s="111" t="s">
        <v>126</v>
      </c>
      <c r="F381" s="126">
        <f>VLOOKUP($C381,'ASDR FY2'!$A:$X,F$16,FALSE)*100</f>
        <v>10.73</v>
      </c>
      <c r="G381" s="113"/>
      <c r="H381" s="7">
        <f>VLOOKUP($C381,'ASDR FY2'!$A:$X,H$16,FALSE)/1000</f>
        <v>9.2370299999999972</v>
      </c>
      <c r="I381" s="8"/>
      <c r="J381" s="7">
        <f>VLOOKUP($C381,'ASDR FY2'!$A:$X,J$16,FALSE)/1000</f>
        <v>0</v>
      </c>
      <c r="K381" s="9"/>
      <c r="L381" s="7">
        <f>VLOOKUP($C381,'ASDR FY2'!$A:$X,L$16,FALSE)/1000</f>
        <v>0</v>
      </c>
      <c r="M381" s="9"/>
      <c r="N381" s="7">
        <f>VLOOKUP($C381,'ASDR FY2'!$A:$X,N$15,FALSE)/1000+VLOOKUP($C381,'ASDR FY2'!$A:$X,N$16,FALSE)/1000</f>
        <v>0</v>
      </c>
      <c r="O381" s="8"/>
      <c r="P381" s="7">
        <f>SUM(H381,J381,L381,N381)</f>
        <v>9.2370299999999972</v>
      </c>
      <c r="Q381" s="9"/>
      <c r="R381" s="7">
        <f>VLOOKUP($C381,'ASDR FY2'!$A:$X,R$16,FALSE)/1000</f>
        <v>9.2370300000000007</v>
      </c>
    </row>
    <row r="382" spans="1:18" ht="13.8" thickBot="1" x14ac:dyDescent="0.3">
      <c r="A382" s="116">
        <f t="shared" si="6"/>
        <v>14</v>
      </c>
      <c r="B382" s="122"/>
      <c r="C382" s="116"/>
      <c r="D382" s="111" t="s">
        <v>129</v>
      </c>
      <c r="F382" s="126"/>
      <c r="H382" s="62">
        <f>SUM(H378:H381)</f>
        <v>949.90922000000023</v>
      </c>
      <c r="I382" s="7"/>
      <c r="J382" s="62">
        <f>SUM(J378:J381)</f>
        <v>0</v>
      </c>
      <c r="K382" s="12"/>
      <c r="L382" s="62">
        <f>SUM(L378:L381)</f>
        <v>0</v>
      </c>
      <c r="M382" s="12"/>
      <c r="N382" s="62">
        <f>SUM(N378:N381)</f>
        <v>0</v>
      </c>
      <c r="O382" s="12"/>
      <c r="P382" s="62">
        <f>SUM(P378:P381)</f>
        <v>949.90922000000023</v>
      </c>
      <c r="Q382" s="12"/>
      <c r="R382" s="62">
        <f>SUM(R378:R381)</f>
        <v>949.90922</v>
      </c>
    </row>
    <row r="383" spans="1:18" ht="13.8" thickTop="1" x14ac:dyDescent="0.25">
      <c r="A383" s="116">
        <f t="shared" si="6"/>
        <v>15</v>
      </c>
      <c r="B383" s="122"/>
      <c r="F383" s="127"/>
      <c r="O383" s="113"/>
    </row>
    <row r="384" spans="1:18" x14ac:dyDescent="0.25">
      <c r="A384" s="116">
        <f t="shared" si="6"/>
        <v>16</v>
      </c>
      <c r="B384" s="122"/>
      <c r="C384" s="126"/>
      <c r="D384" s="137" t="s">
        <v>130</v>
      </c>
      <c r="F384" s="127"/>
      <c r="O384" s="113"/>
    </row>
    <row r="385" spans="1:18" x14ac:dyDescent="0.25">
      <c r="A385" s="116">
        <f t="shared" si="6"/>
        <v>17</v>
      </c>
      <c r="B385" s="122"/>
      <c r="C385" s="114">
        <v>34120</v>
      </c>
      <c r="D385" s="111" t="s">
        <v>45</v>
      </c>
      <c r="F385" s="126">
        <f>VLOOKUP($C385,'ASDR FY2'!$A:$X,F$16,FALSE)*100</f>
        <v>2.2000000000000002</v>
      </c>
      <c r="G385" s="113"/>
      <c r="H385" s="7">
        <f>VLOOKUP($C385,'ASDR FY2'!$A:$X,H$16,FALSE)/1000</f>
        <v>0</v>
      </c>
      <c r="I385" s="8"/>
      <c r="J385" s="7">
        <f>VLOOKUP($C385,'ASDR FY2'!$A:$X,J$16,FALSE)/1000</f>
        <v>0</v>
      </c>
      <c r="K385" s="9"/>
      <c r="L385" s="7">
        <f>VLOOKUP($C385,'ASDR FY2'!$A:$X,L$16,FALSE)/1000</f>
        <v>0</v>
      </c>
      <c r="M385" s="9"/>
      <c r="N385" s="7">
        <f>VLOOKUP($C385,'ASDR FY2'!$A:$X,N$15,FALSE)/1000+VLOOKUP($C385,'ASDR FY2'!$A:$X,N$16,FALSE)/1000</f>
        <v>0</v>
      </c>
      <c r="O385" s="8"/>
      <c r="P385" s="7">
        <f t="shared" ref="P385:P390" si="7">SUM(H385,J385,L385,N385)</f>
        <v>0</v>
      </c>
      <c r="Q385" s="9"/>
      <c r="R385" s="7">
        <f>VLOOKUP($C385,'ASDR FY2'!$A:$X,R$16,FALSE)/1000</f>
        <v>0</v>
      </c>
    </row>
    <row r="386" spans="1:18" x14ac:dyDescent="0.25">
      <c r="A386" s="116">
        <f t="shared" si="6"/>
        <v>18</v>
      </c>
      <c r="B386" s="130"/>
      <c r="C386" s="114">
        <v>34220</v>
      </c>
      <c r="D386" s="111" t="s">
        <v>81</v>
      </c>
      <c r="F386" s="126">
        <f>VLOOKUP($C386,'ASDR FY2'!$A:$X,F$16,FALSE)*100</f>
        <v>2.2000000000000002</v>
      </c>
      <c r="G386" s="113"/>
      <c r="H386" s="7">
        <f>VLOOKUP($C386,'ASDR FY2'!$A:$X,H$16,FALSE)/1000</f>
        <v>0</v>
      </c>
      <c r="I386" s="8"/>
      <c r="J386" s="7">
        <f>VLOOKUP($C386,'ASDR FY2'!$A:$X,J$16,FALSE)/1000</f>
        <v>53790.116170000001</v>
      </c>
      <c r="K386" s="9"/>
      <c r="L386" s="7">
        <f>VLOOKUP($C386,'ASDR FY2'!$A:$X,L$16,FALSE)/1000</f>
        <v>0</v>
      </c>
      <c r="M386" s="9"/>
      <c r="N386" s="7">
        <f>VLOOKUP($C386,'ASDR FY2'!$A:$X,N$15,FALSE)/1000+VLOOKUP($C386,'ASDR FY2'!$A:$X,N$16,FALSE)/1000</f>
        <v>0</v>
      </c>
      <c r="O386" s="8"/>
      <c r="P386" s="7">
        <f t="shared" si="7"/>
        <v>53790.116170000001</v>
      </c>
      <c r="Q386" s="9"/>
      <c r="R386" s="7">
        <f>VLOOKUP($C386,'ASDR FY2'!$A:$X,R$16,FALSE)/1000</f>
        <v>36099.210570000003</v>
      </c>
    </row>
    <row r="387" spans="1:18" x14ac:dyDescent="0.25">
      <c r="A387" s="116">
        <f t="shared" si="6"/>
        <v>19</v>
      </c>
      <c r="B387" s="130"/>
      <c r="C387" s="114">
        <v>34320</v>
      </c>
      <c r="D387" s="111" t="s">
        <v>82</v>
      </c>
      <c r="F387" s="126">
        <f>VLOOKUP($C387,'ASDR FY2'!$A:$X,F$16,FALSE)*100</f>
        <v>2.08</v>
      </c>
      <c r="G387" s="113"/>
      <c r="H387" s="7">
        <f>VLOOKUP($C387,'ASDR FY2'!$A:$X,H$16,FALSE)/1000</f>
        <v>0</v>
      </c>
      <c r="I387" s="8"/>
      <c r="J387" s="7">
        <f>VLOOKUP($C387,'ASDR FY2'!$A:$X,J$16,FALSE)/1000</f>
        <v>53790.116170000001</v>
      </c>
      <c r="K387" s="9"/>
      <c r="L387" s="7">
        <f>VLOOKUP($C387,'ASDR FY2'!$A:$X,L$16,FALSE)/1000</f>
        <v>0</v>
      </c>
      <c r="M387" s="9"/>
      <c r="N387" s="7">
        <f>VLOOKUP($C387,'ASDR FY2'!$A:$X,N$15,FALSE)/1000+VLOOKUP($C387,'ASDR FY2'!$A:$X,N$16,FALSE)/1000</f>
        <v>0</v>
      </c>
      <c r="O387" s="8"/>
      <c r="P387" s="7">
        <f t="shared" si="7"/>
        <v>53790.116170000001</v>
      </c>
      <c r="Q387" s="9"/>
      <c r="R387" s="7">
        <f>VLOOKUP($C387,'ASDR FY2'!$A:$X,R$16,FALSE)/1000</f>
        <v>36099.210570000003</v>
      </c>
    </row>
    <row r="388" spans="1:18" x14ac:dyDescent="0.25">
      <c r="A388" s="116">
        <f t="shared" si="6"/>
        <v>20</v>
      </c>
      <c r="B388" s="122"/>
      <c r="C388" s="114">
        <v>34520</v>
      </c>
      <c r="D388" s="111" t="s">
        <v>48</v>
      </c>
      <c r="F388" s="126">
        <f>VLOOKUP($C388,'ASDR FY2'!$A:$X,F$16,FALSE)*100</f>
        <v>1.8900000000000001</v>
      </c>
      <c r="G388" s="113"/>
      <c r="H388" s="7">
        <f>VLOOKUP($C388,'ASDR FY2'!$A:$X,H$16,FALSE)/1000</f>
        <v>0</v>
      </c>
      <c r="I388" s="8"/>
      <c r="J388" s="7">
        <f>VLOOKUP($C388,'ASDR FY2'!$A:$X,J$16,FALSE)/1000</f>
        <v>0</v>
      </c>
      <c r="K388" s="9"/>
      <c r="L388" s="7">
        <f>VLOOKUP($C388,'ASDR FY2'!$A:$X,L$16,FALSE)/1000</f>
        <v>0</v>
      </c>
      <c r="M388" s="9"/>
      <c r="N388" s="7">
        <f>VLOOKUP($C388,'ASDR FY2'!$A:$X,N$15,FALSE)/1000+VLOOKUP($C388,'ASDR FY2'!$A:$X,N$16,FALSE)/1000</f>
        <v>0</v>
      </c>
      <c r="O388" s="8"/>
      <c r="P388" s="7">
        <f t="shared" si="7"/>
        <v>0</v>
      </c>
      <c r="Q388" s="9"/>
      <c r="R388" s="7">
        <f>VLOOKUP($C388,'ASDR FY2'!$A:$X,R$16,FALSE)/1000</f>
        <v>0</v>
      </c>
    </row>
    <row r="389" spans="1:18" x14ac:dyDescent="0.25">
      <c r="A389" s="116">
        <f t="shared" si="6"/>
        <v>21</v>
      </c>
      <c r="B389" s="122"/>
      <c r="C389" s="114">
        <v>34620</v>
      </c>
      <c r="D389" s="111" t="s">
        <v>49</v>
      </c>
      <c r="F389" s="126">
        <f>VLOOKUP($C389,'ASDR FY2'!$A:$X,F$16,FALSE)*100</f>
        <v>2.97</v>
      </c>
      <c r="G389" s="113"/>
      <c r="H389" s="7">
        <f>VLOOKUP($C389,'ASDR FY2'!$A:$X,H$16,FALSE)/1000</f>
        <v>0</v>
      </c>
      <c r="I389" s="8"/>
      <c r="J389" s="7">
        <f>VLOOKUP($C389,'ASDR FY2'!$A:$X,J$16,FALSE)/1000</f>
        <v>0</v>
      </c>
      <c r="K389" s="9"/>
      <c r="L389" s="7">
        <f>VLOOKUP($C389,'ASDR FY2'!$A:$X,L$16,FALSE)/1000</f>
        <v>0</v>
      </c>
      <c r="M389" s="9"/>
      <c r="N389" s="7">
        <f>VLOOKUP($C389,'ASDR FY2'!$A:$X,N$15,FALSE)/1000+VLOOKUP($C389,'ASDR FY2'!$A:$X,N$16,FALSE)/1000</f>
        <v>0</v>
      </c>
      <c r="O389" s="8"/>
      <c r="P389" s="7">
        <f t="shared" si="7"/>
        <v>0</v>
      </c>
      <c r="Q389" s="9"/>
      <c r="R389" s="7">
        <f>VLOOKUP($C389,'ASDR FY2'!$A:$X,R$16,FALSE)/1000</f>
        <v>0</v>
      </c>
    </row>
    <row r="390" spans="1:18" x14ac:dyDescent="0.25">
      <c r="A390" s="116">
        <f t="shared" si="6"/>
        <v>22</v>
      </c>
      <c r="B390" s="122"/>
      <c r="C390" s="114">
        <v>34820</v>
      </c>
      <c r="D390" s="111" t="s">
        <v>126</v>
      </c>
      <c r="F390" s="126">
        <f>VLOOKUP($C390,'ASDR FY2'!$A:$X,F$16,FALSE)*100</f>
        <v>10</v>
      </c>
      <c r="G390" s="113"/>
      <c r="H390" s="7">
        <f>VLOOKUP($C390,'ASDR FY2'!$A:$X,H$16,FALSE)/1000</f>
        <v>0</v>
      </c>
      <c r="I390" s="8"/>
      <c r="J390" s="7">
        <f>VLOOKUP($C390,'ASDR FY2'!$A:$X,J$16,FALSE)/1000</f>
        <v>32203.86548</v>
      </c>
      <c r="K390" s="9"/>
      <c r="L390" s="7">
        <f>VLOOKUP($C390,'ASDR FY2'!$A:$X,L$16,FALSE)/1000</f>
        <v>0</v>
      </c>
      <c r="M390" s="9"/>
      <c r="N390" s="7">
        <f>VLOOKUP($C390,'ASDR FY2'!$A:$X,N$15,FALSE)/1000+VLOOKUP($C390,'ASDR FY2'!$A:$X,N$16,FALSE)/1000</f>
        <v>0</v>
      </c>
      <c r="O390" s="8"/>
      <c r="P390" s="7">
        <f t="shared" si="7"/>
        <v>32203.86548</v>
      </c>
      <c r="Q390" s="9"/>
      <c r="R390" s="7">
        <f>VLOOKUP($C390,'ASDR FY2'!$A:$X,R$16,FALSE)/1000</f>
        <v>20609.769649999998</v>
      </c>
    </row>
    <row r="391" spans="1:18" ht="13.8" thickBot="1" x14ac:dyDescent="0.3">
      <c r="A391" s="116">
        <f t="shared" si="6"/>
        <v>23</v>
      </c>
      <c r="B391" s="122"/>
      <c r="D391" s="137" t="s">
        <v>131</v>
      </c>
      <c r="F391" s="127"/>
      <c r="H391" s="62">
        <f>SUM(H385:H390)</f>
        <v>0</v>
      </c>
      <c r="I391" s="7"/>
      <c r="J391" s="62">
        <f>SUM(J385:J390)</f>
        <v>139784.09782</v>
      </c>
      <c r="K391" s="12"/>
      <c r="L391" s="62">
        <f>SUM(L385:L390)</f>
        <v>0</v>
      </c>
      <c r="M391" s="12"/>
      <c r="N391" s="62">
        <f>SUM(N385:N390)</f>
        <v>0</v>
      </c>
      <c r="O391" s="12"/>
      <c r="P391" s="62">
        <f>SUM(P385:P390)</f>
        <v>139784.09782</v>
      </c>
      <c r="Q391" s="9"/>
      <c r="R391" s="62">
        <f>SUM(R385:R390)</f>
        <v>92808.190790000008</v>
      </c>
    </row>
    <row r="392" spans="1:18" ht="13.8" thickTop="1" x14ac:dyDescent="0.25">
      <c r="A392" s="116">
        <f t="shared" si="6"/>
        <v>24</v>
      </c>
      <c r="B392" s="122"/>
      <c r="F392" s="127"/>
    </row>
    <row r="393" spans="1:18" ht="13.8" thickBot="1" x14ac:dyDescent="0.3">
      <c r="A393" s="116">
        <f t="shared" si="6"/>
        <v>25</v>
      </c>
      <c r="B393" s="122"/>
      <c r="C393" s="116"/>
      <c r="D393" s="111" t="s">
        <v>132</v>
      </c>
      <c r="F393" s="127"/>
      <c r="H393" s="25">
        <f>SUM(H175,H271,H352,H375,H382,H391)</f>
        <v>5434493.0553100007</v>
      </c>
      <c r="I393" s="14"/>
      <c r="J393" s="25">
        <f>SUM(J175,J271,J352,J375,J382,J391)</f>
        <v>668703.36752000009</v>
      </c>
      <c r="K393" s="14"/>
      <c r="L393" s="25">
        <f>SUM(L175,L271,L352,L375,L382,L391)</f>
        <v>-22082.575860000001</v>
      </c>
      <c r="M393" s="14"/>
      <c r="N393" s="25">
        <f>SUM(N175,N271,N352,N375,N382,N391)</f>
        <v>0</v>
      </c>
      <c r="O393" s="14"/>
      <c r="P393" s="25">
        <f>SUM(P175,P271,P352,P375,P382,P391)</f>
        <v>6081113.8469699994</v>
      </c>
      <c r="Q393" s="14"/>
      <c r="R393" s="25">
        <f>SUM(R175,R271,R352,R375,R382,R391)</f>
        <v>5716457.4316000007</v>
      </c>
    </row>
    <row r="394" spans="1:18" ht="13.8" thickTop="1" x14ac:dyDescent="0.25">
      <c r="A394" s="116">
        <f t="shared" si="6"/>
        <v>26</v>
      </c>
      <c r="C394" s="114"/>
      <c r="F394" s="127"/>
      <c r="H394" s="142"/>
      <c r="I394" s="14"/>
      <c r="J394" s="142"/>
      <c r="K394" s="14"/>
      <c r="L394" s="142"/>
      <c r="M394" s="14"/>
      <c r="N394" s="142"/>
      <c r="O394" s="14"/>
      <c r="P394" s="142"/>
      <c r="Q394" s="14"/>
      <c r="R394" s="142"/>
    </row>
    <row r="395" spans="1:18" ht="13.8" thickBot="1" x14ac:dyDescent="0.3">
      <c r="A395" s="116">
        <f t="shared" si="6"/>
        <v>27</v>
      </c>
      <c r="C395" s="114"/>
      <c r="D395" s="111" t="s">
        <v>133</v>
      </c>
      <c r="F395" s="127"/>
      <c r="H395" s="18">
        <f>H393+H139</f>
        <v>6905318.0079500005</v>
      </c>
      <c r="I395" s="14"/>
      <c r="J395" s="18">
        <f>J393+J139</f>
        <v>687137.62320000003</v>
      </c>
      <c r="K395" s="14"/>
      <c r="L395" s="18">
        <f>L393+L139</f>
        <v>-25807.018240000001</v>
      </c>
      <c r="M395" s="14"/>
      <c r="N395" s="18">
        <f>N393+N139</f>
        <v>0</v>
      </c>
      <c r="O395" s="14"/>
      <c r="P395" s="18">
        <f>P393+P139</f>
        <v>7566648.6129099997</v>
      </c>
      <c r="Q395" s="14"/>
      <c r="R395" s="18">
        <f>R393+R139</f>
        <v>7193148.3114600005</v>
      </c>
    </row>
    <row r="396" spans="1:18" ht="13.8" thickTop="1" x14ac:dyDescent="0.25">
      <c r="A396" s="116">
        <f t="shared" si="6"/>
        <v>28</v>
      </c>
      <c r="B396" s="122"/>
      <c r="F396" s="127"/>
      <c r="O396" s="113"/>
    </row>
    <row r="397" spans="1:18" x14ac:dyDescent="0.25">
      <c r="A397" s="116">
        <f t="shared" si="6"/>
        <v>29</v>
      </c>
      <c r="B397" s="122"/>
      <c r="C397" s="116"/>
      <c r="D397" s="128" t="s">
        <v>134</v>
      </c>
      <c r="E397" s="128"/>
      <c r="F397" s="127"/>
      <c r="H397" s="14"/>
      <c r="I397" s="14"/>
      <c r="J397" s="147"/>
      <c r="K397" s="147"/>
      <c r="L397" s="148"/>
      <c r="M397" s="147"/>
      <c r="N397" s="147"/>
      <c r="O397" s="142"/>
      <c r="P397" s="147"/>
      <c r="Q397" s="147"/>
      <c r="R397" s="147"/>
    </row>
    <row r="398" spans="1:18" x14ac:dyDescent="0.25">
      <c r="A398" s="116">
        <f t="shared" si="6"/>
        <v>30</v>
      </c>
      <c r="B398" s="122"/>
      <c r="C398" s="114">
        <v>35001</v>
      </c>
      <c r="D398" s="149" t="s">
        <v>135</v>
      </c>
      <c r="F398" s="126">
        <f>VLOOKUP($C398,'ASDR FY2'!$A:$X,F$16,FALSE)*100</f>
        <v>1.54</v>
      </c>
      <c r="G398" s="113"/>
      <c r="H398" s="7">
        <f>VLOOKUP($C398,'ASDR FY2'!$A:$X,H$16,FALSE)/1000</f>
        <v>12162.254090000002</v>
      </c>
      <c r="I398" s="8"/>
      <c r="J398" s="7">
        <f>VLOOKUP($C398,'ASDR FY2'!$A:$X,J$16,FALSE)/1000</f>
        <v>0</v>
      </c>
      <c r="K398" s="9"/>
      <c r="L398" s="7">
        <f>VLOOKUP($C398,'ASDR FY2'!$A:$X,L$16,FALSE)/1000</f>
        <v>0</v>
      </c>
      <c r="M398" s="9"/>
      <c r="N398" s="7">
        <f>VLOOKUP($C398,'ASDR FY2'!$A:$X,N$15,FALSE)/1000+VLOOKUP($C398,'ASDR FY2'!$A:$X,N$16,FALSE)/1000</f>
        <v>0</v>
      </c>
      <c r="O398" s="8"/>
      <c r="P398" s="7">
        <f>SUM(H398,J398,L398,N398)</f>
        <v>12162.254090000002</v>
      </c>
      <c r="Q398" s="9"/>
      <c r="R398" s="7">
        <f>VLOOKUP($C398,'ASDR FY2'!$A:$X,R$16,FALSE)/1000</f>
        <v>12162.25409</v>
      </c>
    </row>
    <row r="399" spans="1:18" x14ac:dyDescent="0.25">
      <c r="A399" s="116">
        <f t="shared" si="6"/>
        <v>31</v>
      </c>
      <c r="B399" s="122"/>
      <c r="C399" s="116">
        <v>35100</v>
      </c>
      <c r="D399" s="111" t="s">
        <v>136</v>
      </c>
      <c r="F399" s="126">
        <f>VLOOKUP($C399,'ASDR FY2'!$A:$X,F$16,FALSE)*100</f>
        <v>10</v>
      </c>
      <c r="G399" s="113"/>
      <c r="H399" s="7">
        <f>VLOOKUP($C399,'ASDR FY2'!$A:$X,H$16,FALSE)/1000</f>
        <v>0</v>
      </c>
      <c r="I399" s="8"/>
      <c r="J399" s="7">
        <f>VLOOKUP($C399,'ASDR FY2'!$A:$X,J$16,FALSE)/1000</f>
        <v>0</v>
      </c>
      <c r="K399" s="9"/>
      <c r="L399" s="7">
        <f>VLOOKUP($C399,'ASDR FY2'!$A:$X,L$16,FALSE)/1000</f>
        <v>0</v>
      </c>
      <c r="M399" s="9"/>
      <c r="N399" s="7">
        <f>VLOOKUP($C399,'ASDR FY2'!$A:$X,N$15,FALSE)/1000+VLOOKUP($C399,'ASDR FY2'!$A:$X,N$16,FALSE)/1000</f>
        <v>0</v>
      </c>
      <c r="O399" s="8"/>
      <c r="P399" s="7">
        <f>SUM(H399,J399,L399,N399)</f>
        <v>0</v>
      </c>
      <c r="Q399" s="9"/>
      <c r="R399" s="7">
        <f>VLOOKUP($C399,'ASDR FY2'!$A:$X,R$16,FALSE)/1000</f>
        <v>0</v>
      </c>
    </row>
    <row r="400" spans="1:18" x14ac:dyDescent="0.25">
      <c r="A400" s="116">
        <f t="shared" si="6"/>
        <v>32</v>
      </c>
      <c r="B400" s="122"/>
      <c r="C400" s="114">
        <v>35200</v>
      </c>
      <c r="D400" s="149" t="s">
        <v>137</v>
      </c>
      <c r="F400" s="126">
        <f>VLOOKUP($C400,'ASDR FY2'!$A:$X,F$16,FALSE)*100</f>
        <v>2.17</v>
      </c>
      <c r="G400" s="113"/>
      <c r="H400" s="7">
        <f>VLOOKUP($C400,'ASDR FY2'!$A:$X,H$16,FALSE)/1000</f>
        <v>76277.379719999997</v>
      </c>
      <c r="I400" s="8"/>
      <c r="J400" s="7">
        <f>VLOOKUP($C400,'ASDR FY2'!$A:$X,J$16,FALSE)/1000</f>
        <v>0</v>
      </c>
      <c r="K400" s="9"/>
      <c r="L400" s="7">
        <f>VLOOKUP($C400,'ASDR FY2'!$A:$X,L$16,FALSE)/1000</f>
        <v>0</v>
      </c>
      <c r="M400" s="9"/>
      <c r="N400" s="7">
        <f>VLOOKUP($C400,'ASDR FY2'!$A:$X,N$15,FALSE)/1000+VLOOKUP($C400,'ASDR FY2'!$A:$X,N$16,FALSE)/1000</f>
        <v>0</v>
      </c>
      <c r="O400" s="8"/>
      <c r="P400" s="7">
        <f t="shared" ref="P400:P408" si="8">SUM(H400,J400,L400,N400)</f>
        <v>76277.379719999997</v>
      </c>
      <c r="Q400" s="9"/>
      <c r="R400" s="7">
        <f>VLOOKUP($C400,'ASDR FY2'!$A:$X,R$16,FALSE)/1000</f>
        <v>76277.379719999997</v>
      </c>
    </row>
    <row r="401" spans="1:18" x14ac:dyDescent="0.25">
      <c r="A401" s="116">
        <f t="shared" si="6"/>
        <v>33</v>
      </c>
      <c r="B401" s="122"/>
      <c r="C401" s="114">
        <v>35300</v>
      </c>
      <c r="D401" s="150" t="s">
        <v>138</v>
      </c>
      <c r="E401" s="128"/>
      <c r="F401" s="126">
        <f>VLOOKUP($C401,'ASDR FY2'!$A:$X,F$16,FALSE)*100</f>
        <v>2.36</v>
      </c>
      <c r="G401" s="113"/>
      <c r="H401" s="7">
        <f>VLOOKUP($C401,'ASDR FY2'!$A:$X,H$16,FALSE)/1000</f>
        <v>449281.37164640031</v>
      </c>
      <c r="I401" s="8"/>
      <c r="J401" s="7">
        <f>VLOOKUP($C401,'ASDR FY2'!$A:$X,J$16,FALSE)/1000</f>
        <v>36762.021990000001</v>
      </c>
      <c r="K401" s="9"/>
      <c r="L401" s="7">
        <f>VLOOKUP($C401,'ASDR FY2'!$A:$X,L$16,FALSE)/1000</f>
        <v>-5514.3032800000001</v>
      </c>
      <c r="M401" s="9"/>
      <c r="N401" s="7">
        <f>VLOOKUP($C401,'ASDR FY2'!$A:$X,N$15,FALSE)/1000+VLOOKUP($C401,'ASDR FY2'!$A:$X,N$16,FALSE)/1000</f>
        <v>0</v>
      </c>
      <c r="O401" s="8"/>
      <c r="P401" s="7">
        <f t="shared" si="8"/>
        <v>480529.09035640029</v>
      </c>
      <c r="Q401" s="9"/>
      <c r="R401" s="7">
        <f>VLOOKUP($C401,'ASDR FY2'!$A:$X,R$16,FALSE)/1000</f>
        <v>458449.85130000004</v>
      </c>
    </row>
    <row r="402" spans="1:18" x14ac:dyDescent="0.25">
      <c r="A402" s="116">
        <f t="shared" si="6"/>
        <v>34</v>
      </c>
      <c r="B402" s="122"/>
      <c r="C402" s="114">
        <v>35400</v>
      </c>
      <c r="D402" s="150" t="s">
        <v>139</v>
      </c>
      <c r="E402" s="128"/>
      <c r="F402" s="126">
        <f>VLOOKUP($C402,'ASDR FY2'!$A:$X,F$16,FALSE)*100</f>
        <v>1.29</v>
      </c>
      <c r="G402" s="113"/>
      <c r="H402" s="7">
        <f>VLOOKUP($C402,'ASDR FY2'!$A:$X,H$16,FALSE)/1000</f>
        <v>5092.0605500000001</v>
      </c>
      <c r="I402" s="8"/>
      <c r="J402" s="7">
        <f>VLOOKUP($C402,'ASDR FY2'!$A:$X,J$16,FALSE)/1000</f>
        <v>0</v>
      </c>
      <c r="K402" s="9"/>
      <c r="L402" s="7">
        <f>VLOOKUP($C402,'ASDR FY2'!$A:$X,L$16,FALSE)/1000</f>
        <v>0</v>
      </c>
      <c r="M402" s="9"/>
      <c r="N402" s="7">
        <f>VLOOKUP($C402,'ASDR FY2'!$A:$X,N$15,FALSE)/1000+VLOOKUP($C402,'ASDR FY2'!$A:$X,N$16,FALSE)/1000</f>
        <v>0</v>
      </c>
      <c r="O402" s="8"/>
      <c r="P402" s="7">
        <f t="shared" si="8"/>
        <v>5092.0605500000001</v>
      </c>
      <c r="Q402" s="9"/>
      <c r="R402" s="7">
        <f>VLOOKUP($C402,'ASDR FY2'!$A:$X,R$16,FALSE)/1000</f>
        <v>5092.0605500000001</v>
      </c>
    </row>
    <row r="403" spans="1:18" x14ac:dyDescent="0.25">
      <c r="A403" s="116">
        <f t="shared" si="6"/>
        <v>35</v>
      </c>
      <c r="B403" s="122"/>
      <c r="C403" s="114">
        <v>35500</v>
      </c>
      <c r="D403" s="149" t="s">
        <v>140</v>
      </c>
      <c r="F403" s="126">
        <f>VLOOKUP($C403,'ASDR FY2'!$A:$X,F$16,FALSE)*100</f>
        <v>2.85</v>
      </c>
      <c r="G403" s="113"/>
      <c r="H403" s="7">
        <f>VLOOKUP($C403,'ASDR FY2'!$A:$X,H$16,FALSE)/1000</f>
        <v>502089.08843919996</v>
      </c>
      <c r="I403" s="8"/>
      <c r="J403" s="7">
        <f>VLOOKUP($C403,'ASDR FY2'!$A:$X,J$16,FALSE)/1000</f>
        <v>98503.789409999998</v>
      </c>
      <c r="K403" s="9"/>
      <c r="L403" s="7">
        <f>VLOOKUP($C403,'ASDR FY2'!$A:$X,L$16,FALSE)/1000</f>
        <v>-5910.2273800000003</v>
      </c>
      <c r="M403" s="9"/>
      <c r="N403" s="7">
        <f>VLOOKUP($C403,'ASDR FY2'!$A:$X,N$15,FALSE)/1000+VLOOKUP($C403,'ASDR FY2'!$A:$X,N$16,FALSE)/1000</f>
        <v>0</v>
      </c>
      <c r="O403" s="8"/>
      <c r="P403" s="7">
        <f t="shared" si="8"/>
        <v>594682.65046919987</v>
      </c>
      <c r="Q403" s="9"/>
      <c r="R403" s="7">
        <f>VLOOKUP($C403,'ASDR FY2'!$A:$X,R$16,FALSE)/1000</f>
        <v>534134.81267999997</v>
      </c>
    </row>
    <row r="404" spans="1:18" x14ac:dyDescent="0.25">
      <c r="A404" s="116">
        <f t="shared" si="6"/>
        <v>36</v>
      </c>
      <c r="B404" s="122"/>
      <c r="C404" s="114">
        <v>35600</v>
      </c>
      <c r="D404" s="149" t="s">
        <v>141</v>
      </c>
      <c r="F404" s="126">
        <f>VLOOKUP($C404,'ASDR FY2'!$A:$X,F$16,FALSE)*100</f>
        <v>2.99</v>
      </c>
      <c r="G404" s="113"/>
      <c r="H404" s="7">
        <f>VLOOKUP($C404,'ASDR FY2'!$A:$X,H$16,FALSE)/1000</f>
        <v>186194.17188119996</v>
      </c>
      <c r="I404" s="8"/>
      <c r="J404" s="7">
        <f>VLOOKUP($C404,'ASDR FY2'!$A:$X,J$16,FALSE)/1000</f>
        <v>22784.901959999999</v>
      </c>
      <c r="K404" s="9"/>
      <c r="L404" s="7">
        <f>VLOOKUP($C404,'ASDR FY2'!$A:$X,L$16,FALSE)/1000</f>
        <v>-5696.2254899999998</v>
      </c>
      <c r="M404" s="9"/>
      <c r="N404" s="7">
        <f>VLOOKUP($C404,'ASDR FY2'!$A:$X,N$15,FALSE)/1000+VLOOKUP($C404,'ASDR FY2'!$A:$X,N$16,FALSE)/1000</f>
        <v>0</v>
      </c>
      <c r="O404" s="8"/>
      <c r="P404" s="7">
        <f t="shared" si="8"/>
        <v>203282.84835119994</v>
      </c>
      <c r="Q404" s="9"/>
      <c r="R404" s="7">
        <f>VLOOKUP($C404,'ASDR FY2'!$A:$X,R$16,FALSE)/1000</f>
        <v>191363.14815999998</v>
      </c>
    </row>
    <row r="405" spans="1:18" x14ac:dyDescent="0.25">
      <c r="A405" s="116">
        <f t="shared" si="6"/>
        <v>37</v>
      </c>
      <c r="B405" s="122"/>
      <c r="C405" s="114">
        <v>35601</v>
      </c>
      <c r="D405" s="149" t="s">
        <v>142</v>
      </c>
      <c r="F405" s="126">
        <f>VLOOKUP($C405,'ASDR FY2'!$A:$X,F$16,FALSE)*100</f>
        <v>1.02</v>
      </c>
      <c r="G405" s="113"/>
      <c r="H405" s="7">
        <f>VLOOKUP($C405,'ASDR FY2'!$A:$X,H$16,FALSE)/1000</f>
        <v>2110.61013</v>
      </c>
      <c r="I405" s="8"/>
      <c r="J405" s="7">
        <f>VLOOKUP($C405,'ASDR FY2'!$A:$X,J$16,FALSE)/1000</f>
        <v>0</v>
      </c>
      <c r="K405" s="9"/>
      <c r="L405" s="7">
        <f>VLOOKUP($C405,'ASDR FY2'!$A:$X,L$16,FALSE)/1000</f>
        <v>0</v>
      </c>
      <c r="M405" s="9"/>
      <c r="N405" s="7">
        <f>VLOOKUP($C405,'ASDR FY2'!$A:$X,N$15,FALSE)/1000+VLOOKUP($C405,'ASDR FY2'!$A:$X,N$16,FALSE)/1000</f>
        <v>0</v>
      </c>
      <c r="O405" s="8"/>
      <c r="P405" s="7">
        <f t="shared" si="8"/>
        <v>2110.61013</v>
      </c>
      <c r="Q405" s="9"/>
      <c r="R405" s="7">
        <f>VLOOKUP($C405,'ASDR FY2'!$A:$X,R$16,FALSE)/1000</f>
        <v>2110.61013</v>
      </c>
    </row>
    <row r="406" spans="1:18" x14ac:dyDescent="0.25">
      <c r="A406" s="116">
        <f t="shared" si="6"/>
        <v>38</v>
      </c>
      <c r="B406" s="122"/>
      <c r="C406" s="114">
        <v>35700</v>
      </c>
      <c r="D406" s="149" t="s">
        <v>143</v>
      </c>
      <c r="F406" s="126">
        <f>VLOOKUP($C406,'ASDR FY2'!$A:$X,F$16,FALSE)*100</f>
        <v>1.82</v>
      </c>
      <c r="G406" s="113"/>
      <c r="H406" s="7">
        <f>VLOOKUP($C406,'ASDR FY2'!$A:$X,H$16,FALSE)/1000</f>
        <v>4322.8605300000008</v>
      </c>
      <c r="I406" s="8"/>
      <c r="J406" s="7">
        <f>VLOOKUP($C406,'ASDR FY2'!$A:$X,J$16,FALSE)/1000</f>
        <v>0</v>
      </c>
      <c r="K406" s="9"/>
      <c r="L406" s="7">
        <f>VLOOKUP($C406,'ASDR FY2'!$A:$X,L$16,FALSE)/1000</f>
        <v>0</v>
      </c>
      <c r="M406" s="9"/>
      <c r="N406" s="7">
        <f>VLOOKUP($C406,'ASDR FY2'!$A:$X,N$15,FALSE)/1000+VLOOKUP($C406,'ASDR FY2'!$A:$X,N$16,FALSE)/1000</f>
        <v>0</v>
      </c>
      <c r="O406" s="8"/>
      <c r="P406" s="7">
        <f t="shared" si="8"/>
        <v>4322.8605300000008</v>
      </c>
      <c r="Q406" s="9"/>
      <c r="R406" s="7">
        <f>VLOOKUP($C406,'ASDR FY2'!$A:$X,R$16,FALSE)/1000</f>
        <v>4322.8605299999999</v>
      </c>
    </row>
    <row r="407" spans="1:18" x14ac:dyDescent="0.25">
      <c r="A407" s="116">
        <f t="shared" si="6"/>
        <v>39</v>
      </c>
      <c r="B407" s="122"/>
      <c r="C407" s="114">
        <v>35800</v>
      </c>
      <c r="D407" s="149" t="s">
        <v>144</v>
      </c>
      <c r="F407" s="126">
        <f>VLOOKUP($C407,'ASDR FY2'!$A:$X,F$16,FALSE)*100</f>
        <v>2.8</v>
      </c>
      <c r="G407" s="113"/>
      <c r="H407" s="7">
        <f>VLOOKUP($C407,'ASDR FY2'!$A:$X,H$16,FALSE)/1000</f>
        <v>12363.044739999998</v>
      </c>
      <c r="I407" s="8"/>
      <c r="J407" s="7">
        <f>VLOOKUP($C407,'ASDR FY2'!$A:$X,J$16,FALSE)/1000</f>
        <v>0</v>
      </c>
      <c r="K407" s="9"/>
      <c r="L407" s="7">
        <f>VLOOKUP($C407,'ASDR FY2'!$A:$X,L$16,FALSE)/1000</f>
        <v>0</v>
      </c>
      <c r="M407" s="9"/>
      <c r="N407" s="7">
        <f>VLOOKUP($C407,'ASDR FY2'!$A:$X,N$15,FALSE)/1000+VLOOKUP($C407,'ASDR FY2'!$A:$X,N$16,FALSE)/1000</f>
        <v>0</v>
      </c>
      <c r="O407" s="8"/>
      <c r="P407" s="7">
        <f t="shared" si="8"/>
        <v>12363.044739999998</v>
      </c>
      <c r="Q407" s="9"/>
      <c r="R407" s="7">
        <f>VLOOKUP($C407,'ASDR FY2'!$A:$X,R$16,FALSE)/1000</f>
        <v>12363.044739999999</v>
      </c>
    </row>
    <row r="408" spans="1:18" x14ac:dyDescent="0.25">
      <c r="A408" s="116">
        <f t="shared" si="6"/>
        <v>40</v>
      </c>
      <c r="B408" s="122"/>
      <c r="C408" s="114">
        <v>35900</v>
      </c>
      <c r="D408" s="151" t="s">
        <v>145</v>
      </c>
      <c r="E408" s="129"/>
      <c r="F408" s="126">
        <f>VLOOKUP($C408,'ASDR FY2'!$A:$X,F$16,FALSE)*100</f>
        <v>1.77</v>
      </c>
      <c r="G408" s="113"/>
      <c r="H408" s="7">
        <f>VLOOKUP($C408,'ASDR FY2'!$A:$X,H$16,FALSE)/1000</f>
        <v>19815.799533199995</v>
      </c>
      <c r="I408" s="8"/>
      <c r="J408" s="7">
        <f>VLOOKUP($C408,'ASDR FY2'!$A:$X,J$16,FALSE)/1000</f>
        <v>1361.55637</v>
      </c>
      <c r="K408" s="9"/>
      <c r="L408" s="7">
        <f>VLOOKUP($C408,'ASDR FY2'!$A:$X,L$16,FALSE)/1000</f>
        <v>13.61556</v>
      </c>
      <c r="M408" s="9"/>
      <c r="N408" s="7">
        <f>VLOOKUP($C408,'ASDR FY2'!$A:$X,N$15,FALSE)/1000+VLOOKUP($C408,'ASDR FY2'!$A:$X,N$16,FALSE)/1000</f>
        <v>0</v>
      </c>
      <c r="O408" s="8"/>
      <c r="P408" s="7">
        <f t="shared" si="8"/>
        <v>21190.971463199992</v>
      </c>
      <c r="Q408" s="9"/>
      <c r="R408" s="7">
        <f>VLOOKUP($C408,'ASDR FY2'!$A:$X,R$16,FALSE)/1000</f>
        <v>20219.292530000002</v>
      </c>
    </row>
    <row r="409" spans="1:18" ht="13.8" thickBot="1" x14ac:dyDescent="0.3">
      <c r="A409" s="116">
        <f t="shared" si="6"/>
        <v>41</v>
      </c>
      <c r="B409" s="122"/>
      <c r="C409" s="114"/>
      <c r="D409" s="129" t="s">
        <v>146</v>
      </c>
      <c r="E409" s="129"/>
      <c r="F409" s="131"/>
      <c r="G409" s="113"/>
      <c r="H409" s="61">
        <f>SUM(H398:H408)</f>
        <v>1269708.6412600002</v>
      </c>
      <c r="I409" s="14"/>
      <c r="J409" s="61">
        <f>SUM(J398:J408)</f>
        <v>159412.26973</v>
      </c>
      <c r="K409" s="14"/>
      <c r="L409" s="61">
        <f>SUM(L398:L408)</f>
        <v>-17107.140590000003</v>
      </c>
      <c r="M409" s="14"/>
      <c r="N409" s="61">
        <f>SUM(N398:N408)</f>
        <v>0</v>
      </c>
      <c r="O409" s="14"/>
      <c r="P409" s="61">
        <f>SUM(P398:P408)</f>
        <v>1412013.7703999998</v>
      </c>
      <c r="Q409" s="14"/>
      <c r="R409" s="61">
        <f>SUM(R398:R408)</f>
        <v>1316495.31443</v>
      </c>
    </row>
    <row r="410" spans="1:18" ht="13.8" thickTop="1" x14ac:dyDescent="0.25">
      <c r="A410" s="116">
        <f t="shared" si="6"/>
        <v>42</v>
      </c>
      <c r="B410" s="122"/>
      <c r="C410" s="116"/>
      <c r="O410" s="113"/>
    </row>
    <row r="411" spans="1:18" x14ac:dyDescent="0.25">
      <c r="A411" s="116">
        <f t="shared" si="6"/>
        <v>43</v>
      </c>
      <c r="B411" s="122"/>
      <c r="O411" s="113"/>
    </row>
    <row r="412" spans="1:18" ht="13.8" thickBot="1" x14ac:dyDescent="0.3">
      <c r="A412" s="117">
        <f t="shared" si="6"/>
        <v>44</v>
      </c>
      <c r="B412" s="19" t="s">
        <v>59</v>
      </c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32"/>
      <c r="P412" s="110"/>
      <c r="Q412" s="110"/>
      <c r="R412" s="110"/>
    </row>
    <row r="413" spans="1:18" x14ac:dyDescent="0.25">
      <c r="A413" s="111" t="str">
        <f>$A$59</f>
        <v>Supporting Schedules:  B-08, B-11</v>
      </c>
      <c r="O413" s="113"/>
      <c r="P413" s="111" t="str">
        <f>$P$59</f>
        <v>Recap Schedules:  B-03, B-06</v>
      </c>
    </row>
    <row r="414" spans="1:18" ht="13.8" thickBot="1" x14ac:dyDescent="0.3">
      <c r="A414" s="110" t="str">
        <f>$A$1</f>
        <v>SCHEDULE B-07</v>
      </c>
      <c r="B414" s="110"/>
      <c r="C414" s="110"/>
      <c r="D414" s="110"/>
      <c r="E414" s="110"/>
      <c r="F414" s="110"/>
      <c r="G414" s="110" t="str">
        <f>$G$1</f>
        <v>PLANT BALANCES BY ACCOUNT AND SUB-ACCOUNT</v>
      </c>
      <c r="H414" s="110"/>
      <c r="I414" s="110"/>
      <c r="J414" s="110"/>
      <c r="K414" s="110"/>
      <c r="L414" s="110"/>
      <c r="M414" s="110"/>
      <c r="N414" s="110"/>
      <c r="O414" s="132"/>
      <c r="P414" s="110"/>
      <c r="Q414" s="110"/>
      <c r="R414" s="110" t="str">
        <f>"Page 8 of " &amp; $P$1</f>
        <v>Page 8 of 30</v>
      </c>
    </row>
    <row r="415" spans="1:18" x14ac:dyDescent="0.25">
      <c r="A415" s="111" t="str">
        <f>$A$2</f>
        <v>FLORIDA PUBLIC SERVICE COMMISSION</v>
      </c>
      <c r="B415" s="133"/>
      <c r="E415" s="113" t="str">
        <f>$E$2</f>
        <v xml:space="preserve">                  EXPLANATION:</v>
      </c>
      <c r="F415" s="111" t="str">
        <f>IF($F$2="","",$F$2)</f>
        <v>Provide the depreciation rate and plant balances for each account or sub-account to which</v>
      </c>
      <c r="J415" s="134"/>
      <c r="K415" s="134"/>
      <c r="M415" s="134"/>
      <c r="N415" s="134"/>
      <c r="O415" s="135"/>
      <c r="P415" s="111" t="str">
        <f>$P$2</f>
        <v>Type of data shown:</v>
      </c>
      <c r="R415" s="112"/>
    </row>
    <row r="416" spans="1:18" x14ac:dyDescent="0.25">
      <c r="B416" s="133"/>
      <c r="F416" s="111" t="str">
        <f>IF($F$3="","",$F$3)</f>
        <v>a separate depreciation rate is prescribed. (Include Amortization/Recovery schedule amounts).</v>
      </c>
      <c r="J416" s="113"/>
      <c r="K416" s="112"/>
      <c r="N416" s="113"/>
      <c r="O416" s="113" t="str">
        <f>IF($O$3=0,"",$O$3)</f>
        <v>XX</v>
      </c>
      <c r="P416" s="112" t="str">
        <f>$P$3</f>
        <v>Projected Test Year Ended 12/31/2025</v>
      </c>
      <c r="R416" s="113"/>
    </row>
    <row r="417" spans="1:18" x14ac:dyDescent="0.25">
      <c r="A417" s="111" t="str">
        <f>$A$4</f>
        <v>COMPANY: TAMPA ELECTRIC COMPANY</v>
      </c>
      <c r="B417" s="133"/>
      <c r="F417" s="111" t="str">
        <f>IF(+$F$4="","",$F$4)</f>
        <v/>
      </c>
      <c r="J417" s="113"/>
      <c r="K417" s="112"/>
      <c r="L417" s="113"/>
      <c r="O417" s="113" t="str">
        <f>IF($O$4=0,"",$O$4)</f>
        <v/>
      </c>
      <c r="P417" s="112" t="str">
        <f>$P$4</f>
        <v>Projected Prior Year Ended 12/31/2024</v>
      </c>
      <c r="R417" s="113"/>
    </row>
    <row r="418" spans="1:18" x14ac:dyDescent="0.25">
      <c r="B418" s="133"/>
      <c r="F418" s="111" t="str">
        <f>IF(+$F$5="","",$F$5)</f>
        <v/>
      </c>
      <c r="J418" s="113"/>
      <c r="K418" s="112"/>
      <c r="L418" s="113"/>
      <c r="O418" s="113" t="str">
        <f>IF($O$5=0,"",$O$5)</f>
        <v/>
      </c>
      <c r="P418" s="112" t="str">
        <f>$P$5</f>
        <v>Historical Prior Year Ended 12/31/2023</v>
      </c>
      <c r="R418" s="113"/>
    </row>
    <row r="419" spans="1:18" x14ac:dyDescent="0.25">
      <c r="J419" s="113"/>
      <c r="K419" s="112"/>
      <c r="L419" s="113"/>
      <c r="O419" s="113"/>
      <c r="P419" s="161" t="s">
        <v>572</v>
      </c>
      <c r="R419" s="113"/>
    </row>
    <row r="420" spans="1:18" x14ac:dyDescent="0.25">
      <c r="J420" s="113"/>
      <c r="K420" s="112"/>
      <c r="L420" s="113"/>
      <c r="O420" s="113"/>
      <c r="P420" s="161" t="s">
        <v>573</v>
      </c>
      <c r="R420" s="113"/>
    </row>
    <row r="421" spans="1:18" x14ac:dyDescent="0.25">
      <c r="J421" s="113"/>
      <c r="K421" s="112"/>
      <c r="L421" s="113"/>
      <c r="O421" s="113"/>
      <c r="P421" s="161" t="s">
        <v>574</v>
      </c>
      <c r="R421" s="113"/>
    </row>
    <row r="422" spans="1:18" ht="13.8" thickBot="1" x14ac:dyDescent="0.3">
      <c r="A422" s="158" t="s">
        <v>576</v>
      </c>
      <c r="B422" s="110"/>
      <c r="C422" s="110"/>
      <c r="D422" s="110"/>
      <c r="E422" s="110"/>
      <c r="F422" s="110"/>
      <c r="G422" s="110"/>
      <c r="H422" s="117" t="s">
        <v>12</v>
      </c>
      <c r="I422" s="110"/>
      <c r="J422" s="110"/>
      <c r="K422" s="110"/>
      <c r="L422" s="110"/>
      <c r="M422" s="110"/>
      <c r="N422" s="110"/>
      <c r="O422" s="132"/>
      <c r="P422" s="162" t="s">
        <v>575</v>
      </c>
      <c r="Q422" s="110"/>
      <c r="R422" s="110"/>
    </row>
    <row r="423" spans="1:18" x14ac:dyDescent="0.25">
      <c r="C423" s="11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5"/>
      <c r="P423" s="114"/>
      <c r="Q423" s="114"/>
      <c r="R423" s="114"/>
    </row>
    <row r="424" spans="1:18" x14ac:dyDescent="0.25">
      <c r="C424" s="114" t="s">
        <v>13</v>
      </c>
      <c r="D424" s="114" t="s">
        <v>14</v>
      </c>
      <c r="E424" s="114"/>
      <c r="F424" s="114" t="s">
        <v>15</v>
      </c>
      <c r="G424" s="114"/>
      <c r="H424" s="114" t="s">
        <v>16</v>
      </c>
      <c r="I424" s="114"/>
      <c r="J424" s="116" t="s">
        <v>17</v>
      </c>
      <c r="K424" s="116"/>
      <c r="L424" s="114" t="s">
        <v>18</v>
      </c>
      <c r="M424" s="114"/>
      <c r="N424" s="114" t="s">
        <v>19</v>
      </c>
      <c r="O424" s="115"/>
      <c r="P424" s="114" t="s">
        <v>20</v>
      </c>
      <c r="Q424" s="114"/>
      <c r="R424" s="114" t="s">
        <v>21</v>
      </c>
    </row>
    <row r="425" spans="1:18" x14ac:dyDescent="0.25">
      <c r="C425" s="116" t="s">
        <v>22</v>
      </c>
      <c r="D425" s="116" t="s">
        <v>22</v>
      </c>
      <c r="F425" s="116" t="s">
        <v>23</v>
      </c>
      <c r="G425" s="116"/>
      <c r="H425" s="114" t="s">
        <v>24</v>
      </c>
      <c r="I425" s="116"/>
      <c r="J425" s="114" t="s">
        <v>25</v>
      </c>
      <c r="K425" s="116"/>
      <c r="L425" s="116" t="s">
        <v>25</v>
      </c>
      <c r="M425" s="116"/>
      <c r="O425" s="113"/>
      <c r="P425" s="116" t="s">
        <v>24</v>
      </c>
      <c r="R425" s="116"/>
    </row>
    <row r="426" spans="1:18" x14ac:dyDescent="0.25">
      <c r="A426" s="116" t="s">
        <v>26</v>
      </c>
      <c r="B426" s="116"/>
      <c r="C426" s="116" t="s">
        <v>27</v>
      </c>
      <c r="D426" s="116" t="s">
        <v>27</v>
      </c>
      <c r="E426" s="114"/>
      <c r="F426" s="116" t="s">
        <v>28</v>
      </c>
      <c r="G426" s="116"/>
      <c r="H426" s="116" t="s">
        <v>29</v>
      </c>
      <c r="I426" s="116"/>
      <c r="J426" s="116" t="s">
        <v>24</v>
      </c>
      <c r="K426" s="114"/>
      <c r="L426" s="116" t="s">
        <v>24</v>
      </c>
      <c r="M426" s="112"/>
      <c r="N426" s="116" t="s">
        <v>30</v>
      </c>
      <c r="O426" s="115"/>
      <c r="P426" s="114" t="s">
        <v>29</v>
      </c>
      <c r="Q426" s="114"/>
      <c r="R426" s="116" t="s">
        <v>31</v>
      </c>
    </row>
    <row r="427" spans="1:18" ht="13.8" thickBot="1" x14ac:dyDescent="0.3">
      <c r="A427" s="117" t="s">
        <v>32</v>
      </c>
      <c r="B427" s="117"/>
      <c r="C427" s="117" t="s">
        <v>33</v>
      </c>
      <c r="D427" s="117" t="s">
        <v>34</v>
      </c>
      <c r="E427" s="117"/>
      <c r="F427" s="118" t="s">
        <v>35</v>
      </c>
      <c r="G427" s="118"/>
      <c r="H427" s="118" t="s">
        <v>36</v>
      </c>
      <c r="I427" s="119"/>
      <c r="J427" s="118" t="s">
        <v>37</v>
      </c>
      <c r="K427" s="119"/>
      <c r="L427" s="119" t="s">
        <v>38</v>
      </c>
      <c r="M427" s="120"/>
      <c r="N427" s="120" t="s">
        <v>39</v>
      </c>
      <c r="O427" s="121"/>
      <c r="P427" s="120" t="s">
        <v>40</v>
      </c>
      <c r="Q427" s="120"/>
      <c r="R427" s="120" t="s">
        <v>41</v>
      </c>
    </row>
    <row r="428" spans="1:18" x14ac:dyDescent="0.25">
      <c r="A428" s="116">
        <v>1</v>
      </c>
      <c r="B428" s="116"/>
      <c r="O428" s="113"/>
    </row>
    <row r="429" spans="1:18" x14ac:dyDescent="0.25">
      <c r="A429" s="116">
        <f>A428+1</f>
        <v>2</v>
      </c>
      <c r="B429" s="122"/>
      <c r="C429" s="126"/>
      <c r="D429" s="111" t="s">
        <v>147</v>
      </c>
      <c r="F429" s="131"/>
      <c r="H429" s="152"/>
      <c r="I429" s="152"/>
      <c r="J429" s="152"/>
      <c r="K429" s="152"/>
      <c r="L429" s="152"/>
      <c r="M429" s="152"/>
      <c r="N429" s="152"/>
      <c r="O429" s="153"/>
      <c r="P429" s="152"/>
      <c r="Q429" s="152"/>
      <c r="R429" s="26"/>
    </row>
    <row r="430" spans="1:18" x14ac:dyDescent="0.25">
      <c r="A430" s="116">
        <f t="shared" ref="A430:A471" si="9">A429+1</f>
        <v>3</v>
      </c>
      <c r="B430" s="122"/>
      <c r="C430" s="116">
        <v>36001</v>
      </c>
      <c r="D430" s="151" t="s">
        <v>135</v>
      </c>
      <c r="E430" s="129"/>
      <c r="F430" s="131"/>
      <c r="G430" s="113"/>
      <c r="H430" s="7"/>
      <c r="I430" s="14"/>
      <c r="J430" s="7"/>
      <c r="K430" s="14"/>
      <c r="L430" s="7"/>
      <c r="M430" s="14"/>
      <c r="N430" s="7"/>
      <c r="O430" s="14"/>
      <c r="P430" s="7"/>
      <c r="Q430" s="14"/>
      <c r="R430" s="7"/>
    </row>
    <row r="431" spans="1:18" x14ac:dyDescent="0.25">
      <c r="A431" s="116">
        <f t="shared" si="9"/>
        <v>4</v>
      </c>
      <c r="B431" s="122"/>
      <c r="C431" s="116">
        <v>36100</v>
      </c>
      <c r="D431" s="149" t="s">
        <v>137</v>
      </c>
      <c r="F431" s="126">
        <f>VLOOKUP($C431,'ASDR FY2'!$A:$X,F$16,FALSE)*100</f>
        <v>2.58</v>
      </c>
      <c r="G431" s="113"/>
      <c r="H431" s="7">
        <f>VLOOKUP($C431,'ASDR FY2'!$A:$X,H$16,FALSE)/1000</f>
        <v>34138.496829999982</v>
      </c>
      <c r="I431" s="8"/>
      <c r="J431" s="7">
        <f>VLOOKUP($C431,'ASDR FY2'!$A:$X,J$16,FALSE)/1000</f>
        <v>0</v>
      </c>
      <c r="K431" s="9"/>
      <c r="L431" s="7">
        <f>VLOOKUP($C431,'ASDR FY2'!$A:$X,L$16,FALSE)/1000</f>
        <v>0</v>
      </c>
      <c r="M431" s="9"/>
      <c r="N431" s="7">
        <f>VLOOKUP($C431,'ASDR FY2'!$A:$X,N$15,FALSE)/1000+VLOOKUP($C431,'ASDR FY2'!$A:$X,N$16,FALSE)/1000</f>
        <v>0</v>
      </c>
      <c r="O431" s="8"/>
      <c r="P431" s="7">
        <f t="shared" ref="P431:P445" si="10">SUM(H431,J431,L431,N431)</f>
        <v>34138.496829999982</v>
      </c>
      <c r="Q431" s="9"/>
      <c r="R431" s="7">
        <f>VLOOKUP($C431,'ASDR FY2'!$A:$X,R$16,FALSE)/1000</f>
        <v>34138.496829999996</v>
      </c>
    </row>
    <row r="432" spans="1:18" x14ac:dyDescent="0.25">
      <c r="A432" s="116">
        <f t="shared" si="9"/>
        <v>5</v>
      </c>
      <c r="B432" s="122"/>
      <c r="C432" s="116">
        <v>36200</v>
      </c>
      <c r="D432" s="149" t="s">
        <v>138</v>
      </c>
      <c r="F432" s="126">
        <f>VLOOKUP($C432,'ASDR FY2'!$A:$X,F$16,FALSE)*100</f>
        <v>2.76</v>
      </c>
      <c r="G432" s="113"/>
      <c r="H432" s="7">
        <f>VLOOKUP($C432,'ASDR FY2'!$A:$X,H$16,FALSE)/1000</f>
        <v>324446.83412040013</v>
      </c>
      <c r="I432" s="8"/>
      <c r="J432" s="7">
        <f>VLOOKUP($C432,'ASDR FY2'!$A:$X,J$16,FALSE)/1000</f>
        <v>20542.987850000001</v>
      </c>
      <c r="K432" s="9"/>
      <c r="L432" s="7">
        <f>VLOOKUP($C432,'ASDR FY2'!$A:$X,L$16,FALSE)/1000</f>
        <v>-1848.8689099999999</v>
      </c>
      <c r="M432" s="9"/>
      <c r="N432" s="7">
        <f>VLOOKUP($C432,'ASDR FY2'!$A:$X,N$15,FALSE)/1000+VLOOKUP($C432,'ASDR FY2'!$A:$X,N$16,FALSE)/1000</f>
        <v>0</v>
      </c>
      <c r="O432" s="8"/>
      <c r="P432" s="7">
        <f t="shared" si="10"/>
        <v>343140.95306040009</v>
      </c>
      <c r="Q432" s="9"/>
      <c r="R432" s="7">
        <f>VLOOKUP($C432,'ASDR FY2'!$A:$X,R$16,FALSE)/1000</f>
        <v>331220.24722000002</v>
      </c>
    </row>
    <row r="433" spans="1:18" x14ac:dyDescent="0.25">
      <c r="A433" s="116">
        <f t="shared" si="9"/>
        <v>6</v>
      </c>
      <c r="B433" s="122"/>
      <c r="C433" s="116">
        <v>36300</v>
      </c>
      <c r="D433" s="111" t="s">
        <v>136</v>
      </c>
      <c r="F433" s="126">
        <f>VLOOKUP($C433,'ASDR FY2'!$A:$X,F$16,FALSE)*100</f>
        <v>10</v>
      </c>
      <c r="G433" s="113"/>
      <c r="H433" s="7">
        <f>VLOOKUP($C433,'ASDR FY2'!$A:$X,H$16,FALSE)/1000</f>
        <v>0</v>
      </c>
      <c r="I433" s="8"/>
      <c r="J433" s="7">
        <f>VLOOKUP($C433,'ASDR FY2'!$A:$X,J$16,FALSE)/1000</f>
        <v>0</v>
      </c>
      <c r="K433" s="9"/>
      <c r="L433" s="7">
        <f>VLOOKUP($C433,'ASDR FY2'!$A:$X,L$16,FALSE)/1000</f>
        <v>0</v>
      </c>
      <c r="M433" s="9"/>
      <c r="N433" s="7">
        <f>VLOOKUP($C433,'ASDR FY2'!$A:$X,N$15,FALSE)/1000+VLOOKUP($C433,'ASDR FY2'!$A:$X,N$16,FALSE)/1000</f>
        <v>0</v>
      </c>
      <c r="O433" s="8"/>
      <c r="P433" s="7">
        <f t="shared" si="10"/>
        <v>0</v>
      </c>
      <c r="Q433" s="9"/>
      <c r="R433" s="7">
        <f>VLOOKUP($C433,'ASDR FY2'!$A:$X,R$16,FALSE)/1000</f>
        <v>0</v>
      </c>
    </row>
    <row r="434" spans="1:18" x14ac:dyDescent="0.25">
      <c r="A434" s="116">
        <f t="shared" si="9"/>
        <v>7</v>
      </c>
      <c r="B434" s="116"/>
      <c r="C434" s="116">
        <v>36400</v>
      </c>
      <c r="D434" s="149" t="s">
        <v>148</v>
      </c>
      <c r="F434" s="126">
        <f>VLOOKUP($C434,'ASDR FY2'!$A:$X,F$16,FALSE)*100</f>
        <v>5.31</v>
      </c>
      <c r="G434" s="113"/>
      <c r="H434" s="7">
        <f>VLOOKUP($C434,'ASDR FY2'!$A:$X,H$16,FALSE)/1000</f>
        <v>463677.26934720023</v>
      </c>
      <c r="I434" s="8"/>
      <c r="J434" s="7">
        <f>VLOOKUP($C434,'ASDR FY2'!$A:$X,J$16,FALSE)/1000</f>
        <v>86227.910329999999</v>
      </c>
      <c r="K434" s="9"/>
      <c r="L434" s="7">
        <f>VLOOKUP($C434,'ASDR FY2'!$A:$X,L$16,FALSE)/1000</f>
        <v>-12934.18655</v>
      </c>
      <c r="M434" s="9"/>
      <c r="N434" s="7">
        <f>VLOOKUP($C434,'ASDR FY2'!$A:$X,N$15,FALSE)/1000+VLOOKUP($C434,'ASDR FY2'!$A:$X,N$16,FALSE)/1000</f>
        <v>0</v>
      </c>
      <c r="O434" s="8"/>
      <c r="P434" s="7">
        <f t="shared" si="10"/>
        <v>536970.99312720029</v>
      </c>
      <c r="Q434" s="9"/>
      <c r="R434" s="7">
        <f>VLOOKUP($C434,'ASDR FY2'!$A:$X,R$16,FALSE)/1000</f>
        <v>499219.43348000001</v>
      </c>
    </row>
    <row r="435" spans="1:18" x14ac:dyDescent="0.25">
      <c r="A435" s="116">
        <f t="shared" si="9"/>
        <v>8</v>
      </c>
      <c r="B435" s="116"/>
      <c r="C435" s="116">
        <v>36500</v>
      </c>
      <c r="D435" s="149" t="s">
        <v>141</v>
      </c>
      <c r="F435" s="126">
        <f>VLOOKUP($C435,'ASDR FY2'!$A:$X,F$16,FALSE)*100</f>
        <v>2.33</v>
      </c>
      <c r="G435" s="113"/>
      <c r="H435" s="7">
        <f>VLOOKUP($C435,'ASDR FY2'!$A:$X,H$16,FALSE)/1000</f>
        <v>295008.85825520003</v>
      </c>
      <c r="I435" s="8"/>
      <c r="J435" s="7">
        <f>VLOOKUP($C435,'ASDR FY2'!$A:$X,J$16,FALSE)/1000</f>
        <v>24715.640429999999</v>
      </c>
      <c r="K435" s="9"/>
      <c r="L435" s="7">
        <f>VLOOKUP($C435,'ASDR FY2'!$A:$X,L$16,FALSE)/1000</f>
        <v>-7909.0049200000003</v>
      </c>
      <c r="M435" s="9"/>
      <c r="N435" s="7">
        <f>VLOOKUP($C435,'ASDR FY2'!$A:$X,N$15,FALSE)/1000+VLOOKUP($C435,'ASDR FY2'!$A:$X,N$16,FALSE)/1000</f>
        <v>0</v>
      </c>
      <c r="O435" s="8"/>
      <c r="P435" s="7">
        <f t="shared" si="10"/>
        <v>311815.49376520002</v>
      </c>
      <c r="Q435" s="9"/>
      <c r="R435" s="7">
        <f>VLOOKUP($C435,'ASDR FY2'!$A:$X,R$16,FALSE)/1000</f>
        <v>303327.78304000001</v>
      </c>
    </row>
    <row r="436" spans="1:18" x14ac:dyDescent="0.25">
      <c r="A436" s="116">
        <f t="shared" si="9"/>
        <v>9</v>
      </c>
      <c r="B436" s="116"/>
      <c r="C436" s="116">
        <v>36600</v>
      </c>
      <c r="D436" s="149" t="s">
        <v>143</v>
      </c>
      <c r="F436" s="126">
        <f>VLOOKUP($C436,'ASDR FY2'!$A:$X,F$16,FALSE)*100</f>
        <v>1.76</v>
      </c>
      <c r="G436" s="113"/>
      <c r="H436" s="7">
        <f>VLOOKUP($C436,'ASDR FY2'!$A:$X,H$16,FALSE)/1000</f>
        <v>453436.7942944002</v>
      </c>
      <c r="I436" s="8"/>
      <c r="J436" s="7">
        <f>VLOOKUP($C436,'ASDR FY2'!$A:$X,J$16,FALSE)/1000</f>
        <v>23499.55387</v>
      </c>
      <c r="K436" s="9"/>
      <c r="L436" s="7">
        <f>VLOOKUP($C436,'ASDR FY2'!$A:$X,L$16,FALSE)/1000</f>
        <v>-234.99553</v>
      </c>
      <c r="M436" s="9"/>
      <c r="N436" s="7">
        <f>VLOOKUP($C436,'ASDR FY2'!$A:$X,N$15,FALSE)/1000+VLOOKUP($C436,'ASDR FY2'!$A:$X,N$16,FALSE)/1000</f>
        <v>0</v>
      </c>
      <c r="O436" s="8"/>
      <c r="P436" s="7">
        <f t="shared" si="10"/>
        <v>476701.35263440019</v>
      </c>
      <c r="Q436" s="9"/>
      <c r="R436" s="7">
        <f>VLOOKUP($C436,'ASDR FY2'!$A:$X,R$16,FALSE)/1000</f>
        <v>464182.17016000004</v>
      </c>
    </row>
    <row r="437" spans="1:18" x14ac:dyDescent="0.25">
      <c r="A437" s="116">
        <f t="shared" si="9"/>
        <v>10</v>
      </c>
      <c r="B437" s="122"/>
      <c r="C437" s="116">
        <v>36700</v>
      </c>
      <c r="D437" s="149" t="s">
        <v>144</v>
      </c>
      <c r="F437" s="126">
        <f>VLOOKUP($C437,'ASDR FY2'!$A:$X,F$16,FALSE)*100</f>
        <v>3.58</v>
      </c>
      <c r="G437" s="113"/>
      <c r="H437" s="7">
        <f>VLOOKUP($C437,'ASDR FY2'!$A:$X,H$16,FALSE)/1000</f>
        <v>710559.61338919995</v>
      </c>
      <c r="I437" s="8"/>
      <c r="J437" s="7">
        <f>VLOOKUP($C437,'ASDR FY2'!$A:$X,J$16,FALSE)/1000</f>
        <v>164552.21768999999</v>
      </c>
      <c r="K437" s="9"/>
      <c r="L437" s="7">
        <f>VLOOKUP($C437,'ASDR FY2'!$A:$X,L$16,FALSE)/1000</f>
        <v>-16455.22178</v>
      </c>
      <c r="M437" s="9"/>
      <c r="N437" s="7">
        <f>VLOOKUP($C437,'ASDR FY2'!$A:$X,N$15,FALSE)/1000+VLOOKUP($C437,'ASDR FY2'!$A:$X,N$16,FALSE)/1000</f>
        <v>0</v>
      </c>
      <c r="O437" s="8"/>
      <c r="P437" s="7">
        <f t="shared" si="10"/>
        <v>858656.60929919989</v>
      </c>
      <c r="Q437" s="9"/>
      <c r="R437" s="7">
        <f>VLOOKUP($C437,'ASDR FY2'!$A:$X,R$16,FALSE)/1000</f>
        <v>784983.49221000005</v>
      </c>
    </row>
    <row r="438" spans="1:18" x14ac:dyDescent="0.25">
      <c r="A438" s="116">
        <f t="shared" si="9"/>
        <v>11</v>
      </c>
      <c r="B438" s="122"/>
      <c r="C438" s="116">
        <v>36800</v>
      </c>
      <c r="D438" s="149" t="s">
        <v>149</v>
      </c>
      <c r="F438" s="126">
        <f>VLOOKUP($C438,'ASDR FY2'!$A:$X,F$16,FALSE)*100</f>
        <v>3.92</v>
      </c>
      <c r="G438" s="113"/>
      <c r="H438" s="7">
        <f>VLOOKUP($C438,'ASDR FY2'!$A:$X,H$16,FALSE)/1000</f>
        <v>1012768.5889443998</v>
      </c>
      <c r="I438" s="8"/>
      <c r="J438" s="7">
        <f>VLOOKUP($C438,'ASDR FY2'!$A:$X,J$16,FALSE)/1000</f>
        <v>68691.003629999992</v>
      </c>
      <c r="K438" s="9"/>
      <c r="L438" s="7">
        <f>VLOOKUP($C438,'ASDR FY2'!$A:$X,L$16,FALSE)/1000</f>
        <v>-8242.9204300000001</v>
      </c>
      <c r="M438" s="9"/>
      <c r="N438" s="7">
        <f>VLOOKUP($C438,'ASDR FY2'!$A:$X,N$15,FALSE)/1000+VLOOKUP($C438,'ASDR FY2'!$A:$X,N$16,FALSE)/1000</f>
        <v>0</v>
      </c>
      <c r="O438" s="8"/>
      <c r="P438" s="7">
        <f t="shared" si="10"/>
        <v>1073216.6721444</v>
      </c>
      <c r="Q438" s="9"/>
      <c r="R438" s="7">
        <f>VLOOKUP($C438,'ASDR FY2'!$A:$X,R$16,FALSE)/1000</f>
        <v>1040688.1980399999</v>
      </c>
    </row>
    <row r="439" spans="1:18" x14ac:dyDescent="0.25">
      <c r="A439" s="116">
        <f t="shared" si="9"/>
        <v>12</v>
      </c>
      <c r="B439" s="122"/>
      <c r="C439" s="116">
        <v>36900</v>
      </c>
      <c r="D439" s="149" t="s">
        <v>150</v>
      </c>
      <c r="F439" s="126">
        <f>VLOOKUP($C439,'ASDR FY2'!$A:$X,F$16,FALSE)*100</f>
        <v>2.34</v>
      </c>
      <c r="G439" s="113"/>
      <c r="H439" s="7">
        <f>VLOOKUP($C439,'ASDR FY2'!$A:$X,H$16,FALSE)/1000</f>
        <v>84517.203168800057</v>
      </c>
      <c r="I439" s="8"/>
      <c r="J439" s="7">
        <f>VLOOKUP($C439,'ASDR FY2'!$A:$X,J$16,FALSE)/1000</f>
        <v>1807.6579899999999</v>
      </c>
      <c r="K439" s="9"/>
      <c r="L439" s="7">
        <f>VLOOKUP($C439,'ASDR FY2'!$A:$X,L$16,FALSE)/1000</f>
        <v>-180.76579999999998</v>
      </c>
      <c r="M439" s="9"/>
      <c r="N439" s="7">
        <f>VLOOKUP($C439,'ASDR FY2'!$A:$X,N$15,FALSE)/1000+VLOOKUP($C439,'ASDR FY2'!$A:$X,N$16,FALSE)/1000</f>
        <v>0</v>
      </c>
      <c r="O439" s="8"/>
      <c r="P439" s="7">
        <f t="shared" si="10"/>
        <v>86144.09535880007</v>
      </c>
      <c r="Q439" s="9"/>
      <c r="R439" s="7">
        <f>VLOOKUP($C439,'ASDR FY2'!$A:$X,R$16,FALSE)/1000</f>
        <v>85268.628049999999</v>
      </c>
    </row>
    <row r="440" spans="1:18" x14ac:dyDescent="0.25">
      <c r="A440" s="116">
        <f t="shared" si="9"/>
        <v>13</v>
      </c>
      <c r="B440" s="122"/>
      <c r="C440" s="116">
        <v>36902</v>
      </c>
      <c r="D440" s="149" t="s">
        <v>151</v>
      </c>
      <c r="F440" s="126">
        <f>VLOOKUP($C440,'ASDR FY2'!$A:$X,F$16,FALSE)*100</f>
        <v>2.64</v>
      </c>
      <c r="G440" s="113"/>
      <c r="H440" s="7">
        <f>VLOOKUP($C440,'ASDR FY2'!$A:$X,H$16,FALSE)/1000</f>
        <v>152450.52402760001</v>
      </c>
      <c r="I440" s="8"/>
      <c r="J440" s="7">
        <f>VLOOKUP($C440,'ASDR FY2'!$A:$X,J$16,FALSE)/1000</f>
        <v>3615.3159799999999</v>
      </c>
      <c r="K440" s="9"/>
      <c r="L440" s="7">
        <f>VLOOKUP($C440,'ASDR FY2'!$A:$X,L$16,FALSE)/1000</f>
        <v>-108.45947</v>
      </c>
      <c r="M440" s="9"/>
      <c r="N440" s="7">
        <f>VLOOKUP($C440,'ASDR FY2'!$A:$X,N$15,FALSE)/1000+VLOOKUP($C440,'ASDR FY2'!$A:$X,N$16,FALSE)/1000</f>
        <v>0</v>
      </c>
      <c r="O440" s="8"/>
      <c r="P440" s="7">
        <f t="shared" si="10"/>
        <v>155957.38053760002</v>
      </c>
      <c r="Q440" s="9"/>
      <c r="R440" s="7">
        <f>VLOOKUP($C440,'ASDR FY2'!$A:$X,R$16,FALSE)/1000</f>
        <v>154070.26212</v>
      </c>
    </row>
    <row r="441" spans="1:18" x14ac:dyDescent="0.25">
      <c r="A441" s="116">
        <f t="shared" si="9"/>
        <v>14</v>
      </c>
      <c r="B441" s="122"/>
      <c r="C441" s="116">
        <v>37000</v>
      </c>
      <c r="D441" s="149" t="s">
        <v>152</v>
      </c>
      <c r="F441" s="126">
        <f>VLOOKUP($C441,'ASDR FY2'!$A:$X,F$16,FALSE)*100</f>
        <v>7.3</v>
      </c>
      <c r="G441" s="113"/>
      <c r="H441" s="7">
        <f>VLOOKUP($C441,'ASDR FY2'!$A:$X,H$16,FALSE)/1000</f>
        <v>18799.459209999972</v>
      </c>
      <c r="I441" s="8"/>
      <c r="J441" s="7">
        <f>VLOOKUP($C441,'ASDR FY2'!$A:$X,J$16,FALSE)/1000</f>
        <v>0</v>
      </c>
      <c r="K441" s="9"/>
      <c r="L441" s="7">
        <f>VLOOKUP($C441,'ASDR FY2'!$A:$X,L$16,FALSE)/1000</f>
        <v>0</v>
      </c>
      <c r="M441" s="9"/>
      <c r="N441" s="7">
        <f>VLOOKUP($C441,'ASDR FY2'!$A:$X,N$15,FALSE)/1000+VLOOKUP($C441,'ASDR FY2'!$A:$X,N$16,FALSE)/1000</f>
        <v>0</v>
      </c>
      <c r="O441" s="8"/>
      <c r="P441" s="7">
        <f t="shared" si="10"/>
        <v>18799.459209999972</v>
      </c>
      <c r="Q441" s="9"/>
      <c r="R441" s="7">
        <f>VLOOKUP($C441,'ASDR FY2'!$A:$X,R$16,FALSE)/1000</f>
        <v>18799.459210000001</v>
      </c>
    </row>
    <row r="442" spans="1:18" x14ac:dyDescent="0.25">
      <c r="A442" s="116">
        <f t="shared" si="9"/>
        <v>15</v>
      </c>
      <c r="B442" s="116"/>
      <c r="C442" s="116">
        <v>37001</v>
      </c>
      <c r="D442" s="149" t="s">
        <v>153</v>
      </c>
      <c r="F442" s="126">
        <f>VLOOKUP($C442,'ASDR FY2'!$A:$X,F$16,FALSE)*100</f>
        <v>10.78</v>
      </c>
      <c r="G442" s="113"/>
      <c r="H442" s="7">
        <f>VLOOKUP($C442,'ASDR FY2'!$A:$X,H$16,FALSE)/1000</f>
        <v>121027.74979279995</v>
      </c>
      <c r="I442" s="8"/>
      <c r="J442" s="7">
        <f>VLOOKUP($C442,'ASDR FY2'!$A:$X,J$16,FALSE)/1000</f>
        <v>14637.40194</v>
      </c>
      <c r="K442" s="9"/>
      <c r="L442" s="7">
        <f>VLOOKUP($C442,'ASDR FY2'!$A:$X,L$16,FALSE)/1000</f>
        <v>-7318.7009600000001</v>
      </c>
      <c r="M442" s="9"/>
      <c r="N442" s="7">
        <f>VLOOKUP($C442,'ASDR FY2'!$A:$X,N$15,FALSE)/1000+VLOOKUP($C442,'ASDR FY2'!$A:$X,N$16,FALSE)/1000</f>
        <v>0</v>
      </c>
      <c r="O442" s="8"/>
      <c r="P442" s="7">
        <f t="shared" si="10"/>
        <v>128346.45077279994</v>
      </c>
      <c r="Q442" s="9"/>
      <c r="R442" s="7">
        <f>VLOOKUP($C442,'ASDR FY2'!$A:$X,R$16,FALSE)/1000</f>
        <v>124480.36342000001</v>
      </c>
    </row>
    <row r="443" spans="1:18" x14ac:dyDescent="0.25">
      <c r="A443" s="116">
        <f t="shared" si="9"/>
        <v>16</v>
      </c>
      <c r="B443" s="116"/>
      <c r="C443" s="116">
        <v>37010</v>
      </c>
      <c r="D443" s="149" t="s">
        <v>154</v>
      </c>
      <c r="F443" s="126">
        <f>VLOOKUP($C443,'ASDR FY2'!$A:$X,F$16,FALSE)*100</f>
        <v>10.050000000000001</v>
      </c>
      <c r="G443" s="113"/>
      <c r="H443" s="7">
        <f>VLOOKUP($C443,'ASDR FY2'!$A:$X,H$16,FALSE)/1000</f>
        <v>4959.7853200000009</v>
      </c>
      <c r="I443" s="8"/>
      <c r="J443" s="7">
        <f>VLOOKUP($C443,'ASDR FY2'!$A:$X,J$16,FALSE)/1000</f>
        <v>3208.5756900000001</v>
      </c>
      <c r="K443" s="9"/>
      <c r="L443" s="7">
        <f>VLOOKUP($C443,'ASDR FY2'!$A:$X,L$16,FALSE)/1000</f>
        <v>0</v>
      </c>
      <c r="M443" s="9"/>
      <c r="N443" s="7">
        <f>VLOOKUP($C443,'ASDR FY2'!$A:$X,N$15,FALSE)/1000+VLOOKUP($C443,'ASDR FY2'!$A:$X,N$16,FALSE)/1000</f>
        <v>0</v>
      </c>
      <c r="O443" s="8"/>
      <c r="P443" s="7">
        <f>SUM(H443,J443,L443,N443)</f>
        <v>8168.3610100000005</v>
      </c>
      <c r="Q443" s="9"/>
      <c r="R443" s="7">
        <f>VLOOKUP($C443,'ASDR FY2'!$A:$X,R$16,FALSE)/1000</f>
        <v>6574.5695800000003</v>
      </c>
    </row>
    <row r="444" spans="1:18" x14ac:dyDescent="0.25">
      <c r="A444" s="116">
        <f t="shared" si="9"/>
        <v>17</v>
      </c>
      <c r="B444" s="116"/>
      <c r="C444" s="116">
        <v>37300</v>
      </c>
      <c r="D444" s="149" t="s">
        <v>155</v>
      </c>
      <c r="F444" s="126">
        <f>VLOOKUP($C444,'ASDR FY2'!$A:$X,F$16,FALSE)*100</f>
        <v>3.65</v>
      </c>
      <c r="G444" s="113"/>
      <c r="H444" s="7">
        <f>VLOOKUP($C444,'ASDR FY2'!$A:$X,H$16,FALSE)/1000</f>
        <v>389454.09140999976</v>
      </c>
      <c r="I444" s="8"/>
      <c r="J444" s="7">
        <f>VLOOKUP($C444,'ASDR FY2'!$A:$X,J$16,FALSE)/1000</f>
        <v>14546.12131</v>
      </c>
      <c r="K444" s="9"/>
      <c r="L444" s="7">
        <f>VLOOKUP($C444,'ASDR FY2'!$A:$X,L$16,FALSE)/1000</f>
        <v>-5091.1424699999998</v>
      </c>
      <c r="M444" s="9"/>
      <c r="N444" s="7">
        <f>VLOOKUP($C444,'ASDR FY2'!$A:$X,N$15,FALSE)/1000+VLOOKUP($C444,'ASDR FY2'!$A:$X,N$16,FALSE)/1000</f>
        <v>0</v>
      </c>
      <c r="O444" s="8"/>
      <c r="P444" s="7">
        <f t="shared" si="10"/>
        <v>398909.07024999976</v>
      </c>
      <c r="Q444" s="9"/>
      <c r="R444" s="7">
        <f>VLOOKUP($C444,'ASDR FY2'!$A:$X,R$16,FALSE)/1000</f>
        <v>394175.87526</v>
      </c>
    </row>
    <row r="445" spans="1:18" x14ac:dyDescent="0.25">
      <c r="A445" s="116">
        <f t="shared" si="9"/>
        <v>18</v>
      </c>
      <c r="B445" s="116"/>
      <c r="C445" s="116">
        <v>37302</v>
      </c>
      <c r="D445" s="149" t="s">
        <v>156</v>
      </c>
      <c r="F445" s="126">
        <f>VLOOKUP($C445,'ASDR FY2'!$A:$X,F$16,FALSE)*100</f>
        <v>4.08</v>
      </c>
      <c r="G445" s="113"/>
      <c r="H445" s="7">
        <f>VLOOKUP($C445,'ASDR FY2'!$A:$X,H$16,FALSE)/1000</f>
        <v>22121.80429</v>
      </c>
      <c r="I445" s="8"/>
      <c r="J445" s="7">
        <f>VLOOKUP($C445,'ASDR FY2'!$A:$X,J$16,FALSE)/1000</f>
        <v>0</v>
      </c>
      <c r="K445" s="9"/>
      <c r="L445" s="7">
        <f>VLOOKUP($C445,'ASDR FY2'!$A:$X,L$16,FALSE)/1000</f>
        <v>0</v>
      </c>
      <c r="M445" s="9"/>
      <c r="N445" s="7">
        <f>VLOOKUP($C445,'ASDR FY2'!$A:$X,N$15,FALSE)/1000+VLOOKUP($C445,'ASDR FY2'!$A:$X,N$16,FALSE)/1000</f>
        <v>0</v>
      </c>
      <c r="O445" s="8"/>
      <c r="P445" s="7">
        <f t="shared" si="10"/>
        <v>22121.80429</v>
      </c>
      <c r="Q445" s="9"/>
      <c r="R445" s="7">
        <f>VLOOKUP($C445,'ASDR FY2'!$A:$X,R$16,FALSE)/1000</f>
        <v>22121.80429</v>
      </c>
    </row>
    <row r="446" spans="1:18" ht="13.8" thickBot="1" x14ac:dyDescent="0.3">
      <c r="A446" s="116">
        <f t="shared" si="9"/>
        <v>19</v>
      </c>
      <c r="B446" s="122"/>
      <c r="D446" s="111" t="s">
        <v>157</v>
      </c>
      <c r="F446" s="126"/>
      <c r="G446" s="113"/>
      <c r="H446" s="61">
        <f>SUM(H430:H445)</f>
        <v>4087367.0723999995</v>
      </c>
      <c r="I446" s="14"/>
      <c r="J446" s="61">
        <f>SUM(J430:J445)</f>
        <v>426044.38670999999</v>
      </c>
      <c r="K446" s="14"/>
      <c r="L446" s="61">
        <f>SUM(L430:L445)</f>
        <v>-60324.266820000004</v>
      </c>
      <c r="M446" s="14"/>
      <c r="N446" s="61">
        <f>SUM(N430:N445)</f>
        <v>0</v>
      </c>
      <c r="O446" s="14"/>
      <c r="P446" s="61">
        <f>SUM(P430:P445)</f>
        <v>4453087.1922900006</v>
      </c>
      <c r="Q446" s="14"/>
      <c r="R446" s="61">
        <f>SUM(R430:R445)</f>
        <v>4263250.7829100005</v>
      </c>
    </row>
    <row r="447" spans="1:18" ht="13.8" thickTop="1" x14ac:dyDescent="0.25">
      <c r="A447" s="116">
        <f t="shared" si="9"/>
        <v>20</v>
      </c>
      <c r="B447" s="116"/>
      <c r="F447" s="127"/>
      <c r="O447" s="113"/>
    </row>
    <row r="448" spans="1:18" x14ac:dyDescent="0.25">
      <c r="A448" s="116">
        <f t="shared" si="9"/>
        <v>21</v>
      </c>
      <c r="B448" s="116"/>
      <c r="D448" s="128" t="s">
        <v>158</v>
      </c>
      <c r="E448" s="128"/>
      <c r="F448" s="126"/>
      <c r="H448" s="14"/>
      <c r="I448" s="14"/>
      <c r="J448" s="14"/>
      <c r="K448" s="14"/>
      <c r="L448" s="142"/>
      <c r="M448" s="14"/>
      <c r="N448" s="142"/>
      <c r="O448" s="14"/>
      <c r="P448" s="142"/>
      <c r="Q448" s="14"/>
      <c r="R448" s="142"/>
    </row>
    <row r="449" spans="1:18" x14ac:dyDescent="0.25">
      <c r="A449" s="116">
        <f t="shared" si="9"/>
        <v>22</v>
      </c>
      <c r="B449" s="116"/>
      <c r="C449" s="116">
        <v>39000</v>
      </c>
      <c r="D449" s="149" t="s">
        <v>137</v>
      </c>
      <c r="F449" s="126">
        <f>VLOOKUP($C449,'ASDR FY2'!$A:$X,F$16,FALSE)*100</f>
        <v>1.7000000000000002</v>
      </c>
      <c r="G449" s="113"/>
      <c r="H449" s="7">
        <f>VLOOKUP($C449,'ASDR FY2'!$A:$X,H$16,FALSE)/1000</f>
        <v>178441.38223999989</v>
      </c>
      <c r="I449" s="8"/>
      <c r="J449" s="7">
        <f>VLOOKUP($C449,'ASDR FY2'!$A:$X,J$16,FALSE)/1000</f>
        <v>485649.51786999998</v>
      </c>
      <c r="K449" s="9"/>
      <c r="L449" s="7">
        <f>VLOOKUP($C449,'ASDR FY2'!$A:$X,L$16,FALSE)/1000</f>
        <v>-15499.278039999999</v>
      </c>
      <c r="M449" s="9"/>
      <c r="N449" s="7">
        <f>VLOOKUP($C449,'ASDR FY2'!$A:$X,N$15,FALSE)/1000+VLOOKUP($C449,'ASDR FY2'!$A:$X,N$16,FALSE)/1000</f>
        <v>0</v>
      </c>
      <c r="O449" s="8"/>
      <c r="P449" s="7">
        <f t="shared" ref="P449:P467" si="11">SUM(H449,J449,L449,N449)</f>
        <v>648591.62206999981</v>
      </c>
      <c r="Q449" s="9"/>
      <c r="R449" s="7">
        <f>VLOOKUP($C449,'ASDR FY2'!$A:$X,R$16,FALSE)/1000</f>
        <v>440479.47823000001</v>
      </c>
    </row>
    <row r="450" spans="1:18" x14ac:dyDescent="0.25">
      <c r="A450" s="116">
        <f t="shared" si="9"/>
        <v>23</v>
      </c>
      <c r="B450" s="116"/>
      <c r="C450" s="116">
        <v>39101</v>
      </c>
      <c r="D450" s="111" t="s">
        <v>159</v>
      </c>
      <c r="F450" s="126">
        <f>VLOOKUP($C450,'ASDR FY2'!$A:$X,F$16,FALSE)*100</f>
        <v>14.3</v>
      </c>
      <c r="G450" s="113"/>
      <c r="H450" s="7">
        <f>VLOOKUP($C450,'ASDR FY2'!$A:$X,H$16,FALSE)/1000</f>
        <v>6802.2552699999969</v>
      </c>
      <c r="I450" s="8"/>
      <c r="J450" s="7">
        <f>VLOOKUP($C450,'ASDR FY2'!$A:$X,J$16,FALSE)/1000</f>
        <v>321.64202</v>
      </c>
      <c r="K450" s="9"/>
      <c r="L450" s="7">
        <f>VLOOKUP($C450,'ASDR FY2'!$A:$X,L$16,FALSE)/1000</f>
        <v>-674.91144999999995</v>
      </c>
      <c r="M450" s="9"/>
      <c r="N450" s="7">
        <f>VLOOKUP($C450,'ASDR FY2'!$A:$X,N$15,FALSE)/1000+VLOOKUP($C450,'ASDR FY2'!$A:$X,N$16,FALSE)/1000</f>
        <v>0</v>
      </c>
      <c r="O450" s="8"/>
      <c r="P450" s="7">
        <f t="shared" si="11"/>
        <v>6448.9858399999976</v>
      </c>
      <c r="Q450" s="9"/>
      <c r="R450" s="7">
        <f>VLOOKUP($C450,'ASDR FY2'!$A:$X,R$16,FALSE)/1000</f>
        <v>6522.1111700000001</v>
      </c>
    </row>
    <row r="451" spans="1:18" x14ac:dyDescent="0.25">
      <c r="A451" s="116">
        <f t="shared" si="9"/>
        <v>24</v>
      </c>
      <c r="B451" s="116"/>
      <c r="C451" s="116">
        <v>39102</v>
      </c>
      <c r="D451" s="111" t="s">
        <v>160</v>
      </c>
      <c r="F451" s="126">
        <f>VLOOKUP($C451,'ASDR FY2'!$A:$X,F$16,FALSE)*100</f>
        <v>25</v>
      </c>
      <c r="G451" s="113"/>
      <c r="H451" s="7">
        <f>VLOOKUP($C451,'ASDR FY2'!$A:$X,H$16,FALSE)/1000</f>
        <v>13056.303310000001</v>
      </c>
      <c r="I451" s="8"/>
      <c r="J451" s="7">
        <f>VLOOKUP($C451,'ASDR FY2'!$A:$X,J$16,FALSE)/1000</f>
        <v>2847.88067</v>
      </c>
      <c r="K451" s="9"/>
      <c r="L451" s="7">
        <f>VLOOKUP($C451,'ASDR FY2'!$A:$X,L$16,FALSE)/1000</f>
        <v>-891.36275999999998</v>
      </c>
      <c r="M451" s="9"/>
      <c r="N451" s="7">
        <f>VLOOKUP($C451,'ASDR FY2'!$A:$X,N$15,FALSE)/1000+VLOOKUP($C451,'ASDR FY2'!$A:$X,N$16,FALSE)/1000</f>
        <v>0</v>
      </c>
      <c r="O451" s="8"/>
      <c r="P451" s="7">
        <f t="shared" si="11"/>
        <v>15012.821220000002</v>
      </c>
      <c r="Q451" s="9"/>
      <c r="R451" s="7">
        <f>VLOOKUP($C451,'ASDR FY2'!$A:$X,R$16,FALSE)/1000</f>
        <v>13313.638630000001</v>
      </c>
    </row>
    <row r="452" spans="1:18" x14ac:dyDescent="0.25">
      <c r="A452" s="116">
        <f t="shared" si="9"/>
        <v>25</v>
      </c>
      <c r="B452" s="116"/>
      <c r="C452" s="116">
        <v>39103</v>
      </c>
      <c r="D452" s="111" t="s">
        <v>161</v>
      </c>
      <c r="F452" s="126">
        <f>VLOOKUP($C452,'ASDR FY2'!$A:$X,F$16,FALSE)*100</f>
        <v>0</v>
      </c>
      <c r="G452" s="113"/>
      <c r="H452" s="7">
        <f>VLOOKUP($C452,'ASDR FY2'!$A:$X,H$16,FALSE)/1000</f>
        <v>0</v>
      </c>
      <c r="I452" s="8"/>
      <c r="J452" s="7">
        <f>VLOOKUP($C452,'ASDR FY2'!$A:$X,J$16,FALSE)/1000</f>
        <v>0</v>
      </c>
      <c r="K452" s="9"/>
      <c r="L452" s="7">
        <f>VLOOKUP($C452,'ASDR FY2'!$A:$X,L$16,FALSE)/1000</f>
        <v>0</v>
      </c>
      <c r="M452" s="9"/>
      <c r="N452" s="7">
        <f>VLOOKUP($C452,'ASDR FY2'!$A:$X,N$15,FALSE)/1000+VLOOKUP($C452,'ASDR FY2'!$A:$X,N$16,FALSE)/1000</f>
        <v>0</v>
      </c>
      <c r="O452" s="8"/>
      <c r="P452" s="7">
        <f t="shared" si="11"/>
        <v>0</v>
      </c>
      <c r="Q452" s="9"/>
      <c r="R452" s="7">
        <f>VLOOKUP($C452,'ASDR FY2'!$A:$X,R$16,FALSE)/1000</f>
        <v>0</v>
      </c>
    </row>
    <row r="453" spans="1:18" x14ac:dyDescent="0.25">
      <c r="A453" s="116">
        <f t="shared" si="9"/>
        <v>26</v>
      </c>
      <c r="B453" s="116"/>
      <c r="C453" s="116">
        <v>39104</v>
      </c>
      <c r="D453" s="111" t="s">
        <v>162</v>
      </c>
      <c r="F453" s="126">
        <f>VLOOKUP($C453,'ASDR FY2'!$A:$X,F$16,FALSE)*100</f>
        <v>20</v>
      </c>
      <c r="G453" s="113"/>
      <c r="H453" s="7">
        <f>VLOOKUP($C453,'ASDR FY2'!$A:$X,H$16,FALSE)/1000</f>
        <v>55362.003109999976</v>
      </c>
      <c r="I453" s="8"/>
      <c r="J453" s="7">
        <f>VLOOKUP($C453,'ASDR FY2'!$A:$X,J$16,FALSE)/1000</f>
        <v>13376.933220000001</v>
      </c>
      <c r="K453" s="9"/>
      <c r="L453" s="7">
        <f>VLOOKUP($C453,'ASDR FY2'!$A:$X,L$16,FALSE)/1000</f>
        <v>-4172.4964399999999</v>
      </c>
      <c r="M453" s="9"/>
      <c r="N453" s="7">
        <f>VLOOKUP($C453,'ASDR FY2'!$A:$X,N$15,FALSE)/1000+VLOOKUP($C453,'ASDR FY2'!$A:$X,N$16,FALSE)/1000</f>
        <v>0</v>
      </c>
      <c r="O453" s="8"/>
      <c r="P453" s="7">
        <f t="shared" si="11"/>
        <v>64566.43988999998</v>
      </c>
      <c r="Q453" s="9"/>
      <c r="R453" s="7">
        <f>VLOOKUP($C453,'ASDR FY2'!$A:$X,R$16,FALSE)/1000</f>
        <v>53762.035640000002</v>
      </c>
    </row>
    <row r="454" spans="1:18" x14ac:dyDescent="0.25">
      <c r="A454" s="116">
        <f t="shared" si="9"/>
        <v>27</v>
      </c>
      <c r="B454" s="116"/>
      <c r="C454" s="116">
        <v>39202</v>
      </c>
      <c r="D454" s="137" t="s">
        <v>163</v>
      </c>
      <c r="F454" s="126">
        <f>VLOOKUP($C454,'ASDR FY2'!$A:$X,F$16,FALSE)*100</f>
        <v>6.97</v>
      </c>
      <c r="G454" s="113"/>
      <c r="H454" s="7">
        <f>VLOOKUP($C454,'ASDR FY2'!$A:$X,H$16,FALSE)/1000</f>
        <v>31038.759249999992</v>
      </c>
      <c r="I454" s="8"/>
      <c r="J454" s="7">
        <f>VLOOKUP($C454,'ASDR FY2'!$A:$X,J$16,FALSE)/1000</f>
        <v>130</v>
      </c>
      <c r="K454" s="9"/>
      <c r="L454" s="7">
        <f>VLOOKUP($C454,'ASDR FY2'!$A:$X,L$16,FALSE)/1000</f>
        <v>-19.5</v>
      </c>
      <c r="M454" s="9"/>
      <c r="N454" s="7">
        <f>VLOOKUP($C454,'ASDR FY2'!$A:$X,N$15,FALSE)/1000+VLOOKUP($C454,'ASDR FY2'!$A:$X,N$16,FALSE)/1000</f>
        <v>0</v>
      </c>
      <c r="O454" s="8"/>
      <c r="P454" s="7">
        <f t="shared" si="11"/>
        <v>31149.259249999992</v>
      </c>
      <c r="Q454" s="9"/>
      <c r="R454" s="7">
        <f>VLOOKUP($C454,'ASDR FY2'!$A:$X,R$16,FALSE)/1000</f>
        <v>31088.615020000001</v>
      </c>
    </row>
    <row r="455" spans="1:18" x14ac:dyDescent="0.25">
      <c r="A455" s="116">
        <f t="shared" si="9"/>
        <v>28</v>
      </c>
      <c r="B455" s="116"/>
      <c r="C455" s="116">
        <v>39203</v>
      </c>
      <c r="D455" s="137" t="s">
        <v>164</v>
      </c>
      <c r="F455" s="126">
        <f>VLOOKUP($C455,'ASDR FY2'!$A:$X,F$16,FALSE)*100</f>
        <v>4.17</v>
      </c>
      <c r="G455" s="113"/>
      <c r="H455" s="7">
        <f>VLOOKUP($C455,'ASDR FY2'!$A:$X,H$16,FALSE)/1000</f>
        <v>80730.762210000015</v>
      </c>
      <c r="I455" s="8"/>
      <c r="J455" s="7">
        <f>VLOOKUP($C455,'ASDR FY2'!$A:$X,J$16,FALSE)/1000</f>
        <v>0</v>
      </c>
      <c r="K455" s="9"/>
      <c r="L455" s="7">
        <f>VLOOKUP($C455,'ASDR FY2'!$A:$X,L$16,FALSE)/1000</f>
        <v>0</v>
      </c>
      <c r="M455" s="9"/>
      <c r="N455" s="7">
        <f>VLOOKUP($C455,'ASDR FY2'!$A:$X,N$15,FALSE)/1000+VLOOKUP($C455,'ASDR FY2'!$A:$X,N$16,FALSE)/1000</f>
        <v>0</v>
      </c>
      <c r="O455" s="8"/>
      <c r="P455" s="7">
        <f t="shared" si="11"/>
        <v>80730.762210000015</v>
      </c>
      <c r="Q455" s="9"/>
      <c r="R455" s="7">
        <f>VLOOKUP($C455,'ASDR FY2'!$A:$X,R$16,FALSE)/1000</f>
        <v>80730.762209999986</v>
      </c>
    </row>
    <row r="456" spans="1:18" x14ac:dyDescent="0.25">
      <c r="A456" s="116">
        <f t="shared" si="9"/>
        <v>29</v>
      </c>
      <c r="B456" s="122"/>
      <c r="C456" s="116">
        <v>39204</v>
      </c>
      <c r="D456" s="136" t="s">
        <v>165</v>
      </c>
      <c r="E456" s="129"/>
      <c r="F456" s="126">
        <f>VLOOKUP($C456,'ASDR FY2'!$A:$X,F$16,FALSE)*100</f>
        <v>0</v>
      </c>
      <c r="G456" s="113"/>
      <c r="H456" s="7">
        <f>VLOOKUP($C456,'ASDR FY2'!$A:$X,H$16,FALSE)/1000</f>
        <v>0</v>
      </c>
      <c r="I456" s="8"/>
      <c r="J456" s="7">
        <f>VLOOKUP($C456,'ASDR FY2'!$A:$X,J$16,FALSE)/1000</f>
        <v>0</v>
      </c>
      <c r="K456" s="9"/>
      <c r="L456" s="7">
        <f>VLOOKUP($C456,'ASDR FY2'!$A:$X,L$16,FALSE)/1000</f>
        <v>0</v>
      </c>
      <c r="M456" s="9"/>
      <c r="N456" s="7">
        <f>VLOOKUP($C456,'ASDR FY2'!$A:$X,N$15,FALSE)/1000+VLOOKUP($C456,'ASDR FY2'!$A:$X,N$16,FALSE)/1000</f>
        <v>0</v>
      </c>
      <c r="O456" s="8"/>
      <c r="P456" s="7">
        <f t="shared" si="11"/>
        <v>0</v>
      </c>
      <c r="Q456" s="9"/>
      <c r="R456" s="7">
        <f>VLOOKUP($C456,'ASDR FY2'!$A:$X,R$16,FALSE)/1000</f>
        <v>0</v>
      </c>
    </row>
    <row r="457" spans="1:18" x14ac:dyDescent="0.25">
      <c r="A457" s="116">
        <f t="shared" si="9"/>
        <v>30</v>
      </c>
      <c r="B457" s="122"/>
      <c r="C457" s="116">
        <v>39212</v>
      </c>
      <c r="D457" s="111" t="s">
        <v>166</v>
      </c>
      <c r="F457" s="126">
        <f>VLOOKUP($C457,'ASDR FY2'!$A:$X,F$16,FALSE)*100</f>
        <v>5.67</v>
      </c>
      <c r="G457" s="113"/>
      <c r="H457" s="7">
        <f>VLOOKUP($C457,'ASDR FY2'!$A:$X,H$16,FALSE)/1000</f>
        <v>6411.7383199999995</v>
      </c>
      <c r="I457" s="8"/>
      <c r="J457" s="7">
        <f>VLOOKUP($C457,'ASDR FY2'!$A:$X,J$16,FALSE)/1000</f>
        <v>0</v>
      </c>
      <c r="K457" s="9"/>
      <c r="L457" s="7">
        <f>VLOOKUP($C457,'ASDR FY2'!$A:$X,L$16,FALSE)/1000</f>
        <v>0</v>
      </c>
      <c r="M457" s="9"/>
      <c r="N457" s="7">
        <f>VLOOKUP($C457,'ASDR FY2'!$A:$X,N$15,FALSE)/1000+VLOOKUP($C457,'ASDR FY2'!$A:$X,N$16,FALSE)/1000</f>
        <v>0</v>
      </c>
      <c r="O457" s="8"/>
      <c r="P457" s="7">
        <f t="shared" si="11"/>
        <v>6411.7383199999995</v>
      </c>
      <c r="Q457" s="9"/>
      <c r="R457" s="7">
        <f>VLOOKUP($C457,'ASDR FY2'!$A:$X,R$16,FALSE)/1000</f>
        <v>6411.7383200000004</v>
      </c>
    </row>
    <row r="458" spans="1:18" x14ac:dyDescent="0.25">
      <c r="A458" s="116">
        <f t="shared" si="9"/>
        <v>31</v>
      </c>
      <c r="B458" s="122"/>
      <c r="C458" s="116">
        <v>39213</v>
      </c>
      <c r="D458" s="111" t="s">
        <v>167</v>
      </c>
      <c r="F458" s="126">
        <f>VLOOKUP($C458,'ASDR FY2'!$A:$X,F$16,FALSE)*100</f>
        <v>6.03</v>
      </c>
      <c r="G458" s="113"/>
      <c r="H458" s="7">
        <f>VLOOKUP($C458,'ASDR FY2'!$A:$X,H$16,FALSE)/1000</f>
        <v>1071.1473900000001</v>
      </c>
      <c r="I458" s="8"/>
      <c r="J458" s="7">
        <f>VLOOKUP($C458,'ASDR FY2'!$A:$X,J$16,FALSE)/1000</f>
        <v>0</v>
      </c>
      <c r="K458" s="9"/>
      <c r="L458" s="7">
        <f>VLOOKUP($C458,'ASDR FY2'!$A:$X,L$16,FALSE)/1000</f>
        <v>0</v>
      </c>
      <c r="M458" s="9"/>
      <c r="N458" s="7">
        <f>VLOOKUP($C458,'ASDR FY2'!$A:$X,N$15,FALSE)/1000+VLOOKUP($C458,'ASDR FY2'!$A:$X,N$16,FALSE)/1000</f>
        <v>0</v>
      </c>
      <c r="O458" s="8"/>
      <c r="P458" s="7">
        <f t="shared" si="11"/>
        <v>1071.1473900000001</v>
      </c>
      <c r="Q458" s="9"/>
      <c r="R458" s="7">
        <f>VLOOKUP($C458,'ASDR FY2'!$A:$X,R$16,FALSE)/1000</f>
        <v>1071.1473899999999</v>
      </c>
    </row>
    <row r="459" spans="1:18" x14ac:dyDescent="0.25">
      <c r="A459" s="116">
        <f t="shared" si="9"/>
        <v>32</v>
      </c>
      <c r="B459" s="122"/>
      <c r="C459" s="116">
        <v>39214</v>
      </c>
      <c r="D459" s="129" t="s">
        <v>168</v>
      </c>
      <c r="E459" s="129"/>
      <c r="F459" s="126">
        <f>VLOOKUP($C459,'ASDR FY2'!$A:$X,F$16,FALSE)*100</f>
        <v>0</v>
      </c>
      <c r="G459" s="113"/>
      <c r="H459" s="7">
        <f>VLOOKUP($C459,'ASDR FY2'!$A:$X,H$16,FALSE)/1000</f>
        <v>0</v>
      </c>
      <c r="I459" s="8"/>
      <c r="J459" s="7">
        <f>VLOOKUP($C459,'ASDR FY2'!$A:$X,J$16,FALSE)/1000</f>
        <v>0</v>
      </c>
      <c r="K459" s="9"/>
      <c r="L459" s="7">
        <f>VLOOKUP($C459,'ASDR FY2'!$A:$X,L$16,FALSE)/1000</f>
        <v>0</v>
      </c>
      <c r="M459" s="9"/>
      <c r="N459" s="7">
        <f>VLOOKUP($C459,'ASDR FY2'!$A:$X,N$15,FALSE)/1000+VLOOKUP($C459,'ASDR FY2'!$A:$X,N$16,FALSE)/1000</f>
        <v>0</v>
      </c>
      <c r="O459" s="8"/>
      <c r="P459" s="7">
        <f t="shared" si="11"/>
        <v>0</v>
      </c>
      <c r="Q459" s="9"/>
      <c r="R459" s="7">
        <f>VLOOKUP($C459,'ASDR FY2'!$A:$X,R$16,FALSE)/1000</f>
        <v>0</v>
      </c>
    </row>
    <row r="460" spans="1:18" x14ac:dyDescent="0.25">
      <c r="A460" s="116">
        <f t="shared" si="9"/>
        <v>33</v>
      </c>
      <c r="B460" s="122"/>
      <c r="C460" s="116">
        <v>39300</v>
      </c>
      <c r="D460" s="129" t="s">
        <v>169</v>
      </c>
      <c r="E460" s="129"/>
      <c r="F460" s="126">
        <f>VLOOKUP($C460,'ASDR FY2'!$A:$X,F$16,FALSE)*100</f>
        <v>14.3</v>
      </c>
      <c r="G460" s="113"/>
      <c r="H460" s="7">
        <f>VLOOKUP($C460,'ASDR FY2'!$A:$X,H$16,FALSE)/1000</f>
        <v>0</v>
      </c>
      <c r="I460" s="8"/>
      <c r="J460" s="7">
        <f>VLOOKUP($C460,'ASDR FY2'!$A:$X,J$16,FALSE)/1000</f>
        <v>0</v>
      </c>
      <c r="K460" s="9"/>
      <c r="L460" s="7">
        <f>VLOOKUP($C460,'ASDR FY2'!$A:$X,L$16,FALSE)/1000</f>
        <v>0</v>
      </c>
      <c r="M460" s="9"/>
      <c r="N460" s="7">
        <f>VLOOKUP($C460,'ASDR FY2'!$A:$X,N$15,FALSE)/1000+VLOOKUP($C460,'ASDR FY2'!$A:$X,N$16,FALSE)/1000</f>
        <v>0</v>
      </c>
      <c r="O460" s="8"/>
      <c r="P460" s="7">
        <f t="shared" si="11"/>
        <v>0</v>
      </c>
      <c r="Q460" s="9"/>
      <c r="R460" s="7">
        <f>VLOOKUP($C460,'ASDR FY2'!$A:$X,R$16,FALSE)/1000</f>
        <v>0</v>
      </c>
    </row>
    <row r="461" spans="1:18" x14ac:dyDescent="0.25">
      <c r="A461" s="116">
        <f t="shared" si="9"/>
        <v>34</v>
      </c>
      <c r="B461" s="122"/>
      <c r="C461" s="116">
        <v>39400</v>
      </c>
      <c r="D461" s="129" t="s">
        <v>170</v>
      </c>
      <c r="E461" s="129"/>
      <c r="F461" s="126">
        <f>VLOOKUP($C461,'ASDR FY2'!$A:$X,F$16,FALSE)*100</f>
        <v>14.3</v>
      </c>
      <c r="G461" s="113"/>
      <c r="H461" s="7">
        <f>VLOOKUP($C461,'ASDR FY2'!$A:$X,H$16,FALSE)/1000</f>
        <v>16145.975260000001</v>
      </c>
      <c r="I461" s="8"/>
      <c r="J461" s="7">
        <f>VLOOKUP($C461,'ASDR FY2'!$A:$X,J$16,FALSE)/1000</f>
        <v>2799.7423900000003</v>
      </c>
      <c r="K461" s="9"/>
      <c r="L461" s="7">
        <f>VLOOKUP($C461,'ASDR FY2'!$A:$X,L$16,FALSE)/1000</f>
        <v>-2311.6172000000001</v>
      </c>
      <c r="M461" s="9"/>
      <c r="N461" s="7">
        <f>VLOOKUP($C461,'ASDR FY2'!$A:$X,N$15,FALSE)/1000+VLOOKUP($C461,'ASDR FY2'!$A:$X,N$16,FALSE)/1000</f>
        <v>0</v>
      </c>
      <c r="O461" s="8"/>
      <c r="P461" s="7">
        <f t="shared" si="11"/>
        <v>16634.100450000002</v>
      </c>
      <c r="Q461" s="9"/>
      <c r="R461" s="7">
        <f>VLOOKUP($C461,'ASDR FY2'!$A:$X,R$16,FALSE)/1000</f>
        <v>15905.80265</v>
      </c>
    </row>
    <row r="462" spans="1:18" x14ac:dyDescent="0.25">
      <c r="A462" s="116">
        <f t="shared" si="9"/>
        <v>35</v>
      </c>
      <c r="B462" s="122"/>
      <c r="C462" s="116">
        <v>39401</v>
      </c>
      <c r="D462" s="111" t="s">
        <v>171</v>
      </c>
      <c r="F462" s="126">
        <f>VLOOKUP($C462,'ASDR FY2'!$A:$X,F$16,FALSE)*100</f>
        <v>20</v>
      </c>
      <c r="G462" s="113"/>
      <c r="H462" s="7">
        <f>VLOOKUP($C462,'ASDR FY2'!$A:$X,H$16,FALSE)/1000</f>
        <v>4188.5334300000004</v>
      </c>
      <c r="I462" s="8"/>
      <c r="J462" s="7">
        <f>VLOOKUP($C462,'ASDR FY2'!$A:$X,J$16,FALSE)/1000</f>
        <v>0</v>
      </c>
      <c r="K462" s="9"/>
      <c r="L462" s="7">
        <f>VLOOKUP($C462,'ASDR FY2'!$A:$X,L$16,FALSE)/1000</f>
        <v>0</v>
      </c>
      <c r="M462" s="9"/>
      <c r="N462" s="7">
        <f>VLOOKUP($C462,'ASDR FY2'!$A:$X,N$15,FALSE)/1000+VLOOKUP($C462,'ASDR FY2'!$A:$X,N$16,FALSE)/1000</f>
        <v>0</v>
      </c>
      <c r="O462" s="8"/>
      <c r="P462" s="7">
        <f t="shared" si="11"/>
        <v>4188.5334300000004</v>
      </c>
      <c r="Q462" s="9"/>
      <c r="R462" s="7">
        <f>VLOOKUP($C462,'ASDR FY2'!$A:$X,R$16,FALSE)/1000</f>
        <v>4188.5334300000004</v>
      </c>
    </row>
    <row r="463" spans="1:18" x14ac:dyDescent="0.25">
      <c r="A463" s="116">
        <f t="shared" si="9"/>
        <v>36</v>
      </c>
      <c r="B463" s="122"/>
      <c r="C463" s="116">
        <v>39500</v>
      </c>
      <c r="D463" s="111" t="s">
        <v>172</v>
      </c>
      <c r="F463" s="126">
        <f>VLOOKUP($C463,'ASDR FY2'!$A:$X,F$16,FALSE)*100</f>
        <v>14.3</v>
      </c>
      <c r="G463" s="113"/>
      <c r="H463" s="7">
        <f>VLOOKUP($C463,'ASDR FY2'!$A:$X,H$16,FALSE)/1000</f>
        <v>12803.54198</v>
      </c>
      <c r="I463" s="8"/>
      <c r="J463" s="7">
        <f>VLOOKUP($C463,'ASDR FY2'!$A:$X,J$16,FALSE)/1000</f>
        <v>8613.3410000000003</v>
      </c>
      <c r="K463" s="9"/>
      <c r="L463" s="7">
        <f>VLOOKUP($C463,'ASDR FY2'!$A:$X,L$16,FALSE)/1000</f>
        <v>-457.52873</v>
      </c>
      <c r="M463" s="9"/>
      <c r="N463" s="7">
        <f>VLOOKUP($C463,'ASDR FY2'!$A:$X,N$15,FALSE)/1000+VLOOKUP($C463,'ASDR FY2'!$A:$X,N$16,FALSE)/1000</f>
        <v>0</v>
      </c>
      <c r="O463" s="8"/>
      <c r="P463" s="7">
        <f t="shared" si="11"/>
        <v>20959.354250000004</v>
      </c>
      <c r="Q463" s="9"/>
      <c r="R463" s="7">
        <f>VLOOKUP($C463,'ASDR FY2'!$A:$X,R$16,FALSE)/1000</f>
        <v>17773.39487</v>
      </c>
    </row>
    <row r="464" spans="1:18" x14ac:dyDescent="0.25">
      <c r="A464" s="116">
        <f t="shared" si="9"/>
        <v>37</v>
      </c>
      <c r="B464" s="122"/>
      <c r="C464" s="116">
        <v>39600</v>
      </c>
      <c r="D464" s="111" t="s">
        <v>173</v>
      </c>
      <c r="F464" s="126">
        <f>VLOOKUP($C464,'ASDR FY2'!$A:$X,F$16,FALSE)*100</f>
        <v>14.3</v>
      </c>
      <c r="G464" s="113"/>
      <c r="H464" s="7">
        <f>VLOOKUP($C464,'ASDR FY2'!$A:$X,H$16,FALSE)/1000</f>
        <v>0</v>
      </c>
      <c r="I464" s="8"/>
      <c r="J464" s="7">
        <f>VLOOKUP($C464,'ASDR FY2'!$A:$X,J$16,FALSE)/1000</f>
        <v>0</v>
      </c>
      <c r="K464" s="9"/>
      <c r="L464" s="7">
        <f>VLOOKUP($C464,'ASDR FY2'!$A:$X,L$16,FALSE)/1000</f>
        <v>0</v>
      </c>
      <c r="M464" s="9"/>
      <c r="N464" s="7">
        <f>VLOOKUP($C464,'ASDR FY2'!$A:$X,N$15,FALSE)/1000+VLOOKUP($C464,'ASDR FY2'!$A:$X,N$16,FALSE)/1000</f>
        <v>0</v>
      </c>
      <c r="O464" s="8"/>
      <c r="P464" s="7">
        <f t="shared" si="11"/>
        <v>0</v>
      </c>
      <c r="Q464" s="9"/>
      <c r="R464" s="7">
        <f>VLOOKUP($C464,'ASDR FY2'!$A:$X,R$16,FALSE)/1000</f>
        <v>0</v>
      </c>
    </row>
    <row r="465" spans="1:18" x14ac:dyDescent="0.25">
      <c r="A465" s="116">
        <f t="shared" si="9"/>
        <v>38</v>
      </c>
      <c r="B465" s="122"/>
      <c r="C465" s="116">
        <v>39700</v>
      </c>
      <c r="D465" s="129" t="s">
        <v>174</v>
      </c>
      <c r="E465" s="129"/>
      <c r="F465" s="126">
        <f>VLOOKUP($C465,'ASDR FY2'!$A:$X,F$16,FALSE)*100</f>
        <v>14.3</v>
      </c>
      <c r="G465" s="113"/>
      <c r="H465" s="7">
        <f>VLOOKUP($C465,'ASDR FY2'!$A:$X,H$16,FALSE)/1000</f>
        <v>46193.295790000026</v>
      </c>
      <c r="I465" s="8"/>
      <c r="J465" s="7">
        <f>VLOOKUP($C465,'ASDR FY2'!$A:$X,J$16,FALSE)/1000</f>
        <v>6480.1028099999994</v>
      </c>
      <c r="K465" s="9"/>
      <c r="L465" s="7">
        <f>VLOOKUP($C465,'ASDR FY2'!$A:$X,L$16,FALSE)/1000</f>
        <v>-13200.6661</v>
      </c>
      <c r="M465" s="9"/>
      <c r="N465" s="7">
        <f>VLOOKUP($C465,'ASDR FY2'!$A:$X,N$15,FALSE)/1000+VLOOKUP($C465,'ASDR FY2'!$A:$X,N$16,FALSE)/1000</f>
        <v>0</v>
      </c>
      <c r="O465" s="8"/>
      <c r="P465" s="7">
        <f t="shared" si="11"/>
        <v>39472.73250000002</v>
      </c>
      <c r="Q465" s="9"/>
      <c r="R465" s="7">
        <f>VLOOKUP($C465,'ASDR FY2'!$A:$X,R$16,FALSE)/1000</f>
        <v>45249.965670000005</v>
      </c>
    </row>
    <row r="466" spans="1:18" x14ac:dyDescent="0.25">
      <c r="A466" s="116">
        <f t="shared" si="9"/>
        <v>39</v>
      </c>
      <c r="B466" s="122"/>
      <c r="C466" s="114">
        <v>39725</v>
      </c>
      <c r="D466" s="129" t="s">
        <v>175</v>
      </c>
      <c r="E466" s="129"/>
      <c r="F466" s="126">
        <f>VLOOKUP($C466,'ASDR FY2'!$A:$X,F$16,FALSE)*100</f>
        <v>2.87</v>
      </c>
      <c r="G466" s="113"/>
      <c r="H466" s="7">
        <f>VLOOKUP($C466,'ASDR FY2'!$A:$X,H$16,FALSE)/1000</f>
        <v>51778.218330000011</v>
      </c>
      <c r="I466" s="8"/>
      <c r="J466" s="7">
        <f>VLOOKUP($C466,'ASDR FY2'!$A:$X,J$16,FALSE)/1000</f>
        <v>37340.104920000005</v>
      </c>
      <c r="K466" s="9"/>
      <c r="L466" s="7">
        <f>VLOOKUP($C466,'ASDR FY2'!$A:$X,L$16,FALSE)/1000</f>
        <v>-4244.7310099999995</v>
      </c>
      <c r="M466" s="9"/>
      <c r="N466" s="7">
        <f>VLOOKUP($C466,'ASDR FY2'!$A:$X,N$15,FALSE)/1000+VLOOKUP($C466,'ASDR FY2'!$A:$X,N$16,FALSE)/1000</f>
        <v>0</v>
      </c>
      <c r="O466" s="8"/>
      <c r="P466" s="7">
        <f t="shared" si="11"/>
        <v>84873.592240000013</v>
      </c>
      <c r="Q466" s="9"/>
      <c r="R466" s="7">
        <f>VLOOKUP($C466,'ASDR FY2'!$A:$X,R$16,FALSE)/1000</f>
        <v>64751.054149999996</v>
      </c>
    </row>
    <row r="467" spans="1:18" x14ac:dyDescent="0.25">
      <c r="A467" s="116">
        <f t="shared" si="9"/>
        <v>40</v>
      </c>
      <c r="B467" s="122"/>
      <c r="C467" s="114">
        <v>39800</v>
      </c>
      <c r="D467" s="129" t="s">
        <v>176</v>
      </c>
      <c r="E467" s="129"/>
      <c r="F467" s="126">
        <f>VLOOKUP($C467,'ASDR FY2'!$A:$X,F$16,FALSE)*100</f>
        <v>14.3</v>
      </c>
      <c r="G467" s="113"/>
      <c r="H467" s="7">
        <f>VLOOKUP($C467,'ASDR FY2'!$A:$X,H$16,FALSE)/1000</f>
        <v>5268.6870399999989</v>
      </c>
      <c r="I467" s="8"/>
      <c r="J467" s="7">
        <f>VLOOKUP($C467,'ASDR FY2'!$A:$X,J$16,FALSE)/1000</f>
        <v>910</v>
      </c>
      <c r="K467" s="9"/>
      <c r="L467" s="7">
        <f>VLOOKUP($C467,'ASDR FY2'!$A:$X,L$16,FALSE)/1000</f>
        <v>-692.5711</v>
      </c>
      <c r="M467" s="9"/>
      <c r="N467" s="7">
        <f>VLOOKUP($C467,'ASDR FY2'!$A:$X,N$15,FALSE)/1000+VLOOKUP($C467,'ASDR FY2'!$A:$X,N$16,FALSE)/1000</f>
        <v>0</v>
      </c>
      <c r="O467" s="8"/>
      <c r="P467" s="7">
        <f t="shared" si="11"/>
        <v>5486.1159399999988</v>
      </c>
      <c r="Q467" s="9"/>
      <c r="R467" s="7">
        <f>VLOOKUP($C467,'ASDR FY2'!$A:$X,R$16,FALSE)/1000</f>
        <v>4972.84512</v>
      </c>
    </row>
    <row r="468" spans="1:18" ht="13.8" thickBot="1" x14ac:dyDescent="0.3">
      <c r="A468" s="116">
        <f t="shared" si="9"/>
        <v>41</v>
      </c>
      <c r="B468" s="122"/>
      <c r="C468" s="114"/>
      <c r="D468" s="129" t="s">
        <v>177</v>
      </c>
      <c r="E468" s="129"/>
      <c r="H468" s="61">
        <f>SUM(H449:H467)</f>
        <v>509292.60292999982</v>
      </c>
      <c r="I468" s="14"/>
      <c r="J468" s="61">
        <f>SUM(J449:J467)</f>
        <v>558469.26490000007</v>
      </c>
      <c r="K468" s="14"/>
      <c r="L468" s="61">
        <f>SUM(L449:L467)</f>
        <v>-42164.662830000001</v>
      </c>
      <c r="M468" s="14"/>
      <c r="N468" s="61">
        <f>SUM(N449:N467)</f>
        <v>0</v>
      </c>
      <c r="O468" s="14"/>
      <c r="P468" s="61">
        <f>SUM(P449:P467)</f>
        <v>1025597.205</v>
      </c>
      <c r="Q468" s="14"/>
      <c r="R468" s="61">
        <f>SUM(R449:R467)</f>
        <v>786221.12249999982</v>
      </c>
    </row>
    <row r="469" spans="1:18" ht="13.8" thickTop="1" x14ac:dyDescent="0.25">
      <c r="A469" s="116">
        <f t="shared" si="9"/>
        <v>42</v>
      </c>
      <c r="B469" s="122"/>
      <c r="C469" s="126"/>
      <c r="O469" s="113"/>
    </row>
    <row r="470" spans="1:18" ht="13.8" thickBot="1" x14ac:dyDescent="0.3">
      <c r="A470" s="116">
        <f t="shared" si="9"/>
        <v>43</v>
      </c>
      <c r="B470" s="122"/>
      <c r="C470" s="126"/>
      <c r="D470" s="136" t="s">
        <v>178</v>
      </c>
      <c r="E470" s="129"/>
      <c r="F470" s="154"/>
      <c r="G470" s="154"/>
      <c r="H470" s="27">
        <f>SUM(H139,H393,H409,H446,H468)</f>
        <v>12771686.32454</v>
      </c>
      <c r="I470" s="14"/>
      <c r="J470" s="27">
        <f>SUM(J139,J393,J409,J446,J468)</f>
        <v>1831063.5445400001</v>
      </c>
      <c r="K470" s="14"/>
      <c r="L470" s="27">
        <f>SUM(L139,L393,L409,L446,L468)</f>
        <v>-145403.08848000001</v>
      </c>
      <c r="M470" s="14"/>
      <c r="N470" s="27">
        <f>SUM(N139,N393,N409,N446,N468)</f>
        <v>0</v>
      </c>
      <c r="O470" s="14"/>
      <c r="P470" s="27">
        <f>SUM(P139,P393,P409,P446,P468)</f>
        <v>14457346.7806</v>
      </c>
      <c r="Q470" s="14"/>
      <c r="R470" s="27">
        <f>SUM(R139,R393,R409,R446,R468)</f>
        <v>13559115.531300001</v>
      </c>
    </row>
    <row r="471" spans="1:18" ht="14.4" thickTop="1" thickBot="1" x14ac:dyDescent="0.3">
      <c r="A471" s="117">
        <f t="shared" si="9"/>
        <v>44</v>
      </c>
      <c r="B471" s="19" t="s">
        <v>59</v>
      </c>
      <c r="C471" s="110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32"/>
      <c r="P471" s="110"/>
      <c r="Q471" s="110"/>
      <c r="R471" s="110"/>
    </row>
    <row r="472" spans="1:18" x14ac:dyDescent="0.25">
      <c r="A472" s="111" t="str">
        <f>$A$59</f>
        <v>Supporting Schedules:  B-08, B-11</v>
      </c>
      <c r="O472" s="113"/>
      <c r="P472" s="111" t="str">
        <f>$P$59</f>
        <v>Recap Schedules:  B-03, B-06</v>
      </c>
    </row>
    <row r="473" spans="1:18" ht="13.8" thickBot="1" x14ac:dyDescent="0.3">
      <c r="A473" s="110" t="str">
        <f>$A$1</f>
        <v>SCHEDULE B-07</v>
      </c>
      <c r="B473" s="110"/>
      <c r="C473" s="110"/>
      <c r="D473" s="110"/>
      <c r="E473" s="110"/>
      <c r="F473" s="110"/>
      <c r="G473" s="110" t="str">
        <f>$G$1</f>
        <v>PLANT BALANCES BY ACCOUNT AND SUB-ACCOUNT</v>
      </c>
      <c r="H473" s="110"/>
      <c r="I473" s="110"/>
      <c r="J473" s="110"/>
      <c r="K473" s="110"/>
      <c r="L473" s="110"/>
      <c r="M473" s="110"/>
      <c r="N473" s="110"/>
      <c r="O473" s="132"/>
      <c r="P473" s="110"/>
      <c r="Q473" s="110"/>
      <c r="R473" s="110" t="str">
        <f>"Page 9 of " &amp; $P$1</f>
        <v>Page 9 of 30</v>
      </c>
    </row>
    <row r="474" spans="1:18" x14ac:dyDescent="0.25">
      <c r="A474" s="111" t="str">
        <f>$A$2</f>
        <v>FLORIDA PUBLIC SERVICE COMMISSION</v>
      </c>
      <c r="B474" s="133"/>
      <c r="E474" s="113" t="str">
        <f>$E$2</f>
        <v xml:space="preserve">                  EXPLANATION:</v>
      </c>
      <c r="F474" s="111" t="str">
        <f>IF($F$2="","",$F$2)</f>
        <v>Provide the depreciation rate and plant balances for each account or sub-account to which</v>
      </c>
      <c r="J474" s="134"/>
      <c r="K474" s="134"/>
      <c r="M474" s="134"/>
      <c r="N474" s="134"/>
      <c r="O474" s="135"/>
      <c r="P474" s="111" t="str">
        <f>$P$2</f>
        <v>Type of data shown:</v>
      </c>
      <c r="R474" s="112"/>
    </row>
    <row r="475" spans="1:18" x14ac:dyDescent="0.25">
      <c r="B475" s="133"/>
      <c r="F475" s="111" t="str">
        <f>IF($F$3="","",$F$3)</f>
        <v>a separate depreciation rate is prescribed. (Include Amortization/Recovery schedule amounts).</v>
      </c>
      <c r="J475" s="113"/>
      <c r="K475" s="112"/>
      <c r="N475" s="113"/>
      <c r="O475" s="113" t="str">
        <f>IF($O$3=0,"",$O$3)</f>
        <v>XX</v>
      </c>
      <c r="P475" s="112" t="str">
        <f>$P$3</f>
        <v>Projected Test Year Ended 12/31/2025</v>
      </c>
      <c r="R475" s="113"/>
    </row>
    <row r="476" spans="1:18" x14ac:dyDescent="0.25">
      <c r="A476" s="111" t="str">
        <f>$A$4</f>
        <v>COMPANY: TAMPA ELECTRIC COMPANY</v>
      </c>
      <c r="B476" s="133"/>
      <c r="F476" s="111" t="str">
        <f>IF(+$F$4="","",$F$4)</f>
        <v/>
      </c>
      <c r="J476" s="113"/>
      <c r="K476" s="112"/>
      <c r="L476" s="113"/>
      <c r="O476" s="113" t="str">
        <f>IF($O$4=0,"",$O$4)</f>
        <v/>
      </c>
      <c r="P476" s="112" t="str">
        <f>$P$4</f>
        <v>Projected Prior Year Ended 12/31/2024</v>
      </c>
      <c r="R476" s="113"/>
    </row>
    <row r="477" spans="1:18" x14ac:dyDescent="0.25">
      <c r="B477" s="133"/>
      <c r="F477" s="111" t="str">
        <f>IF(+$F$5="","",$F$5)</f>
        <v/>
      </c>
      <c r="J477" s="113"/>
      <c r="K477" s="112"/>
      <c r="L477" s="113"/>
      <c r="O477" s="113" t="str">
        <f>IF($O$5=0,"",$O$5)</f>
        <v/>
      </c>
      <c r="P477" s="112" t="str">
        <f>$P$5</f>
        <v>Historical Prior Year Ended 12/31/2023</v>
      </c>
      <c r="R477" s="113"/>
    </row>
    <row r="478" spans="1:18" x14ac:dyDescent="0.25">
      <c r="J478" s="113"/>
      <c r="K478" s="112"/>
      <c r="L478" s="113"/>
      <c r="O478" s="113"/>
      <c r="P478" s="161" t="s">
        <v>572</v>
      </c>
      <c r="R478" s="113"/>
    </row>
    <row r="479" spans="1:18" x14ac:dyDescent="0.25">
      <c r="J479" s="113"/>
      <c r="K479" s="112"/>
      <c r="L479" s="113"/>
      <c r="O479" s="113"/>
      <c r="P479" s="161" t="s">
        <v>573</v>
      </c>
      <c r="R479" s="113"/>
    </row>
    <row r="480" spans="1:18" x14ac:dyDescent="0.25">
      <c r="J480" s="113"/>
      <c r="K480" s="112"/>
      <c r="L480" s="113"/>
      <c r="O480" s="113"/>
      <c r="P480" s="161" t="s">
        <v>574</v>
      </c>
      <c r="R480" s="113"/>
    </row>
    <row r="481" spans="1:18" ht="13.8" thickBot="1" x14ac:dyDescent="0.3">
      <c r="A481" s="158" t="s">
        <v>576</v>
      </c>
      <c r="B481" s="110"/>
      <c r="C481" s="110"/>
      <c r="D481" s="110"/>
      <c r="E481" s="110"/>
      <c r="F481" s="110"/>
      <c r="G481" s="110"/>
      <c r="H481" s="117" t="s">
        <v>12</v>
      </c>
      <c r="I481" s="110"/>
      <c r="J481" s="110"/>
      <c r="K481" s="110"/>
      <c r="L481" s="110"/>
      <c r="M481" s="110"/>
      <c r="N481" s="110"/>
      <c r="O481" s="132"/>
      <c r="P481" s="162" t="s">
        <v>575</v>
      </c>
      <c r="Q481" s="110"/>
      <c r="R481" s="110"/>
    </row>
    <row r="482" spans="1:18" x14ac:dyDescent="0.25">
      <c r="C482" s="11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5"/>
      <c r="P482" s="114"/>
      <c r="Q482" s="114"/>
      <c r="R482" s="114"/>
    </row>
    <row r="483" spans="1:18" x14ac:dyDescent="0.25">
      <c r="C483" s="114" t="s">
        <v>13</v>
      </c>
      <c r="D483" s="114" t="s">
        <v>14</v>
      </c>
      <c r="E483" s="114"/>
      <c r="F483" s="114" t="s">
        <v>15</v>
      </c>
      <c r="G483" s="114"/>
      <c r="H483" s="114" t="s">
        <v>16</v>
      </c>
      <c r="I483" s="114"/>
      <c r="J483" s="116" t="s">
        <v>17</v>
      </c>
      <c r="K483" s="116"/>
      <c r="L483" s="114" t="s">
        <v>18</v>
      </c>
      <c r="M483" s="114"/>
      <c r="N483" s="114" t="s">
        <v>19</v>
      </c>
      <c r="O483" s="115"/>
      <c r="P483" s="114" t="s">
        <v>20</v>
      </c>
      <c r="Q483" s="114"/>
      <c r="R483" s="114" t="s">
        <v>21</v>
      </c>
    </row>
    <row r="484" spans="1:18" x14ac:dyDescent="0.25">
      <c r="C484" s="116" t="s">
        <v>22</v>
      </c>
      <c r="D484" s="116" t="s">
        <v>22</v>
      </c>
      <c r="F484" s="116" t="s">
        <v>23</v>
      </c>
      <c r="G484" s="116"/>
      <c r="H484" s="114" t="s">
        <v>24</v>
      </c>
      <c r="I484" s="116"/>
      <c r="J484" s="114" t="s">
        <v>25</v>
      </c>
      <c r="K484" s="116"/>
      <c r="L484" s="116" t="s">
        <v>25</v>
      </c>
      <c r="M484" s="116"/>
      <c r="O484" s="113"/>
      <c r="P484" s="116" t="s">
        <v>24</v>
      </c>
      <c r="R484" s="116"/>
    </row>
    <row r="485" spans="1:18" x14ac:dyDescent="0.25">
      <c r="A485" s="116" t="s">
        <v>26</v>
      </c>
      <c r="B485" s="116"/>
      <c r="C485" s="116" t="s">
        <v>27</v>
      </c>
      <c r="D485" s="116" t="s">
        <v>27</v>
      </c>
      <c r="E485" s="114"/>
      <c r="F485" s="116" t="s">
        <v>28</v>
      </c>
      <c r="G485" s="116"/>
      <c r="H485" s="116" t="s">
        <v>29</v>
      </c>
      <c r="I485" s="116"/>
      <c r="J485" s="116" t="s">
        <v>24</v>
      </c>
      <c r="K485" s="114"/>
      <c r="L485" s="116" t="s">
        <v>24</v>
      </c>
      <c r="M485" s="112"/>
      <c r="N485" s="116" t="s">
        <v>30</v>
      </c>
      <c r="O485" s="115"/>
      <c r="P485" s="114" t="s">
        <v>29</v>
      </c>
      <c r="Q485" s="114"/>
      <c r="R485" s="116" t="s">
        <v>31</v>
      </c>
    </row>
    <row r="486" spans="1:18" ht="13.8" thickBot="1" x14ac:dyDescent="0.3">
      <c r="A486" s="117" t="s">
        <v>32</v>
      </c>
      <c r="B486" s="117"/>
      <c r="C486" s="117" t="s">
        <v>33</v>
      </c>
      <c r="D486" s="117" t="s">
        <v>34</v>
      </c>
      <c r="E486" s="117"/>
      <c r="F486" s="118" t="s">
        <v>35</v>
      </c>
      <c r="G486" s="118"/>
      <c r="H486" s="118" t="s">
        <v>36</v>
      </c>
      <c r="I486" s="119"/>
      <c r="J486" s="118" t="s">
        <v>37</v>
      </c>
      <c r="K486" s="119"/>
      <c r="L486" s="119" t="s">
        <v>38</v>
      </c>
      <c r="M486" s="120"/>
      <c r="N486" s="120" t="s">
        <v>39</v>
      </c>
      <c r="O486" s="121"/>
      <c r="P486" s="120" t="s">
        <v>40</v>
      </c>
      <c r="Q486" s="120"/>
      <c r="R486" s="120" t="s">
        <v>41</v>
      </c>
    </row>
    <row r="487" spans="1:18" x14ac:dyDescent="0.25">
      <c r="A487" s="116">
        <v>1</v>
      </c>
      <c r="B487" s="122"/>
      <c r="O487" s="113"/>
    </row>
    <row r="488" spans="1:18" x14ac:dyDescent="0.25">
      <c r="A488" s="116">
        <f>A487+1</f>
        <v>2</v>
      </c>
      <c r="B488" s="122"/>
      <c r="C488" s="126"/>
      <c r="D488" s="111" t="s">
        <v>179</v>
      </c>
      <c r="H488" s="152"/>
      <c r="I488" s="152"/>
      <c r="J488" s="152"/>
      <c r="K488" s="152"/>
      <c r="L488" s="152"/>
      <c r="M488" s="152"/>
      <c r="N488" s="152"/>
      <c r="O488" s="153"/>
      <c r="P488" s="152"/>
      <c r="Q488" s="152"/>
      <c r="R488" s="152"/>
    </row>
    <row r="489" spans="1:18" x14ac:dyDescent="0.25">
      <c r="A489" s="116">
        <f t="shared" ref="A489:A530" si="12">A488+1</f>
        <v>3</v>
      </c>
      <c r="B489" s="122"/>
      <c r="C489" s="116" t="s">
        <v>180</v>
      </c>
      <c r="D489" s="28" t="s">
        <v>181</v>
      </c>
      <c r="E489" s="5"/>
      <c r="F489" s="126">
        <v>0</v>
      </c>
      <c r="G489" s="113"/>
      <c r="H489" s="7">
        <f>SUM('ASDR FY2'!C33:C35)/1000</f>
        <v>6923.6285099999996</v>
      </c>
      <c r="I489" s="8"/>
      <c r="J489" s="7">
        <f>SUM('ASDR FY2'!D33:D35)/1000</f>
        <v>0</v>
      </c>
      <c r="K489" s="9"/>
      <c r="L489" s="7">
        <f>SUM('ASDR FY2'!E33:E35)/1000</f>
        <v>0</v>
      </c>
      <c r="M489" s="9"/>
      <c r="N489" s="7">
        <f>SUM('ASDR FY2'!F33:F35)/1000+SUM('ASDR FY2'!G33:G35)/1000</f>
        <v>0</v>
      </c>
      <c r="O489" s="8"/>
      <c r="P489" s="7">
        <f>SUM(H489,J489,L489,N489)</f>
        <v>6923.6285099999996</v>
      </c>
      <c r="Q489" s="9"/>
      <c r="R489" s="7">
        <f>SUM('ASDR FY2'!I33:I35)/1000</f>
        <v>6923.6285099999996</v>
      </c>
    </row>
    <row r="490" spans="1:18" x14ac:dyDescent="0.25">
      <c r="A490" s="116">
        <f t="shared" si="12"/>
        <v>4</v>
      </c>
      <c r="B490" s="122"/>
      <c r="C490" s="116" t="s">
        <v>182</v>
      </c>
      <c r="D490" s="29" t="s">
        <v>183</v>
      </c>
      <c r="E490" s="30"/>
      <c r="F490" s="126">
        <v>0</v>
      </c>
      <c r="G490" s="113"/>
      <c r="H490" s="7">
        <f>SUM('ASDR FY2'!C118:C122)/1000</f>
        <v>193953.60046000002</v>
      </c>
      <c r="I490" s="8"/>
      <c r="J490" s="7">
        <f>SUM('ASDR FY2'!D118:D122)/1000</f>
        <v>15362.126259999999</v>
      </c>
      <c r="K490" s="9"/>
      <c r="L490" s="7">
        <f>SUM('ASDR FY2'!E118:E122)/1000</f>
        <v>0</v>
      </c>
      <c r="M490" s="9"/>
      <c r="N490" s="7">
        <f>SUM('ASDR FY2'!F118:F122)/1000+SUM('ASDR FY2'!G118:G122)/1000</f>
        <v>0</v>
      </c>
      <c r="O490" s="8"/>
      <c r="P490" s="7">
        <f>SUM(H490,J490,L490,N490)</f>
        <v>209315.72672000001</v>
      </c>
      <c r="Q490" s="9"/>
      <c r="R490" s="7">
        <f>SUM('ASDR FY2'!I118:I122)/1000</f>
        <v>195135.30248000001</v>
      </c>
    </row>
    <row r="491" spans="1:18" x14ac:dyDescent="0.25">
      <c r="A491" s="116">
        <f t="shared" si="12"/>
        <v>5</v>
      </c>
      <c r="B491" s="122"/>
      <c r="C491" s="116">
        <v>35000</v>
      </c>
      <c r="D491" s="31" t="s">
        <v>184</v>
      </c>
      <c r="E491" s="32"/>
      <c r="F491" s="126">
        <f>VLOOKUP($C491,'ASDR FY2'!$A:$X,F$16,FALSE)*100</f>
        <v>0</v>
      </c>
      <c r="G491" s="113"/>
      <c r="H491" s="7">
        <f>VLOOKUP($C491,'ASDR FY2'!$A:$X,H$16,FALSE)/1000</f>
        <v>17799.99856</v>
      </c>
      <c r="I491" s="8"/>
      <c r="J491" s="7">
        <f>VLOOKUP($C491,'ASDR FY2'!$A:$X,J$16,FALSE)/1000</f>
        <v>0</v>
      </c>
      <c r="K491" s="9"/>
      <c r="L491" s="7">
        <f>VLOOKUP($C491,'ASDR FY2'!$A:$X,L$16,FALSE)/1000</f>
        <v>0</v>
      </c>
      <c r="M491" s="9"/>
      <c r="N491" s="7">
        <f>VLOOKUP($C491,'ASDR FY2'!$A:$X,N$15,FALSE)/1000+VLOOKUP($C491,'ASDR FY2'!$A:$X,N$16,FALSE)/1000</f>
        <v>0</v>
      </c>
      <c r="O491" s="8"/>
      <c r="P491" s="7">
        <f>SUM(H491,J491,L491,N491)</f>
        <v>17799.99856</v>
      </c>
      <c r="Q491" s="9"/>
      <c r="R491" s="7">
        <f>VLOOKUP($C491,'ASDR FY2'!$A:$X,R$16,FALSE)/1000</f>
        <v>17799.99856</v>
      </c>
    </row>
    <row r="492" spans="1:18" x14ac:dyDescent="0.25">
      <c r="A492" s="116">
        <f t="shared" si="12"/>
        <v>6</v>
      </c>
      <c r="B492" s="122"/>
      <c r="C492" s="116">
        <v>36000</v>
      </c>
      <c r="D492" s="31" t="s">
        <v>185</v>
      </c>
      <c r="E492" s="32"/>
      <c r="F492" s="126">
        <f>VLOOKUP($C492,'ASDR FY2'!$A:$X,F$16,FALSE)*100</f>
        <v>0</v>
      </c>
      <c r="G492" s="113"/>
      <c r="H492" s="7">
        <f>VLOOKUP($C492,'ASDR FY2'!$A:$X,H$16,FALSE)/1000</f>
        <v>10119.782539999998</v>
      </c>
      <c r="I492" s="8"/>
      <c r="J492" s="7">
        <f>VLOOKUP($C492,'ASDR FY2'!$A:$X,J$16,FALSE)/1000</f>
        <v>0</v>
      </c>
      <c r="K492" s="9"/>
      <c r="L492" s="7">
        <f>VLOOKUP($C492,'ASDR FY2'!$A:$X,L$16,FALSE)/1000</f>
        <v>0</v>
      </c>
      <c r="M492" s="9"/>
      <c r="N492" s="7">
        <f>VLOOKUP($C492,'ASDR FY2'!$A:$X,N$15,FALSE)/1000+VLOOKUP($C492,'ASDR FY2'!$A:$X,N$16,FALSE)/1000</f>
        <v>0</v>
      </c>
      <c r="O492" s="8"/>
      <c r="P492" s="7">
        <f>SUM(H492,J492,L492,N492)</f>
        <v>10119.782539999998</v>
      </c>
      <c r="Q492" s="9"/>
      <c r="R492" s="7">
        <f>VLOOKUP($C492,'ASDR FY2'!$A:$X,R$16,FALSE)/1000</f>
        <v>10119.782539999998</v>
      </c>
    </row>
    <row r="493" spans="1:18" x14ac:dyDescent="0.25">
      <c r="A493" s="116">
        <f t="shared" si="12"/>
        <v>7</v>
      </c>
      <c r="B493" s="122"/>
      <c r="C493" s="116">
        <v>38900</v>
      </c>
      <c r="D493" s="31" t="s">
        <v>186</v>
      </c>
      <c r="E493" s="32"/>
      <c r="F493" s="126">
        <f>VLOOKUP($C493,'ASDR FY2'!$A:$X,F$16,FALSE)*100</f>
        <v>0</v>
      </c>
      <c r="G493" s="113"/>
      <c r="H493" s="7">
        <f>VLOOKUP($C493,'ASDR FY2'!$A:$X,H$16,FALSE)/1000</f>
        <v>3286.63042</v>
      </c>
      <c r="I493" s="8"/>
      <c r="J493" s="7">
        <f>VLOOKUP($C493,'ASDR FY2'!$A:$X,J$16,FALSE)/1000</f>
        <v>23298.939879999998</v>
      </c>
      <c r="K493" s="9"/>
      <c r="L493" s="7">
        <f>VLOOKUP($C493,'ASDR FY2'!$A:$X,L$16,FALSE)/1000</f>
        <v>0</v>
      </c>
      <c r="M493" s="9"/>
      <c r="N493" s="7">
        <f>VLOOKUP($C493,'ASDR FY2'!$A:$X,N$15,FALSE)/1000+VLOOKUP($C493,'ASDR FY2'!$A:$X,N$16,FALSE)/1000</f>
        <v>0</v>
      </c>
      <c r="O493" s="8"/>
      <c r="P493" s="7">
        <f>SUM(H493,J493,L493,N493)</f>
        <v>26585.570299999999</v>
      </c>
      <c r="Q493" s="9"/>
      <c r="R493" s="7">
        <f>VLOOKUP($C493,'ASDR FY2'!$A:$X,R$16,FALSE)/1000</f>
        <v>16600.915820000002</v>
      </c>
    </row>
    <row r="494" spans="1:18" ht="13.8" thickBot="1" x14ac:dyDescent="0.3">
      <c r="A494" s="116">
        <f t="shared" si="12"/>
        <v>8</v>
      </c>
      <c r="B494" s="122"/>
      <c r="C494" s="116"/>
      <c r="D494" s="29" t="s">
        <v>187</v>
      </c>
      <c r="E494" s="30"/>
      <c r="F494" s="89"/>
      <c r="G494" s="30"/>
      <c r="H494" s="63">
        <f>SUM(H489:H493)</f>
        <v>232083.64049000002</v>
      </c>
      <c r="I494" s="14"/>
      <c r="J494" s="63">
        <f>SUM(J489:J493)</f>
        <v>38661.066139999995</v>
      </c>
      <c r="K494" s="14"/>
      <c r="L494" s="63">
        <f>SUM(L489:L493)</f>
        <v>0</v>
      </c>
      <c r="M494" s="14"/>
      <c r="N494" s="63">
        <f>SUM(N489:N493)</f>
        <v>0</v>
      </c>
      <c r="O494" s="14"/>
      <c r="P494" s="63">
        <f>SUM(P489:P493)</f>
        <v>270744.70663000003</v>
      </c>
      <c r="Q494" s="14"/>
      <c r="R494" s="63">
        <f>SUM(R489:R493)</f>
        <v>246579.62791000001</v>
      </c>
    </row>
    <row r="495" spans="1:18" ht="13.8" thickTop="1" x14ac:dyDescent="0.25">
      <c r="A495" s="116">
        <f t="shared" si="12"/>
        <v>9</v>
      </c>
      <c r="B495" s="122"/>
      <c r="F495" s="127"/>
      <c r="O495" s="113"/>
    </row>
    <row r="496" spans="1:18" x14ac:dyDescent="0.25">
      <c r="A496" s="116">
        <f t="shared" si="12"/>
        <v>10</v>
      </c>
      <c r="B496" s="122"/>
      <c r="C496" s="116"/>
      <c r="D496" s="33" t="s">
        <v>188</v>
      </c>
      <c r="E496" s="5"/>
      <c r="F496" s="90"/>
      <c r="G496" s="5"/>
      <c r="H496" s="14"/>
      <c r="I496" s="14"/>
      <c r="J496" s="142"/>
      <c r="K496" s="14"/>
      <c r="L496" s="142"/>
      <c r="M496" s="14"/>
      <c r="N496" s="142"/>
      <c r="O496" s="14"/>
      <c r="P496" s="142"/>
      <c r="Q496" s="14"/>
      <c r="R496" s="142"/>
    </row>
    <row r="497" spans="1:18" x14ac:dyDescent="0.25">
      <c r="A497" s="116">
        <f t="shared" si="12"/>
        <v>11</v>
      </c>
      <c r="B497" s="122"/>
      <c r="C497" s="116">
        <v>30315</v>
      </c>
      <c r="D497" s="16" t="s">
        <v>189</v>
      </c>
      <c r="F497" s="126">
        <f>VLOOKUP($C497,'ASDR FY2'!$A:$X,F$16,FALSE)*100</f>
        <v>6.7</v>
      </c>
      <c r="G497" s="113"/>
      <c r="H497" s="7">
        <f>VLOOKUP($C497,'ASDR FY2'!$A:$X,H$16,FALSE)/1000</f>
        <v>577595.31785000011</v>
      </c>
      <c r="I497" s="8"/>
      <c r="J497" s="7">
        <f>VLOOKUP($C497,'ASDR FY2'!$A:$X,J$16,FALSE)/1000</f>
        <v>83861.887680000014</v>
      </c>
      <c r="K497" s="9"/>
      <c r="L497" s="7">
        <f>VLOOKUP($C497,'ASDR FY2'!$A:$X,L$16,FALSE)/1000</f>
        <v>-4800.4783099999995</v>
      </c>
      <c r="M497" s="9"/>
      <c r="N497" s="7">
        <f>VLOOKUP($C497,'ASDR FY2'!$A:$X,N$15,FALSE)/1000+VLOOKUP($C497,'ASDR FY2'!$A:$X,N$16,FALSE)/1000</f>
        <v>0</v>
      </c>
      <c r="O497" s="8"/>
      <c r="P497" s="7">
        <f>SUM(H497,J497,L497,N497)</f>
        <v>656656.72722000012</v>
      </c>
      <c r="Q497" s="9"/>
      <c r="R497" s="7">
        <f>VLOOKUP($C497,'ASDR FY2'!$A:$X,R$16,FALSE)/1000</f>
        <v>596630.12151999993</v>
      </c>
    </row>
    <row r="498" spans="1:18" x14ac:dyDescent="0.25">
      <c r="A498" s="116">
        <f t="shared" si="12"/>
        <v>12</v>
      </c>
      <c r="B498" s="122"/>
      <c r="C498" s="116">
        <v>30302</v>
      </c>
      <c r="D498" s="111" t="s">
        <v>190</v>
      </c>
      <c r="F498" s="126">
        <f>VLOOKUP($C498,'ASDR FY2'!$A:$X,F$16,FALSE)*100</f>
        <v>0</v>
      </c>
      <c r="G498" s="113"/>
      <c r="H498" s="7">
        <f>VLOOKUP($C498,'ASDR FY2'!$A:$X,H$16,FALSE)/1000</f>
        <v>0</v>
      </c>
      <c r="I498" s="8"/>
      <c r="J498" s="7">
        <f>VLOOKUP($C498,'ASDR FY2'!$A:$X,J$16,FALSE)/1000</f>
        <v>0</v>
      </c>
      <c r="K498" s="9"/>
      <c r="L498" s="7">
        <f>VLOOKUP($C498,'ASDR FY2'!$A:$X,L$16,FALSE)/1000</f>
        <v>0</v>
      </c>
      <c r="M498" s="9"/>
      <c r="N498" s="7">
        <f>VLOOKUP($C498,'ASDR FY2'!$A:$X,N$15,FALSE)/1000+VLOOKUP($C498,'ASDR FY2'!$A:$X,N$16,FALSE)/1000</f>
        <v>0</v>
      </c>
      <c r="O498" s="8"/>
      <c r="P498" s="7">
        <f>SUM(H498,J498,L498,N498)</f>
        <v>0</v>
      </c>
      <c r="Q498" s="9"/>
      <c r="R498" s="7">
        <f>VLOOKUP($C498,'ASDR FY2'!$A:$X,R$16,FALSE)/1000</f>
        <v>0</v>
      </c>
    </row>
    <row r="499" spans="1:18" x14ac:dyDescent="0.25">
      <c r="A499" s="116">
        <f t="shared" si="12"/>
        <v>13</v>
      </c>
      <c r="B499" s="122"/>
      <c r="C499" s="116">
        <v>30399</v>
      </c>
      <c r="D499" s="111" t="s">
        <v>191</v>
      </c>
      <c r="F499" s="126">
        <f>VLOOKUP($C499,'ASDR FY2'!$A:$X,F$16,FALSE)*100</f>
        <v>3.3000000000000003</v>
      </c>
      <c r="G499" s="113"/>
      <c r="H499" s="7">
        <f>VLOOKUP($C499,'ASDR FY2'!$A:$X,H$16,FALSE)/1000</f>
        <v>4620.0860300000004</v>
      </c>
      <c r="I499" s="8"/>
      <c r="J499" s="7">
        <f>VLOOKUP($C499,'ASDR FY2'!$A:$X,J$16,FALSE)/1000</f>
        <v>0</v>
      </c>
      <c r="K499" s="9"/>
      <c r="L499" s="7">
        <f>VLOOKUP($C499,'ASDR FY2'!$A:$X,L$16,FALSE)/1000</f>
        <v>0</v>
      </c>
      <c r="M499" s="9"/>
      <c r="N499" s="7">
        <f>VLOOKUP($C499,'ASDR FY2'!$A:$X,N$15,FALSE)/1000+VLOOKUP($C499,'ASDR FY2'!$A:$X,N$16,FALSE)/1000</f>
        <v>0</v>
      </c>
      <c r="O499" s="8"/>
      <c r="P499" s="7">
        <f>SUM(H499,J499,L499,N499)</f>
        <v>4620.0860300000004</v>
      </c>
      <c r="Q499" s="9"/>
      <c r="R499" s="7">
        <f>VLOOKUP($C499,'ASDR FY2'!$A:$X,R$16,FALSE)/1000</f>
        <v>4620.0860300000004</v>
      </c>
    </row>
    <row r="500" spans="1:18" ht="13.8" thickBot="1" x14ac:dyDescent="0.3">
      <c r="A500" s="116">
        <f t="shared" si="12"/>
        <v>14</v>
      </c>
      <c r="D500" s="29" t="s">
        <v>192</v>
      </c>
      <c r="E500" s="34"/>
      <c r="F500" s="89"/>
      <c r="G500" s="34"/>
      <c r="H500" s="63">
        <f>SUM(H497:H499)</f>
        <v>582215.40388000011</v>
      </c>
      <c r="I500" s="14"/>
      <c r="J500" s="63">
        <f>SUM(J497:J499)</f>
        <v>83861.887680000014</v>
      </c>
      <c r="K500" s="14"/>
      <c r="L500" s="63">
        <f>SUM(L497:L499)</f>
        <v>-4800.4783099999995</v>
      </c>
      <c r="M500" s="14"/>
      <c r="N500" s="63">
        <f>SUM(N497:N499)</f>
        <v>0</v>
      </c>
      <c r="O500" s="14"/>
      <c r="P500" s="63">
        <f>SUM(P497:P499)</f>
        <v>661276.81325000012</v>
      </c>
      <c r="Q500" s="14"/>
      <c r="R500" s="63">
        <f>SUM(R497:R499)</f>
        <v>601250.20754999993</v>
      </c>
    </row>
    <row r="501" spans="1:18" ht="13.8" thickTop="1" x14ac:dyDescent="0.25">
      <c r="A501" s="116">
        <f t="shared" si="12"/>
        <v>15</v>
      </c>
      <c r="F501" s="127"/>
      <c r="O501" s="113"/>
    </row>
    <row r="502" spans="1:18" x14ac:dyDescent="0.25">
      <c r="A502" s="116">
        <f t="shared" si="12"/>
        <v>16</v>
      </c>
      <c r="D502" s="155" t="s">
        <v>193</v>
      </c>
      <c r="F502" s="127"/>
      <c r="O502" s="113"/>
    </row>
    <row r="503" spans="1:18" x14ac:dyDescent="0.25">
      <c r="A503" s="116">
        <f t="shared" si="12"/>
        <v>17</v>
      </c>
      <c r="C503" s="116">
        <v>31700</v>
      </c>
      <c r="D503" s="111" t="s">
        <v>194</v>
      </c>
      <c r="F503" s="126">
        <f>VLOOKUP($C503,'ASDR FY2'!$A:$X,F$16,FALSE)*100</f>
        <v>2.8</v>
      </c>
      <c r="G503" s="113"/>
      <c r="H503" s="7">
        <f>VLOOKUP($C503,'ASDR FY2'!$A:$X,H$16,FALSE)/1000</f>
        <v>5602.9184799999966</v>
      </c>
      <c r="I503" s="8"/>
      <c r="J503" s="7">
        <f>VLOOKUP($C503,'ASDR FY2'!$A:$X,J$16,FALSE)/1000</f>
        <v>0</v>
      </c>
      <c r="K503" s="9"/>
      <c r="L503" s="7">
        <f>VLOOKUP($C503,'ASDR FY2'!$A:$X,L$16,FALSE)/1000</f>
        <v>0</v>
      </c>
      <c r="M503" s="9"/>
      <c r="N503" s="7">
        <f>VLOOKUP($C503,'ASDR FY2'!$A:$X,N$15,FALSE)/1000+VLOOKUP($C503,'ASDR FY2'!$A:$X,N$16,FALSE)/1000</f>
        <v>0</v>
      </c>
      <c r="O503" s="8"/>
      <c r="P503" s="7">
        <f>SUM(H503,J503,L503,N503)</f>
        <v>5602.9184799999966</v>
      </c>
      <c r="Q503" s="9"/>
      <c r="R503" s="7">
        <f>VLOOKUP($C503,'ASDR FY2'!$A:$X,R$16,FALSE)/1000</f>
        <v>5602.9184800000003</v>
      </c>
    </row>
    <row r="504" spans="1:18" x14ac:dyDescent="0.25">
      <c r="A504" s="116">
        <f t="shared" si="12"/>
        <v>18</v>
      </c>
      <c r="C504" s="116">
        <v>34700</v>
      </c>
      <c r="D504" s="111" t="s">
        <v>195</v>
      </c>
      <c r="F504" s="126">
        <f>VLOOKUP($C504,'ASDR FY2'!$A:$X,F$16,FALSE)*100</f>
        <v>3.4000000000000004</v>
      </c>
      <c r="G504" s="113"/>
      <c r="H504" s="7">
        <f>VLOOKUP($C504,'ASDR FY2'!$A:$X,H$16,FALSE)/1000</f>
        <v>12376.233219999998</v>
      </c>
      <c r="I504" s="8"/>
      <c r="J504" s="7">
        <f>VLOOKUP($C504,'ASDR FY2'!$A:$X,J$16,FALSE)/1000</f>
        <v>0</v>
      </c>
      <c r="K504" s="9"/>
      <c r="L504" s="7">
        <f>VLOOKUP($C504,'ASDR FY2'!$A:$X,L$16,FALSE)/1000</f>
        <v>0</v>
      </c>
      <c r="M504" s="9"/>
      <c r="N504" s="7">
        <f>VLOOKUP($C504,'ASDR FY2'!$A:$X,N$15,FALSE)/1000+VLOOKUP($C504,'ASDR FY2'!$A:$X,N$16,FALSE)/1000</f>
        <v>0</v>
      </c>
      <c r="O504" s="8"/>
      <c r="P504" s="7">
        <f>SUM(H504,J504,L504,N504)</f>
        <v>12376.233219999998</v>
      </c>
      <c r="Q504" s="9"/>
      <c r="R504" s="7">
        <f>VLOOKUP($C504,'ASDR FY2'!$A:$X,R$16,FALSE)/1000</f>
        <v>12376.23322</v>
      </c>
    </row>
    <row r="505" spans="1:18" x14ac:dyDescent="0.25">
      <c r="A505" s="116">
        <f t="shared" si="12"/>
        <v>19</v>
      </c>
      <c r="B505" s="122"/>
      <c r="C505" s="116">
        <v>37400</v>
      </c>
      <c r="D505" s="111" t="s">
        <v>196</v>
      </c>
      <c r="F505" s="126">
        <f>VLOOKUP($C505,'ASDR FY2'!$A:$X,F$16,FALSE)*100</f>
        <v>1.4</v>
      </c>
      <c r="G505" s="113"/>
      <c r="H505" s="7">
        <f>VLOOKUP($C505,'ASDR FY2'!$A:$X,H$16,FALSE)/1000</f>
        <v>7160.1822599999996</v>
      </c>
      <c r="I505" s="8"/>
      <c r="J505" s="7">
        <f>VLOOKUP($C505,'ASDR FY2'!$A:$X,J$16,FALSE)/1000</f>
        <v>0</v>
      </c>
      <c r="K505" s="9"/>
      <c r="L505" s="7">
        <f>VLOOKUP($C505,'ASDR FY2'!$A:$X,L$16,FALSE)/1000</f>
        <v>0</v>
      </c>
      <c r="M505" s="9"/>
      <c r="N505" s="7">
        <f>VLOOKUP($C505,'ASDR FY2'!$A:$X,N$15,FALSE)/1000+VLOOKUP($C505,'ASDR FY2'!$A:$X,N$16,FALSE)/1000</f>
        <v>0</v>
      </c>
      <c r="O505" s="8"/>
      <c r="P505" s="7">
        <f>SUM(H505,J505,L505,N505)</f>
        <v>7160.1822599999996</v>
      </c>
      <c r="Q505" s="9"/>
      <c r="R505" s="7">
        <f>VLOOKUP($C505,'ASDR FY2'!$A:$X,R$16,FALSE)/1000</f>
        <v>7160.1822599999996</v>
      </c>
    </row>
    <row r="506" spans="1:18" x14ac:dyDescent="0.25">
      <c r="A506" s="116">
        <f t="shared" si="12"/>
        <v>20</v>
      </c>
      <c r="B506" s="122"/>
      <c r="C506" s="116">
        <v>39910</v>
      </c>
      <c r="D506" s="111" t="s">
        <v>197</v>
      </c>
      <c r="F506" s="126">
        <f>VLOOKUP($C506,'ASDR FY2'!$A:$X,F$16,FALSE)*100</f>
        <v>4.3</v>
      </c>
      <c r="G506" s="113"/>
      <c r="H506" s="7">
        <f>VLOOKUP($C506,'ASDR FY2'!$A:$X,H$16,FALSE)/1000</f>
        <v>269.18751000000003</v>
      </c>
      <c r="I506" s="8"/>
      <c r="J506" s="7">
        <f>VLOOKUP($C506,'ASDR FY2'!$A:$X,J$16,FALSE)/1000</f>
        <v>0</v>
      </c>
      <c r="K506" s="9"/>
      <c r="L506" s="7">
        <f>VLOOKUP($C506,'ASDR FY2'!$A:$X,L$16,FALSE)/1000</f>
        <v>0</v>
      </c>
      <c r="M506" s="9"/>
      <c r="N506" s="7">
        <f>VLOOKUP($C506,'ASDR FY2'!$A:$X,N$15,FALSE)/1000+VLOOKUP($C506,'ASDR FY2'!$A:$X,N$16,FALSE)/1000</f>
        <v>0</v>
      </c>
      <c r="O506" s="8"/>
      <c r="P506" s="7">
        <f>SUM(H506,J506,L506,N506)</f>
        <v>269.18751000000003</v>
      </c>
      <c r="Q506" s="9"/>
      <c r="R506" s="7">
        <f>VLOOKUP($C506,'ASDR FY2'!$A:$X,R$16,FALSE)/1000</f>
        <v>269.18751000000003</v>
      </c>
    </row>
    <row r="507" spans="1:18" ht="13.8" thickBot="1" x14ac:dyDescent="0.3">
      <c r="A507" s="116">
        <f t="shared" si="12"/>
        <v>21</v>
      </c>
      <c r="B507" s="122"/>
      <c r="D507" s="155" t="s">
        <v>198</v>
      </c>
      <c r="F507" s="127"/>
      <c r="H507" s="156">
        <f>SUM(H503:H506)</f>
        <v>25408.521469999996</v>
      </c>
      <c r="J507" s="156">
        <f>SUM(J503:J506)</f>
        <v>0</v>
      </c>
      <c r="L507" s="156">
        <f>SUM(L503:L506)</f>
        <v>0</v>
      </c>
      <c r="N507" s="156">
        <f>SUM(N503:N506)</f>
        <v>0</v>
      </c>
      <c r="O507" s="113"/>
      <c r="P507" s="156">
        <f>SUM(P503:P506)</f>
        <v>25408.521469999996</v>
      </c>
      <c r="R507" s="156">
        <f>SUM(R503:R506)</f>
        <v>25408.521470000003</v>
      </c>
    </row>
    <row r="508" spans="1:18" ht="13.8" thickTop="1" x14ac:dyDescent="0.25">
      <c r="A508" s="116">
        <f t="shared" si="12"/>
        <v>22</v>
      </c>
      <c r="B508" s="122"/>
      <c r="D508" s="155"/>
      <c r="F508" s="127"/>
      <c r="H508" s="146"/>
      <c r="J508" s="146"/>
      <c r="L508" s="146"/>
      <c r="N508" s="146"/>
      <c r="O508" s="113"/>
      <c r="P508" s="146"/>
      <c r="R508" s="146"/>
    </row>
    <row r="509" spans="1:18" x14ac:dyDescent="0.25">
      <c r="A509" s="116">
        <f t="shared" si="12"/>
        <v>23</v>
      </c>
      <c r="B509" s="122"/>
      <c r="D509" s="111" t="s">
        <v>199</v>
      </c>
      <c r="F509" s="127"/>
      <c r="O509" s="113"/>
    </row>
    <row r="510" spans="1:18" x14ac:dyDescent="0.25">
      <c r="A510" s="116">
        <f t="shared" si="12"/>
        <v>24</v>
      </c>
      <c r="B510" s="122"/>
      <c r="C510" s="116">
        <v>10110</v>
      </c>
      <c r="D510" s="111" t="s">
        <v>200</v>
      </c>
      <c r="F510" s="126">
        <f>VLOOKUP($C510,'ASDR FY2'!$A:$X,F$16,FALSE)*100</f>
        <v>0</v>
      </c>
      <c r="G510" s="113"/>
      <c r="H510" s="7">
        <f>VLOOKUP($C510,'ASDR FY2'!$A:$X,H$16,FALSE)/1000</f>
        <v>3026.1061099999997</v>
      </c>
      <c r="I510" s="8"/>
      <c r="J510" s="7">
        <f>VLOOKUP($C510,'ASDR FY2'!$A:$X,J$16,FALSE)/1000</f>
        <v>0</v>
      </c>
      <c r="K510" s="9"/>
      <c r="L510" s="7">
        <f>VLOOKUP($C510,'ASDR FY2'!$A:$X,L$16,FALSE)/1000</f>
        <v>0</v>
      </c>
      <c r="M510" s="9"/>
      <c r="N510" s="7">
        <f>VLOOKUP($C510,'ASDR FY2'!$A:$X,N$15,FALSE)/1000+VLOOKUP($C510,'ASDR FY2'!$A:$X,N$16,FALSE)/1000</f>
        <v>-453.91591000000011</v>
      </c>
      <c r="O510" s="8"/>
      <c r="P510" s="7">
        <f>SUM(H510,J510,L510,N510)</f>
        <v>2572.1901999999995</v>
      </c>
      <c r="Q510" s="9"/>
      <c r="R510" s="7">
        <f>VLOOKUP($C510,'ASDR FY2'!$A:$X,R$16,FALSE)/1000</f>
        <v>2799.14815</v>
      </c>
    </row>
    <row r="511" spans="1:18" x14ac:dyDescent="0.25">
      <c r="A511" s="116">
        <f t="shared" si="12"/>
        <v>25</v>
      </c>
      <c r="B511" s="122"/>
      <c r="C511" s="116">
        <v>10112</v>
      </c>
      <c r="D511" s="111" t="s">
        <v>201</v>
      </c>
      <c r="F511" s="126">
        <f>VLOOKUP($C511,'ASDR FY2'!$A:$X,F$16,FALSE)*100</f>
        <v>0</v>
      </c>
      <c r="H511" s="7">
        <f>VLOOKUP($C511,'ASDR FY2'!$A:$X,H$16,FALSE)/1000</f>
        <v>29713.612089999999</v>
      </c>
      <c r="I511" s="8"/>
      <c r="J511" s="7">
        <f>VLOOKUP($C511,'ASDR FY2'!$A:$X,J$16,FALSE)/1000</f>
        <v>0</v>
      </c>
      <c r="K511" s="9"/>
      <c r="L511" s="7">
        <f>VLOOKUP($C511,'ASDR FY2'!$A:$X,L$16,FALSE)/1000</f>
        <v>0</v>
      </c>
      <c r="M511" s="9"/>
      <c r="N511" s="7">
        <f>VLOOKUP($C511,'ASDR FY2'!$A:$X,N$15,FALSE)/1000+VLOOKUP($C511,'ASDR FY2'!$A:$X,N$16,FALSE)/1000</f>
        <v>-1721.8484300000002</v>
      </c>
      <c r="O511" s="8"/>
      <c r="P511" s="7">
        <f>SUM(H511,J511,L511,N511)</f>
        <v>27991.763659999997</v>
      </c>
      <c r="Q511" s="9"/>
      <c r="R511" s="7">
        <f>VLOOKUP($C511,'ASDR FY2'!$A:$X,R$16,FALSE)/1000</f>
        <v>28697.538619999999</v>
      </c>
    </row>
    <row r="512" spans="1:18" ht="13.8" thickBot="1" x14ac:dyDescent="0.3">
      <c r="A512" s="116">
        <f t="shared" si="12"/>
        <v>26</v>
      </c>
      <c r="B512" s="122"/>
      <c r="C512" s="116"/>
      <c r="D512" s="111" t="s">
        <v>202</v>
      </c>
      <c r="F512" s="126"/>
      <c r="H512" s="63">
        <f>SUM(H510:H511)</f>
        <v>32739.718199999999</v>
      </c>
      <c r="I512" s="14"/>
      <c r="J512" s="63">
        <f>SUM(J510:J511)</f>
        <v>0</v>
      </c>
      <c r="K512" s="14"/>
      <c r="L512" s="63">
        <f>SUM(L510:L511)</f>
        <v>0</v>
      </c>
      <c r="M512" s="14"/>
      <c r="N512" s="63">
        <f>SUM(N510:N511)</f>
        <v>-2175.7643400000002</v>
      </c>
      <c r="O512" s="14"/>
      <c r="P512" s="63">
        <f>SUM(P510:P511)</f>
        <v>30563.953859999998</v>
      </c>
      <c r="Q512" s="14"/>
      <c r="R512" s="63">
        <f>SUM(R510:R511)</f>
        <v>31496.68677</v>
      </c>
    </row>
    <row r="513" spans="1:18" ht="13.8" thickTop="1" x14ac:dyDescent="0.25">
      <c r="A513" s="116">
        <f t="shared" si="12"/>
        <v>27</v>
      </c>
      <c r="B513" s="122"/>
      <c r="F513" s="127"/>
      <c r="O513" s="113"/>
    </row>
    <row r="514" spans="1:18" ht="13.8" thickBot="1" x14ac:dyDescent="0.3">
      <c r="A514" s="116">
        <f t="shared" si="12"/>
        <v>28</v>
      </c>
      <c r="B514" s="122"/>
      <c r="D514" s="112" t="s">
        <v>203</v>
      </c>
      <c r="F514" s="127"/>
      <c r="H514" s="27">
        <f>H500+H494+H470+H507+H512</f>
        <v>13644133.608579999</v>
      </c>
      <c r="I514" s="4"/>
      <c r="J514" s="27">
        <f>J500+J494+J470+J507+J512</f>
        <v>1953586.4983600001</v>
      </c>
      <c r="K514" s="4"/>
      <c r="L514" s="27">
        <f>L500+L494+L470+L507+L512</f>
        <v>-150203.56679000001</v>
      </c>
      <c r="M514" s="4"/>
      <c r="N514" s="27">
        <f>N500+N494+N470+N507+N512</f>
        <v>-2175.7643400000002</v>
      </c>
      <c r="O514" s="12"/>
      <c r="P514" s="27">
        <f>P500+P494+P470+P507+P512</f>
        <v>15445340.77581</v>
      </c>
      <c r="Q514" s="4"/>
      <c r="R514" s="27">
        <f>R500+R494+R470+R507+R512</f>
        <v>14463850.574999999</v>
      </c>
    </row>
    <row r="515" spans="1:18" ht="13.8" thickTop="1" x14ac:dyDescent="0.25">
      <c r="A515" s="116">
        <f t="shared" si="12"/>
        <v>29</v>
      </c>
      <c r="B515" s="122"/>
      <c r="F515" s="127"/>
      <c r="O515" s="113"/>
    </row>
    <row r="516" spans="1:18" x14ac:dyDescent="0.25">
      <c r="A516" s="116">
        <f t="shared" si="12"/>
        <v>30</v>
      </c>
      <c r="B516" s="122"/>
      <c r="D516" s="137" t="s">
        <v>204</v>
      </c>
      <c r="F516" s="127"/>
      <c r="O516" s="113"/>
    </row>
    <row r="517" spans="1:18" x14ac:dyDescent="0.25">
      <c r="A517" s="116">
        <f t="shared" si="12"/>
        <v>31</v>
      </c>
      <c r="B517" s="122"/>
      <c r="C517" s="116">
        <v>11401</v>
      </c>
      <c r="D517" s="137" t="s">
        <v>205</v>
      </c>
      <c r="F517" s="126">
        <f>VLOOKUP($C517,'ASDR FY2'!$A:$X,F$16,FALSE)*100</f>
        <v>3.0042864005201499</v>
      </c>
      <c r="G517" s="113"/>
      <c r="H517" s="7">
        <f>VLOOKUP($C517,'ASDR FY2'!$A:$X,H$16,FALSE)/1000</f>
        <v>6182.81</v>
      </c>
      <c r="I517" s="8"/>
      <c r="J517" s="7">
        <f>VLOOKUP($C517,'ASDR FY2'!$A:$X,J$16,FALSE)/1000</f>
        <v>0</v>
      </c>
      <c r="K517" s="9"/>
      <c r="L517" s="7">
        <f>VLOOKUP($C517,'ASDR FY2'!$A:$X,L$16,FALSE)/1000</f>
        <v>0</v>
      </c>
      <c r="M517" s="9"/>
      <c r="N517" s="7">
        <f>VLOOKUP($C517,'ASDR FY2'!$A:$X,N$15,FALSE)/1000+VLOOKUP($C517,'ASDR FY2'!$A:$X,N$16,FALSE)/1000</f>
        <v>0</v>
      </c>
      <c r="O517" s="8"/>
      <c r="P517" s="7">
        <f>SUM(H517,J517,L517,N517)</f>
        <v>6182.81</v>
      </c>
      <c r="Q517" s="9"/>
      <c r="R517" s="7">
        <f>VLOOKUP($C517,'ASDR FY2'!$A:$X,R$16,FALSE)/1000</f>
        <v>6182.81</v>
      </c>
    </row>
    <row r="518" spans="1:18" x14ac:dyDescent="0.25">
      <c r="A518" s="116">
        <f t="shared" si="12"/>
        <v>32</v>
      </c>
      <c r="B518" s="122"/>
      <c r="C518" s="116">
        <v>11402</v>
      </c>
      <c r="D518" s="137" t="s">
        <v>206</v>
      </c>
      <c r="F518" s="126">
        <f>VLOOKUP($C518,'ASDR FY2'!$A:$X,F$16,FALSE)*100</f>
        <v>4.3644641465684195</v>
      </c>
      <c r="G518" s="113"/>
      <c r="H518" s="7">
        <f>VLOOKUP($C518,'ASDR FY2'!$A:$X,H$16,FALSE)/1000</f>
        <v>960.04088000000002</v>
      </c>
      <c r="I518" s="8"/>
      <c r="J518" s="7">
        <f>VLOOKUP($C518,'ASDR FY2'!$A:$X,J$16,FALSE)/1000</f>
        <v>0</v>
      </c>
      <c r="K518" s="9"/>
      <c r="L518" s="7">
        <f>VLOOKUP($C518,'ASDR FY2'!$A:$X,L$16,FALSE)/1000</f>
        <v>0</v>
      </c>
      <c r="M518" s="9"/>
      <c r="N518" s="7">
        <f>VLOOKUP($C518,'ASDR FY2'!$A:$X,N$15,FALSE)/1000+VLOOKUP($C518,'ASDR FY2'!$A:$X,N$16,FALSE)/1000</f>
        <v>0</v>
      </c>
      <c r="O518" s="8"/>
      <c r="P518" s="7">
        <f>SUM(H518,J518,L518,N518)</f>
        <v>960.04088000000002</v>
      </c>
      <c r="Q518" s="9"/>
      <c r="R518" s="7">
        <f>VLOOKUP($C518,'ASDR FY2'!$A:$X,R$16,FALSE)/1000</f>
        <v>960.04088000000002</v>
      </c>
    </row>
    <row r="519" spans="1:18" x14ac:dyDescent="0.25">
      <c r="A519" s="116">
        <f t="shared" si="12"/>
        <v>33</v>
      </c>
      <c r="B519" s="122"/>
      <c r="C519" s="116">
        <v>11403</v>
      </c>
      <c r="D519" s="111" t="s">
        <v>207</v>
      </c>
      <c r="F519" s="126">
        <f>VLOOKUP($C519,'ASDR FY2'!$A:$X,F$16,FALSE)*100</f>
        <v>2.64898973564727</v>
      </c>
      <c r="G519" s="113"/>
      <c r="H519" s="7">
        <f>VLOOKUP($C519,'ASDR FY2'!$A:$X,H$16,FALSE)/1000</f>
        <v>341.97188</v>
      </c>
      <c r="I519" s="8"/>
      <c r="J519" s="7">
        <f>VLOOKUP($C519,'ASDR FY2'!$A:$X,J$16,FALSE)/1000</f>
        <v>0</v>
      </c>
      <c r="K519" s="9"/>
      <c r="L519" s="7">
        <f>VLOOKUP($C519,'ASDR FY2'!$A:$X,L$16,FALSE)/1000</f>
        <v>0</v>
      </c>
      <c r="M519" s="9"/>
      <c r="N519" s="7">
        <f>VLOOKUP($C519,'ASDR FY2'!$A:$X,N$15,FALSE)/1000+VLOOKUP($C519,'ASDR FY2'!$A:$X,N$16,FALSE)/1000</f>
        <v>0</v>
      </c>
      <c r="O519" s="8"/>
      <c r="P519" s="7">
        <f>SUM(H519,J519,L519,N519)</f>
        <v>341.97188</v>
      </c>
      <c r="Q519" s="9"/>
      <c r="R519" s="7">
        <f>VLOOKUP($C519,'ASDR FY2'!$A:$X,R$16,FALSE)/1000</f>
        <v>341.97188</v>
      </c>
    </row>
    <row r="520" spans="1:18" ht="13.8" thickBot="1" x14ac:dyDescent="0.3">
      <c r="A520" s="116">
        <f t="shared" si="12"/>
        <v>34</v>
      </c>
      <c r="B520" s="122"/>
      <c r="D520" s="137" t="s">
        <v>208</v>
      </c>
      <c r="F520" s="127"/>
      <c r="H520" s="63">
        <f>SUM(H517:H519)</f>
        <v>7484.82276</v>
      </c>
      <c r="I520" s="14"/>
      <c r="J520" s="63">
        <f>SUM(J517:J519)</f>
        <v>0</v>
      </c>
      <c r="K520" s="14"/>
      <c r="L520" s="63">
        <f>SUM(L517:L519)</f>
        <v>0</v>
      </c>
      <c r="M520" s="14"/>
      <c r="N520" s="63">
        <f>SUM(N517:N519)</f>
        <v>0</v>
      </c>
      <c r="O520" s="14"/>
      <c r="P520" s="63">
        <f>SUM(P517:P519)</f>
        <v>7484.82276</v>
      </c>
      <c r="Q520" s="14"/>
      <c r="R520" s="63">
        <f>SUM(R517:R519)</f>
        <v>7484.82276</v>
      </c>
    </row>
    <row r="521" spans="1:18" ht="13.8" thickTop="1" x14ac:dyDescent="0.25">
      <c r="A521" s="116">
        <f t="shared" si="12"/>
        <v>35</v>
      </c>
      <c r="B521" s="122"/>
      <c r="F521" s="127"/>
      <c r="O521" s="113"/>
    </row>
    <row r="522" spans="1:18" x14ac:dyDescent="0.25">
      <c r="A522" s="116">
        <f t="shared" si="12"/>
        <v>36</v>
      </c>
      <c r="B522" s="122"/>
      <c r="C522" s="116">
        <v>10200</v>
      </c>
      <c r="D522" s="16" t="s">
        <v>209</v>
      </c>
      <c r="F522" s="126">
        <f>VLOOKUP($C522,'ASDR FY2'!$A:$X,F$16,FALSE)*100</f>
        <v>0</v>
      </c>
      <c r="G522" s="113"/>
      <c r="H522" s="7">
        <f>VLOOKUP($C522,'ASDR FY2'!$A:$X,H$16,FALSE)/1000</f>
        <v>0</v>
      </c>
      <c r="I522" s="8"/>
      <c r="J522" s="7">
        <f>VLOOKUP($C522,'ASDR FY2'!$A:$X,J$16,FALSE)/1000</f>
        <v>0</v>
      </c>
      <c r="K522" s="9"/>
      <c r="L522" s="7">
        <f>VLOOKUP($C522,'ASDR FY2'!$A:$X,L$16,FALSE)/1000</f>
        <v>0</v>
      </c>
      <c r="M522" s="9"/>
      <c r="N522" s="7">
        <f>VLOOKUP($C522,'ASDR FY2'!$A:$X,N$15,FALSE)/1000+VLOOKUP($C522,'ASDR FY2'!$A:$X,N$16,FALSE)/1000</f>
        <v>0</v>
      </c>
      <c r="O522" s="8"/>
      <c r="P522" s="7">
        <f>SUM(H522,J522,L522,N522)</f>
        <v>0</v>
      </c>
      <c r="Q522" s="9"/>
      <c r="R522" s="7">
        <f>VLOOKUP($C522,'ASDR FY2'!$A:$X,R$16,FALSE)/1000</f>
        <v>0</v>
      </c>
    </row>
    <row r="523" spans="1:18" x14ac:dyDescent="0.25">
      <c r="A523" s="116">
        <f t="shared" si="12"/>
        <v>37</v>
      </c>
      <c r="B523" s="122"/>
      <c r="C523" s="116">
        <v>10501</v>
      </c>
      <c r="D523" s="35" t="s">
        <v>210</v>
      </c>
      <c r="F523" s="126">
        <f>VLOOKUP($C523,'ASDR FY2'!$A:$X,F$16,FALSE)*100</f>
        <v>0</v>
      </c>
      <c r="G523" s="113"/>
      <c r="H523" s="7">
        <f>VLOOKUP($C523,'ASDR FY2'!$A:$X,H$16,FALSE)/1000</f>
        <v>64262.399530000002</v>
      </c>
      <c r="I523" s="8"/>
      <c r="J523" s="7">
        <f>VLOOKUP($C523,'ASDR FY2'!$A:$X,J$16,FALSE)/1000</f>
        <v>6502.5527400000001</v>
      </c>
      <c r="K523" s="9"/>
      <c r="L523" s="7">
        <f>VLOOKUP($C523,'ASDR FY2'!$A:$X,L$16,FALSE)/1000</f>
        <v>0</v>
      </c>
      <c r="M523" s="9"/>
      <c r="N523" s="7">
        <f>VLOOKUP($C523,'ASDR FY2'!$A:$X,N$15,FALSE)/1000+VLOOKUP($C523,'ASDR FY2'!$A:$X,N$16,FALSE)/1000</f>
        <v>0</v>
      </c>
      <c r="O523" s="8"/>
      <c r="P523" s="7">
        <f>SUM(H523,J523,L523,N523)</f>
        <v>70764.952270000009</v>
      </c>
      <c r="Q523" s="9"/>
      <c r="R523" s="7">
        <f>VLOOKUP($C523,'ASDR FY2'!$A:$X,R$16,FALSE)/1000</f>
        <v>69494.543310000008</v>
      </c>
    </row>
    <row r="524" spans="1:18" x14ac:dyDescent="0.25">
      <c r="A524" s="116">
        <f t="shared" si="12"/>
        <v>38</v>
      </c>
      <c r="B524" s="122"/>
      <c r="F524" s="127"/>
      <c r="O524" s="113"/>
    </row>
    <row r="525" spans="1:18" x14ac:dyDescent="0.25">
      <c r="A525" s="116">
        <f t="shared" si="12"/>
        <v>39</v>
      </c>
      <c r="B525" s="122"/>
      <c r="C525" s="116">
        <v>10803</v>
      </c>
      <c r="D525" s="111" t="s">
        <v>211</v>
      </c>
      <c r="F525" s="126">
        <f>VLOOKUP($C525,'ASDR FY2'!$A:$X,F$16,FALSE)*100</f>
        <v>0</v>
      </c>
      <c r="G525" s="113"/>
      <c r="H525" s="7">
        <f>VLOOKUP($C525,'ASDR FY2'!$A:$X,H$16,FALSE)/1000-H526</f>
        <v>0</v>
      </c>
      <c r="I525" s="8"/>
      <c r="J525" s="7">
        <f>VLOOKUP($C525,'ASDR FY2'!$A:$X,J$16,FALSE)/1000-J526</f>
        <v>0</v>
      </c>
      <c r="K525" s="9"/>
      <c r="L525" s="7">
        <f>VLOOKUP($C525,'ASDR FY2'!$A:$X,L$16,FALSE)/1000-L526</f>
        <v>0</v>
      </c>
      <c r="M525" s="9"/>
      <c r="N525" s="7">
        <f>VLOOKUP($C525,'ASDR FY2'!$A:$X,N$16,FALSE)/1000-N526</f>
        <v>0</v>
      </c>
      <c r="O525" s="8"/>
      <c r="P525" s="7">
        <f>SUM(H525,J525,L525,N525)</f>
        <v>0</v>
      </c>
      <c r="Q525" s="9"/>
      <c r="R525" s="7">
        <f>VLOOKUP($C525,'ASDR FY2'!$A:$X,R$16,FALSE)/1000-R526</f>
        <v>0</v>
      </c>
    </row>
    <row r="526" spans="1:18" x14ac:dyDescent="0.25">
      <c r="A526" s="116">
        <f t="shared" si="12"/>
        <v>40</v>
      </c>
      <c r="B526" s="122"/>
      <c r="D526" s="111" t="s">
        <v>212</v>
      </c>
      <c r="F526" s="126">
        <v>0</v>
      </c>
      <c r="G526" s="113"/>
      <c r="H526" s="7">
        <v>0</v>
      </c>
      <c r="I526" s="8"/>
      <c r="J526" s="7">
        <v>0</v>
      </c>
      <c r="K526" s="9"/>
      <c r="L526" s="7">
        <v>0</v>
      </c>
      <c r="M526" s="9"/>
      <c r="N526" s="7">
        <v>0</v>
      </c>
      <c r="O526" s="8"/>
      <c r="P526" s="7">
        <f>SUM(H526,J526,L526,N526)</f>
        <v>0</v>
      </c>
      <c r="Q526" s="9"/>
      <c r="R526" s="7">
        <v>0</v>
      </c>
    </row>
    <row r="527" spans="1:18" ht="13.8" thickBot="1" x14ac:dyDescent="0.3">
      <c r="A527" s="116">
        <f t="shared" si="12"/>
        <v>41</v>
      </c>
      <c r="B527" s="122"/>
      <c r="D527" s="111" t="s">
        <v>213</v>
      </c>
      <c r="H527" s="156">
        <f>SUM(H525:H526)</f>
        <v>0</v>
      </c>
      <c r="J527" s="156">
        <f>SUM(J525:J526)</f>
        <v>0</v>
      </c>
      <c r="L527" s="156">
        <f>SUM(L525:L526)</f>
        <v>0</v>
      </c>
      <c r="N527" s="156">
        <f>SUM(N525:N526)</f>
        <v>0</v>
      </c>
      <c r="O527" s="113"/>
      <c r="P527" s="156">
        <f>SUM(P525:P526)</f>
        <v>0</v>
      </c>
      <c r="R527" s="156">
        <f>SUM(R525:R526)</f>
        <v>0</v>
      </c>
    </row>
    <row r="528" spans="1:18" ht="13.8" thickTop="1" x14ac:dyDescent="0.25">
      <c r="A528" s="116">
        <f t="shared" si="12"/>
        <v>42</v>
      </c>
      <c r="B528" s="122"/>
      <c r="O528" s="113"/>
    </row>
    <row r="529" spans="1:18" ht="13.8" thickBot="1" x14ac:dyDescent="0.3">
      <c r="A529" s="116">
        <f t="shared" si="12"/>
        <v>43</v>
      </c>
      <c r="B529" s="122"/>
      <c r="D529" s="128" t="s">
        <v>214</v>
      </c>
      <c r="E529" s="128"/>
      <c r="H529" s="27">
        <f>SUM(H514,H520,H522,H523,H527)</f>
        <v>13715880.830869999</v>
      </c>
      <c r="J529" s="27">
        <f>SUM(J514,J520,J522,J523,J527)</f>
        <v>1960089.0511</v>
      </c>
      <c r="K529" s="12"/>
      <c r="L529" s="27">
        <f>SUM(L514,L520,L522,L523,L527)</f>
        <v>-150203.56679000001</v>
      </c>
      <c r="M529" s="12"/>
      <c r="N529" s="27">
        <f>SUM(N514,N520,N522,N523,N527)</f>
        <v>-2175.7643400000002</v>
      </c>
      <c r="O529" s="12"/>
      <c r="P529" s="27">
        <f>SUM(P514,P520,P522,P523,P527)</f>
        <v>15523590.55084</v>
      </c>
      <c r="Q529" s="12"/>
      <c r="R529" s="27">
        <f>SUM(R514,R520,R522,R523,R527)</f>
        <v>14540829.94107</v>
      </c>
    </row>
    <row r="530" spans="1:18" ht="14.4" thickTop="1" thickBot="1" x14ac:dyDescent="0.3">
      <c r="A530" s="117">
        <f t="shared" si="12"/>
        <v>44</v>
      </c>
      <c r="B530" s="19" t="s">
        <v>59</v>
      </c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32"/>
      <c r="P530" s="110"/>
      <c r="Q530" s="110"/>
      <c r="R530" s="110"/>
    </row>
    <row r="531" spans="1:18" x14ac:dyDescent="0.25">
      <c r="A531" s="111" t="str">
        <f>$A$59</f>
        <v>Supporting Schedules:  B-08, B-11</v>
      </c>
      <c r="O531" s="113"/>
      <c r="P531" s="111" t="str">
        <f>$P$59</f>
        <v>Recap Schedules:  B-03, B-06</v>
      </c>
    </row>
    <row r="532" spans="1:18" ht="13.8" thickBot="1" x14ac:dyDescent="0.3">
      <c r="A532" s="110" t="str">
        <f>$A$1</f>
        <v>SCHEDULE B-07</v>
      </c>
      <c r="B532" s="110"/>
      <c r="C532" s="110"/>
      <c r="D532" s="110"/>
      <c r="E532" s="110"/>
      <c r="F532" s="110"/>
      <c r="G532" s="110" t="str">
        <f>$G$1</f>
        <v>PLANT BALANCES BY ACCOUNT AND SUB-ACCOUNT</v>
      </c>
      <c r="H532" s="110"/>
      <c r="I532" s="110"/>
      <c r="J532" s="110"/>
      <c r="K532" s="110"/>
      <c r="L532" s="110"/>
      <c r="M532" s="110"/>
      <c r="N532" s="110"/>
      <c r="O532" s="132"/>
      <c r="P532" s="110"/>
      <c r="Q532" s="110"/>
      <c r="R532" s="110" t="str">
        <f>"Page 10 of " &amp; $P$1</f>
        <v>Page 10 of 30</v>
      </c>
    </row>
    <row r="533" spans="1:18" x14ac:dyDescent="0.25">
      <c r="A533" s="111" t="str">
        <f>$A$2</f>
        <v>FLORIDA PUBLIC SERVICE COMMISSION</v>
      </c>
      <c r="B533" s="133"/>
      <c r="E533" s="113" t="str">
        <f>$E$2</f>
        <v xml:space="preserve">                  EXPLANATION:</v>
      </c>
      <c r="F533" s="111" t="str">
        <f>IF($F$2="","",$F$2)</f>
        <v>Provide the depreciation rate and plant balances for each account or sub-account to which</v>
      </c>
      <c r="J533" s="134"/>
      <c r="K533" s="134"/>
      <c r="M533" s="134"/>
      <c r="N533" s="134"/>
      <c r="O533" s="135"/>
      <c r="P533" s="111" t="str">
        <f>$P$2</f>
        <v>Type of data shown:</v>
      </c>
      <c r="R533" s="112"/>
    </row>
    <row r="534" spans="1:18" x14ac:dyDescent="0.25">
      <c r="B534" s="133"/>
      <c r="F534" s="111" t="str">
        <f>IF($F$3="","",$F$3)</f>
        <v>a separate depreciation rate is prescribed. (Include Amortization/Recovery schedule amounts).</v>
      </c>
      <c r="J534" s="113"/>
      <c r="K534" s="112"/>
      <c r="N534" s="113"/>
      <c r="O534" s="113" t="str">
        <f>IF($O$3=0,"",$O$3)</f>
        <v>XX</v>
      </c>
      <c r="P534" s="112" t="str">
        <f>$P$3</f>
        <v>Projected Test Year Ended 12/31/2025</v>
      </c>
      <c r="R534" s="113"/>
    </row>
    <row r="535" spans="1:18" x14ac:dyDescent="0.25">
      <c r="A535" s="111" t="str">
        <f>$A$4</f>
        <v>COMPANY: TAMPA ELECTRIC COMPANY</v>
      </c>
      <c r="B535" s="133"/>
      <c r="F535" s="111" t="str">
        <f>IF(+$F$4="","",$F$4)</f>
        <v/>
      </c>
      <c r="J535" s="113"/>
      <c r="K535" s="112"/>
      <c r="L535" s="113"/>
      <c r="O535" s="113" t="str">
        <f>IF($O$4=0,"",$O$4)</f>
        <v/>
      </c>
      <c r="P535" s="112" t="str">
        <f>$P$4</f>
        <v>Projected Prior Year Ended 12/31/2024</v>
      </c>
      <c r="R535" s="113"/>
    </row>
    <row r="536" spans="1:18" x14ac:dyDescent="0.25">
      <c r="B536" s="133"/>
      <c r="F536" s="111" t="str">
        <f>IF(+$F$5="","",$F$5)</f>
        <v/>
      </c>
      <c r="J536" s="113"/>
      <c r="K536" s="112"/>
      <c r="L536" s="113"/>
      <c r="O536" s="113" t="str">
        <f>IF($O$5=0,"",$O$5)</f>
        <v/>
      </c>
      <c r="P536" s="112" t="str">
        <f>$P$5</f>
        <v>Historical Prior Year Ended 12/31/2023</v>
      </c>
      <c r="R536" s="113"/>
    </row>
    <row r="537" spans="1:18" x14ac:dyDescent="0.25">
      <c r="J537" s="113"/>
      <c r="K537" s="112"/>
      <c r="L537" s="113"/>
      <c r="O537" s="113"/>
      <c r="P537" s="161" t="s">
        <v>572</v>
      </c>
      <c r="R537" s="113"/>
    </row>
    <row r="538" spans="1:18" x14ac:dyDescent="0.25">
      <c r="J538" s="113"/>
      <c r="K538" s="112"/>
      <c r="L538" s="113"/>
      <c r="O538" s="113"/>
      <c r="P538" s="161" t="s">
        <v>573</v>
      </c>
      <c r="R538" s="113"/>
    </row>
    <row r="539" spans="1:18" x14ac:dyDescent="0.25">
      <c r="J539" s="113"/>
      <c r="K539" s="112"/>
      <c r="L539" s="113"/>
      <c r="O539" s="113"/>
      <c r="P539" s="161" t="s">
        <v>574</v>
      </c>
      <c r="R539" s="113"/>
    </row>
    <row r="540" spans="1:18" ht="13.8" thickBot="1" x14ac:dyDescent="0.3">
      <c r="A540" s="158" t="s">
        <v>576</v>
      </c>
      <c r="B540" s="110"/>
      <c r="C540" s="110"/>
      <c r="D540" s="110"/>
      <c r="E540" s="110"/>
      <c r="F540" s="110"/>
      <c r="G540" s="110"/>
      <c r="H540" s="117" t="s">
        <v>12</v>
      </c>
      <c r="I540" s="110"/>
      <c r="J540" s="110"/>
      <c r="K540" s="110"/>
      <c r="L540" s="110"/>
      <c r="M540" s="110"/>
      <c r="N540" s="110"/>
      <c r="O540" s="132"/>
      <c r="P540" s="162" t="s">
        <v>575</v>
      </c>
      <c r="Q540" s="110"/>
      <c r="R540" s="110"/>
    </row>
    <row r="541" spans="1:18" x14ac:dyDescent="0.25">
      <c r="C541" s="11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5"/>
      <c r="P541" s="114"/>
      <c r="Q541" s="114"/>
      <c r="R541" s="114"/>
    </row>
    <row r="542" spans="1:18" x14ac:dyDescent="0.25">
      <c r="C542" s="114" t="s">
        <v>13</v>
      </c>
      <c r="D542" s="114" t="s">
        <v>14</v>
      </c>
      <c r="E542" s="114"/>
      <c r="F542" s="114" t="s">
        <v>15</v>
      </c>
      <c r="G542" s="114"/>
      <c r="H542" s="114" t="s">
        <v>16</v>
      </c>
      <c r="I542" s="114"/>
      <c r="J542" s="116" t="s">
        <v>17</v>
      </c>
      <c r="K542" s="116"/>
      <c r="L542" s="114" t="s">
        <v>18</v>
      </c>
      <c r="M542" s="114"/>
      <c r="N542" s="114" t="s">
        <v>19</v>
      </c>
      <c r="O542" s="115"/>
      <c r="P542" s="114" t="s">
        <v>20</v>
      </c>
      <c r="Q542" s="114"/>
      <c r="R542" s="114" t="s">
        <v>21</v>
      </c>
    </row>
    <row r="543" spans="1:18" x14ac:dyDescent="0.25">
      <c r="C543" s="116" t="s">
        <v>22</v>
      </c>
      <c r="D543" s="116" t="s">
        <v>22</v>
      </c>
      <c r="F543" s="116" t="s">
        <v>23</v>
      </c>
      <c r="G543" s="116"/>
      <c r="H543" s="114" t="s">
        <v>24</v>
      </c>
      <c r="I543" s="116"/>
      <c r="J543" s="114" t="s">
        <v>25</v>
      </c>
      <c r="K543" s="116"/>
      <c r="L543" s="116" t="s">
        <v>25</v>
      </c>
      <c r="M543" s="116"/>
      <c r="O543" s="113"/>
      <c r="P543" s="116" t="s">
        <v>24</v>
      </c>
      <c r="R543" s="116"/>
    </row>
    <row r="544" spans="1:18" x14ac:dyDescent="0.25">
      <c r="A544" s="116" t="s">
        <v>26</v>
      </c>
      <c r="B544" s="116"/>
      <c r="C544" s="116" t="s">
        <v>27</v>
      </c>
      <c r="D544" s="116" t="s">
        <v>27</v>
      </c>
      <c r="E544" s="114"/>
      <c r="F544" s="116" t="s">
        <v>28</v>
      </c>
      <c r="G544" s="116"/>
      <c r="H544" s="116" t="s">
        <v>29</v>
      </c>
      <c r="I544" s="116"/>
      <c r="J544" s="116" t="s">
        <v>24</v>
      </c>
      <c r="K544" s="114"/>
      <c r="L544" s="116" t="s">
        <v>24</v>
      </c>
      <c r="M544" s="112"/>
      <c r="N544" s="116" t="s">
        <v>30</v>
      </c>
      <c r="O544" s="115"/>
      <c r="P544" s="114" t="s">
        <v>29</v>
      </c>
      <c r="Q544" s="114"/>
      <c r="R544" s="116" t="s">
        <v>31</v>
      </c>
    </row>
    <row r="545" spans="1:18" ht="13.8" thickBot="1" x14ac:dyDescent="0.3">
      <c r="A545" s="117" t="s">
        <v>32</v>
      </c>
      <c r="B545" s="117"/>
      <c r="C545" s="117" t="s">
        <v>33</v>
      </c>
      <c r="D545" s="117" t="s">
        <v>34</v>
      </c>
      <c r="E545" s="117"/>
      <c r="F545" s="118" t="s">
        <v>35</v>
      </c>
      <c r="G545" s="118"/>
      <c r="H545" s="118" t="s">
        <v>36</v>
      </c>
      <c r="I545" s="119"/>
      <c r="J545" s="118" t="s">
        <v>37</v>
      </c>
      <c r="K545" s="119"/>
      <c r="L545" s="119" t="s">
        <v>38</v>
      </c>
      <c r="M545" s="120"/>
      <c r="N545" s="120" t="s">
        <v>39</v>
      </c>
      <c r="O545" s="121"/>
      <c r="P545" s="120" t="s">
        <v>40</v>
      </c>
      <c r="Q545" s="120"/>
      <c r="R545" s="120" t="s">
        <v>41</v>
      </c>
    </row>
    <row r="546" spans="1:18" x14ac:dyDescent="0.25">
      <c r="A546" s="116">
        <v>1</v>
      </c>
      <c r="B546" s="122"/>
      <c r="O546" s="113"/>
    </row>
    <row r="547" spans="1:18" x14ac:dyDescent="0.25">
      <c r="A547" s="116">
        <f>A546+1</f>
        <v>2</v>
      </c>
      <c r="B547" s="122"/>
      <c r="O547" s="113"/>
    </row>
    <row r="548" spans="1:18" x14ac:dyDescent="0.25">
      <c r="A548" s="116">
        <f t="shared" ref="A548:A589" si="13">A547+1</f>
        <v>3</v>
      </c>
      <c r="B548" s="122"/>
      <c r="D548" s="111" t="s">
        <v>78</v>
      </c>
      <c r="F548" s="4"/>
      <c r="G548" s="4"/>
      <c r="H548" s="4">
        <f>H139</f>
        <v>1470824.9526399998</v>
      </c>
      <c r="I548" s="4"/>
      <c r="J548" s="4">
        <f>J139</f>
        <v>18434.255680000002</v>
      </c>
      <c r="K548" s="4"/>
      <c r="L548" s="4">
        <f>L139</f>
        <v>-3724.44238</v>
      </c>
      <c r="M548" s="4"/>
      <c r="N548" s="4">
        <f>N139</f>
        <v>0</v>
      </c>
      <c r="O548" s="12"/>
      <c r="P548" s="4">
        <f>P139</f>
        <v>1485534.7659400001</v>
      </c>
      <c r="Q548" s="4"/>
      <c r="R548" s="4">
        <f>R139</f>
        <v>1476690.8798599998</v>
      </c>
    </row>
    <row r="549" spans="1:18" x14ac:dyDescent="0.25">
      <c r="A549" s="116">
        <f t="shared" si="13"/>
        <v>4</v>
      </c>
      <c r="B549" s="122"/>
      <c r="F549" s="4"/>
      <c r="G549" s="4"/>
      <c r="H549" s="4"/>
      <c r="I549" s="4"/>
      <c r="J549" s="4"/>
      <c r="K549" s="4"/>
      <c r="L549" s="4"/>
      <c r="M549" s="4"/>
      <c r="N549" s="4"/>
      <c r="O549" s="12"/>
      <c r="P549" s="4"/>
      <c r="Q549" s="4"/>
      <c r="R549" s="4"/>
    </row>
    <row r="550" spans="1:18" x14ac:dyDescent="0.25">
      <c r="A550" s="116">
        <f t="shared" si="13"/>
        <v>5</v>
      </c>
      <c r="B550" s="122"/>
      <c r="D550" s="111" t="s">
        <v>132</v>
      </c>
      <c r="F550" s="4"/>
      <c r="G550" s="4"/>
      <c r="H550" s="10">
        <f>H393</f>
        <v>5434493.0553100007</v>
      </c>
      <c r="I550" s="4"/>
      <c r="J550" s="10">
        <f>J393</f>
        <v>668703.36752000009</v>
      </c>
      <c r="K550" s="4"/>
      <c r="L550" s="10">
        <f>L393</f>
        <v>-22082.575860000001</v>
      </c>
      <c r="M550" s="4"/>
      <c r="N550" s="10">
        <f>N393</f>
        <v>0</v>
      </c>
      <c r="O550" s="12"/>
      <c r="P550" s="10">
        <f>P393</f>
        <v>6081113.8469699994</v>
      </c>
      <c r="Q550" s="4"/>
      <c r="R550" s="10">
        <f>R393</f>
        <v>5716457.4316000007</v>
      </c>
    </row>
    <row r="551" spans="1:18" x14ac:dyDescent="0.25">
      <c r="A551" s="116">
        <f t="shared" si="13"/>
        <v>6</v>
      </c>
      <c r="B551" s="122"/>
      <c r="F551" s="4"/>
      <c r="G551" s="4"/>
      <c r="H551" s="17"/>
      <c r="I551" s="4"/>
      <c r="J551" s="17"/>
      <c r="K551" s="4"/>
      <c r="L551" s="17"/>
      <c r="M551" s="4"/>
      <c r="N551" s="17"/>
      <c r="O551" s="12"/>
      <c r="P551" s="17"/>
      <c r="Q551" s="4"/>
      <c r="R551" s="17"/>
    </row>
    <row r="552" spans="1:18" ht="13.8" thickBot="1" x14ac:dyDescent="0.3">
      <c r="A552" s="116">
        <f t="shared" si="13"/>
        <v>7</v>
      </c>
      <c r="B552" s="122"/>
      <c r="D552" s="111" t="s">
        <v>133</v>
      </c>
      <c r="F552" s="4"/>
      <c r="G552" s="4"/>
      <c r="H552" s="18">
        <f>SUM(H548,H550)</f>
        <v>6905318.0079500005</v>
      </c>
      <c r="I552" s="4"/>
      <c r="J552" s="18">
        <f>SUM(J548,J550)</f>
        <v>687137.62320000003</v>
      </c>
      <c r="K552" s="4"/>
      <c r="L552" s="18">
        <f>SUM(L548,L550)</f>
        <v>-25807.018240000001</v>
      </c>
      <c r="M552" s="4"/>
      <c r="N552" s="18">
        <f>SUM(N548,N550)</f>
        <v>0</v>
      </c>
      <c r="O552" s="12"/>
      <c r="P552" s="18">
        <f>SUM(P548,P550)</f>
        <v>7566648.6129099997</v>
      </c>
      <c r="Q552" s="4"/>
      <c r="R552" s="18">
        <f>SUM(R548,R550)</f>
        <v>7193148.3114600005</v>
      </c>
    </row>
    <row r="553" spans="1:18" ht="13.8" thickTop="1" x14ac:dyDescent="0.25">
      <c r="A553" s="116">
        <f t="shared" si="13"/>
        <v>8</v>
      </c>
      <c r="B553" s="122"/>
      <c r="F553" s="4"/>
      <c r="G553" s="4"/>
      <c r="H553" s="4"/>
      <c r="I553" s="4"/>
      <c r="J553" s="4"/>
      <c r="K553" s="4"/>
      <c r="L553" s="4"/>
      <c r="M553" s="4"/>
      <c r="N553" s="4"/>
      <c r="O553" s="12"/>
      <c r="P553" s="4"/>
      <c r="Q553" s="4"/>
      <c r="R553" s="4"/>
    </row>
    <row r="554" spans="1:18" x14ac:dyDescent="0.25">
      <c r="A554" s="116">
        <f t="shared" si="13"/>
        <v>9</v>
      </c>
      <c r="B554" s="122"/>
      <c r="D554" s="111" t="s">
        <v>146</v>
      </c>
      <c r="F554" s="4"/>
      <c r="G554" s="4"/>
      <c r="H554" s="4">
        <f>H409</f>
        <v>1269708.6412600002</v>
      </c>
      <c r="I554" s="4"/>
      <c r="J554" s="4">
        <f>J409</f>
        <v>159412.26973</v>
      </c>
      <c r="K554" s="4"/>
      <c r="L554" s="4">
        <f>L409</f>
        <v>-17107.140590000003</v>
      </c>
      <c r="M554" s="4"/>
      <c r="N554" s="4">
        <f>N409</f>
        <v>0</v>
      </c>
      <c r="O554" s="12"/>
      <c r="P554" s="4">
        <f>P409</f>
        <v>1412013.7703999998</v>
      </c>
      <c r="Q554" s="4"/>
      <c r="R554" s="4">
        <f>R409</f>
        <v>1316495.31443</v>
      </c>
    </row>
    <row r="555" spans="1:18" x14ac:dyDescent="0.25">
      <c r="A555" s="116">
        <f t="shared" si="13"/>
        <v>10</v>
      </c>
      <c r="B555" s="122"/>
      <c r="F555" s="4"/>
      <c r="G555" s="4"/>
      <c r="H555" s="4"/>
      <c r="I555" s="4"/>
      <c r="J555" s="4"/>
      <c r="K555" s="4"/>
      <c r="L555" s="4"/>
      <c r="M555" s="4"/>
      <c r="N555" s="4"/>
      <c r="O555" s="12"/>
      <c r="P555" s="4"/>
      <c r="Q555" s="4"/>
      <c r="R555" s="4"/>
    </row>
    <row r="556" spans="1:18" x14ac:dyDescent="0.25">
      <c r="A556" s="116">
        <f t="shared" si="13"/>
        <v>11</v>
      </c>
      <c r="B556" s="122"/>
      <c r="D556" s="111" t="s">
        <v>157</v>
      </c>
      <c r="F556" s="4"/>
      <c r="G556" s="4"/>
      <c r="H556" s="4">
        <f>H446</f>
        <v>4087367.0723999995</v>
      </c>
      <c r="I556" s="4"/>
      <c r="J556" s="4">
        <f>J446</f>
        <v>426044.38670999999</v>
      </c>
      <c r="K556" s="4"/>
      <c r="L556" s="4">
        <f>L446</f>
        <v>-60324.266820000004</v>
      </c>
      <c r="M556" s="4"/>
      <c r="N556" s="4">
        <f>N446</f>
        <v>0</v>
      </c>
      <c r="O556" s="12"/>
      <c r="P556" s="4">
        <f>P446</f>
        <v>4453087.1922900006</v>
      </c>
      <c r="Q556" s="4"/>
      <c r="R556" s="4">
        <f>R446</f>
        <v>4263250.7829100005</v>
      </c>
    </row>
    <row r="557" spans="1:18" x14ac:dyDescent="0.25">
      <c r="A557" s="116">
        <f t="shared" si="13"/>
        <v>12</v>
      </c>
      <c r="B557" s="122"/>
      <c r="F557" s="4"/>
      <c r="G557" s="4"/>
      <c r="H557" s="4"/>
      <c r="I557" s="4"/>
      <c r="J557" s="4"/>
      <c r="K557" s="4"/>
      <c r="L557" s="4"/>
      <c r="M557" s="4"/>
      <c r="N557" s="4"/>
      <c r="O557" s="12"/>
      <c r="P557" s="4"/>
      <c r="Q557" s="4"/>
      <c r="R557" s="4"/>
    </row>
    <row r="558" spans="1:18" x14ac:dyDescent="0.25">
      <c r="A558" s="116">
        <f t="shared" si="13"/>
        <v>13</v>
      </c>
      <c r="B558" s="122"/>
      <c r="D558" s="111" t="s">
        <v>177</v>
      </c>
      <c r="F558" s="4"/>
      <c r="G558" s="4"/>
      <c r="H558" s="10">
        <f>H468</f>
        <v>509292.60292999982</v>
      </c>
      <c r="I558" s="4"/>
      <c r="J558" s="10">
        <f>J468</f>
        <v>558469.26490000007</v>
      </c>
      <c r="K558" s="4"/>
      <c r="L558" s="10">
        <f>L468</f>
        <v>-42164.662830000001</v>
      </c>
      <c r="M558" s="4"/>
      <c r="N558" s="10">
        <f>N468</f>
        <v>0</v>
      </c>
      <c r="O558" s="12"/>
      <c r="P558" s="10">
        <f>P468</f>
        <v>1025597.205</v>
      </c>
      <c r="Q558" s="4"/>
      <c r="R558" s="10">
        <f>R468</f>
        <v>786221.12249999982</v>
      </c>
    </row>
    <row r="559" spans="1:18" x14ac:dyDescent="0.25">
      <c r="A559" s="116">
        <f t="shared" si="13"/>
        <v>14</v>
      </c>
      <c r="B559" s="122"/>
      <c r="F559" s="4"/>
      <c r="G559" s="4"/>
      <c r="H559" s="17"/>
      <c r="I559" s="4"/>
      <c r="J559" s="17"/>
      <c r="K559" s="4"/>
      <c r="L559" s="17"/>
      <c r="M559" s="4"/>
      <c r="N559" s="17"/>
      <c r="O559" s="12"/>
      <c r="P559" s="17"/>
      <c r="Q559" s="4"/>
      <c r="R559" s="17"/>
    </row>
    <row r="560" spans="1:18" ht="13.8" thickBot="1" x14ac:dyDescent="0.3">
      <c r="A560" s="116">
        <f t="shared" si="13"/>
        <v>15</v>
      </c>
      <c r="B560" s="122"/>
      <c r="D560" s="137" t="s">
        <v>178</v>
      </c>
      <c r="F560" s="4"/>
      <c r="G560" s="4"/>
      <c r="H560" s="18">
        <f>SUM(H552,H554,H556,H558)</f>
        <v>12771686.32454</v>
      </c>
      <c r="I560" s="4"/>
      <c r="J560" s="18">
        <f>SUM(J552,J554,J556,J558)</f>
        <v>1831063.5445400001</v>
      </c>
      <c r="K560" s="4"/>
      <c r="L560" s="18">
        <f>SUM(L552,L554,L556,L558)</f>
        <v>-145403.08848000001</v>
      </c>
      <c r="M560" s="4"/>
      <c r="N560" s="18">
        <f>SUM(N552,N554,N556,N558)</f>
        <v>0</v>
      </c>
      <c r="O560" s="12"/>
      <c r="P560" s="18">
        <f>SUM(P552,P554,P556,P558)</f>
        <v>14457346.7806</v>
      </c>
      <c r="Q560" s="4"/>
      <c r="R560" s="18">
        <f>SUM(R552,R554,R556,R558)</f>
        <v>13559115.531300001</v>
      </c>
    </row>
    <row r="561" spans="1:18" ht="13.8" thickTop="1" x14ac:dyDescent="0.25">
      <c r="A561" s="116">
        <f t="shared" si="13"/>
        <v>16</v>
      </c>
      <c r="B561" s="122"/>
      <c r="F561" s="4"/>
      <c r="G561" s="4"/>
      <c r="H561" s="4"/>
      <c r="I561" s="4"/>
      <c r="J561" s="4"/>
      <c r="K561" s="4"/>
      <c r="L561" s="4"/>
      <c r="M561" s="4"/>
      <c r="N561" s="4"/>
      <c r="O561" s="12"/>
      <c r="P561" s="4"/>
      <c r="Q561" s="4"/>
      <c r="R561" s="4"/>
    </row>
    <row r="562" spans="1:18" x14ac:dyDescent="0.25">
      <c r="A562" s="116">
        <f t="shared" si="13"/>
        <v>17</v>
      </c>
      <c r="B562" s="122"/>
      <c r="D562" s="29" t="s">
        <v>187</v>
      </c>
      <c r="F562" s="4"/>
      <c r="G562" s="4"/>
      <c r="H562" s="4">
        <f>H494</f>
        <v>232083.64049000002</v>
      </c>
      <c r="I562" s="4"/>
      <c r="J562" s="4">
        <f>J494</f>
        <v>38661.066139999995</v>
      </c>
      <c r="K562" s="4"/>
      <c r="L562" s="4">
        <f>L494</f>
        <v>0</v>
      </c>
      <c r="M562" s="4"/>
      <c r="N562" s="4">
        <f>N494</f>
        <v>0</v>
      </c>
      <c r="O562" s="12"/>
      <c r="P562" s="4">
        <f>P494</f>
        <v>270744.70663000003</v>
      </c>
      <c r="Q562" s="4"/>
      <c r="R562" s="4">
        <f>R494</f>
        <v>246579.62791000001</v>
      </c>
    </row>
    <row r="563" spans="1:18" x14ac:dyDescent="0.25">
      <c r="A563" s="116">
        <f t="shared" si="13"/>
        <v>18</v>
      </c>
      <c r="B563" s="122"/>
      <c r="F563" s="4"/>
      <c r="G563" s="4"/>
      <c r="H563" s="4"/>
      <c r="I563" s="4"/>
      <c r="J563" s="4"/>
      <c r="K563" s="4"/>
      <c r="L563" s="4"/>
      <c r="M563" s="4"/>
      <c r="N563" s="4"/>
      <c r="O563" s="12"/>
      <c r="P563" s="4"/>
      <c r="Q563" s="4"/>
      <c r="R563" s="4"/>
    </row>
    <row r="564" spans="1:18" x14ac:dyDescent="0.25">
      <c r="A564" s="116">
        <f t="shared" si="13"/>
        <v>19</v>
      </c>
      <c r="B564" s="122"/>
      <c r="D564" s="137" t="s">
        <v>192</v>
      </c>
      <c r="F564" s="4"/>
      <c r="G564" s="4"/>
      <c r="H564" s="36">
        <f>H500</f>
        <v>582215.40388000011</v>
      </c>
      <c r="I564" s="36"/>
      <c r="J564" s="36">
        <f>J500</f>
        <v>83861.887680000014</v>
      </c>
      <c r="K564" s="36"/>
      <c r="L564" s="36">
        <f>L500</f>
        <v>-4800.4783099999995</v>
      </c>
      <c r="M564" s="36"/>
      <c r="N564" s="36">
        <f>N500</f>
        <v>0</v>
      </c>
      <c r="O564" s="64"/>
      <c r="P564" s="36">
        <f>P500</f>
        <v>661276.81325000012</v>
      </c>
      <c r="Q564" s="36"/>
      <c r="R564" s="36">
        <f>R500</f>
        <v>601250.20754999993</v>
      </c>
    </row>
    <row r="565" spans="1:18" x14ac:dyDescent="0.25">
      <c r="A565" s="116">
        <f t="shared" si="13"/>
        <v>20</v>
      </c>
      <c r="B565" s="122"/>
      <c r="D565" s="137"/>
      <c r="F565" s="4"/>
      <c r="G565" s="4"/>
      <c r="H565" s="36"/>
      <c r="I565" s="4"/>
      <c r="J565" s="36"/>
      <c r="K565" s="4"/>
      <c r="L565" s="36"/>
      <c r="M565" s="4"/>
      <c r="N565" s="36"/>
      <c r="O565" s="12"/>
      <c r="P565" s="36"/>
      <c r="Q565" s="4"/>
      <c r="R565" s="36"/>
    </row>
    <row r="566" spans="1:18" x14ac:dyDescent="0.25">
      <c r="A566" s="116">
        <f t="shared" si="13"/>
        <v>21</v>
      </c>
      <c r="B566" s="122"/>
      <c r="D566" s="155" t="s">
        <v>198</v>
      </c>
      <c r="H566" s="36">
        <f>H507</f>
        <v>25408.521469999996</v>
      </c>
      <c r="I566" s="36"/>
      <c r="J566" s="36">
        <f>J507</f>
        <v>0</v>
      </c>
      <c r="K566" s="36"/>
      <c r="L566" s="36">
        <f>L507</f>
        <v>0</v>
      </c>
      <c r="M566" s="36"/>
      <c r="N566" s="36">
        <f>N507</f>
        <v>0</v>
      </c>
      <c r="O566" s="64"/>
      <c r="P566" s="36">
        <f>P507</f>
        <v>25408.521469999996</v>
      </c>
      <c r="Q566" s="36"/>
      <c r="R566" s="36">
        <f>R507</f>
        <v>25408.521470000003</v>
      </c>
    </row>
    <row r="567" spans="1:18" x14ac:dyDescent="0.25">
      <c r="A567" s="116">
        <f t="shared" si="13"/>
        <v>22</v>
      </c>
      <c r="B567" s="122"/>
      <c r="O567" s="113"/>
    </row>
    <row r="568" spans="1:18" x14ac:dyDescent="0.25">
      <c r="A568" s="116">
        <f t="shared" si="13"/>
        <v>23</v>
      </c>
      <c r="B568" s="122"/>
      <c r="D568" s="111" t="s">
        <v>202</v>
      </c>
      <c r="F568" s="4"/>
      <c r="G568" s="4"/>
      <c r="H568" s="10">
        <f>H512</f>
        <v>32739.718199999999</v>
      </c>
      <c r="I568" s="4"/>
      <c r="J568" s="10">
        <f>J512</f>
        <v>0</v>
      </c>
      <c r="K568" s="4"/>
      <c r="L568" s="10">
        <f>L512</f>
        <v>0</v>
      </c>
      <c r="M568" s="4"/>
      <c r="N568" s="10">
        <f>N512</f>
        <v>-2175.7643400000002</v>
      </c>
      <c r="O568" s="12"/>
      <c r="P568" s="10">
        <f>P512</f>
        <v>30563.953859999998</v>
      </c>
      <c r="Q568" s="4"/>
      <c r="R568" s="10">
        <f>R512</f>
        <v>31496.68677</v>
      </c>
    </row>
    <row r="569" spans="1:18" x14ac:dyDescent="0.25">
      <c r="A569" s="116">
        <f t="shared" si="13"/>
        <v>24</v>
      </c>
      <c r="B569" s="122"/>
      <c r="H569" s="140"/>
      <c r="J569" s="140"/>
      <c r="L569" s="140"/>
      <c r="N569" s="140"/>
      <c r="O569" s="113"/>
      <c r="P569" s="140"/>
      <c r="R569" s="140"/>
    </row>
    <row r="570" spans="1:18" ht="13.8" thickBot="1" x14ac:dyDescent="0.3">
      <c r="A570" s="116">
        <f t="shared" si="13"/>
        <v>25</v>
      </c>
      <c r="B570" s="122"/>
      <c r="D570" s="112" t="s">
        <v>203</v>
      </c>
      <c r="F570" s="4"/>
      <c r="G570" s="4"/>
      <c r="H570" s="18">
        <f>SUM(H560,H562,H564,H566,H568)</f>
        <v>13644133.608579999</v>
      </c>
      <c r="I570" s="4"/>
      <c r="J570" s="18">
        <f>SUM(J560,J562,J564,J566,J568)</f>
        <v>1953586.4983600001</v>
      </c>
      <c r="K570" s="4"/>
      <c r="L570" s="18">
        <f>SUM(L560,L562,L564,L566,L568)</f>
        <v>-150203.56679000001</v>
      </c>
      <c r="M570" s="4"/>
      <c r="N570" s="18">
        <f>SUM(N560,N562,N564,N566,N568)</f>
        <v>-2175.7643400000002</v>
      </c>
      <c r="O570" s="12"/>
      <c r="P570" s="18">
        <f>SUM(P560,P562,P564,P566,P568)</f>
        <v>15445340.77581</v>
      </c>
      <c r="Q570" s="4"/>
      <c r="R570" s="18">
        <f>SUM(R560,R562,R564,R566,R568)</f>
        <v>14463850.574999999</v>
      </c>
    </row>
    <row r="571" spans="1:18" ht="13.8" thickTop="1" x14ac:dyDescent="0.25">
      <c r="A571" s="116">
        <f t="shared" si="13"/>
        <v>26</v>
      </c>
      <c r="B571" s="122"/>
      <c r="O571" s="113"/>
    </row>
    <row r="572" spans="1:18" x14ac:dyDescent="0.25">
      <c r="A572" s="116">
        <f t="shared" si="13"/>
        <v>27</v>
      </c>
      <c r="B572" s="122"/>
      <c r="D572" s="137" t="s">
        <v>208</v>
      </c>
      <c r="H572" s="157">
        <f>H520</f>
        <v>7484.82276</v>
      </c>
      <c r="J572" s="157">
        <f>J520</f>
        <v>0</v>
      </c>
      <c r="K572" s="4"/>
      <c r="L572" s="157">
        <f>L520</f>
        <v>0</v>
      </c>
      <c r="M572" s="4"/>
      <c r="N572" s="157">
        <f>N520</f>
        <v>0</v>
      </c>
      <c r="O572" s="12"/>
      <c r="P572" s="157">
        <f>P520</f>
        <v>7484.82276</v>
      </c>
      <c r="Q572" s="4"/>
      <c r="R572" s="157">
        <f>R520</f>
        <v>7484.82276</v>
      </c>
    </row>
    <row r="573" spans="1:18" x14ac:dyDescent="0.25">
      <c r="A573" s="116">
        <f t="shared" si="13"/>
        <v>28</v>
      </c>
      <c r="B573" s="122"/>
      <c r="F573" s="4"/>
      <c r="G573" s="4"/>
      <c r="H573" s="4"/>
      <c r="I573" s="4"/>
      <c r="J573" s="4"/>
      <c r="K573" s="4"/>
      <c r="L573" s="4"/>
      <c r="M573" s="4"/>
      <c r="N573" s="4"/>
      <c r="O573" s="12"/>
      <c r="P573" s="4"/>
      <c r="Q573" s="4"/>
      <c r="R573" s="4"/>
    </row>
    <row r="574" spans="1:18" x14ac:dyDescent="0.25">
      <c r="A574" s="116">
        <f t="shared" si="13"/>
        <v>29</v>
      </c>
      <c r="B574" s="122"/>
      <c r="D574" s="16" t="s">
        <v>209</v>
      </c>
      <c r="F574" s="4"/>
      <c r="G574" s="4"/>
      <c r="H574" s="4">
        <f>H522</f>
        <v>0</v>
      </c>
      <c r="I574" s="4"/>
      <c r="J574" s="4">
        <f>J522</f>
        <v>0</v>
      </c>
      <c r="K574" s="4"/>
      <c r="L574" s="4">
        <f>L522</f>
        <v>0</v>
      </c>
      <c r="M574" s="4"/>
      <c r="N574" s="4">
        <f>N522</f>
        <v>0</v>
      </c>
      <c r="O574" s="12"/>
      <c r="P574" s="4">
        <f>P522</f>
        <v>0</v>
      </c>
      <c r="Q574" s="4"/>
      <c r="R574" s="4">
        <f>R522</f>
        <v>0</v>
      </c>
    </row>
    <row r="575" spans="1:18" x14ac:dyDescent="0.25">
      <c r="A575" s="116">
        <f t="shared" si="13"/>
        <v>30</v>
      </c>
      <c r="B575" s="122"/>
      <c r="O575" s="113"/>
    </row>
    <row r="576" spans="1:18" x14ac:dyDescent="0.25">
      <c r="A576" s="116">
        <f t="shared" si="13"/>
        <v>31</v>
      </c>
      <c r="B576" s="122"/>
      <c r="D576" s="111" t="s">
        <v>210</v>
      </c>
      <c r="H576" s="4">
        <f>H523</f>
        <v>64262.399530000002</v>
      </c>
      <c r="J576" s="4">
        <f>J523</f>
        <v>6502.5527400000001</v>
      </c>
      <c r="L576" s="4">
        <f>L523</f>
        <v>0</v>
      </c>
      <c r="N576" s="4">
        <f>N523</f>
        <v>0</v>
      </c>
      <c r="O576" s="113"/>
      <c r="P576" s="4">
        <f>P523</f>
        <v>70764.952270000009</v>
      </c>
      <c r="R576" s="4">
        <f>R523</f>
        <v>69494.543310000008</v>
      </c>
    </row>
    <row r="577" spans="1:18" x14ac:dyDescent="0.25">
      <c r="A577" s="116">
        <f t="shared" si="13"/>
        <v>32</v>
      </c>
      <c r="B577" s="122"/>
      <c r="O577" s="113"/>
    </row>
    <row r="578" spans="1:18" x14ac:dyDescent="0.25">
      <c r="A578" s="116">
        <f t="shared" si="13"/>
        <v>33</v>
      </c>
      <c r="B578" s="122"/>
      <c r="D578" s="111" t="s">
        <v>213</v>
      </c>
      <c r="H578" s="146">
        <f>H527</f>
        <v>0</v>
      </c>
      <c r="J578" s="146">
        <f>J527</f>
        <v>0</v>
      </c>
      <c r="L578" s="146">
        <f>L527</f>
        <v>0</v>
      </c>
      <c r="N578" s="146">
        <f>N527</f>
        <v>0</v>
      </c>
      <c r="O578" s="113"/>
      <c r="P578" s="146">
        <f>P527</f>
        <v>0</v>
      </c>
      <c r="R578" s="146">
        <f>R527</f>
        <v>0</v>
      </c>
    </row>
    <row r="579" spans="1:18" x14ac:dyDescent="0.25">
      <c r="A579" s="116">
        <f t="shared" si="13"/>
        <v>34</v>
      </c>
      <c r="B579" s="122"/>
      <c r="F579" s="4"/>
      <c r="G579" s="4"/>
      <c r="H579" s="17"/>
      <c r="I579" s="4"/>
      <c r="J579" s="17"/>
      <c r="K579" s="4"/>
      <c r="L579" s="17"/>
      <c r="M579" s="4"/>
      <c r="N579" s="17"/>
      <c r="O579" s="12"/>
      <c r="P579" s="17"/>
      <c r="Q579" s="4"/>
      <c r="R579" s="17"/>
    </row>
    <row r="580" spans="1:18" ht="13.8" thickBot="1" x14ac:dyDescent="0.3">
      <c r="A580" s="116">
        <f t="shared" si="13"/>
        <v>35</v>
      </c>
      <c r="B580" s="122"/>
      <c r="D580" s="111" t="s">
        <v>214</v>
      </c>
      <c r="F580" s="4"/>
      <c r="G580" s="4"/>
      <c r="H580" s="18">
        <f>SUM(H570,H572,H574,H576,H578)</f>
        <v>13715880.830869999</v>
      </c>
      <c r="I580" s="4"/>
      <c r="J580" s="18">
        <f>SUM(J570,J572,J574,J576,J578)</f>
        <v>1960089.0511</v>
      </c>
      <c r="L580" s="18">
        <f>SUM(L570,L572,L574,L576,L578)</f>
        <v>-150203.56679000001</v>
      </c>
      <c r="N580" s="18">
        <f>SUM(N570,N572,N574,N576,N578)</f>
        <v>-2175.7643400000002</v>
      </c>
      <c r="O580" s="113"/>
      <c r="P580" s="18">
        <f>SUM(P570,P572,P574,P576,P578)</f>
        <v>15523590.55084</v>
      </c>
      <c r="R580" s="18">
        <f>SUM(R570,R572,R574,R576,R578)</f>
        <v>14540829.94107</v>
      </c>
    </row>
    <row r="581" spans="1:18" ht="13.8" thickTop="1" x14ac:dyDescent="0.25">
      <c r="A581" s="116">
        <f t="shared" si="13"/>
        <v>36</v>
      </c>
      <c r="B581" s="122"/>
      <c r="H581" s="146">
        <f>H580-H529</f>
        <v>0</v>
      </c>
      <c r="J581" s="146">
        <f>J580-J529</f>
        <v>0</v>
      </c>
      <c r="L581" s="146">
        <f>L580-L529</f>
        <v>0</v>
      </c>
      <c r="N581" s="146">
        <f>N580-N529</f>
        <v>0</v>
      </c>
      <c r="O581" s="113"/>
      <c r="P581" s="146">
        <f>P580-P529</f>
        <v>0</v>
      </c>
      <c r="R581" s="146">
        <f>R580-R529</f>
        <v>0</v>
      </c>
    </row>
    <row r="582" spans="1:18" x14ac:dyDescent="0.25">
      <c r="A582" s="116">
        <f t="shared" si="13"/>
        <v>37</v>
      </c>
      <c r="B582" s="122"/>
      <c r="H582" s="146">
        <f>H580-('ASDR FY2'!C333)/1000</f>
        <v>0</v>
      </c>
      <c r="J582" s="146">
        <f>J580-('ASDR FY2'!D333)/1000</f>
        <v>0</v>
      </c>
      <c r="L582" s="146">
        <f>L580-('ASDR FY2'!E333)/1000</f>
        <v>0</v>
      </c>
      <c r="N582" s="146">
        <f>N580-('ASDR FY2'!F333)/1000-('ASDR FY2'!G333)/1000</f>
        <v>0</v>
      </c>
      <c r="O582" s="113"/>
      <c r="P582" s="146">
        <f>P580-('ASDR FY2'!H333)/1000</f>
        <v>0</v>
      </c>
      <c r="R582" s="146">
        <f>R580-('ASDR FY2'!I333)/1000</f>
        <v>0</v>
      </c>
    </row>
    <row r="583" spans="1:18" x14ac:dyDescent="0.25">
      <c r="A583" s="116">
        <f t="shared" si="13"/>
        <v>38</v>
      </c>
      <c r="B583" s="122"/>
      <c r="O583" s="113"/>
    </row>
    <row r="584" spans="1:18" x14ac:dyDescent="0.25">
      <c r="A584" s="116">
        <f t="shared" si="13"/>
        <v>39</v>
      </c>
      <c r="B584" s="130"/>
      <c r="O584" s="113"/>
    </row>
    <row r="585" spans="1:18" x14ac:dyDescent="0.25">
      <c r="A585" s="116">
        <f t="shared" si="13"/>
        <v>40</v>
      </c>
      <c r="B585" s="130"/>
      <c r="O585" s="113"/>
    </row>
    <row r="586" spans="1:18" x14ac:dyDescent="0.25">
      <c r="A586" s="116">
        <f t="shared" si="13"/>
        <v>41</v>
      </c>
      <c r="B586" s="130"/>
      <c r="O586" s="113"/>
    </row>
    <row r="587" spans="1:18" x14ac:dyDescent="0.25">
      <c r="A587" s="116">
        <f t="shared" si="13"/>
        <v>42</v>
      </c>
      <c r="B587" s="130"/>
      <c r="O587" s="113"/>
    </row>
    <row r="588" spans="1:18" x14ac:dyDescent="0.25">
      <c r="A588" s="116">
        <f t="shared" si="13"/>
        <v>43</v>
      </c>
      <c r="B588" s="130"/>
      <c r="O588" s="113"/>
    </row>
    <row r="589" spans="1:18" ht="13.8" thickBot="1" x14ac:dyDescent="0.3">
      <c r="A589" s="117">
        <f t="shared" si="13"/>
        <v>44</v>
      </c>
      <c r="B589" s="19" t="s">
        <v>59</v>
      </c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32"/>
      <c r="P589" s="110"/>
      <c r="Q589" s="110"/>
      <c r="R589" s="110"/>
    </row>
    <row r="590" spans="1:18" x14ac:dyDescent="0.25">
      <c r="A590" s="111" t="str">
        <f>$A$59</f>
        <v>Supporting Schedules:  B-08, B-11</v>
      </c>
      <c r="O590" s="113"/>
      <c r="P590" s="111" t="str">
        <f>$P$59</f>
        <v>Recap Schedules:  B-03, B-06</v>
      </c>
    </row>
  </sheetData>
  <printOptions horizontalCentered="1" verticalCentered="1"/>
  <pageMargins left="0.7" right="0.7" top="0.75" bottom="0.75" header="0.3" footer="0.3"/>
  <pageSetup scale="63" fitToHeight="10" orientation="landscape" blackAndWhite="1" r:id="rId1"/>
  <rowBreaks count="9" manualBreakCount="9">
    <brk id="59" max="16383" man="1"/>
    <brk id="118" max="16383" man="1"/>
    <brk id="177" max="16383" man="1"/>
    <brk id="236" max="16383" man="1"/>
    <brk id="295" max="16383" man="1"/>
    <brk id="354" max="16383" man="1"/>
    <brk id="413" max="16383" man="1"/>
    <brk id="472" max="16383" man="1"/>
    <brk id="531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2940-B5EB-4BAC-8070-D8F9A83041FA}">
  <sheetPr codeName="Sheet41">
    <tabColor theme="6" tint="-0.499984740745262"/>
  </sheetPr>
  <dimension ref="A1:X344"/>
  <sheetViews>
    <sheetView workbookViewId="0">
      <pane ySplit="5" topLeftCell="A311" activePane="bottomLeft" state="frozen"/>
      <selection pane="bottomLeft" activeCell="C322" sqref="C322"/>
    </sheetView>
  </sheetViews>
  <sheetFormatPr defaultColWidth="9.44140625" defaultRowHeight="14.4" x14ac:dyDescent="0.3"/>
  <cols>
    <col min="1" max="1" width="12.44140625" style="99" customWidth="1"/>
    <col min="2" max="2" width="35.5546875" style="99" bestFit="1" customWidth="1"/>
    <col min="3" max="3" width="15.109375" style="99" bestFit="1" customWidth="1"/>
    <col min="4" max="4" width="14.109375" style="99" bestFit="1" customWidth="1"/>
    <col min="5" max="5" width="12.88671875" style="99" bestFit="1" customWidth="1"/>
    <col min="6" max="6" width="9.5546875" style="99" bestFit="1" customWidth="1"/>
    <col min="7" max="7" width="11.5546875" style="99" bestFit="1" customWidth="1"/>
    <col min="8" max="9" width="15.109375" style="99" bestFit="1" customWidth="1"/>
    <col min="10" max="10" width="9.5546875" style="99" bestFit="1" customWidth="1"/>
    <col min="11" max="11" width="14.6640625" style="99" bestFit="1" customWidth="1"/>
    <col min="12" max="12" width="12.6640625" style="99" bestFit="1" customWidth="1"/>
    <col min="13" max="13" width="12.88671875" style="99" bestFit="1" customWidth="1"/>
    <col min="14" max="14" width="13.5546875" style="99" bestFit="1" customWidth="1"/>
    <col min="15" max="15" width="10.6640625" style="99" bestFit="1" customWidth="1"/>
    <col min="16" max="16" width="14.5546875" style="99" bestFit="1" customWidth="1"/>
    <col min="17" max="17" width="11.6640625" style="99" bestFit="1" customWidth="1"/>
    <col min="18" max="18" width="9.5546875" style="99" bestFit="1" customWidth="1"/>
    <col min="19" max="19" width="11.6640625" style="99" bestFit="1" customWidth="1"/>
    <col min="20" max="20" width="9.6640625" style="99" bestFit="1" customWidth="1"/>
    <col min="21" max="22" width="14.6640625" style="99" bestFit="1" customWidth="1"/>
    <col min="23" max="23" width="9.5546875" style="99" bestFit="1" customWidth="1"/>
    <col min="24" max="24" width="7.5546875" style="99" bestFit="1" customWidth="1"/>
    <col min="25" max="16384" width="9.44140625" style="99"/>
  </cols>
  <sheetData>
    <row r="1" spans="1:24" ht="17.399999999999999" x14ac:dyDescent="0.3">
      <c r="A1" s="98" t="s">
        <v>215</v>
      </c>
      <c r="B1" s="98"/>
    </row>
    <row r="2" spans="1:24" x14ac:dyDescent="0.3">
      <c r="C2" s="71"/>
      <c r="D2" s="72" t="s">
        <v>216</v>
      </c>
      <c r="E2" s="73" t="s">
        <v>216</v>
      </c>
      <c r="F2" s="74" t="s">
        <v>216</v>
      </c>
      <c r="G2" s="75" t="s">
        <v>216</v>
      </c>
      <c r="H2" s="71"/>
      <c r="I2" s="71"/>
      <c r="J2" s="76"/>
      <c r="K2" s="71"/>
      <c r="L2" s="72" t="s">
        <v>216</v>
      </c>
      <c r="M2" s="73" t="s">
        <v>216</v>
      </c>
      <c r="N2" s="77" t="s">
        <v>216</v>
      </c>
      <c r="O2" s="77" t="s">
        <v>216</v>
      </c>
      <c r="P2" s="77" t="s">
        <v>216</v>
      </c>
      <c r="Q2" s="77" t="s">
        <v>216</v>
      </c>
      <c r="R2" s="74" t="s">
        <v>216</v>
      </c>
      <c r="S2" s="75" t="s">
        <v>216</v>
      </c>
      <c r="T2" s="75" t="s">
        <v>216</v>
      </c>
      <c r="U2" s="71"/>
      <c r="V2" s="71"/>
      <c r="W2" s="76"/>
      <c r="X2" s="107"/>
    </row>
    <row r="3" spans="1:24" x14ac:dyDescent="0.3">
      <c r="A3" s="78"/>
      <c r="B3" s="78"/>
      <c r="C3" s="71" t="s">
        <v>217</v>
      </c>
      <c r="D3" s="72" t="s">
        <v>217</v>
      </c>
      <c r="E3" s="73" t="s">
        <v>217</v>
      </c>
      <c r="F3" s="74" t="s">
        <v>217</v>
      </c>
      <c r="G3" s="75" t="s">
        <v>217</v>
      </c>
      <c r="H3" s="71" t="s">
        <v>217</v>
      </c>
      <c r="I3" s="71" t="s">
        <v>217</v>
      </c>
      <c r="J3" s="76" t="s">
        <v>24</v>
      </c>
      <c r="K3" s="71" t="s">
        <v>218</v>
      </c>
      <c r="L3" s="72" t="s">
        <v>218</v>
      </c>
      <c r="M3" s="73" t="s">
        <v>218</v>
      </c>
      <c r="N3" s="77" t="s">
        <v>218</v>
      </c>
      <c r="O3" s="77" t="s">
        <v>218</v>
      </c>
      <c r="P3" s="77" t="s">
        <v>218</v>
      </c>
      <c r="Q3" s="77" t="s">
        <v>218</v>
      </c>
      <c r="R3" s="74" t="s">
        <v>217</v>
      </c>
      <c r="S3" s="75" t="s">
        <v>217</v>
      </c>
      <c r="T3" s="75" t="s">
        <v>217</v>
      </c>
      <c r="U3" s="71" t="s">
        <v>217</v>
      </c>
      <c r="V3" s="71" t="s">
        <v>217</v>
      </c>
      <c r="W3" s="76" t="s">
        <v>219</v>
      </c>
      <c r="X3" s="107">
        <v>2025</v>
      </c>
    </row>
    <row r="4" spans="1:24" x14ac:dyDescent="0.3">
      <c r="A4" s="78"/>
      <c r="B4" s="78"/>
      <c r="C4" s="37">
        <v>2024</v>
      </c>
      <c r="D4" s="72" t="s">
        <v>220</v>
      </c>
      <c r="E4" s="73" t="s">
        <v>220</v>
      </c>
      <c r="F4" s="74" t="s">
        <v>220</v>
      </c>
      <c r="G4" s="75" t="s">
        <v>220</v>
      </c>
      <c r="H4" s="37">
        <v>2025</v>
      </c>
      <c r="I4" s="37">
        <v>2025</v>
      </c>
      <c r="J4" s="76" t="s">
        <v>221</v>
      </c>
      <c r="K4" s="37">
        <v>2024</v>
      </c>
      <c r="L4" s="72" t="s">
        <v>220</v>
      </c>
      <c r="M4" s="73" t="s">
        <v>220</v>
      </c>
      <c r="N4" s="77" t="s">
        <v>220</v>
      </c>
      <c r="O4" s="77" t="s">
        <v>220</v>
      </c>
      <c r="P4" s="77" t="s">
        <v>220</v>
      </c>
      <c r="Q4" s="77" t="s">
        <v>220</v>
      </c>
      <c r="R4" s="74" t="s">
        <v>220</v>
      </c>
      <c r="S4" s="75" t="s">
        <v>220</v>
      </c>
      <c r="T4" s="75" t="s">
        <v>220</v>
      </c>
      <c r="U4" s="37">
        <v>2025</v>
      </c>
      <c r="V4" s="37">
        <v>2025</v>
      </c>
      <c r="W4" s="76" t="s">
        <v>221</v>
      </c>
      <c r="X4" s="107" t="s">
        <v>222</v>
      </c>
    </row>
    <row r="5" spans="1:24" x14ac:dyDescent="0.3">
      <c r="A5" s="79" t="s">
        <v>223</v>
      </c>
      <c r="B5" s="80" t="s">
        <v>224</v>
      </c>
      <c r="C5" s="38" t="s">
        <v>221</v>
      </c>
      <c r="D5" s="81" t="s">
        <v>225</v>
      </c>
      <c r="E5" s="82" t="s">
        <v>226</v>
      </c>
      <c r="F5" s="83" t="s">
        <v>227</v>
      </c>
      <c r="G5" s="84" t="s">
        <v>228</v>
      </c>
      <c r="H5" s="79" t="s">
        <v>221</v>
      </c>
      <c r="I5" s="79" t="s">
        <v>229</v>
      </c>
      <c r="J5" s="85" t="s">
        <v>230</v>
      </c>
      <c r="K5" s="39" t="s">
        <v>221</v>
      </c>
      <c r="L5" s="81" t="s">
        <v>231</v>
      </c>
      <c r="M5" s="82" t="s">
        <v>226</v>
      </c>
      <c r="N5" s="86" t="s">
        <v>232</v>
      </c>
      <c r="O5" s="86" t="s">
        <v>233</v>
      </c>
      <c r="P5" s="86" t="s">
        <v>234</v>
      </c>
      <c r="Q5" s="86" t="s">
        <v>235</v>
      </c>
      <c r="R5" s="83" t="s">
        <v>227</v>
      </c>
      <c r="S5" s="84" t="s">
        <v>228</v>
      </c>
      <c r="T5" s="84" t="s">
        <v>236</v>
      </c>
      <c r="U5" s="79" t="s">
        <v>221</v>
      </c>
      <c r="V5" s="79" t="s">
        <v>229</v>
      </c>
      <c r="W5" s="85" t="s">
        <v>230</v>
      </c>
      <c r="X5" s="107" t="s">
        <v>237</v>
      </c>
    </row>
    <row r="6" spans="1:24" x14ac:dyDescent="0.3">
      <c r="A6" s="71">
        <v>10501</v>
      </c>
      <c r="B6" s="87" t="s">
        <v>238</v>
      </c>
      <c r="C6" s="100">
        <v>64262399.530000001</v>
      </c>
      <c r="D6" s="100">
        <v>6502552.7400000002</v>
      </c>
      <c r="E6" s="100">
        <v>0</v>
      </c>
      <c r="F6" s="100">
        <v>0</v>
      </c>
      <c r="G6" s="100">
        <v>0</v>
      </c>
      <c r="H6" s="100">
        <v>70764952.269999996</v>
      </c>
      <c r="I6" s="100">
        <v>69494543.310000002</v>
      </c>
      <c r="J6" s="101">
        <v>0</v>
      </c>
      <c r="K6" s="100">
        <v>0</v>
      </c>
      <c r="L6" s="100">
        <v>0</v>
      </c>
      <c r="M6" s="100">
        <v>0</v>
      </c>
      <c r="N6" s="100">
        <v>0</v>
      </c>
      <c r="O6" s="108"/>
      <c r="P6" s="100">
        <v>0</v>
      </c>
      <c r="Q6" s="108"/>
      <c r="R6" s="100">
        <v>0</v>
      </c>
      <c r="S6" s="100">
        <v>0</v>
      </c>
      <c r="T6" s="100">
        <v>0</v>
      </c>
      <c r="U6" s="100">
        <v>0</v>
      </c>
      <c r="V6" s="100">
        <v>0</v>
      </c>
      <c r="W6" s="101">
        <v>0</v>
      </c>
      <c r="X6" s="91">
        <v>0</v>
      </c>
    </row>
    <row r="7" spans="1:24" x14ac:dyDescent="0.3">
      <c r="A7" s="71">
        <v>10803</v>
      </c>
      <c r="B7" s="87" t="s">
        <v>239</v>
      </c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1">
        <v>0</v>
      </c>
      <c r="K7" s="100">
        <v>113636926.83999996</v>
      </c>
      <c r="L7" s="100">
        <v>17442392.039999999</v>
      </c>
      <c r="M7" s="100">
        <v>0</v>
      </c>
      <c r="N7" s="100">
        <v>-33255933</v>
      </c>
      <c r="O7" s="108"/>
      <c r="P7" s="100">
        <v>0</v>
      </c>
      <c r="Q7" s="108"/>
      <c r="R7" s="100">
        <v>0</v>
      </c>
      <c r="S7" s="100">
        <v>33255933</v>
      </c>
      <c r="T7" s="100">
        <v>0</v>
      </c>
      <c r="U7" s="100">
        <v>131079318.87999997</v>
      </c>
      <c r="V7" s="100">
        <v>119953820.33</v>
      </c>
      <c r="W7" s="101">
        <v>0</v>
      </c>
      <c r="X7" s="102">
        <v>0</v>
      </c>
    </row>
    <row r="8" spans="1:24" x14ac:dyDescent="0.3">
      <c r="A8" s="71">
        <v>10804</v>
      </c>
      <c r="B8" s="87" t="s">
        <v>240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1">
        <v>0</v>
      </c>
      <c r="K8" s="100">
        <v>0</v>
      </c>
      <c r="L8" s="100">
        <v>0</v>
      </c>
      <c r="M8" s="100">
        <v>0</v>
      </c>
      <c r="N8" s="100">
        <v>0</v>
      </c>
      <c r="O8" s="108"/>
      <c r="P8" s="100">
        <v>0</v>
      </c>
      <c r="Q8" s="108"/>
      <c r="R8" s="100">
        <v>0</v>
      </c>
      <c r="S8" s="100">
        <v>0</v>
      </c>
      <c r="T8" s="100">
        <v>0</v>
      </c>
      <c r="U8" s="100">
        <v>0</v>
      </c>
      <c r="V8" s="100">
        <v>0</v>
      </c>
      <c r="W8" s="101">
        <v>0</v>
      </c>
      <c r="X8" s="91">
        <v>0</v>
      </c>
    </row>
    <row r="9" spans="1:24" x14ac:dyDescent="0.3">
      <c r="A9" s="71">
        <v>10850</v>
      </c>
      <c r="B9" s="87" t="s">
        <v>241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1">
        <v>0</v>
      </c>
      <c r="K9" s="100">
        <v>0</v>
      </c>
      <c r="L9" s="100">
        <v>0</v>
      </c>
      <c r="M9" s="100">
        <v>0</v>
      </c>
      <c r="N9" s="100">
        <v>0</v>
      </c>
      <c r="O9" s="108"/>
      <c r="P9" s="100">
        <v>0</v>
      </c>
      <c r="Q9" s="108"/>
      <c r="R9" s="100">
        <v>0</v>
      </c>
      <c r="S9" s="100">
        <v>0</v>
      </c>
      <c r="T9" s="100">
        <v>0</v>
      </c>
      <c r="U9" s="100">
        <v>0</v>
      </c>
      <c r="V9" s="100">
        <v>0</v>
      </c>
      <c r="W9" s="101">
        <v>0</v>
      </c>
      <c r="X9" s="91">
        <v>0</v>
      </c>
    </row>
    <row r="10" spans="1:24" x14ac:dyDescent="0.3">
      <c r="A10" s="71">
        <v>10851</v>
      </c>
      <c r="B10" s="87" t="s">
        <v>242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1">
        <v>0</v>
      </c>
      <c r="K10" s="100">
        <v>0</v>
      </c>
      <c r="L10" s="100">
        <v>0</v>
      </c>
      <c r="M10" s="100">
        <v>0</v>
      </c>
      <c r="N10" s="100">
        <v>0</v>
      </c>
      <c r="O10" s="108"/>
      <c r="P10" s="100">
        <v>0</v>
      </c>
      <c r="Q10" s="108"/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1">
        <v>0</v>
      </c>
      <c r="X10" s="91">
        <v>0</v>
      </c>
    </row>
    <row r="11" spans="1:24" x14ac:dyDescent="0.3">
      <c r="A11" s="71">
        <v>10852</v>
      </c>
      <c r="B11" s="87" t="s">
        <v>243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1">
        <v>0</v>
      </c>
      <c r="K11" s="100">
        <v>0</v>
      </c>
      <c r="L11" s="100">
        <v>0</v>
      </c>
      <c r="M11" s="100">
        <v>0</v>
      </c>
      <c r="N11" s="100">
        <v>0</v>
      </c>
      <c r="O11" s="108"/>
      <c r="P11" s="100">
        <v>0</v>
      </c>
      <c r="Q11" s="108"/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1">
        <v>0</v>
      </c>
      <c r="X11" s="91">
        <v>0</v>
      </c>
    </row>
    <row r="12" spans="1:24" x14ac:dyDescent="0.3">
      <c r="A12" s="71">
        <v>10853</v>
      </c>
      <c r="B12" s="87" t="s">
        <v>244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1">
        <v>0</v>
      </c>
      <c r="K12" s="100">
        <v>0</v>
      </c>
      <c r="L12" s="100">
        <v>0</v>
      </c>
      <c r="M12" s="100">
        <v>0</v>
      </c>
      <c r="N12" s="100">
        <v>0</v>
      </c>
      <c r="O12" s="108"/>
      <c r="P12" s="100">
        <v>0</v>
      </c>
      <c r="Q12" s="108"/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1">
        <v>0</v>
      </c>
      <c r="X12" s="91">
        <v>0</v>
      </c>
    </row>
    <row r="13" spans="1:24" x14ac:dyDescent="0.3">
      <c r="A13" s="71">
        <v>10854</v>
      </c>
      <c r="B13" s="87" t="s">
        <v>245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1">
        <v>0</v>
      </c>
      <c r="K13" s="100">
        <v>0</v>
      </c>
      <c r="L13" s="100">
        <v>0</v>
      </c>
      <c r="M13" s="100">
        <v>0</v>
      </c>
      <c r="N13" s="100">
        <v>0</v>
      </c>
      <c r="O13" s="108"/>
      <c r="P13" s="100">
        <v>0</v>
      </c>
      <c r="Q13" s="108"/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1">
        <v>0</v>
      </c>
      <c r="X13" s="91">
        <v>0</v>
      </c>
    </row>
    <row r="14" spans="1:24" x14ac:dyDescent="0.3">
      <c r="A14" s="71">
        <v>10855</v>
      </c>
      <c r="B14" s="87" t="s">
        <v>246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1">
        <v>0</v>
      </c>
      <c r="K14" s="100">
        <v>0</v>
      </c>
      <c r="L14" s="100">
        <v>0</v>
      </c>
      <c r="M14" s="100">
        <v>0</v>
      </c>
      <c r="N14" s="100">
        <v>0</v>
      </c>
      <c r="O14" s="108"/>
      <c r="P14" s="100">
        <v>0</v>
      </c>
      <c r="Q14" s="108"/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1">
        <v>0</v>
      </c>
      <c r="X14" s="91">
        <v>0</v>
      </c>
    </row>
    <row r="15" spans="1:24" x14ac:dyDescent="0.3">
      <c r="A15" s="71">
        <v>10856</v>
      </c>
      <c r="B15" s="87" t="s">
        <v>247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1">
        <v>0</v>
      </c>
      <c r="K15" s="100">
        <v>0</v>
      </c>
      <c r="L15" s="100">
        <v>0</v>
      </c>
      <c r="M15" s="100">
        <v>0</v>
      </c>
      <c r="N15" s="100">
        <v>0</v>
      </c>
      <c r="O15" s="108"/>
      <c r="P15" s="100">
        <v>0</v>
      </c>
      <c r="Q15" s="108"/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1">
        <v>0</v>
      </c>
      <c r="X15" s="91">
        <v>0</v>
      </c>
    </row>
    <row r="16" spans="1:24" x14ac:dyDescent="0.3">
      <c r="A16" s="71">
        <v>11401</v>
      </c>
      <c r="B16" s="87" t="s">
        <v>248</v>
      </c>
      <c r="C16" s="100">
        <v>6182810</v>
      </c>
      <c r="D16" s="100">
        <v>0</v>
      </c>
      <c r="E16" s="100">
        <v>0</v>
      </c>
      <c r="F16" s="100">
        <v>0</v>
      </c>
      <c r="G16" s="100">
        <v>0</v>
      </c>
      <c r="H16" s="100">
        <v>6182810</v>
      </c>
      <c r="I16" s="100">
        <v>6182810</v>
      </c>
      <c r="J16" s="101">
        <v>0</v>
      </c>
      <c r="K16" s="100">
        <v>5857748.8600000031</v>
      </c>
      <c r="L16" s="100">
        <v>185749.32</v>
      </c>
      <c r="M16" s="100">
        <v>0</v>
      </c>
      <c r="N16" s="100">
        <v>0</v>
      </c>
      <c r="O16" s="108"/>
      <c r="P16" s="100">
        <v>0</v>
      </c>
      <c r="Q16" s="108"/>
      <c r="R16" s="100">
        <v>0</v>
      </c>
      <c r="S16" s="100">
        <v>0</v>
      </c>
      <c r="T16" s="100">
        <v>0</v>
      </c>
      <c r="U16" s="100">
        <v>6043498.1800000034</v>
      </c>
      <c r="V16" s="100">
        <v>5950623.5199999996</v>
      </c>
      <c r="W16" s="101">
        <v>0</v>
      </c>
      <c r="X16" s="91">
        <v>3.0042864005201501E-2</v>
      </c>
    </row>
    <row r="17" spans="1:24" x14ac:dyDescent="0.3">
      <c r="A17" s="71">
        <v>11402</v>
      </c>
      <c r="B17" s="87" t="s">
        <v>249</v>
      </c>
      <c r="C17" s="100">
        <v>960040.88</v>
      </c>
      <c r="D17" s="100">
        <v>0</v>
      </c>
      <c r="E17" s="100">
        <v>0</v>
      </c>
      <c r="F17" s="100">
        <v>0</v>
      </c>
      <c r="G17" s="100">
        <v>0</v>
      </c>
      <c r="H17" s="100">
        <v>960040.88</v>
      </c>
      <c r="I17" s="100">
        <v>960040.88</v>
      </c>
      <c r="J17" s="101">
        <v>0</v>
      </c>
      <c r="K17" s="100">
        <v>886714.92999999889</v>
      </c>
      <c r="L17" s="100">
        <v>41900.639999999999</v>
      </c>
      <c r="M17" s="100">
        <v>0</v>
      </c>
      <c r="N17" s="100">
        <v>0</v>
      </c>
      <c r="O17" s="108"/>
      <c r="P17" s="100">
        <v>0</v>
      </c>
      <c r="Q17" s="108"/>
      <c r="R17" s="100">
        <v>0</v>
      </c>
      <c r="S17" s="100">
        <v>0</v>
      </c>
      <c r="T17" s="100">
        <v>0</v>
      </c>
      <c r="U17" s="100">
        <v>928615.5699999989</v>
      </c>
      <c r="V17" s="100">
        <v>907665.25</v>
      </c>
      <c r="W17" s="101">
        <v>0</v>
      </c>
      <c r="X17" s="91">
        <v>4.3644641465684197E-2</v>
      </c>
    </row>
    <row r="18" spans="1:24" x14ac:dyDescent="0.3">
      <c r="A18" s="71">
        <v>11403</v>
      </c>
      <c r="B18" s="87" t="s">
        <v>250</v>
      </c>
      <c r="C18" s="100">
        <v>341971.88</v>
      </c>
      <c r="D18" s="100">
        <v>0</v>
      </c>
      <c r="E18" s="100">
        <v>0</v>
      </c>
      <c r="F18" s="100">
        <v>0</v>
      </c>
      <c r="G18" s="100">
        <v>0</v>
      </c>
      <c r="H18" s="100">
        <v>341971.88</v>
      </c>
      <c r="I18" s="100">
        <v>341971.88</v>
      </c>
      <c r="J18" s="101">
        <v>0</v>
      </c>
      <c r="K18" s="100">
        <v>138902.37999999992</v>
      </c>
      <c r="L18" s="100">
        <v>9058.7999999999993</v>
      </c>
      <c r="M18" s="100">
        <v>0</v>
      </c>
      <c r="N18" s="100">
        <v>0</v>
      </c>
      <c r="O18" s="108"/>
      <c r="P18" s="100">
        <v>0</v>
      </c>
      <c r="Q18" s="108"/>
      <c r="R18" s="100">
        <v>0</v>
      </c>
      <c r="S18" s="100">
        <v>0</v>
      </c>
      <c r="T18" s="100">
        <v>0</v>
      </c>
      <c r="U18" s="100">
        <v>147961.17999999991</v>
      </c>
      <c r="V18" s="100">
        <v>143431.78</v>
      </c>
      <c r="W18" s="101">
        <v>0</v>
      </c>
      <c r="X18" s="91">
        <v>2.64898973564727E-2</v>
      </c>
    </row>
    <row r="19" spans="1:24" x14ac:dyDescent="0.3">
      <c r="A19" s="71">
        <v>12100</v>
      </c>
      <c r="B19" s="87" t="s">
        <v>251</v>
      </c>
      <c r="C19" s="100">
        <v>949583.1</v>
      </c>
      <c r="D19" s="100">
        <v>0</v>
      </c>
      <c r="E19" s="100">
        <v>0</v>
      </c>
      <c r="F19" s="100">
        <v>0</v>
      </c>
      <c r="G19" s="100">
        <v>0</v>
      </c>
      <c r="H19" s="100">
        <v>949583.1</v>
      </c>
      <c r="I19" s="100">
        <v>949583.1</v>
      </c>
      <c r="J19" s="101">
        <v>0</v>
      </c>
      <c r="K19" s="100">
        <v>0</v>
      </c>
      <c r="L19" s="100">
        <v>0</v>
      </c>
      <c r="M19" s="100">
        <v>0</v>
      </c>
      <c r="N19" s="100">
        <v>0</v>
      </c>
      <c r="O19" s="108"/>
      <c r="P19" s="100">
        <v>0</v>
      </c>
      <c r="Q19" s="108"/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1">
        <v>0</v>
      </c>
      <c r="X19" s="91">
        <v>0</v>
      </c>
    </row>
    <row r="20" spans="1:24" x14ac:dyDescent="0.3">
      <c r="A20" s="71">
        <v>12112</v>
      </c>
      <c r="B20" s="87" t="s">
        <v>252</v>
      </c>
      <c r="C20" s="100">
        <v>15066332.599999987</v>
      </c>
      <c r="D20" s="100">
        <v>1573115.45</v>
      </c>
      <c r="E20" s="100">
        <v>-628733.69999999995</v>
      </c>
      <c r="F20" s="100">
        <v>0</v>
      </c>
      <c r="G20" s="100">
        <v>0</v>
      </c>
      <c r="H20" s="100">
        <v>16010714.349999987</v>
      </c>
      <c r="I20" s="100">
        <v>15553205.550000001</v>
      </c>
      <c r="J20" s="101">
        <v>0</v>
      </c>
      <c r="K20" s="100">
        <v>7366687.8200000003</v>
      </c>
      <c r="L20" s="100">
        <v>1039510.35</v>
      </c>
      <c r="M20" s="100">
        <v>-628733.69999999995</v>
      </c>
      <c r="N20" s="100">
        <v>0</v>
      </c>
      <c r="O20" s="108"/>
      <c r="P20" s="100">
        <v>0</v>
      </c>
      <c r="Q20" s="108"/>
      <c r="R20" s="100">
        <v>0</v>
      </c>
      <c r="S20" s="100">
        <v>0</v>
      </c>
      <c r="T20" s="100">
        <v>0</v>
      </c>
      <c r="U20" s="100">
        <v>7777464.4699999997</v>
      </c>
      <c r="V20" s="100">
        <v>7584067.4699999997</v>
      </c>
      <c r="W20" s="101">
        <v>0</v>
      </c>
      <c r="X20" s="91">
        <v>6.7000000000000004E-2</v>
      </c>
    </row>
    <row r="21" spans="1:24" x14ac:dyDescent="0.3">
      <c r="A21" s="71">
        <v>12114</v>
      </c>
      <c r="B21" s="87" t="s">
        <v>253</v>
      </c>
      <c r="C21" s="100">
        <v>788335.22999999975</v>
      </c>
      <c r="D21" s="100">
        <v>82795.55</v>
      </c>
      <c r="E21" s="100">
        <v>-22684.26</v>
      </c>
      <c r="F21" s="100">
        <v>0</v>
      </c>
      <c r="G21" s="100">
        <v>0</v>
      </c>
      <c r="H21" s="100">
        <v>848446.51999999979</v>
      </c>
      <c r="I21" s="100">
        <v>823219.19</v>
      </c>
      <c r="J21" s="101">
        <v>0</v>
      </c>
      <c r="K21" s="100">
        <v>449940.02999999997</v>
      </c>
      <c r="L21" s="100">
        <v>55014.83</v>
      </c>
      <c r="M21" s="100">
        <v>-22684.26</v>
      </c>
      <c r="N21" s="100">
        <v>0</v>
      </c>
      <c r="O21" s="108"/>
      <c r="P21" s="100">
        <v>0</v>
      </c>
      <c r="Q21" s="108"/>
      <c r="R21" s="100">
        <v>0</v>
      </c>
      <c r="S21" s="100">
        <v>0</v>
      </c>
      <c r="T21" s="100">
        <v>0</v>
      </c>
      <c r="U21" s="100">
        <v>482270.6</v>
      </c>
      <c r="V21" s="100">
        <v>470698.59</v>
      </c>
      <c r="W21" s="101">
        <v>0</v>
      </c>
      <c r="X21" s="91">
        <v>6.7000000000000004E-2</v>
      </c>
    </row>
    <row r="22" spans="1:24" x14ac:dyDescent="0.3">
      <c r="A22" s="71">
        <v>12122</v>
      </c>
      <c r="B22" s="87" t="s">
        <v>254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1">
        <v>0</v>
      </c>
      <c r="K22" s="100">
        <v>0</v>
      </c>
      <c r="L22" s="100">
        <v>0</v>
      </c>
      <c r="M22" s="100">
        <v>0</v>
      </c>
      <c r="N22" s="100">
        <v>0</v>
      </c>
      <c r="O22" s="108"/>
      <c r="P22" s="100">
        <v>0</v>
      </c>
      <c r="Q22" s="108"/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1">
        <v>0</v>
      </c>
      <c r="X22" s="91">
        <v>0</v>
      </c>
    </row>
    <row r="23" spans="1:24" x14ac:dyDescent="0.3">
      <c r="A23" s="71">
        <v>12126</v>
      </c>
      <c r="B23" s="87" t="s">
        <v>255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1">
        <v>0</v>
      </c>
      <c r="K23" s="100">
        <v>0</v>
      </c>
      <c r="L23" s="100">
        <v>0</v>
      </c>
      <c r="M23" s="100">
        <v>0</v>
      </c>
      <c r="N23" s="100">
        <v>0</v>
      </c>
      <c r="O23" s="108"/>
      <c r="P23" s="100">
        <v>0</v>
      </c>
      <c r="Q23" s="108"/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1">
        <v>0</v>
      </c>
      <c r="X23" s="91">
        <v>0</v>
      </c>
    </row>
    <row r="24" spans="1:24" x14ac:dyDescent="0.3">
      <c r="A24" s="71">
        <v>12127</v>
      </c>
      <c r="B24" s="87" t="s">
        <v>256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1">
        <v>0</v>
      </c>
      <c r="K24" s="100">
        <v>0</v>
      </c>
      <c r="L24" s="100">
        <v>0</v>
      </c>
      <c r="M24" s="100">
        <v>0</v>
      </c>
      <c r="N24" s="100">
        <v>0</v>
      </c>
      <c r="O24" s="108"/>
      <c r="P24" s="100">
        <v>0</v>
      </c>
      <c r="Q24" s="108"/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1">
        <v>0</v>
      </c>
      <c r="X24" s="91">
        <v>0</v>
      </c>
    </row>
    <row r="25" spans="1:24" x14ac:dyDescent="0.3">
      <c r="A25" s="71">
        <v>12130</v>
      </c>
      <c r="B25" s="87" t="s">
        <v>257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1">
        <v>0</v>
      </c>
      <c r="K25" s="100">
        <v>0</v>
      </c>
      <c r="L25" s="100">
        <v>0</v>
      </c>
      <c r="M25" s="100">
        <v>0</v>
      </c>
      <c r="N25" s="100">
        <v>0</v>
      </c>
      <c r="O25" s="108"/>
      <c r="P25" s="100">
        <v>0</v>
      </c>
      <c r="Q25" s="108"/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1">
        <v>0</v>
      </c>
      <c r="X25" s="91">
        <v>0</v>
      </c>
    </row>
    <row r="26" spans="1:24" x14ac:dyDescent="0.3">
      <c r="A26" s="71">
        <v>12188</v>
      </c>
      <c r="B26" s="87" t="s">
        <v>258</v>
      </c>
      <c r="C26" s="100">
        <v>2916216.8600000003</v>
      </c>
      <c r="D26" s="100">
        <v>-0.04</v>
      </c>
      <c r="E26" s="100">
        <v>0</v>
      </c>
      <c r="F26" s="100">
        <v>0</v>
      </c>
      <c r="G26" s="100">
        <v>0</v>
      </c>
      <c r="H26" s="100">
        <v>2916216.8200000003</v>
      </c>
      <c r="I26" s="100">
        <v>2916216.83</v>
      </c>
      <c r="J26" s="101">
        <v>0</v>
      </c>
      <c r="K26" s="100">
        <v>52973.029999999992</v>
      </c>
      <c r="L26" s="100">
        <v>96235.199999999997</v>
      </c>
      <c r="M26" s="100">
        <v>0</v>
      </c>
      <c r="N26" s="100">
        <v>0</v>
      </c>
      <c r="O26" s="108"/>
      <c r="P26" s="100">
        <v>0</v>
      </c>
      <c r="Q26" s="108"/>
      <c r="R26" s="100">
        <v>0</v>
      </c>
      <c r="S26" s="100">
        <v>0</v>
      </c>
      <c r="T26" s="100">
        <v>0</v>
      </c>
      <c r="U26" s="100">
        <v>149208.22999999998</v>
      </c>
      <c r="V26" s="100">
        <v>101090.63</v>
      </c>
      <c r="W26" s="101">
        <v>0</v>
      </c>
      <c r="X26" s="91">
        <v>3.3000000000000002E-2</v>
      </c>
    </row>
    <row r="27" spans="1:24" x14ac:dyDescent="0.3">
      <c r="A27" s="71">
        <v>12199</v>
      </c>
      <c r="B27" s="87" t="s">
        <v>259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1">
        <v>0</v>
      </c>
      <c r="K27" s="100">
        <v>0</v>
      </c>
      <c r="L27" s="100">
        <v>0</v>
      </c>
      <c r="M27" s="100">
        <v>0</v>
      </c>
      <c r="N27" s="100">
        <v>0</v>
      </c>
      <c r="O27" s="108"/>
      <c r="P27" s="100">
        <v>0</v>
      </c>
      <c r="Q27" s="108"/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1">
        <v>0</v>
      </c>
      <c r="X27" s="91">
        <v>0</v>
      </c>
    </row>
    <row r="28" spans="1:24" x14ac:dyDescent="0.3">
      <c r="A28" s="71">
        <v>30300</v>
      </c>
      <c r="B28" s="87" t="s">
        <v>260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1">
        <v>0</v>
      </c>
      <c r="K28" s="100">
        <v>0</v>
      </c>
      <c r="L28" s="100">
        <v>0</v>
      </c>
      <c r="M28" s="100">
        <v>0</v>
      </c>
      <c r="N28" s="100">
        <v>0</v>
      </c>
      <c r="O28" s="108"/>
      <c r="P28" s="100">
        <v>0</v>
      </c>
      <c r="Q28" s="108"/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1">
        <v>0</v>
      </c>
      <c r="X28" s="91">
        <v>0</v>
      </c>
    </row>
    <row r="29" spans="1:24" x14ac:dyDescent="0.3">
      <c r="A29" s="71">
        <v>30301</v>
      </c>
      <c r="B29" s="87" t="s">
        <v>261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1">
        <v>0</v>
      </c>
      <c r="K29" s="100">
        <v>0</v>
      </c>
      <c r="L29" s="100">
        <v>0</v>
      </c>
      <c r="M29" s="100">
        <v>0</v>
      </c>
      <c r="N29" s="100">
        <v>0</v>
      </c>
      <c r="O29" s="108"/>
      <c r="P29" s="100">
        <v>0</v>
      </c>
      <c r="Q29" s="108"/>
      <c r="R29" s="100">
        <v>0</v>
      </c>
      <c r="S29" s="100">
        <v>0</v>
      </c>
      <c r="T29" s="100">
        <v>0</v>
      </c>
      <c r="U29" s="100">
        <v>0</v>
      </c>
      <c r="V29" s="100">
        <v>0</v>
      </c>
      <c r="W29" s="101">
        <v>0</v>
      </c>
      <c r="X29" s="91">
        <v>0</v>
      </c>
    </row>
    <row r="30" spans="1:24" x14ac:dyDescent="0.3">
      <c r="A30" s="71">
        <v>30302</v>
      </c>
      <c r="B30" s="87" t="s">
        <v>262</v>
      </c>
      <c r="C30" s="100">
        <v>0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101">
        <v>0</v>
      </c>
      <c r="K30" s="100">
        <v>0</v>
      </c>
      <c r="L30" s="100">
        <v>0</v>
      </c>
      <c r="M30" s="100">
        <v>0</v>
      </c>
      <c r="N30" s="100">
        <v>0</v>
      </c>
      <c r="O30" s="108"/>
      <c r="P30" s="100">
        <v>0</v>
      </c>
      <c r="Q30" s="108"/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1">
        <v>0</v>
      </c>
      <c r="X30" s="91">
        <v>0</v>
      </c>
    </row>
    <row r="31" spans="1:24" x14ac:dyDescent="0.3">
      <c r="A31" s="71">
        <v>30315</v>
      </c>
      <c r="B31" s="87" t="s">
        <v>263</v>
      </c>
      <c r="C31" s="100">
        <v>577595317.85000014</v>
      </c>
      <c r="D31" s="100">
        <v>83861887.680000007</v>
      </c>
      <c r="E31" s="100">
        <v>-4800478.3099999996</v>
      </c>
      <c r="F31" s="100">
        <v>0</v>
      </c>
      <c r="G31" s="100">
        <v>0</v>
      </c>
      <c r="H31" s="100">
        <v>656656727.22000027</v>
      </c>
      <c r="I31" s="100">
        <v>596630121.51999998</v>
      </c>
      <c r="J31" s="101">
        <v>0</v>
      </c>
      <c r="K31" s="100">
        <v>176428182.05000007</v>
      </c>
      <c r="L31" s="100">
        <v>39639069.590000004</v>
      </c>
      <c r="M31" s="100">
        <v>-4800478.3099999996</v>
      </c>
      <c r="N31" s="100">
        <v>0</v>
      </c>
      <c r="O31" s="108"/>
      <c r="P31" s="100">
        <v>0</v>
      </c>
      <c r="Q31" s="108"/>
      <c r="R31" s="100">
        <v>0</v>
      </c>
      <c r="S31" s="100">
        <v>0</v>
      </c>
      <c r="T31" s="100">
        <v>0</v>
      </c>
      <c r="U31" s="100">
        <v>211266773.33000007</v>
      </c>
      <c r="V31" s="100">
        <v>192032007.41999999</v>
      </c>
      <c r="W31" s="101">
        <v>0</v>
      </c>
      <c r="X31" s="91">
        <v>6.7000000000000004E-2</v>
      </c>
    </row>
    <row r="32" spans="1:24" x14ac:dyDescent="0.3">
      <c r="A32" s="71">
        <v>30399</v>
      </c>
      <c r="B32" s="87" t="s">
        <v>264</v>
      </c>
      <c r="C32" s="100">
        <v>4620086.03</v>
      </c>
      <c r="D32" s="100">
        <v>0</v>
      </c>
      <c r="E32" s="100">
        <v>0</v>
      </c>
      <c r="F32" s="100">
        <v>0</v>
      </c>
      <c r="G32" s="100">
        <v>0</v>
      </c>
      <c r="H32" s="100">
        <v>4620086.03</v>
      </c>
      <c r="I32" s="100">
        <v>4620086.03</v>
      </c>
      <c r="J32" s="101">
        <v>0</v>
      </c>
      <c r="K32" s="100">
        <v>362891.23999999987</v>
      </c>
      <c r="L32" s="100">
        <v>152462.88</v>
      </c>
      <c r="M32" s="100">
        <v>0</v>
      </c>
      <c r="N32" s="100">
        <v>0</v>
      </c>
      <c r="O32" s="108"/>
      <c r="P32" s="100">
        <v>0</v>
      </c>
      <c r="Q32" s="108"/>
      <c r="R32" s="100">
        <v>0</v>
      </c>
      <c r="S32" s="100">
        <v>0</v>
      </c>
      <c r="T32" s="100">
        <v>0</v>
      </c>
      <c r="U32" s="100">
        <v>515354.11999999988</v>
      </c>
      <c r="V32" s="100">
        <v>439122.68</v>
      </c>
      <c r="W32" s="101">
        <v>0</v>
      </c>
      <c r="X32" s="91">
        <v>3.3000000000000002E-2</v>
      </c>
    </row>
    <row r="33" spans="1:24" x14ac:dyDescent="0.3">
      <c r="A33" s="71">
        <v>31001</v>
      </c>
      <c r="B33" s="87" t="s">
        <v>265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101">
        <v>0</v>
      </c>
      <c r="K33" s="100">
        <v>0</v>
      </c>
      <c r="L33" s="100">
        <v>0</v>
      </c>
      <c r="M33" s="100">
        <v>0</v>
      </c>
      <c r="N33" s="100">
        <v>0</v>
      </c>
      <c r="O33" s="108"/>
      <c r="P33" s="100">
        <v>0</v>
      </c>
      <c r="Q33" s="108"/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1">
        <v>0</v>
      </c>
      <c r="X33" s="91">
        <v>0</v>
      </c>
    </row>
    <row r="34" spans="1:24" x14ac:dyDescent="0.3">
      <c r="A34" s="71">
        <v>31011</v>
      </c>
      <c r="B34" s="87" t="s">
        <v>266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1">
        <v>0</v>
      </c>
      <c r="K34" s="100">
        <v>0</v>
      </c>
      <c r="L34" s="100">
        <v>0</v>
      </c>
      <c r="M34" s="100">
        <v>0</v>
      </c>
      <c r="N34" s="100">
        <v>0</v>
      </c>
      <c r="O34" s="108"/>
      <c r="P34" s="100">
        <v>0</v>
      </c>
      <c r="Q34" s="108"/>
      <c r="R34" s="100">
        <v>0</v>
      </c>
      <c r="S34" s="100">
        <v>0</v>
      </c>
      <c r="T34" s="100">
        <v>0</v>
      </c>
      <c r="U34" s="100">
        <v>0</v>
      </c>
      <c r="V34" s="100">
        <v>0</v>
      </c>
      <c r="W34" s="101">
        <v>0</v>
      </c>
      <c r="X34" s="91">
        <v>0</v>
      </c>
    </row>
    <row r="35" spans="1:24" x14ac:dyDescent="0.3">
      <c r="A35" s="71">
        <v>31040</v>
      </c>
      <c r="B35" s="87" t="s">
        <v>267</v>
      </c>
      <c r="C35" s="100">
        <v>6923628.5099999998</v>
      </c>
      <c r="D35" s="100">
        <v>0</v>
      </c>
      <c r="E35" s="100">
        <v>0</v>
      </c>
      <c r="F35" s="100">
        <v>0</v>
      </c>
      <c r="G35" s="100">
        <v>0</v>
      </c>
      <c r="H35" s="100">
        <v>6923628.5099999998</v>
      </c>
      <c r="I35" s="100">
        <v>6923628.5099999998</v>
      </c>
      <c r="J35" s="101">
        <v>0</v>
      </c>
      <c r="K35" s="100">
        <v>0</v>
      </c>
      <c r="L35" s="100">
        <v>0</v>
      </c>
      <c r="M35" s="100">
        <v>0</v>
      </c>
      <c r="N35" s="100">
        <v>0</v>
      </c>
      <c r="O35" s="108"/>
      <c r="P35" s="100">
        <v>0</v>
      </c>
      <c r="Q35" s="108"/>
      <c r="R35" s="100">
        <v>0</v>
      </c>
      <c r="S35" s="100">
        <v>0</v>
      </c>
      <c r="T35" s="100">
        <v>0</v>
      </c>
      <c r="U35" s="100">
        <v>0</v>
      </c>
      <c r="V35" s="100">
        <v>0</v>
      </c>
      <c r="W35" s="101">
        <v>0</v>
      </c>
      <c r="X35" s="91">
        <v>0</v>
      </c>
    </row>
    <row r="36" spans="1:24" x14ac:dyDescent="0.3">
      <c r="A36" s="71">
        <v>31101</v>
      </c>
      <c r="B36" s="87" t="s">
        <v>268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1">
        <v>0</v>
      </c>
      <c r="K36" s="100">
        <v>0</v>
      </c>
      <c r="L36" s="100">
        <v>0</v>
      </c>
      <c r="M36" s="100">
        <v>0</v>
      </c>
      <c r="N36" s="100">
        <v>0</v>
      </c>
      <c r="O36" s="108"/>
      <c r="P36" s="100">
        <v>0</v>
      </c>
      <c r="Q36" s="108"/>
      <c r="R36" s="100">
        <v>0</v>
      </c>
      <c r="S36" s="100">
        <v>0</v>
      </c>
      <c r="T36" s="100">
        <v>0</v>
      </c>
      <c r="U36" s="100">
        <v>0</v>
      </c>
      <c r="V36" s="100">
        <v>0</v>
      </c>
      <c r="W36" s="101">
        <v>0</v>
      </c>
      <c r="X36" s="91">
        <v>0</v>
      </c>
    </row>
    <row r="37" spans="1:24" x14ac:dyDescent="0.3">
      <c r="A37" s="71">
        <v>31130</v>
      </c>
      <c r="B37" s="87" t="s">
        <v>269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1">
        <v>0</v>
      </c>
      <c r="K37" s="100">
        <v>0</v>
      </c>
      <c r="L37" s="100">
        <v>0</v>
      </c>
      <c r="M37" s="100">
        <v>0</v>
      </c>
      <c r="N37" s="100">
        <v>0</v>
      </c>
      <c r="O37" s="108"/>
      <c r="P37" s="100">
        <v>0</v>
      </c>
      <c r="Q37" s="108"/>
      <c r="R37" s="100">
        <v>0</v>
      </c>
      <c r="S37" s="100">
        <v>0</v>
      </c>
      <c r="T37" s="100">
        <v>0</v>
      </c>
      <c r="U37" s="100">
        <v>0</v>
      </c>
      <c r="V37" s="100">
        <v>0</v>
      </c>
      <c r="W37" s="101">
        <v>0</v>
      </c>
      <c r="X37" s="91">
        <v>0</v>
      </c>
    </row>
    <row r="38" spans="1:24" x14ac:dyDescent="0.3">
      <c r="A38" s="71">
        <v>31131</v>
      </c>
      <c r="B38" s="87" t="s">
        <v>270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1">
        <v>0</v>
      </c>
      <c r="K38" s="100">
        <v>0</v>
      </c>
      <c r="L38" s="100">
        <v>0</v>
      </c>
      <c r="M38" s="100">
        <v>0</v>
      </c>
      <c r="N38" s="100">
        <v>0</v>
      </c>
      <c r="O38" s="108"/>
      <c r="P38" s="100">
        <v>0</v>
      </c>
      <c r="Q38" s="108"/>
      <c r="R38" s="100">
        <v>0</v>
      </c>
      <c r="S38" s="100">
        <v>0</v>
      </c>
      <c r="T38" s="100">
        <v>0</v>
      </c>
      <c r="U38" s="100">
        <v>0</v>
      </c>
      <c r="V38" s="100">
        <v>0</v>
      </c>
      <c r="W38" s="101">
        <v>0</v>
      </c>
      <c r="X38" s="91">
        <v>0</v>
      </c>
    </row>
    <row r="39" spans="1:24" x14ac:dyDescent="0.3">
      <c r="A39" s="71">
        <v>31132</v>
      </c>
      <c r="B39" s="87" t="s">
        <v>271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1">
        <v>0</v>
      </c>
      <c r="K39" s="100">
        <v>0</v>
      </c>
      <c r="L39" s="100">
        <v>0</v>
      </c>
      <c r="M39" s="100">
        <v>0</v>
      </c>
      <c r="N39" s="100">
        <v>0</v>
      </c>
      <c r="O39" s="108"/>
      <c r="P39" s="100">
        <v>0</v>
      </c>
      <c r="Q39" s="108"/>
      <c r="R39" s="100">
        <v>0</v>
      </c>
      <c r="S39" s="100">
        <v>0</v>
      </c>
      <c r="T39" s="100">
        <v>0</v>
      </c>
      <c r="U39" s="100">
        <v>0</v>
      </c>
      <c r="V39" s="100">
        <v>0</v>
      </c>
      <c r="W39" s="101">
        <v>0</v>
      </c>
      <c r="X39" s="91">
        <v>0</v>
      </c>
    </row>
    <row r="40" spans="1:24" x14ac:dyDescent="0.3">
      <c r="A40" s="71">
        <v>31133</v>
      </c>
      <c r="B40" s="87" t="s">
        <v>272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1">
        <v>0</v>
      </c>
      <c r="K40" s="100">
        <v>0</v>
      </c>
      <c r="L40" s="100">
        <v>0</v>
      </c>
      <c r="M40" s="100">
        <v>0</v>
      </c>
      <c r="N40" s="100">
        <v>0</v>
      </c>
      <c r="O40" s="108"/>
      <c r="P40" s="100">
        <v>0</v>
      </c>
      <c r="Q40" s="108"/>
      <c r="R40" s="100">
        <v>0</v>
      </c>
      <c r="S40" s="100">
        <v>0</v>
      </c>
      <c r="T40" s="100">
        <v>0</v>
      </c>
      <c r="U40" s="100">
        <v>0</v>
      </c>
      <c r="V40" s="100">
        <v>0</v>
      </c>
      <c r="W40" s="101">
        <v>0</v>
      </c>
      <c r="X40" s="91">
        <v>0</v>
      </c>
    </row>
    <row r="41" spans="1:24" x14ac:dyDescent="0.3">
      <c r="A41" s="71">
        <v>31134</v>
      </c>
      <c r="B41" s="87" t="s">
        <v>273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1">
        <v>0</v>
      </c>
      <c r="K41" s="100">
        <v>0</v>
      </c>
      <c r="L41" s="100">
        <v>0</v>
      </c>
      <c r="M41" s="100">
        <v>0</v>
      </c>
      <c r="N41" s="100">
        <v>0</v>
      </c>
      <c r="O41" s="108"/>
      <c r="P41" s="100">
        <v>0</v>
      </c>
      <c r="Q41" s="108"/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1">
        <v>0</v>
      </c>
      <c r="X41" s="91">
        <v>0</v>
      </c>
    </row>
    <row r="42" spans="1:24" x14ac:dyDescent="0.3">
      <c r="A42" s="71">
        <v>31140</v>
      </c>
      <c r="B42" s="87" t="s">
        <v>274</v>
      </c>
      <c r="C42" s="100">
        <v>280963525.30000001</v>
      </c>
      <c r="D42" s="100">
        <v>0</v>
      </c>
      <c r="E42" s="100">
        <v>0</v>
      </c>
      <c r="F42" s="100">
        <v>0</v>
      </c>
      <c r="G42" s="100">
        <v>0</v>
      </c>
      <c r="H42" s="100">
        <v>280963525.30000001</v>
      </c>
      <c r="I42" s="100">
        <v>280963525.30000001</v>
      </c>
      <c r="J42" s="101">
        <v>0</v>
      </c>
      <c r="K42" s="100">
        <v>72424455.289999992</v>
      </c>
      <c r="L42" s="100">
        <v>7080280.7999999998</v>
      </c>
      <c r="M42" s="100">
        <v>0</v>
      </c>
      <c r="N42" s="100">
        <v>0</v>
      </c>
      <c r="O42" s="108"/>
      <c r="P42" s="100">
        <v>0</v>
      </c>
      <c r="Q42" s="108"/>
      <c r="R42" s="100">
        <v>0</v>
      </c>
      <c r="S42" s="100">
        <v>0</v>
      </c>
      <c r="T42" s="100">
        <v>0</v>
      </c>
      <c r="U42" s="100">
        <v>79504736.089999989</v>
      </c>
      <c r="V42" s="100">
        <v>75964595.689999998</v>
      </c>
      <c r="W42" s="101">
        <v>0</v>
      </c>
      <c r="X42" s="91">
        <v>2.52E-2</v>
      </c>
    </row>
    <row r="43" spans="1:24" x14ac:dyDescent="0.3">
      <c r="A43" s="71">
        <v>31141</v>
      </c>
      <c r="B43" s="87" t="s">
        <v>275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1">
        <v>0</v>
      </c>
      <c r="K43" s="100">
        <v>0</v>
      </c>
      <c r="L43" s="100">
        <v>0</v>
      </c>
      <c r="M43" s="100">
        <v>0</v>
      </c>
      <c r="N43" s="100">
        <v>0</v>
      </c>
      <c r="O43" s="108"/>
      <c r="P43" s="100">
        <v>0</v>
      </c>
      <c r="Q43" s="108"/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1">
        <v>0</v>
      </c>
      <c r="X43" s="91">
        <v>0</v>
      </c>
    </row>
    <row r="44" spans="1:24" x14ac:dyDescent="0.3">
      <c r="A44" s="71">
        <v>31142</v>
      </c>
      <c r="B44" s="87" t="s">
        <v>276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1">
        <v>0</v>
      </c>
      <c r="K44" s="100">
        <v>0</v>
      </c>
      <c r="L44" s="100">
        <v>0</v>
      </c>
      <c r="M44" s="100">
        <v>0</v>
      </c>
      <c r="N44" s="100">
        <v>0</v>
      </c>
      <c r="O44" s="108"/>
      <c r="P44" s="100">
        <v>0</v>
      </c>
      <c r="Q44" s="108"/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1">
        <v>0</v>
      </c>
      <c r="X44" s="91">
        <v>0</v>
      </c>
    </row>
    <row r="45" spans="1:24" x14ac:dyDescent="0.3">
      <c r="A45" s="71">
        <v>31143</v>
      </c>
      <c r="B45" s="87" t="s">
        <v>277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1">
        <v>0</v>
      </c>
      <c r="K45" s="100">
        <v>0</v>
      </c>
      <c r="L45" s="100">
        <v>0</v>
      </c>
      <c r="M45" s="100">
        <v>0</v>
      </c>
      <c r="N45" s="100">
        <v>0</v>
      </c>
      <c r="O45" s="108"/>
      <c r="P45" s="100">
        <v>0</v>
      </c>
      <c r="Q45" s="108"/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1">
        <v>0</v>
      </c>
      <c r="X45" s="91">
        <v>0</v>
      </c>
    </row>
    <row r="46" spans="1:24" x14ac:dyDescent="0.3">
      <c r="A46" s="71">
        <v>31144</v>
      </c>
      <c r="B46" s="87" t="s">
        <v>278</v>
      </c>
      <c r="C46" s="100">
        <v>55902236.31000001</v>
      </c>
      <c r="D46" s="100">
        <v>0</v>
      </c>
      <c r="E46" s="100">
        <v>0</v>
      </c>
      <c r="F46" s="100">
        <v>0</v>
      </c>
      <c r="G46" s="100">
        <v>0</v>
      </c>
      <c r="H46" s="100">
        <v>55902236.31000001</v>
      </c>
      <c r="I46" s="100">
        <v>55902236.310000002</v>
      </c>
      <c r="J46" s="101">
        <v>0</v>
      </c>
      <c r="K46" s="100">
        <v>27319473.670000017</v>
      </c>
      <c r="L46" s="100">
        <v>1950988.08</v>
      </c>
      <c r="M46" s="100">
        <v>0</v>
      </c>
      <c r="N46" s="100">
        <v>0</v>
      </c>
      <c r="O46" s="108"/>
      <c r="P46" s="100">
        <v>0</v>
      </c>
      <c r="Q46" s="108"/>
      <c r="R46" s="100">
        <v>0</v>
      </c>
      <c r="S46" s="100">
        <v>0</v>
      </c>
      <c r="T46" s="100">
        <v>0</v>
      </c>
      <c r="U46" s="100">
        <v>29270461.750000015</v>
      </c>
      <c r="V46" s="100">
        <v>28294967.710000001</v>
      </c>
      <c r="W46" s="101">
        <v>0</v>
      </c>
      <c r="X46" s="91">
        <v>3.49E-2</v>
      </c>
    </row>
    <row r="47" spans="1:24" x14ac:dyDescent="0.3">
      <c r="A47" s="71">
        <v>31145</v>
      </c>
      <c r="B47" s="87" t="s">
        <v>279</v>
      </c>
      <c r="C47" s="100">
        <v>31998663.150000006</v>
      </c>
      <c r="D47" s="100">
        <v>0</v>
      </c>
      <c r="E47" s="100">
        <v>0</v>
      </c>
      <c r="F47" s="100">
        <v>0</v>
      </c>
      <c r="G47" s="100">
        <v>0</v>
      </c>
      <c r="H47" s="100">
        <v>31998663.150000006</v>
      </c>
      <c r="I47" s="100">
        <v>31998663.149999999</v>
      </c>
      <c r="J47" s="101">
        <v>0</v>
      </c>
      <c r="K47" s="100">
        <v>19373050.54000001</v>
      </c>
      <c r="L47" s="100">
        <v>1116753.3600000001</v>
      </c>
      <c r="M47" s="100">
        <v>0</v>
      </c>
      <c r="N47" s="100">
        <v>0</v>
      </c>
      <c r="O47" s="108"/>
      <c r="P47" s="100">
        <v>0</v>
      </c>
      <c r="Q47" s="108"/>
      <c r="R47" s="100">
        <v>0</v>
      </c>
      <c r="S47" s="100">
        <v>0</v>
      </c>
      <c r="T47" s="100">
        <v>0</v>
      </c>
      <c r="U47" s="100">
        <v>20489803.90000001</v>
      </c>
      <c r="V47" s="100">
        <v>19931427.219999999</v>
      </c>
      <c r="W47" s="101">
        <v>0</v>
      </c>
      <c r="X47" s="91">
        <v>3.49E-2</v>
      </c>
    </row>
    <row r="48" spans="1:24" x14ac:dyDescent="0.3">
      <c r="A48" s="71">
        <v>31146</v>
      </c>
      <c r="B48" s="87" t="s">
        <v>280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1">
        <v>0</v>
      </c>
      <c r="K48" s="100">
        <v>0</v>
      </c>
      <c r="L48" s="100">
        <v>0</v>
      </c>
      <c r="M48" s="100">
        <v>0</v>
      </c>
      <c r="N48" s="100">
        <v>0</v>
      </c>
      <c r="O48" s="108"/>
      <c r="P48" s="100">
        <v>0</v>
      </c>
      <c r="Q48" s="108"/>
      <c r="R48" s="100">
        <v>0</v>
      </c>
      <c r="S48" s="100">
        <v>0</v>
      </c>
      <c r="T48" s="100">
        <v>0</v>
      </c>
      <c r="U48" s="100">
        <v>0</v>
      </c>
      <c r="V48" s="100">
        <v>0</v>
      </c>
      <c r="W48" s="101">
        <v>0</v>
      </c>
      <c r="X48" s="91">
        <v>0</v>
      </c>
    </row>
    <row r="49" spans="1:24" x14ac:dyDescent="0.3">
      <c r="A49" s="71">
        <v>31151</v>
      </c>
      <c r="B49" s="87" t="s">
        <v>281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1">
        <v>0</v>
      </c>
      <c r="K49" s="100">
        <v>0</v>
      </c>
      <c r="L49" s="100">
        <v>0</v>
      </c>
      <c r="M49" s="100">
        <v>0</v>
      </c>
      <c r="N49" s="100">
        <v>0</v>
      </c>
      <c r="O49" s="108"/>
      <c r="P49" s="100">
        <v>0</v>
      </c>
      <c r="Q49" s="108"/>
      <c r="R49" s="100">
        <v>0</v>
      </c>
      <c r="S49" s="100">
        <v>0</v>
      </c>
      <c r="T49" s="100">
        <v>0</v>
      </c>
      <c r="U49" s="100">
        <v>0</v>
      </c>
      <c r="V49" s="100">
        <v>0</v>
      </c>
      <c r="W49" s="101">
        <v>0</v>
      </c>
      <c r="X49" s="91">
        <v>0</v>
      </c>
    </row>
    <row r="50" spans="1:24" x14ac:dyDescent="0.3">
      <c r="A50" s="71">
        <v>31152</v>
      </c>
      <c r="B50" s="87" t="s">
        <v>282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1">
        <v>0</v>
      </c>
      <c r="K50" s="100">
        <v>0</v>
      </c>
      <c r="L50" s="100">
        <v>0</v>
      </c>
      <c r="M50" s="100">
        <v>0</v>
      </c>
      <c r="N50" s="100">
        <v>0</v>
      </c>
      <c r="O50" s="108"/>
      <c r="P50" s="100">
        <v>0</v>
      </c>
      <c r="Q50" s="108"/>
      <c r="R50" s="100">
        <v>0</v>
      </c>
      <c r="S50" s="100">
        <v>0</v>
      </c>
      <c r="T50" s="100">
        <v>0</v>
      </c>
      <c r="U50" s="100">
        <v>0</v>
      </c>
      <c r="V50" s="100">
        <v>0</v>
      </c>
      <c r="W50" s="101">
        <v>0</v>
      </c>
      <c r="X50" s="91">
        <v>0</v>
      </c>
    </row>
    <row r="51" spans="1:24" x14ac:dyDescent="0.3">
      <c r="A51" s="71">
        <v>31153</v>
      </c>
      <c r="B51" s="87" t="s">
        <v>283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1">
        <v>0</v>
      </c>
      <c r="K51" s="100">
        <v>0</v>
      </c>
      <c r="L51" s="100">
        <v>0</v>
      </c>
      <c r="M51" s="100">
        <v>0</v>
      </c>
      <c r="N51" s="100">
        <v>0</v>
      </c>
      <c r="O51" s="108"/>
      <c r="P51" s="100">
        <v>0</v>
      </c>
      <c r="Q51" s="108"/>
      <c r="R51" s="100">
        <v>0</v>
      </c>
      <c r="S51" s="100">
        <v>0</v>
      </c>
      <c r="T51" s="100">
        <v>0</v>
      </c>
      <c r="U51" s="100">
        <v>0</v>
      </c>
      <c r="V51" s="100">
        <v>0</v>
      </c>
      <c r="W51" s="101">
        <v>0</v>
      </c>
      <c r="X51" s="91">
        <v>0</v>
      </c>
    </row>
    <row r="52" spans="1:24" x14ac:dyDescent="0.3">
      <c r="A52" s="71">
        <v>31154</v>
      </c>
      <c r="B52" s="87" t="s">
        <v>284</v>
      </c>
      <c r="C52" s="100">
        <v>16995428.25</v>
      </c>
      <c r="D52" s="100">
        <v>0</v>
      </c>
      <c r="E52" s="100">
        <v>0</v>
      </c>
      <c r="F52" s="100">
        <v>0</v>
      </c>
      <c r="G52" s="100">
        <v>0</v>
      </c>
      <c r="H52" s="100">
        <v>16995428.25</v>
      </c>
      <c r="I52" s="100">
        <v>16995428.25</v>
      </c>
      <c r="J52" s="101">
        <v>0</v>
      </c>
      <c r="K52" s="100">
        <v>7340803.75</v>
      </c>
      <c r="L52" s="100">
        <v>593140.43999999994</v>
      </c>
      <c r="M52" s="100">
        <v>0</v>
      </c>
      <c r="N52" s="100">
        <v>0</v>
      </c>
      <c r="O52" s="108"/>
      <c r="P52" s="100">
        <v>0</v>
      </c>
      <c r="Q52" s="108"/>
      <c r="R52" s="100">
        <v>0</v>
      </c>
      <c r="S52" s="100">
        <v>0</v>
      </c>
      <c r="T52" s="100">
        <v>0</v>
      </c>
      <c r="U52" s="100">
        <v>7933944.1899999995</v>
      </c>
      <c r="V52" s="100">
        <v>7637373.9699999997</v>
      </c>
      <c r="W52" s="101">
        <v>0</v>
      </c>
      <c r="X52" s="91">
        <v>3.49E-2</v>
      </c>
    </row>
    <row r="53" spans="1:24" x14ac:dyDescent="0.3">
      <c r="A53" s="71">
        <v>31175</v>
      </c>
      <c r="B53" s="87" t="s">
        <v>285</v>
      </c>
      <c r="C53" s="100">
        <v>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00">
        <v>0</v>
      </c>
      <c r="J53" s="101">
        <v>0</v>
      </c>
      <c r="K53" s="100">
        <v>0</v>
      </c>
      <c r="L53" s="100">
        <v>0</v>
      </c>
      <c r="M53" s="100">
        <v>0</v>
      </c>
      <c r="N53" s="100">
        <v>0</v>
      </c>
      <c r="O53" s="108"/>
      <c r="P53" s="100">
        <v>0</v>
      </c>
      <c r="Q53" s="108"/>
      <c r="R53" s="100">
        <v>0</v>
      </c>
      <c r="S53" s="100">
        <v>0</v>
      </c>
      <c r="T53" s="100">
        <v>0</v>
      </c>
      <c r="U53" s="100">
        <v>0</v>
      </c>
      <c r="V53" s="100">
        <v>0</v>
      </c>
      <c r="W53" s="101">
        <v>0</v>
      </c>
      <c r="X53" s="91">
        <v>0</v>
      </c>
    </row>
    <row r="54" spans="1:24" x14ac:dyDescent="0.3">
      <c r="A54" s="71">
        <v>31178</v>
      </c>
      <c r="B54" s="87" t="s">
        <v>286</v>
      </c>
      <c r="C54" s="100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1">
        <v>0</v>
      </c>
      <c r="K54" s="100">
        <v>0</v>
      </c>
      <c r="L54" s="100">
        <v>0</v>
      </c>
      <c r="M54" s="100">
        <v>0</v>
      </c>
      <c r="N54" s="100">
        <v>0</v>
      </c>
      <c r="O54" s="108"/>
      <c r="P54" s="100">
        <v>0</v>
      </c>
      <c r="Q54" s="108"/>
      <c r="R54" s="100">
        <v>0</v>
      </c>
      <c r="S54" s="100">
        <v>0</v>
      </c>
      <c r="T54" s="100">
        <v>0</v>
      </c>
      <c r="U54" s="100">
        <v>0</v>
      </c>
      <c r="V54" s="100">
        <v>0</v>
      </c>
      <c r="W54" s="101">
        <v>0</v>
      </c>
      <c r="X54" s="91">
        <v>0</v>
      </c>
    </row>
    <row r="55" spans="1:24" x14ac:dyDescent="0.3">
      <c r="A55" s="71">
        <v>31179</v>
      </c>
      <c r="B55" s="87" t="s">
        <v>287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1">
        <v>0</v>
      </c>
      <c r="K55" s="100">
        <v>0</v>
      </c>
      <c r="L55" s="100">
        <v>0</v>
      </c>
      <c r="M55" s="100">
        <v>0</v>
      </c>
      <c r="N55" s="100">
        <v>0</v>
      </c>
      <c r="O55" s="108"/>
      <c r="P55" s="100">
        <v>0</v>
      </c>
      <c r="Q55" s="108"/>
      <c r="R55" s="100">
        <v>0</v>
      </c>
      <c r="S55" s="100">
        <v>0</v>
      </c>
      <c r="T55" s="100">
        <v>0</v>
      </c>
      <c r="U55" s="100">
        <v>0</v>
      </c>
      <c r="V55" s="100">
        <v>0</v>
      </c>
      <c r="W55" s="101">
        <v>0</v>
      </c>
      <c r="X55" s="91">
        <v>0</v>
      </c>
    </row>
    <row r="56" spans="1:24" x14ac:dyDescent="0.3">
      <c r="A56" s="71">
        <v>31230</v>
      </c>
      <c r="B56" s="87" t="s">
        <v>288</v>
      </c>
      <c r="C56" s="100">
        <v>0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1">
        <v>0</v>
      </c>
      <c r="K56" s="100">
        <v>0</v>
      </c>
      <c r="L56" s="100">
        <v>0</v>
      </c>
      <c r="M56" s="100">
        <v>0</v>
      </c>
      <c r="N56" s="100">
        <v>0</v>
      </c>
      <c r="O56" s="108"/>
      <c r="P56" s="100">
        <v>0</v>
      </c>
      <c r="Q56" s="108"/>
      <c r="R56" s="100">
        <v>0</v>
      </c>
      <c r="S56" s="100">
        <v>0</v>
      </c>
      <c r="T56" s="100">
        <v>0</v>
      </c>
      <c r="U56" s="100">
        <v>0</v>
      </c>
      <c r="V56" s="100">
        <v>0</v>
      </c>
      <c r="W56" s="101">
        <v>0</v>
      </c>
      <c r="X56" s="91">
        <v>0</v>
      </c>
    </row>
    <row r="57" spans="1:24" x14ac:dyDescent="0.3">
      <c r="A57" s="71">
        <v>31231</v>
      </c>
      <c r="B57" s="87" t="s">
        <v>289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1">
        <v>0</v>
      </c>
      <c r="K57" s="100">
        <v>0</v>
      </c>
      <c r="L57" s="100">
        <v>0</v>
      </c>
      <c r="M57" s="100">
        <v>0</v>
      </c>
      <c r="N57" s="100">
        <v>0</v>
      </c>
      <c r="O57" s="108"/>
      <c r="P57" s="100">
        <v>0</v>
      </c>
      <c r="Q57" s="108"/>
      <c r="R57" s="100">
        <v>0</v>
      </c>
      <c r="S57" s="100">
        <v>0</v>
      </c>
      <c r="T57" s="100">
        <v>0</v>
      </c>
      <c r="U57" s="100">
        <v>0</v>
      </c>
      <c r="V57" s="100">
        <v>0</v>
      </c>
      <c r="W57" s="101">
        <v>0</v>
      </c>
      <c r="X57" s="91">
        <v>0</v>
      </c>
    </row>
    <row r="58" spans="1:24" x14ac:dyDescent="0.3">
      <c r="A58" s="71">
        <v>31232</v>
      </c>
      <c r="B58" s="87" t="s">
        <v>290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1">
        <v>0</v>
      </c>
      <c r="K58" s="100">
        <v>0</v>
      </c>
      <c r="L58" s="100">
        <v>0</v>
      </c>
      <c r="M58" s="100">
        <v>0</v>
      </c>
      <c r="N58" s="100">
        <v>0</v>
      </c>
      <c r="O58" s="108"/>
      <c r="P58" s="100">
        <v>0</v>
      </c>
      <c r="Q58" s="108"/>
      <c r="R58" s="100">
        <v>0</v>
      </c>
      <c r="S58" s="100">
        <v>0</v>
      </c>
      <c r="T58" s="100">
        <v>0</v>
      </c>
      <c r="U58" s="100">
        <v>0</v>
      </c>
      <c r="V58" s="100">
        <v>0</v>
      </c>
      <c r="W58" s="101">
        <v>0</v>
      </c>
      <c r="X58" s="91">
        <v>0</v>
      </c>
    </row>
    <row r="59" spans="1:24" x14ac:dyDescent="0.3">
      <c r="A59" s="71">
        <v>31240</v>
      </c>
      <c r="B59" s="87" t="s">
        <v>291</v>
      </c>
      <c r="C59" s="100">
        <v>197728668.46999997</v>
      </c>
      <c r="D59" s="100">
        <v>5357065.62</v>
      </c>
      <c r="E59" s="100">
        <v>-1071413.0900000001</v>
      </c>
      <c r="F59" s="100">
        <v>0</v>
      </c>
      <c r="G59" s="100">
        <v>0</v>
      </c>
      <c r="H59" s="100">
        <v>202014320.99999997</v>
      </c>
      <c r="I59" s="100">
        <v>199557615.38999999</v>
      </c>
      <c r="J59" s="101">
        <v>0</v>
      </c>
      <c r="K59" s="100">
        <v>50486989.93500001</v>
      </c>
      <c r="L59" s="100">
        <v>7595345.1100000003</v>
      </c>
      <c r="M59" s="100">
        <v>-1071413.0900000001</v>
      </c>
      <c r="N59" s="100">
        <v>-548245.75</v>
      </c>
      <c r="O59" s="108"/>
      <c r="P59" s="100">
        <v>0</v>
      </c>
      <c r="Q59" s="108"/>
      <c r="R59" s="100">
        <v>0</v>
      </c>
      <c r="S59" s="100">
        <v>0</v>
      </c>
      <c r="T59" s="100">
        <v>0</v>
      </c>
      <c r="U59" s="100">
        <v>56462676.205000006</v>
      </c>
      <c r="V59" s="100">
        <v>53547756.219999999</v>
      </c>
      <c r="W59" s="101">
        <v>4.999987781047821E-3</v>
      </c>
      <c r="X59" s="91">
        <v>3.8100000000000002E-2</v>
      </c>
    </row>
    <row r="60" spans="1:24" x14ac:dyDescent="0.3">
      <c r="A60" s="71">
        <v>31241</v>
      </c>
      <c r="B60" s="87" t="s">
        <v>292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1">
        <v>0</v>
      </c>
      <c r="K60" s="100">
        <v>0</v>
      </c>
      <c r="L60" s="100">
        <v>0</v>
      </c>
      <c r="M60" s="100">
        <v>0</v>
      </c>
      <c r="N60" s="100">
        <v>0</v>
      </c>
      <c r="O60" s="108"/>
      <c r="P60" s="100">
        <v>0</v>
      </c>
      <c r="Q60" s="108"/>
      <c r="R60" s="100">
        <v>0</v>
      </c>
      <c r="S60" s="100">
        <v>0</v>
      </c>
      <c r="T60" s="100">
        <v>0</v>
      </c>
      <c r="U60" s="100">
        <v>0</v>
      </c>
      <c r="V60" s="100">
        <v>0</v>
      </c>
      <c r="W60" s="101">
        <v>0</v>
      </c>
      <c r="X60" s="91">
        <v>0</v>
      </c>
    </row>
    <row r="61" spans="1:24" x14ac:dyDescent="0.3">
      <c r="A61" s="71">
        <v>31242</v>
      </c>
      <c r="B61" s="87" t="s">
        <v>293</v>
      </c>
      <c r="C61" s="100">
        <v>0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1">
        <v>0</v>
      </c>
      <c r="K61" s="100">
        <v>0</v>
      </c>
      <c r="L61" s="100">
        <v>0</v>
      </c>
      <c r="M61" s="100">
        <v>0</v>
      </c>
      <c r="N61" s="100">
        <v>0</v>
      </c>
      <c r="O61" s="108"/>
      <c r="P61" s="100">
        <v>0</v>
      </c>
      <c r="Q61" s="108"/>
      <c r="R61" s="100">
        <v>0</v>
      </c>
      <c r="S61" s="100">
        <v>0</v>
      </c>
      <c r="T61" s="100">
        <v>0</v>
      </c>
      <c r="U61" s="100">
        <v>0</v>
      </c>
      <c r="V61" s="100">
        <v>0</v>
      </c>
      <c r="W61" s="101">
        <v>0</v>
      </c>
      <c r="X61" s="91">
        <v>0</v>
      </c>
    </row>
    <row r="62" spans="1:24" x14ac:dyDescent="0.3">
      <c r="A62" s="71">
        <v>31243</v>
      </c>
      <c r="B62" s="87" t="s">
        <v>294</v>
      </c>
      <c r="C62" s="100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1">
        <v>0</v>
      </c>
      <c r="K62" s="100">
        <v>0</v>
      </c>
      <c r="L62" s="100">
        <v>0</v>
      </c>
      <c r="M62" s="100">
        <v>0</v>
      </c>
      <c r="N62" s="100">
        <v>0</v>
      </c>
      <c r="O62" s="108"/>
      <c r="P62" s="100">
        <v>0</v>
      </c>
      <c r="Q62" s="108"/>
      <c r="R62" s="100">
        <v>0</v>
      </c>
      <c r="S62" s="100">
        <v>0</v>
      </c>
      <c r="T62" s="100">
        <v>0</v>
      </c>
      <c r="U62" s="100">
        <v>0</v>
      </c>
      <c r="V62" s="100">
        <v>0</v>
      </c>
      <c r="W62" s="101">
        <v>0</v>
      </c>
      <c r="X62" s="91">
        <v>0</v>
      </c>
    </row>
    <row r="63" spans="1:24" x14ac:dyDescent="0.3">
      <c r="A63" s="71">
        <v>31244</v>
      </c>
      <c r="B63" s="87" t="s">
        <v>295</v>
      </c>
      <c r="C63" s="100">
        <v>315953309.90499985</v>
      </c>
      <c r="D63" s="100">
        <v>3285059.34</v>
      </c>
      <c r="E63" s="100">
        <v>-657011.86</v>
      </c>
      <c r="F63" s="100">
        <v>0</v>
      </c>
      <c r="G63" s="100">
        <v>0</v>
      </c>
      <c r="H63" s="100">
        <v>318581357.38499981</v>
      </c>
      <c r="I63" s="100">
        <v>316923751.88999999</v>
      </c>
      <c r="J63" s="101">
        <v>0</v>
      </c>
      <c r="K63" s="100">
        <v>117102393.98499998</v>
      </c>
      <c r="L63" s="100">
        <v>17043066.280000001</v>
      </c>
      <c r="M63" s="100">
        <v>-657011.86</v>
      </c>
      <c r="N63" s="100">
        <v>-302050.63</v>
      </c>
      <c r="O63" s="108"/>
      <c r="P63" s="100">
        <v>0</v>
      </c>
      <c r="Q63" s="108"/>
      <c r="R63" s="100">
        <v>0</v>
      </c>
      <c r="S63" s="100">
        <v>0</v>
      </c>
      <c r="T63" s="100">
        <v>0</v>
      </c>
      <c r="U63" s="100">
        <v>133186397.77499999</v>
      </c>
      <c r="V63" s="100">
        <v>125203501.81999999</v>
      </c>
      <c r="W63" s="101">
        <v>0</v>
      </c>
      <c r="X63" s="91">
        <v>5.3800000000000001E-2</v>
      </c>
    </row>
    <row r="64" spans="1:24" x14ac:dyDescent="0.3">
      <c r="A64" s="71">
        <v>31245</v>
      </c>
      <c r="B64" s="87" t="s">
        <v>296</v>
      </c>
      <c r="C64" s="100">
        <v>197144713.0399999</v>
      </c>
      <c r="D64" s="100">
        <v>575002.88</v>
      </c>
      <c r="E64" s="100">
        <v>-115000.58</v>
      </c>
      <c r="F64" s="100">
        <v>0</v>
      </c>
      <c r="G64" s="100">
        <v>0</v>
      </c>
      <c r="H64" s="100">
        <v>197604715.33999988</v>
      </c>
      <c r="I64" s="100">
        <v>197292965.18000001</v>
      </c>
      <c r="J64" s="101">
        <v>-4.999995231628418E-3</v>
      </c>
      <c r="K64" s="100">
        <v>80754234.110000014</v>
      </c>
      <c r="L64" s="100">
        <v>10612963.85</v>
      </c>
      <c r="M64" s="100">
        <v>-115000.58</v>
      </c>
      <c r="N64" s="100">
        <v>-7869.48</v>
      </c>
      <c r="O64" s="108"/>
      <c r="P64" s="100">
        <v>0</v>
      </c>
      <c r="Q64" s="108"/>
      <c r="R64" s="100">
        <v>0</v>
      </c>
      <c r="S64" s="100">
        <v>0</v>
      </c>
      <c r="T64" s="100">
        <v>0</v>
      </c>
      <c r="U64" s="100">
        <v>91244327.900000006</v>
      </c>
      <c r="V64" s="100">
        <v>86017606.680000007</v>
      </c>
      <c r="W64" s="101">
        <v>0</v>
      </c>
      <c r="X64" s="91">
        <v>5.3800000000000001E-2</v>
      </c>
    </row>
    <row r="65" spans="1:24" x14ac:dyDescent="0.3">
      <c r="A65" s="71">
        <v>31246</v>
      </c>
      <c r="B65" s="87" t="s">
        <v>297</v>
      </c>
      <c r="C65" s="100">
        <v>0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1">
        <v>0</v>
      </c>
      <c r="K65" s="100">
        <v>0</v>
      </c>
      <c r="L65" s="100">
        <v>0</v>
      </c>
      <c r="M65" s="100">
        <v>0</v>
      </c>
      <c r="N65" s="100">
        <v>0</v>
      </c>
      <c r="O65" s="108"/>
      <c r="P65" s="100">
        <v>0</v>
      </c>
      <c r="Q65" s="108"/>
      <c r="R65" s="100">
        <v>0</v>
      </c>
      <c r="S65" s="100">
        <v>0</v>
      </c>
      <c r="T65" s="100">
        <v>0</v>
      </c>
      <c r="U65" s="100">
        <v>0</v>
      </c>
      <c r="V65" s="100">
        <v>0</v>
      </c>
      <c r="W65" s="101">
        <v>0</v>
      </c>
      <c r="X65" s="91">
        <v>0</v>
      </c>
    </row>
    <row r="66" spans="1:24" x14ac:dyDescent="0.3">
      <c r="A66" s="71">
        <v>31247</v>
      </c>
      <c r="B66" s="87" t="s">
        <v>298</v>
      </c>
      <c r="C66" s="100">
        <v>10156523.809999999</v>
      </c>
      <c r="D66" s="100">
        <v>0</v>
      </c>
      <c r="E66" s="100">
        <v>0</v>
      </c>
      <c r="F66" s="100">
        <v>0</v>
      </c>
      <c r="G66" s="100">
        <v>0</v>
      </c>
      <c r="H66" s="100">
        <v>10156523.809999999</v>
      </c>
      <c r="I66" s="100">
        <v>10156523.810000001</v>
      </c>
      <c r="J66" s="101">
        <v>0</v>
      </c>
      <c r="K66" s="100">
        <v>10187109.649999999</v>
      </c>
      <c r="L66" s="100">
        <v>0</v>
      </c>
      <c r="M66" s="100">
        <v>0</v>
      </c>
      <c r="N66" s="100">
        <v>0</v>
      </c>
      <c r="O66" s="108"/>
      <c r="P66" s="100">
        <v>0</v>
      </c>
      <c r="Q66" s="108"/>
      <c r="R66" s="100">
        <v>0</v>
      </c>
      <c r="S66" s="100">
        <v>0</v>
      </c>
      <c r="T66" s="100">
        <v>0</v>
      </c>
      <c r="U66" s="100">
        <v>10187109.649999999</v>
      </c>
      <c r="V66" s="100">
        <v>10187109.65</v>
      </c>
      <c r="W66" s="101">
        <v>0</v>
      </c>
      <c r="X66" s="91">
        <v>0.2</v>
      </c>
    </row>
    <row r="67" spans="1:24" x14ac:dyDescent="0.3">
      <c r="A67" s="71">
        <v>31251</v>
      </c>
      <c r="B67" s="87" t="s">
        <v>299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1">
        <v>0</v>
      </c>
      <c r="K67" s="100">
        <v>0</v>
      </c>
      <c r="L67" s="100">
        <v>0</v>
      </c>
      <c r="M67" s="100">
        <v>0</v>
      </c>
      <c r="N67" s="100">
        <v>0</v>
      </c>
      <c r="O67" s="108"/>
      <c r="P67" s="100">
        <v>0</v>
      </c>
      <c r="Q67" s="108"/>
      <c r="R67" s="100">
        <v>0</v>
      </c>
      <c r="S67" s="100">
        <v>0</v>
      </c>
      <c r="T67" s="100">
        <v>0</v>
      </c>
      <c r="U67" s="100">
        <v>0</v>
      </c>
      <c r="V67" s="100">
        <v>0</v>
      </c>
      <c r="W67" s="101">
        <v>0</v>
      </c>
      <c r="X67" s="91">
        <v>0</v>
      </c>
    </row>
    <row r="68" spans="1:24" x14ac:dyDescent="0.3">
      <c r="A68" s="71">
        <v>31252</v>
      </c>
      <c r="B68" s="87" t="s">
        <v>300</v>
      </c>
      <c r="C68" s="100">
        <v>0</v>
      </c>
      <c r="D68" s="100">
        <v>0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1">
        <v>0</v>
      </c>
      <c r="K68" s="100">
        <v>0</v>
      </c>
      <c r="L68" s="100">
        <v>0</v>
      </c>
      <c r="M68" s="100">
        <v>0</v>
      </c>
      <c r="N68" s="100">
        <v>0</v>
      </c>
      <c r="O68" s="108"/>
      <c r="P68" s="100">
        <v>0</v>
      </c>
      <c r="Q68" s="108"/>
      <c r="R68" s="100">
        <v>0</v>
      </c>
      <c r="S68" s="100">
        <v>0</v>
      </c>
      <c r="T68" s="100">
        <v>0</v>
      </c>
      <c r="U68" s="100">
        <v>0</v>
      </c>
      <c r="V68" s="100">
        <v>0</v>
      </c>
      <c r="W68" s="101">
        <v>0</v>
      </c>
      <c r="X68" s="91">
        <v>0</v>
      </c>
    </row>
    <row r="69" spans="1:24" x14ac:dyDescent="0.3">
      <c r="A69" s="71">
        <v>31253</v>
      </c>
      <c r="B69" s="87" t="s">
        <v>301</v>
      </c>
      <c r="C69" s="100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1">
        <v>0</v>
      </c>
      <c r="K69" s="100">
        <v>0</v>
      </c>
      <c r="L69" s="100">
        <v>0</v>
      </c>
      <c r="M69" s="100">
        <v>0</v>
      </c>
      <c r="N69" s="100">
        <v>0</v>
      </c>
      <c r="O69" s="108"/>
      <c r="P69" s="100">
        <v>0</v>
      </c>
      <c r="Q69" s="108"/>
      <c r="R69" s="100">
        <v>0</v>
      </c>
      <c r="S69" s="100">
        <v>0</v>
      </c>
      <c r="T69" s="100">
        <v>0</v>
      </c>
      <c r="U69" s="100">
        <v>0</v>
      </c>
      <c r="V69" s="100">
        <v>0</v>
      </c>
      <c r="W69" s="101">
        <v>0</v>
      </c>
      <c r="X69" s="91">
        <v>0</v>
      </c>
    </row>
    <row r="70" spans="1:24" x14ac:dyDescent="0.3">
      <c r="A70" s="71">
        <v>31254</v>
      </c>
      <c r="B70" s="87" t="s">
        <v>302</v>
      </c>
      <c r="C70" s="100">
        <v>40267602.585000001</v>
      </c>
      <c r="D70" s="100">
        <v>0</v>
      </c>
      <c r="E70" s="100">
        <v>0</v>
      </c>
      <c r="F70" s="100">
        <v>0</v>
      </c>
      <c r="G70" s="100">
        <v>0</v>
      </c>
      <c r="H70" s="100">
        <v>40267602.585000001</v>
      </c>
      <c r="I70" s="100">
        <v>40267602.590000004</v>
      </c>
      <c r="J70" s="101">
        <v>0</v>
      </c>
      <c r="K70" s="100">
        <v>16146175.740000011</v>
      </c>
      <c r="L70" s="100">
        <v>2166396.96</v>
      </c>
      <c r="M70" s="100">
        <v>0</v>
      </c>
      <c r="N70" s="100">
        <v>0</v>
      </c>
      <c r="O70" s="108"/>
      <c r="P70" s="100">
        <v>0</v>
      </c>
      <c r="Q70" s="108"/>
      <c r="R70" s="100">
        <v>0</v>
      </c>
      <c r="S70" s="100">
        <v>0</v>
      </c>
      <c r="T70" s="100">
        <v>0</v>
      </c>
      <c r="U70" s="100">
        <v>18312572.70000001</v>
      </c>
      <c r="V70" s="100">
        <v>17229374.219999999</v>
      </c>
      <c r="W70" s="101">
        <v>0</v>
      </c>
      <c r="X70" s="91">
        <v>5.3800000000000001E-2</v>
      </c>
    </row>
    <row r="71" spans="1:24" x14ac:dyDescent="0.3">
      <c r="A71" s="71">
        <v>31275</v>
      </c>
      <c r="B71" s="87" t="s">
        <v>303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1">
        <v>0</v>
      </c>
      <c r="K71" s="100">
        <v>0</v>
      </c>
      <c r="L71" s="100">
        <v>0</v>
      </c>
      <c r="M71" s="100">
        <v>0</v>
      </c>
      <c r="N71" s="100">
        <v>0</v>
      </c>
      <c r="O71" s="108"/>
      <c r="P71" s="100">
        <v>0</v>
      </c>
      <c r="Q71" s="108"/>
      <c r="R71" s="100">
        <v>0</v>
      </c>
      <c r="S71" s="100">
        <v>0</v>
      </c>
      <c r="T71" s="100">
        <v>0</v>
      </c>
      <c r="U71" s="100">
        <v>0</v>
      </c>
      <c r="V71" s="100">
        <v>0</v>
      </c>
      <c r="W71" s="101">
        <v>0</v>
      </c>
      <c r="X71" s="91">
        <v>0</v>
      </c>
    </row>
    <row r="72" spans="1:24" x14ac:dyDescent="0.3">
      <c r="A72" s="71">
        <v>31430</v>
      </c>
      <c r="B72" s="87" t="s">
        <v>304</v>
      </c>
      <c r="C72" s="100">
        <v>0</v>
      </c>
      <c r="D72" s="100">
        <v>0</v>
      </c>
      <c r="E72" s="100">
        <v>0</v>
      </c>
      <c r="F72" s="100">
        <v>0</v>
      </c>
      <c r="G72" s="100">
        <v>0</v>
      </c>
      <c r="H72" s="100">
        <v>0</v>
      </c>
      <c r="I72" s="100">
        <v>0</v>
      </c>
      <c r="J72" s="101">
        <v>0</v>
      </c>
      <c r="K72" s="100">
        <v>0</v>
      </c>
      <c r="L72" s="100">
        <v>0</v>
      </c>
      <c r="M72" s="100">
        <v>0</v>
      </c>
      <c r="N72" s="100">
        <v>0</v>
      </c>
      <c r="O72" s="108"/>
      <c r="P72" s="100">
        <v>0</v>
      </c>
      <c r="Q72" s="108"/>
      <c r="R72" s="100">
        <v>0</v>
      </c>
      <c r="S72" s="100">
        <v>0</v>
      </c>
      <c r="T72" s="100">
        <v>0</v>
      </c>
      <c r="U72" s="100">
        <v>0</v>
      </c>
      <c r="V72" s="100">
        <v>0</v>
      </c>
      <c r="W72" s="101">
        <v>0</v>
      </c>
      <c r="X72" s="91">
        <v>0</v>
      </c>
    </row>
    <row r="73" spans="1:24" x14ac:dyDescent="0.3">
      <c r="A73" s="71">
        <v>31431</v>
      </c>
      <c r="B73" s="87" t="s">
        <v>305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1">
        <v>0</v>
      </c>
      <c r="K73" s="100">
        <v>0</v>
      </c>
      <c r="L73" s="100">
        <v>0</v>
      </c>
      <c r="M73" s="100">
        <v>0</v>
      </c>
      <c r="N73" s="100">
        <v>0</v>
      </c>
      <c r="O73" s="108"/>
      <c r="P73" s="100">
        <v>0</v>
      </c>
      <c r="Q73" s="108"/>
      <c r="R73" s="100">
        <v>0</v>
      </c>
      <c r="S73" s="100">
        <v>0</v>
      </c>
      <c r="T73" s="100">
        <v>0</v>
      </c>
      <c r="U73" s="100">
        <v>0</v>
      </c>
      <c r="V73" s="100">
        <v>0</v>
      </c>
      <c r="W73" s="101">
        <v>0</v>
      </c>
      <c r="X73" s="91">
        <v>0</v>
      </c>
    </row>
    <row r="74" spans="1:24" x14ac:dyDescent="0.3">
      <c r="A74" s="71">
        <v>31432</v>
      </c>
      <c r="B74" s="87" t="s">
        <v>306</v>
      </c>
      <c r="C74" s="100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1">
        <v>0</v>
      </c>
      <c r="K74" s="100">
        <v>0</v>
      </c>
      <c r="L74" s="100">
        <v>0</v>
      </c>
      <c r="M74" s="100">
        <v>0</v>
      </c>
      <c r="N74" s="100">
        <v>0</v>
      </c>
      <c r="O74" s="108"/>
      <c r="P74" s="100">
        <v>0</v>
      </c>
      <c r="Q74" s="108"/>
      <c r="R74" s="100">
        <v>0</v>
      </c>
      <c r="S74" s="100">
        <v>0</v>
      </c>
      <c r="T74" s="100">
        <v>0</v>
      </c>
      <c r="U74" s="100">
        <v>0</v>
      </c>
      <c r="V74" s="100">
        <v>0</v>
      </c>
      <c r="W74" s="101">
        <v>0</v>
      </c>
      <c r="X74" s="91">
        <v>0</v>
      </c>
    </row>
    <row r="75" spans="1:24" x14ac:dyDescent="0.3">
      <c r="A75" s="71">
        <v>31433</v>
      </c>
      <c r="B75" s="87" t="s">
        <v>307</v>
      </c>
      <c r="C75" s="100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1">
        <v>0</v>
      </c>
      <c r="K75" s="100">
        <v>0</v>
      </c>
      <c r="L75" s="100">
        <v>0</v>
      </c>
      <c r="M75" s="100">
        <v>0</v>
      </c>
      <c r="N75" s="100">
        <v>0</v>
      </c>
      <c r="O75" s="108"/>
      <c r="P75" s="100">
        <v>0</v>
      </c>
      <c r="Q75" s="108"/>
      <c r="R75" s="100">
        <v>0</v>
      </c>
      <c r="S75" s="100">
        <v>0</v>
      </c>
      <c r="T75" s="100">
        <v>0</v>
      </c>
      <c r="U75" s="100">
        <v>0</v>
      </c>
      <c r="V75" s="100">
        <v>0</v>
      </c>
      <c r="W75" s="101">
        <v>0</v>
      </c>
      <c r="X75" s="91">
        <v>0</v>
      </c>
    </row>
    <row r="76" spans="1:24" x14ac:dyDescent="0.3">
      <c r="A76" s="71">
        <v>31434</v>
      </c>
      <c r="B76" s="87" t="s">
        <v>308</v>
      </c>
      <c r="C76" s="100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  <c r="K76" s="100">
        <v>0</v>
      </c>
      <c r="L76" s="100">
        <v>0</v>
      </c>
      <c r="M76" s="100">
        <v>0</v>
      </c>
      <c r="N76" s="100">
        <v>0</v>
      </c>
      <c r="O76" s="108"/>
      <c r="P76" s="100">
        <v>0</v>
      </c>
      <c r="Q76" s="108"/>
      <c r="R76" s="100">
        <v>0</v>
      </c>
      <c r="S76" s="100">
        <v>0</v>
      </c>
      <c r="T76" s="100">
        <v>0</v>
      </c>
      <c r="U76" s="100">
        <v>0</v>
      </c>
      <c r="V76" s="100">
        <v>0</v>
      </c>
      <c r="W76" s="101">
        <v>0</v>
      </c>
      <c r="X76" s="91">
        <v>0</v>
      </c>
    </row>
    <row r="77" spans="1:24" x14ac:dyDescent="0.3">
      <c r="A77" s="71">
        <v>31440</v>
      </c>
      <c r="B77" s="87" t="s">
        <v>309</v>
      </c>
      <c r="C77" s="100">
        <v>28785796.029999997</v>
      </c>
      <c r="D77" s="100">
        <v>5357065.62</v>
      </c>
      <c r="E77" s="100">
        <v>-1071413.0900000001</v>
      </c>
      <c r="F77" s="100">
        <v>0</v>
      </c>
      <c r="G77" s="100">
        <v>0</v>
      </c>
      <c r="H77" s="100">
        <v>33071448.559999999</v>
      </c>
      <c r="I77" s="100">
        <v>30614742.949999999</v>
      </c>
      <c r="J77" s="101">
        <v>0</v>
      </c>
      <c r="K77" s="100">
        <v>954130.38500000094</v>
      </c>
      <c r="L77" s="100">
        <v>1185990.68</v>
      </c>
      <c r="M77" s="100">
        <v>-1071413.0900000001</v>
      </c>
      <c r="N77" s="100">
        <v>-548245.75</v>
      </c>
      <c r="O77" s="108"/>
      <c r="P77" s="100">
        <v>0</v>
      </c>
      <c r="Q77" s="108"/>
      <c r="R77" s="100">
        <v>0</v>
      </c>
      <c r="S77" s="100">
        <v>0</v>
      </c>
      <c r="T77" s="100">
        <v>0</v>
      </c>
      <c r="U77" s="100">
        <v>520462.22500000079</v>
      </c>
      <c r="V77" s="100">
        <v>809922.62</v>
      </c>
      <c r="W77" s="101">
        <v>5.0000005285255611E-3</v>
      </c>
      <c r="X77" s="91">
        <v>3.9E-2</v>
      </c>
    </row>
    <row r="78" spans="1:24" x14ac:dyDescent="0.3">
      <c r="A78" s="71">
        <v>31441</v>
      </c>
      <c r="B78" s="87" t="s">
        <v>310</v>
      </c>
      <c r="C78" s="100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1">
        <v>0</v>
      </c>
      <c r="K78" s="100">
        <v>0</v>
      </c>
      <c r="L78" s="100">
        <v>0</v>
      </c>
      <c r="M78" s="100">
        <v>0</v>
      </c>
      <c r="N78" s="100">
        <v>0</v>
      </c>
      <c r="O78" s="108"/>
      <c r="P78" s="100">
        <v>0</v>
      </c>
      <c r="Q78" s="108"/>
      <c r="R78" s="100">
        <v>0</v>
      </c>
      <c r="S78" s="100">
        <v>0</v>
      </c>
      <c r="T78" s="100">
        <v>0</v>
      </c>
      <c r="U78" s="100">
        <v>0</v>
      </c>
      <c r="V78" s="100">
        <v>0</v>
      </c>
      <c r="W78" s="101">
        <v>0</v>
      </c>
      <c r="X78" s="91">
        <v>0</v>
      </c>
    </row>
    <row r="79" spans="1:24" x14ac:dyDescent="0.3">
      <c r="A79" s="71">
        <v>31442</v>
      </c>
      <c r="B79" s="87" t="s">
        <v>311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1">
        <v>0</v>
      </c>
      <c r="K79" s="100">
        <v>0</v>
      </c>
      <c r="L79" s="100">
        <v>0</v>
      </c>
      <c r="M79" s="100">
        <v>0</v>
      </c>
      <c r="N79" s="100">
        <v>0</v>
      </c>
      <c r="O79" s="108"/>
      <c r="P79" s="100">
        <v>0</v>
      </c>
      <c r="Q79" s="108"/>
      <c r="R79" s="100">
        <v>0</v>
      </c>
      <c r="S79" s="100">
        <v>0</v>
      </c>
      <c r="T79" s="100">
        <v>0</v>
      </c>
      <c r="U79" s="100">
        <v>0</v>
      </c>
      <c r="V79" s="100">
        <v>0</v>
      </c>
      <c r="W79" s="101">
        <v>0</v>
      </c>
      <c r="X79" s="91">
        <v>0</v>
      </c>
    </row>
    <row r="80" spans="1:24" x14ac:dyDescent="0.3">
      <c r="A80" s="71">
        <v>31443</v>
      </c>
      <c r="B80" s="87" t="s">
        <v>312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1">
        <v>0</v>
      </c>
      <c r="K80" s="100">
        <v>0</v>
      </c>
      <c r="L80" s="100">
        <v>0</v>
      </c>
      <c r="M80" s="100">
        <v>0</v>
      </c>
      <c r="N80" s="100">
        <v>0</v>
      </c>
      <c r="O80" s="108"/>
      <c r="P80" s="100">
        <v>0</v>
      </c>
      <c r="Q80" s="108"/>
      <c r="R80" s="100">
        <v>0</v>
      </c>
      <c r="S80" s="100">
        <v>0</v>
      </c>
      <c r="T80" s="100">
        <v>0</v>
      </c>
      <c r="U80" s="100">
        <v>0</v>
      </c>
      <c r="V80" s="100">
        <v>0</v>
      </c>
      <c r="W80" s="101">
        <v>0</v>
      </c>
      <c r="X80" s="91">
        <v>0</v>
      </c>
    </row>
    <row r="81" spans="1:24" x14ac:dyDescent="0.3">
      <c r="A81" s="71">
        <v>31444</v>
      </c>
      <c r="B81" s="87" t="s">
        <v>313</v>
      </c>
      <c r="C81" s="100">
        <v>120281000.42500004</v>
      </c>
      <c r="D81" s="100">
        <v>3285059.34</v>
      </c>
      <c r="E81" s="100">
        <v>-657011.86</v>
      </c>
      <c r="F81" s="100">
        <v>0</v>
      </c>
      <c r="G81" s="100">
        <v>0</v>
      </c>
      <c r="H81" s="100">
        <v>122909047.90500005</v>
      </c>
      <c r="I81" s="100">
        <v>121251442.41</v>
      </c>
      <c r="J81" s="101">
        <v>0</v>
      </c>
      <c r="K81" s="100">
        <v>53046999.285000034</v>
      </c>
      <c r="L81" s="100">
        <v>5643880.1900000004</v>
      </c>
      <c r="M81" s="100">
        <v>-657011.86</v>
      </c>
      <c r="N81" s="100">
        <v>-302050.63</v>
      </c>
      <c r="O81" s="108"/>
      <c r="P81" s="100">
        <v>0</v>
      </c>
      <c r="Q81" s="108"/>
      <c r="R81" s="100">
        <v>0</v>
      </c>
      <c r="S81" s="100">
        <v>0</v>
      </c>
      <c r="T81" s="100">
        <v>0</v>
      </c>
      <c r="U81" s="100">
        <v>57731816.985000029</v>
      </c>
      <c r="V81" s="100">
        <v>55450091.729999997</v>
      </c>
      <c r="W81" s="101">
        <v>0</v>
      </c>
      <c r="X81" s="91">
        <v>4.6600000000000003E-2</v>
      </c>
    </row>
    <row r="82" spans="1:24" x14ac:dyDescent="0.3">
      <c r="A82" s="71">
        <v>31530</v>
      </c>
      <c r="B82" s="87" t="s">
        <v>314</v>
      </c>
      <c r="C82" s="100">
        <v>0</v>
      </c>
      <c r="D82" s="100">
        <v>0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1">
        <v>0</v>
      </c>
      <c r="K82" s="100">
        <v>0</v>
      </c>
      <c r="L82" s="100">
        <v>0</v>
      </c>
      <c r="M82" s="100">
        <v>0</v>
      </c>
      <c r="N82" s="100">
        <v>0</v>
      </c>
      <c r="O82" s="108"/>
      <c r="P82" s="100">
        <v>0</v>
      </c>
      <c r="Q82" s="108"/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1">
        <v>0</v>
      </c>
      <c r="X82" s="91">
        <v>0</v>
      </c>
    </row>
    <row r="83" spans="1:24" x14ac:dyDescent="0.3">
      <c r="A83" s="71">
        <v>31531</v>
      </c>
      <c r="B83" s="87" t="s">
        <v>315</v>
      </c>
      <c r="C83" s="100">
        <v>0</v>
      </c>
      <c r="D83" s="100">
        <v>0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1">
        <v>0</v>
      </c>
      <c r="K83" s="100">
        <v>0</v>
      </c>
      <c r="L83" s="100">
        <v>0</v>
      </c>
      <c r="M83" s="100">
        <v>0</v>
      </c>
      <c r="N83" s="100">
        <v>0</v>
      </c>
      <c r="O83" s="108"/>
      <c r="P83" s="100">
        <v>0</v>
      </c>
      <c r="Q83" s="108"/>
      <c r="R83" s="100">
        <v>0</v>
      </c>
      <c r="S83" s="100">
        <v>0</v>
      </c>
      <c r="T83" s="100">
        <v>0</v>
      </c>
      <c r="U83" s="100">
        <v>0</v>
      </c>
      <c r="V83" s="100">
        <v>0</v>
      </c>
      <c r="W83" s="101">
        <v>0</v>
      </c>
      <c r="X83" s="91">
        <v>0</v>
      </c>
    </row>
    <row r="84" spans="1:24" x14ac:dyDescent="0.3">
      <c r="A84" s="71">
        <v>31532</v>
      </c>
      <c r="B84" s="87" t="s">
        <v>316</v>
      </c>
      <c r="C84" s="100">
        <v>0</v>
      </c>
      <c r="D84" s="100">
        <v>0</v>
      </c>
      <c r="E84" s="100">
        <v>0</v>
      </c>
      <c r="F84" s="100">
        <v>0</v>
      </c>
      <c r="G84" s="100">
        <v>0</v>
      </c>
      <c r="H84" s="100">
        <v>0</v>
      </c>
      <c r="I84" s="100">
        <v>0</v>
      </c>
      <c r="J84" s="101">
        <v>0</v>
      </c>
      <c r="K84" s="100">
        <v>0</v>
      </c>
      <c r="L84" s="100">
        <v>0</v>
      </c>
      <c r="M84" s="100">
        <v>0</v>
      </c>
      <c r="N84" s="100">
        <v>0</v>
      </c>
      <c r="O84" s="108"/>
      <c r="P84" s="100">
        <v>0</v>
      </c>
      <c r="Q84" s="108"/>
      <c r="R84" s="100">
        <v>0</v>
      </c>
      <c r="S84" s="100">
        <v>0</v>
      </c>
      <c r="T84" s="100">
        <v>0</v>
      </c>
      <c r="U84" s="100">
        <v>0</v>
      </c>
      <c r="V84" s="100">
        <v>0</v>
      </c>
      <c r="W84" s="101">
        <v>0</v>
      </c>
      <c r="X84" s="91">
        <v>0</v>
      </c>
    </row>
    <row r="85" spans="1:24" x14ac:dyDescent="0.3">
      <c r="A85" s="71">
        <v>31533</v>
      </c>
      <c r="B85" s="87" t="s">
        <v>317</v>
      </c>
      <c r="C85" s="100">
        <v>0</v>
      </c>
      <c r="D85" s="100">
        <v>0</v>
      </c>
      <c r="E85" s="100">
        <v>0</v>
      </c>
      <c r="F85" s="100">
        <v>0</v>
      </c>
      <c r="G85" s="100">
        <v>0</v>
      </c>
      <c r="H85" s="100">
        <v>0</v>
      </c>
      <c r="I85" s="100">
        <v>0</v>
      </c>
      <c r="J85" s="101">
        <v>0</v>
      </c>
      <c r="K85" s="100">
        <v>0</v>
      </c>
      <c r="L85" s="100">
        <v>0</v>
      </c>
      <c r="M85" s="100">
        <v>0</v>
      </c>
      <c r="N85" s="100">
        <v>0</v>
      </c>
      <c r="O85" s="108"/>
      <c r="P85" s="100">
        <v>0</v>
      </c>
      <c r="Q85" s="108"/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1">
        <v>0</v>
      </c>
      <c r="X85" s="91">
        <v>0</v>
      </c>
    </row>
    <row r="86" spans="1:24" x14ac:dyDescent="0.3">
      <c r="A86" s="71">
        <v>31534</v>
      </c>
      <c r="B86" s="87" t="s">
        <v>318</v>
      </c>
      <c r="C86" s="100">
        <v>0</v>
      </c>
      <c r="D86" s="100">
        <v>0</v>
      </c>
      <c r="E86" s="100">
        <v>0</v>
      </c>
      <c r="F86" s="100">
        <v>0</v>
      </c>
      <c r="G86" s="100">
        <v>0</v>
      </c>
      <c r="H86" s="100">
        <v>0</v>
      </c>
      <c r="I86" s="100">
        <v>0</v>
      </c>
      <c r="J86" s="101">
        <v>0</v>
      </c>
      <c r="K86" s="100">
        <v>0</v>
      </c>
      <c r="L86" s="100">
        <v>0</v>
      </c>
      <c r="M86" s="100">
        <v>0</v>
      </c>
      <c r="N86" s="100">
        <v>0</v>
      </c>
      <c r="O86" s="108"/>
      <c r="P86" s="100">
        <v>0</v>
      </c>
      <c r="Q86" s="108"/>
      <c r="R86" s="100">
        <v>0</v>
      </c>
      <c r="S86" s="100">
        <v>0</v>
      </c>
      <c r="T86" s="100">
        <v>0</v>
      </c>
      <c r="U86" s="100">
        <v>0</v>
      </c>
      <c r="V86" s="100">
        <v>0</v>
      </c>
      <c r="W86" s="101">
        <v>0</v>
      </c>
      <c r="X86" s="91">
        <v>0</v>
      </c>
    </row>
    <row r="87" spans="1:24" x14ac:dyDescent="0.3">
      <c r="A87" s="71">
        <v>31540</v>
      </c>
      <c r="B87" s="87" t="s">
        <v>319</v>
      </c>
      <c r="C87" s="100">
        <v>43980094.719999999</v>
      </c>
      <c r="D87" s="100">
        <v>0</v>
      </c>
      <c r="E87" s="100">
        <v>0</v>
      </c>
      <c r="F87" s="100">
        <v>0</v>
      </c>
      <c r="G87" s="100">
        <v>0</v>
      </c>
      <c r="H87" s="100">
        <v>43980094.719999999</v>
      </c>
      <c r="I87" s="100">
        <v>43980094.719999999</v>
      </c>
      <c r="J87" s="101">
        <v>0</v>
      </c>
      <c r="K87" s="100">
        <v>19711999.14000003</v>
      </c>
      <c r="L87" s="100">
        <v>949970.04</v>
      </c>
      <c r="M87" s="100">
        <v>0</v>
      </c>
      <c r="N87" s="100">
        <v>0</v>
      </c>
      <c r="O87" s="108"/>
      <c r="P87" s="100">
        <v>0</v>
      </c>
      <c r="Q87" s="108"/>
      <c r="R87" s="100">
        <v>0</v>
      </c>
      <c r="S87" s="100">
        <v>0</v>
      </c>
      <c r="T87" s="100">
        <v>0</v>
      </c>
      <c r="U87" s="100">
        <v>20661969.18000003</v>
      </c>
      <c r="V87" s="100">
        <v>20186984.16</v>
      </c>
      <c r="W87" s="101">
        <v>0</v>
      </c>
      <c r="X87" s="91">
        <v>2.1600000000000001E-2</v>
      </c>
    </row>
    <row r="88" spans="1:24" x14ac:dyDescent="0.3">
      <c r="A88" s="71">
        <v>31541</v>
      </c>
      <c r="B88" s="87" t="s">
        <v>320</v>
      </c>
      <c r="C88" s="100">
        <v>0</v>
      </c>
      <c r="D88" s="100">
        <v>0</v>
      </c>
      <c r="E88" s="100">
        <v>0</v>
      </c>
      <c r="F88" s="100">
        <v>0</v>
      </c>
      <c r="G88" s="100">
        <v>0</v>
      </c>
      <c r="H88" s="100">
        <v>0</v>
      </c>
      <c r="I88" s="100">
        <v>0</v>
      </c>
      <c r="J88" s="101">
        <v>0</v>
      </c>
      <c r="K88" s="100">
        <v>0</v>
      </c>
      <c r="L88" s="100">
        <v>0</v>
      </c>
      <c r="M88" s="100">
        <v>0</v>
      </c>
      <c r="N88" s="100">
        <v>0</v>
      </c>
      <c r="O88" s="108"/>
      <c r="P88" s="100">
        <v>0</v>
      </c>
      <c r="Q88" s="108"/>
      <c r="R88" s="100">
        <v>0</v>
      </c>
      <c r="S88" s="100">
        <v>0</v>
      </c>
      <c r="T88" s="100">
        <v>0</v>
      </c>
      <c r="U88" s="100">
        <v>0</v>
      </c>
      <c r="V88" s="100">
        <v>0</v>
      </c>
      <c r="W88" s="101">
        <v>0</v>
      </c>
      <c r="X88" s="91">
        <v>0</v>
      </c>
    </row>
    <row r="89" spans="1:24" x14ac:dyDescent="0.3">
      <c r="A89" s="71">
        <v>31542</v>
      </c>
      <c r="B89" s="87" t="s">
        <v>321</v>
      </c>
      <c r="C89" s="100">
        <v>0</v>
      </c>
      <c r="D89" s="100">
        <v>0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1">
        <v>0</v>
      </c>
      <c r="K89" s="100">
        <v>0</v>
      </c>
      <c r="L89" s="100">
        <v>0</v>
      </c>
      <c r="M89" s="100">
        <v>0</v>
      </c>
      <c r="N89" s="100">
        <v>0</v>
      </c>
      <c r="O89" s="108"/>
      <c r="P89" s="100">
        <v>0</v>
      </c>
      <c r="Q89" s="108"/>
      <c r="R89" s="100">
        <v>0</v>
      </c>
      <c r="S89" s="100">
        <v>0</v>
      </c>
      <c r="T89" s="100">
        <v>0</v>
      </c>
      <c r="U89" s="100">
        <v>0</v>
      </c>
      <c r="V89" s="100">
        <v>0</v>
      </c>
      <c r="W89" s="101">
        <v>0</v>
      </c>
      <c r="X89" s="91">
        <v>0</v>
      </c>
    </row>
    <row r="90" spans="1:24" x14ac:dyDescent="0.3">
      <c r="A90" s="71">
        <v>31543</v>
      </c>
      <c r="B90" s="87" t="s">
        <v>322</v>
      </c>
      <c r="C90" s="100">
        <v>0</v>
      </c>
      <c r="D90" s="100">
        <v>0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1">
        <v>0</v>
      </c>
      <c r="K90" s="100">
        <v>0</v>
      </c>
      <c r="L90" s="100">
        <v>0</v>
      </c>
      <c r="M90" s="100">
        <v>0</v>
      </c>
      <c r="N90" s="100">
        <v>0</v>
      </c>
      <c r="O90" s="108"/>
      <c r="P90" s="100">
        <v>0</v>
      </c>
      <c r="Q90" s="108"/>
      <c r="R90" s="100">
        <v>0</v>
      </c>
      <c r="S90" s="100">
        <v>0</v>
      </c>
      <c r="T90" s="100">
        <v>0</v>
      </c>
      <c r="U90" s="100">
        <v>0</v>
      </c>
      <c r="V90" s="100">
        <v>0</v>
      </c>
      <c r="W90" s="101">
        <v>0</v>
      </c>
      <c r="X90" s="91">
        <v>0</v>
      </c>
    </row>
    <row r="91" spans="1:24" x14ac:dyDescent="0.3">
      <c r="A91" s="71">
        <v>31544</v>
      </c>
      <c r="B91" s="87" t="s">
        <v>323</v>
      </c>
      <c r="C91" s="100">
        <v>52859494.079999998</v>
      </c>
      <c r="D91" s="100">
        <v>0</v>
      </c>
      <c r="E91" s="100">
        <v>0</v>
      </c>
      <c r="F91" s="100">
        <v>0</v>
      </c>
      <c r="G91" s="100">
        <v>0</v>
      </c>
      <c r="H91" s="100">
        <v>52859494.079999998</v>
      </c>
      <c r="I91" s="100">
        <v>52859494.079999998</v>
      </c>
      <c r="J91" s="101">
        <v>0</v>
      </c>
      <c r="K91" s="100">
        <v>34250240.040000007</v>
      </c>
      <c r="L91" s="100">
        <v>1480065.84</v>
      </c>
      <c r="M91" s="100">
        <v>0</v>
      </c>
      <c r="N91" s="100">
        <v>0</v>
      </c>
      <c r="O91" s="108"/>
      <c r="P91" s="100">
        <v>0</v>
      </c>
      <c r="Q91" s="108"/>
      <c r="R91" s="100">
        <v>0</v>
      </c>
      <c r="S91" s="100">
        <v>0</v>
      </c>
      <c r="T91" s="100">
        <v>0</v>
      </c>
      <c r="U91" s="100">
        <v>35730305.88000001</v>
      </c>
      <c r="V91" s="100">
        <v>34990272.960000001</v>
      </c>
      <c r="W91" s="101">
        <v>0</v>
      </c>
      <c r="X91" s="91">
        <v>2.7999999999999997E-2</v>
      </c>
    </row>
    <row r="92" spans="1:24" x14ac:dyDescent="0.3">
      <c r="A92" s="71">
        <v>31545</v>
      </c>
      <c r="B92" s="87" t="s">
        <v>324</v>
      </c>
      <c r="C92" s="100">
        <v>26849743.93</v>
      </c>
      <c r="D92" s="100">
        <v>575002.88</v>
      </c>
      <c r="E92" s="100">
        <v>-115000.58</v>
      </c>
      <c r="F92" s="100">
        <v>0</v>
      </c>
      <c r="G92" s="100">
        <v>0</v>
      </c>
      <c r="H92" s="100">
        <v>27309746.23</v>
      </c>
      <c r="I92" s="100">
        <v>26997996.07</v>
      </c>
      <c r="J92" s="101">
        <v>-4.9999989569187164E-3</v>
      </c>
      <c r="K92" s="100">
        <v>17640077.5</v>
      </c>
      <c r="L92" s="100">
        <v>755216.5</v>
      </c>
      <c r="M92" s="100">
        <v>-115000.58</v>
      </c>
      <c r="N92" s="100">
        <v>-7869.48</v>
      </c>
      <c r="O92" s="108"/>
      <c r="P92" s="100">
        <v>0</v>
      </c>
      <c r="Q92" s="108"/>
      <c r="R92" s="100">
        <v>0</v>
      </c>
      <c r="S92" s="100">
        <v>0</v>
      </c>
      <c r="T92" s="100">
        <v>0</v>
      </c>
      <c r="U92" s="100">
        <v>18272423.940000001</v>
      </c>
      <c r="V92" s="100">
        <v>17975589.02</v>
      </c>
      <c r="W92" s="101">
        <v>0</v>
      </c>
      <c r="X92" s="91">
        <v>2.7999999999999997E-2</v>
      </c>
    </row>
    <row r="93" spans="1:24" x14ac:dyDescent="0.3">
      <c r="A93" s="71">
        <v>31546</v>
      </c>
      <c r="B93" s="87" t="s">
        <v>325</v>
      </c>
      <c r="C93" s="100">
        <v>0</v>
      </c>
      <c r="D93" s="100">
        <v>0</v>
      </c>
      <c r="E93" s="100">
        <v>0</v>
      </c>
      <c r="F93" s="100">
        <v>0</v>
      </c>
      <c r="G93" s="100">
        <v>0</v>
      </c>
      <c r="H93" s="100">
        <v>0</v>
      </c>
      <c r="I93" s="100">
        <v>0</v>
      </c>
      <c r="J93" s="101">
        <v>0</v>
      </c>
      <c r="K93" s="100">
        <v>0</v>
      </c>
      <c r="L93" s="100">
        <v>0</v>
      </c>
      <c r="M93" s="100">
        <v>0</v>
      </c>
      <c r="N93" s="100">
        <v>0</v>
      </c>
      <c r="O93" s="108"/>
      <c r="P93" s="100">
        <v>0</v>
      </c>
      <c r="Q93" s="108"/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1">
        <v>0</v>
      </c>
      <c r="X93" s="91">
        <v>0</v>
      </c>
    </row>
    <row r="94" spans="1:24" x14ac:dyDescent="0.3">
      <c r="A94" s="71">
        <v>31551</v>
      </c>
      <c r="B94" s="87" t="s">
        <v>326</v>
      </c>
      <c r="C94" s="100">
        <v>0</v>
      </c>
      <c r="D94" s="100">
        <v>0</v>
      </c>
      <c r="E94" s="100">
        <v>0</v>
      </c>
      <c r="F94" s="100">
        <v>0</v>
      </c>
      <c r="G94" s="100">
        <v>0</v>
      </c>
      <c r="H94" s="100">
        <v>0</v>
      </c>
      <c r="I94" s="100">
        <v>0</v>
      </c>
      <c r="J94" s="101">
        <v>0</v>
      </c>
      <c r="K94" s="100">
        <v>0</v>
      </c>
      <c r="L94" s="100">
        <v>0</v>
      </c>
      <c r="M94" s="100">
        <v>0</v>
      </c>
      <c r="N94" s="100">
        <v>0</v>
      </c>
      <c r="O94" s="108"/>
      <c r="P94" s="100">
        <v>0</v>
      </c>
      <c r="Q94" s="108"/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1">
        <v>0</v>
      </c>
      <c r="X94" s="91">
        <v>0</v>
      </c>
    </row>
    <row r="95" spans="1:24" x14ac:dyDescent="0.3">
      <c r="A95" s="71">
        <v>31552</v>
      </c>
      <c r="B95" s="87" t="s">
        <v>327</v>
      </c>
      <c r="C95" s="100">
        <v>0</v>
      </c>
      <c r="D95" s="100">
        <v>0</v>
      </c>
      <c r="E95" s="100">
        <v>0</v>
      </c>
      <c r="F95" s="100">
        <v>0</v>
      </c>
      <c r="G95" s="100">
        <v>0</v>
      </c>
      <c r="H95" s="100">
        <v>0</v>
      </c>
      <c r="I95" s="100">
        <v>0</v>
      </c>
      <c r="J95" s="101">
        <v>0</v>
      </c>
      <c r="K95" s="100">
        <v>0</v>
      </c>
      <c r="L95" s="100">
        <v>0</v>
      </c>
      <c r="M95" s="100">
        <v>0</v>
      </c>
      <c r="N95" s="100">
        <v>0</v>
      </c>
      <c r="O95" s="108"/>
      <c r="P95" s="100">
        <v>0</v>
      </c>
      <c r="Q95" s="108"/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1">
        <v>0</v>
      </c>
      <c r="X95" s="91">
        <v>0</v>
      </c>
    </row>
    <row r="96" spans="1:24" x14ac:dyDescent="0.3">
      <c r="A96" s="71">
        <v>31553</v>
      </c>
      <c r="B96" s="87" t="s">
        <v>328</v>
      </c>
      <c r="C96" s="100">
        <v>0</v>
      </c>
      <c r="D96" s="100">
        <v>0</v>
      </c>
      <c r="E96" s="100">
        <v>0</v>
      </c>
      <c r="F96" s="100">
        <v>0</v>
      </c>
      <c r="G96" s="100">
        <v>0</v>
      </c>
      <c r="H96" s="100">
        <v>0</v>
      </c>
      <c r="I96" s="100">
        <v>0</v>
      </c>
      <c r="J96" s="101">
        <v>0</v>
      </c>
      <c r="K96" s="100">
        <v>0</v>
      </c>
      <c r="L96" s="100">
        <v>0</v>
      </c>
      <c r="M96" s="100">
        <v>0</v>
      </c>
      <c r="N96" s="100">
        <v>0</v>
      </c>
      <c r="O96" s="108"/>
      <c r="P96" s="100">
        <v>0</v>
      </c>
      <c r="Q96" s="108"/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1">
        <v>0</v>
      </c>
      <c r="X96" s="91">
        <v>0</v>
      </c>
    </row>
    <row r="97" spans="1:24" x14ac:dyDescent="0.3">
      <c r="A97" s="71">
        <v>31554</v>
      </c>
      <c r="B97" s="87" t="s">
        <v>329</v>
      </c>
      <c r="C97" s="100">
        <v>15495565.484999999</v>
      </c>
      <c r="D97" s="100">
        <v>0</v>
      </c>
      <c r="E97" s="100">
        <v>0</v>
      </c>
      <c r="F97" s="100">
        <v>0</v>
      </c>
      <c r="G97" s="100">
        <v>0</v>
      </c>
      <c r="H97" s="100">
        <v>15495565.484999999</v>
      </c>
      <c r="I97" s="100">
        <v>15495565.49</v>
      </c>
      <c r="J97" s="101">
        <v>0</v>
      </c>
      <c r="K97" s="100">
        <v>10029918.600000015</v>
      </c>
      <c r="L97" s="100">
        <v>433875.84</v>
      </c>
      <c r="M97" s="100">
        <v>0</v>
      </c>
      <c r="N97" s="100">
        <v>0</v>
      </c>
      <c r="O97" s="108"/>
      <c r="P97" s="100">
        <v>0</v>
      </c>
      <c r="Q97" s="108"/>
      <c r="R97" s="100">
        <v>0</v>
      </c>
      <c r="S97" s="100">
        <v>0</v>
      </c>
      <c r="T97" s="100">
        <v>0</v>
      </c>
      <c r="U97" s="100">
        <v>10463794.440000014</v>
      </c>
      <c r="V97" s="100">
        <v>10246856.52</v>
      </c>
      <c r="W97" s="101">
        <v>0</v>
      </c>
      <c r="X97" s="91">
        <v>2.7999999999999997E-2</v>
      </c>
    </row>
    <row r="98" spans="1:24" x14ac:dyDescent="0.3">
      <c r="A98" s="71">
        <v>31601</v>
      </c>
      <c r="B98" s="87" t="s">
        <v>330</v>
      </c>
      <c r="C98" s="100">
        <v>0</v>
      </c>
      <c r="D98" s="100">
        <v>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1">
        <v>0</v>
      </c>
      <c r="K98" s="100">
        <v>0</v>
      </c>
      <c r="L98" s="100">
        <v>0</v>
      </c>
      <c r="M98" s="100">
        <v>0</v>
      </c>
      <c r="N98" s="100">
        <v>0</v>
      </c>
      <c r="O98" s="108"/>
      <c r="P98" s="100">
        <v>0</v>
      </c>
      <c r="Q98" s="108"/>
      <c r="R98" s="100">
        <v>0</v>
      </c>
      <c r="S98" s="100">
        <v>0</v>
      </c>
      <c r="T98" s="100">
        <v>0</v>
      </c>
      <c r="U98" s="100">
        <v>0</v>
      </c>
      <c r="V98" s="100">
        <v>0</v>
      </c>
      <c r="W98" s="101">
        <v>0</v>
      </c>
      <c r="X98" s="91">
        <v>0</v>
      </c>
    </row>
    <row r="99" spans="1:24" x14ac:dyDescent="0.3">
      <c r="A99" s="71">
        <v>31617</v>
      </c>
      <c r="B99" s="87" t="s">
        <v>331</v>
      </c>
      <c r="C99" s="100">
        <v>0</v>
      </c>
      <c r="D99" s="100">
        <v>0</v>
      </c>
      <c r="E99" s="100">
        <v>0</v>
      </c>
      <c r="F99" s="100">
        <v>0</v>
      </c>
      <c r="G99" s="100">
        <v>0</v>
      </c>
      <c r="H99" s="100">
        <v>0</v>
      </c>
      <c r="I99" s="100">
        <v>0</v>
      </c>
      <c r="J99" s="101">
        <v>0</v>
      </c>
      <c r="K99" s="100">
        <v>0</v>
      </c>
      <c r="L99" s="100">
        <v>0</v>
      </c>
      <c r="M99" s="100">
        <v>0</v>
      </c>
      <c r="N99" s="100">
        <v>0</v>
      </c>
      <c r="O99" s="108"/>
      <c r="P99" s="100">
        <v>0</v>
      </c>
      <c r="Q99" s="108"/>
      <c r="R99" s="100">
        <v>0</v>
      </c>
      <c r="S99" s="100">
        <v>0</v>
      </c>
      <c r="T99" s="100">
        <v>0</v>
      </c>
      <c r="U99" s="100">
        <v>0</v>
      </c>
      <c r="V99" s="100">
        <v>0</v>
      </c>
      <c r="W99" s="101">
        <v>0</v>
      </c>
      <c r="X99" s="91">
        <v>0</v>
      </c>
    </row>
    <row r="100" spans="1:24" x14ac:dyDescent="0.3">
      <c r="A100" s="71">
        <v>31630</v>
      </c>
      <c r="B100" s="87" t="s">
        <v>332</v>
      </c>
      <c r="C100" s="100">
        <v>0</v>
      </c>
      <c r="D100" s="100">
        <v>0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1">
        <v>0</v>
      </c>
      <c r="K100" s="100">
        <v>0</v>
      </c>
      <c r="L100" s="100">
        <v>0</v>
      </c>
      <c r="M100" s="100">
        <v>0</v>
      </c>
      <c r="N100" s="100">
        <v>0</v>
      </c>
      <c r="O100" s="108"/>
      <c r="P100" s="100">
        <v>0</v>
      </c>
      <c r="Q100" s="108"/>
      <c r="R100" s="100">
        <v>0</v>
      </c>
      <c r="S100" s="100">
        <v>0</v>
      </c>
      <c r="T100" s="100">
        <v>0</v>
      </c>
      <c r="U100" s="100">
        <v>0</v>
      </c>
      <c r="V100" s="100">
        <v>0</v>
      </c>
      <c r="W100" s="101">
        <v>0</v>
      </c>
      <c r="X100" s="91">
        <v>0</v>
      </c>
    </row>
    <row r="101" spans="1:24" x14ac:dyDescent="0.3">
      <c r="A101" s="71">
        <v>31631</v>
      </c>
      <c r="B101" s="87" t="s">
        <v>333</v>
      </c>
      <c r="C101" s="100">
        <v>0</v>
      </c>
      <c r="D101" s="100">
        <v>0</v>
      </c>
      <c r="E101" s="100">
        <v>0</v>
      </c>
      <c r="F101" s="100">
        <v>0</v>
      </c>
      <c r="G101" s="100">
        <v>0</v>
      </c>
      <c r="H101" s="100">
        <v>0</v>
      </c>
      <c r="I101" s="100">
        <v>0</v>
      </c>
      <c r="J101" s="101">
        <v>0</v>
      </c>
      <c r="K101" s="100">
        <v>0</v>
      </c>
      <c r="L101" s="100">
        <v>0</v>
      </c>
      <c r="M101" s="100">
        <v>0</v>
      </c>
      <c r="N101" s="100">
        <v>0</v>
      </c>
      <c r="O101" s="108"/>
      <c r="P101" s="100">
        <v>0</v>
      </c>
      <c r="Q101" s="108"/>
      <c r="R101" s="100">
        <v>0</v>
      </c>
      <c r="S101" s="100">
        <v>0</v>
      </c>
      <c r="T101" s="100">
        <v>0</v>
      </c>
      <c r="U101" s="100">
        <v>0</v>
      </c>
      <c r="V101" s="100">
        <v>0</v>
      </c>
      <c r="W101" s="101">
        <v>0</v>
      </c>
      <c r="X101" s="91">
        <v>0</v>
      </c>
    </row>
    <row r="102" spans="1:24" x14ac:dyDescent="0.3">
      <c r="A102" s="71">
        <v>31632</v>
      </c>
      <c r="B102" s="87" t="s">
        <v>334</v>
      </c>
      <c r="C102" s="100">
        <v>0</v>
      </c>
      <c r="D102" s="100">
        <v>0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1">
        <v>0</v>
      </c>
      <c r="K102" s="100">
        <v>0</v>
      </c>
      <c r="L102" s="100">
        <v>0</v>
      </c>
      <c r="M102" s="100">
        <v>0</v>
      </c>
      <c r="N102" s="100">
        <v>0</v>
      </c>
      <c r="O102" s="108"/>
      <c r="P102" s="100">
        <v>0</v>
      </c>
      <c r="Q102" s="108"/>
      <c r="R102" s="100">
        <v>0</v>
      </c>
      <c r="S102" s="100">
        <v>0</v>
      </c>
      <c r="T102" s="100">
        <v>0</v>
      </c>
      <c r="U102" s="100">
        <v>0</v>
      </c>
      <c r="V102" s="100">
        <v>0</v>
      </c>
      <c r="W102" s="101">
        <v>0</v>
      </c>
      <c r="X102" s="91">
        <v>0</v>
      </c>
    </row>
    <row r="103" spans="1:24" x14ac:dyDescent="0.3">
      <c r="A103" s="71">
        <v>31633</v>
      </c>
      <c r="B103" s="87" t="s">
        <v>335</v>
      </c>
      <c r="C103" s="100">
        <v>0</v>
      </c>
      <c r="D103" s="100">
        <v>0</v>
      </c>
      <c r="E103" s="100">
        <v>0</v>
      </c>
      <c r="F103" s="100">
        <v>0</v>
      </c>
      <c r="G103" s="100">
        <v>0</v>
      </c>
      <c r="H103" s="100">
        <v>0</v>
      </c>
      <c r="I103" s="100">
        <v>0</v>
      </c>
      <c r="J103" s="101">
        <v>0</v>
      </c>
      <c r="K103" s="100">
        <v>0</v>
      </c>
      <c r="L103" s="100">
        <v>0</v>
      </c>
      <c r="M103" s="100">
        <v>0</v>
      </c>
      <c r="N103" s="100">
        <v>0</v>
      </c>
      <c r="O103" s="108"/>
      <c r="P103" s="100">
        <v>0</v>
      </c>
      <c r="Q103" s="108"/>
      <c r="R103" s="100">
        <v>0</v>
      </c>
      <c r="S103" s="100">
        <v>0</v>
      </c>
      <c r="T103" s="100">
        <v>0</v>
      </c>
      <c r="U103" s="100">
        <v>0</v>
      </c>
      <c r="V103" s="100">
        <v>0</v>
      </c>
      <c r="W103" s="101">
        <v>0</v>
      </c>
      <c r="X103" s="91">
        <v>0</v>
      </c>
    </row>
    <row r="104" spans="1:24" x14ac:dyDescent="0.3">
      <c r="A104" s="71">
        <v>31634</v>
      </c>
      <c r="B104" s="87" t="s">
        <v>336</v>
      </c>
      <c r="C104" s="100">
        <v>0</v>
      </c>
      <c r="D104" s="100">
        <v>0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1">
        <v>0</v>
      </c>
      <c r="K104" s="100">
        <v>0</v>
      </c>
      <c r="L104" s="100">
        <v>0</v>
      </c>
      <c r="M104" s="100">
        <v>0</v>
      </c>
      <c r="N104" s="100">
        <v>0</v>
      </c>
      <c r="O104" s="108"/>
      <c r="P104" s="100">
        <v>0</v>
      </c>
      <c r="Q104" s="108"/>
      <c r="R104" s="100">
        <v>0</v>
      </c>
      <c r="S104" s="100">
        <v>0</v>
      </c>
      <c r="T104" s="100">
        <v>0</v>
      </c>
      <c r="U104" s="100">
        <v>0</v>
      </c>
      <c r="V104" s="100">
        <v>0</v>
      </c>
      <c r="W104" s="101">
        <v>0</v>
      </c>
      <c r="X104" s="91">
        <v>0</v>
      </c>
    </row>
    <row r="105" spans="1:24" x14ac:dyDescent="0.3">
      <c r="A105" s="71">
        <v>31640</v>
      </c>
      <c r="B105" s="87" t="s">
        <v>337</v>
      </c>
      <c r="C105" s="100">
        <v>26448498.799999997</v>
      </c>
      <c r="D105" s="100">
        <v>0</v>
      </c>
      <c r="E105" s="100">
        <v>0</v>
      </c>
      <c r="F105" s="100">
        <v>0</v>
      </c>
      <c r="G105" s="100">
        <v>0</v>
      </c>
      <c r="H105" s="100">
        <v>26448498.799999997</v>
      </c>
      <c r="I105" s="100">
        <v>26448498.800000001</v>
      </c>
      <c r="J105" s="101">
        <v>0</v>
      </c>
      <c r="K105" s="100">
        <v>11794161.239999993</v>
      </c>
      <c r="L105" s="100">
        <v>534259.68000000005</v>
      </c>
      <c r="M105" s="100">
        <v>0</v>
      </c>
      <c r="N105" s="100">
        <v>0</v>
      </c>
      <c r="O105" s="108"/>
      <c r="P105" s="100">
        <v>0</v>
      </c>
      <c r="Q105" s="108"/>
      <c r="R105" s="100">
        <v>0</v>
      </c>
      <c r="S105" s="100">
        <v>0</v>
      </c>
      <c r="T105" s="100">
        <v>0</v>
      </c>
      <c r="U105" s="100">
        <v>12328420.919999992</v>
      </c>
      <c r="V105" s="100">
        <v>12061291.08</v>
      </c>
      <c r="W105" s="101">
        <v>0</v>
      </c>
      <c r="X105" s="91">
        <v>2.0199999999999999E-2</v>
      </c>
    </row>
    <row r="106" spans="1:24" x14ac:dyDescent="0.3">
      <c r="A106" s="71">
        <v>31641</v>
      </c>
      <c r="B106" s="87" t="s">
        <v>338</v>
      </c>
      <c r="C106" s="100">
        <v>0</v>
      </c>
      <c r="D106" s="100">
        <v>0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1">
        <v>0</v>
      </c>
      <c r="K106" s="100">
        <v>0</v>
      </c>
      <c r="L106" s="100">
        <v>0</v>
      </c>
      <c r="M106" s="100">
        <v>0</v>
      </c>
      <c r="N106" s="100">
        <v>0</v>
      </c>
      <c r="O106" s="108"/>
      <c r="P106" s="100">
        <v>0</v>
      </c>
      <c r="Q106" s="108"/>
      <c r="R106" s="100">
        <v>0</v>
      </c>
      <c r="S106" s="100">
        <v>0</v>
      </c>
      <c r="T106" s="100">
        <v>0</v>
      </c>
      <c r="U106" s="100">
        <v>0</v>
      </c>
      <c r="V106" s="100">
        <v>0</v>
      </c>
      <c r="W106" s="101">
        <v>0</v>
      </c>
      <c r="X106" s="91">
        <v>0</v>
      </c>
    </row>
    <row r="107" spans="1:24" x14ac:dyDescent="0.3">
      <c r="A107" s="71">
        <v>31642</v>
      </c>
      <c r="B107" s="87" t="s">
        <v>339</v>
      </c>
      <c r="C107" s="100">
        <v>0</v>
      </c>
      <c r="D107" s="100">
        <v>0</v>
      </c>
      <c r="E107" s="100">
        <v>0</v>
      </c>
      <c r="F107" s="100">
        <v>0</v>
      </c>
      <c r="G107" s="100">
        <v>0</v>
      </c>
      <c r="H107" s="100">
        <v>0</v>
      </c>
      <c r="I107" s="100">
        <v>0</v>
      </c>
      <c r="J107" s="101">
        <v>0</v>
      </c>
      <c r="K107" s="100">
        <v>0</v>
      </c>
      <c r="L107" s="100">
        <v>0</v>
      </c>
      <c r="M107" s="100">
        <v>0</v>
      </c>
      <c r="N107" s="100">
        <v>0</v>
      </c>
      <c r="O107" s="108"/>
      <c r="P107" s="100">
        <v>0</v>
      </c>
      <c r="Q107" s="108"/>
      <c r="R107" s="100">
        <v>0</v>
      </c>
      <c r="S107" s="100">
        <v>0</v>
      </c>
      <c r="T107" s="100">
        <v>0</v>
      </c>
      <c r="U107" s="100">
        <v>0</v>
      </c>
      <c r="V107" s="100">
        <v>0</v>
      </c>
      <c r="W107" s="101">
        <v>0</v>
      </c>
      <c r="X107" s="91">
        <v>0</v>
      </c>
    </row>
    <row r="108" spans="1:24" x14ac:dyDescent="0.3">
      <c r="A108" s="71">
        <v>31643</v>
      </c>
      <c r="B108" s="87" t="s">
        <v>340</v>
      </c>
      <c r="C108" s="100">
        <v>0</v>
      </c>
      <c r="D108" s="100">
        <v>0</v>
      </c>
      <c r="E108" s="100">
        <v>0</v>
      </c>
      <c r="F108" s="100">
        <v>0</v>
      </c>
      <c r="G108" s="100">
        <v>0</v>
      </c>
      <c r="H108" s="100">
        <v>0</v>
      </c>
      <c r="I108" s="100">
        <v>0</v>
      </c>
      <c r="J108" s="101">
        <v>0</v>
      </c>
      <c r="K108" s="100">
        <v>0</v>
      </c>
      <c r="L108" s="100">
        <v>0</v>
      </c>
      <c r="M108" s="100">
        <v>0</v>
      </c>
      <c r="N108" s="100">
        <v>0</v>
      </c>
      <c r="O108" s="108"/>
      <c r="P108" s="100">
        <v>0</v>
      </c>
      <c r="Q108" s="108"/>
      <c r="R108" s="100">
        <v>0</v>
      </c>
      <c r="S108" s="100">
        <v>0</v>
      </c>
      <c r="T108" s="100">
        <v>0</v>
      </c>
      <c r="U108" s="100">
        <v>0</v>
      </c>
      <c r="V108" s="100">
        <v>0</v>
      </c>
      <c r="W108" s="101">
        <v>0</v>
      </c>
      <c r="X108" s="91">
        <v>0</v>
      </c>
    </row>
    <row r="109" spans="1:24" x14ac:dyDescent="0.3">
      <c r="A109" s="71">
        <v>31644</v>
      </c>
      <c r="B109" s="87" t="s">
        <v>341</v>
      </c>
      <c r="C109" s="100">
        <v>5865811.79</v>
      </c>
      <c r="D109" s="100">
        <v>0</v>
      </c>
      <c r="E109" s="100">
        <v>0</v>
      </c>
      <c r="F109" s="100">
        <v>0</v>
      </c>
      <c r="G109" s="100">
        <v>0</v>
      </c>
      <c r="H109" s="100">
        <v>5865811.79</v>
      </c>
      <c r="I109" s="100">
        <v>5865811.79</v>
      </c>
      <c r="J109" s="101">
        <v>0</v>
      </c>
      <c r="K109" s="100">
        <v>4399680.9099999964</v>
      </c>
      <c r="L109" s="100">
        <v>112623.6</v>
      </c>
      <c r="M109" s="100">
        <v>0</v>
      </c>
      <c r="N109" s="100">
        <v>0</v>
      </c>
      <c r="O109" s="108"/>
      <c r="P109" s="100">
        <v>0</v>
      </c>
      <c r="Q109" s="108"/>
      <c r="R109" s="100">
        <v>0</v>
      </c>
      <c r="S109" s="100">
        <v>0</v>
      </c>
      <c r="T109" s="100">
        <v>0</v>
      </c>
      <c r="U109" s="100">
        <v>4512304.5099999961</v>
      </c>
      <c r="V109" s="100">
        <v>4455992.71</v>
      </c>
      <c r="W109" s="101">
        <v>0</v>
      </c>
      <c r="X109" s="91">
        <v>1.9199999999999998E-2</v>
      </c>
    </row>
    <row r="110" spans="1:24" x14ac:dyDescent="0.3">
      <c r="A110" s="71">
        <v>31645</v>
      </c>
      <c r="B110" s="87" t="s">
        <v>342</v>
      </c>
      <c r="C110" s="100">
        <v>1694847.9500000002</v>
      </c>
      <c r="D110" s="100">
        <v>0</v>
      </c>
      <c r="E110" s="100">
        <v>0</v>
      </c>
      <c r="F110" s="100">
        <v>0</v>
      </c>
      <c r="G110" s="100">
        <v>0</v>
      </c>
      <c r="H110" s="100">
        <v>1694847.9500000002</v>
      </c>
      <c r="I110" s="100">
        <v>1694847.95</v>
      </c>
      <c r="J110" s="101">
        <v>0</v>
      </c>
      <c r="K110" s="100">
        <v>1278883.3199999977</v>
      </c>
      <c r="L110" s="100">
        <v>32541.119999999999</v>
      </c>
      <c r="M110" s="100">
        <v>0</v>
      </c>
      <c r="N110" s="100">
        <v>0</v>
      </c>
      <c r="O110" s="108"/>
      <c r="P110" s="100">
        <v>0</v>
      </c>
      <c r="Q110" s="108"/>
      <c r="R110" s="100">
        <v>0</v>
      </c>
      <c r="S110" s="100">
        <v>0</v>
      </c>
      <c r="T110" s="100">
        <v>0</v>
      </c>
      <c r="U110" s="100">
        <v>1311424.4399999978</v>
      </c>
      <c r="V110" s="100">
        <v>1295153.8799999999</v>
      </c>
      <c r="W110" s="101">
        <v>0</v>
      </c>
      <c r="X110" s="91">
        <v>1.9199999999999998E-2</v>
      </c>
    </row>
    <row r="111" spans="1:24" x14ac:dyDescent="0.3">
      <c r="A111" s="71">
        <v>31646</v>
      </c>
      <c r="B111" s="87" t="s">
        <v>343</v>
      </c>
      <c r="C111" s="100">
        <v>0</v>
      </c>
      <c r="D111" s="100">
        <v>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1">
        <v>0</v>
      </c>
      <c r="K111" s="100">
        <v>0</v>
      </c>
      <c r="L111" s="100">
        <v>0</v>
      </c>
      <c r="M111" s="100">
        <v>0</v>
      </c>
      <c r="N111" s="100">
        <v>0</v>
      </c>
      <c r="O111" s="108"/>
      <c r="P111" s="100">
        <v>0</v>
      </c>
      <c r="Q111" s="108"/>
      <c r="R111" s="100">
        <v>0</v>
      </c>
      <c r="S111" s="100">
        <v>0</v>
      </c>
      <c r="T111" s="100">
        <v>0</v>
      </c>
      <c r="U111" s="100">
        <v>0</v>
      </c>
      <c r="V111" s="100">
        <v>0</v>
      </c>
      <c r="W111" s="101">
        <v>0</v>
      </c>
      <c r="X111" s="91">
        <v>0</v>
      </c>
    </row>
    <row r="112" spans="1:24" x14ac:dyDescent="0.3">
      <c r="A112" s="71">
        <v>31647</v>
      </c>
      <c r="B112" s="87" t="s">
        <v>344</v>
      </c>
      <c r="C112" s="100">
        <v>765494.25000000023</v>
      </c>
      <c r="D112" s="100">
        <v>0</v>
      </c>
      <c r="E112" s="100">
        <v>-37591.32</v>
      </c>
      <c r="F112" s="100">
        <v>0</v>
      </c>
      <c r="G112" s="100">
        <v>0</v>
      </c>
      <c r="H112" s="100">
        <v>727902.93000000028</v>
      </c>
      <c r="I112" s="100">
        <v>736139.37</v>
      </c>
      <c r="J112" s="101">
        <v>0</v>
      </c>
      <c r="K112" s="100">
        <v>312572.24000000005</v>
      </c>
      <c r="L112" s="100">
        <v>105366.11</v>
      </c>
      <c r="M112" s="100">
        <v>-37591.32</v>
      </c>
      <c r="N112" s="100">
        <v>0</v>
      </c>
      <c r="O112" s="108"/>
      <c r="P112" s="100">
        <v>0</v>
      </c>
      <c r="Q112" s="108"/>
      <c r="R112" s="100">
        <v>0</v>
      </c>
      <c r="S112" s="100">
        <v>0</v>
      </c>
      <c r="T112" s="100">
        <v>0</v>
      </c>
      <c r="U112" s="100">
        <v>380347.03</v>
      </c>
      <c r="V112" s="100">
        <v>336339.82</v>
      </c>
      <c r="W112" s="101">
        <v>0</v>
      </c>
      <c r="X112" s="91">
        <v>0.14300000000000002</v>
      </c>
    </row>
    <row r="113" spans="1:24" x14ac:dyDescent="0.3">
      <c r="A113" s="71">
        <v>31651</v>
      </c>
      <c r="B113" s="87" t="s">
        <v>345</v>
      </c>
      <c r="C113" s="100">
        <v>0</v>
      </c>
      <c r="D113" s="100">
        <v>0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1">
        <v>0</v>
      </c>
      <c r="K113" s="100">
        <v>0</v>
      </c>
      <c r="L113" s="100">
        <v>0</v>
      </c>
      <c r="M113" s="100">
        <v>0</v>
      </c>
      <c r="N113" s="100">
        <v>0</v>
      </c>
      <c r="O113" s="108"/>
      <c r="P113" s="100">
        <v>0</v>
      </c>
      <c r="Q113" s="108"/>
      <c r="R113" s="100">
        <v>0</v>
      </c>
      <c r="S113" s="100">
        <v>0</v>
      </c>
      <c r="T113" s="100">
        <v>0</v>
      </c>
      <c r="U113" s="100">
        <v>0</v>
      </c>
      <c r="V113" s="100">
        <v>0</v>
      </c>
      <c r="W113" s="101">
        <v>0</v>
      </c>
      <c r="X113" s="91">
        <v>0</v>
      </c>
    </row>
    <row r="114" spans="1:24" x14ac:dyDescent="0.3">
      <c r="A114" s="71">
        <v>31652</v>
      </c>
      <c r="B114" s="87" t="s">
        <v>346</v>
      </c>
      <c r="C114" s="100">
        <v>0</v>
      </c>
      <c r="D114" s="100">
        <v>0</v>
      </c>
      <c r="E114" s="100">
        <v>0</v>
      </c>
      <c r="F114" s="100">
        <v>0</v>
      </c>
      <c r="G114" s="100">
        <v>0</v>
      </c>
      <c r="H114" s="100">
        <v>0</v>
      </c>
      <c r="I114" s="100">
        <v>0</v>
      </c>
      <c r="J114" s="101">
        <v>0</v>
      </c>
      <c r="K114" s="100">
        <v>0</v>
      </c>
      <c r="L114" s="100">
        <v>0</v>
      </c>
      <c r="M114" s="100">
        <v>0</v>
      </c>
      <c r="N114" s="100">
        <v>0</v>
      </c>
      <c r="O114" s="108"/>
      <c r="P114" s="100">
        <v>0</v>
      </c>
      <c r="Q114" s="108"/>
      <c r="R114" s="100">
        <v>0</v>
      </c>
      <c r="S114" s="100">
        <v>0</v>
      </c>
      <c r="T114" s="100">
        <v>0</v>
      </c>
      <c r="U114" s="100">
        <v>0</v>
      </c>
      <c r="V114" s="100">
        <v>0</v>
      </c>
      <c r="W114" s="101">
        <v>0</v>
      </c>
      <c r="X114" s="91">
        <v>0</v>
      </c>
    </row>
    <row r="115" spans="1:24" x14ac:dyDescent="0.3">
      <c r="A115" s="71">
        <v>31653</v>
      </c>
      <c r="B115" s="87" t="s">
        <v>347</v>
      </c>
      <c r="C115" s="100">
        <v>0</v>
      </c>
      <c r="D115" s="100">
        <v>0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1">
        <v>0</v>
      </c>
      <c r="K115" s="100">
        <v>0</v>
      </c>
      <c r="L115" s="100">
        <v>0</v>
      </c>
      <c r="M115" s="100">
        <v>0</v>
      </c>
      <c r="N115" s="100">
        <v>0</v>
      </c>
      <c r="O115" s="108"/>
      <c r="P115" s="100">
        <v>0</v>
      </c>
      <c r="Q115" s="108"/>
      <c r="R115" s="100">
        <v>0</v>
      </c>
      <c r="S115" s="100">
        <v>0</v>
      </c>
      <c r="T115" s="100">
        <v>0</v>
      </c>
      <c r="U115" s="100">
        <v>0</v>
      </c>
      <c r="V115" s="100">
        <v>0</v>
      </c>
      <c r="W115" s="101">
        <v>0</v>
      </c>
      <c r="X115" s="91">
        <v>0</v>
      </c>
    </row>
    <row r="116" spans="1:24" x14ac:dyDescent="0.3">
      <c r="A116" s="71">
        <v>31654</v>
      </c>
      <c r="B116" s="87" t="s">
        <v>348</v>
      </c>
      <c r="C116" s="100">
        <v>687934.36</v>
      </c>
      <c r="D116" s="100">
        <v>0</v>
      </c>
      <c r="E116" s="100">
        <v>0</v>
      </c>
      <c r="F116" s="100">
        <v>0</v>
      </c>
      <c r="G116" s="100">
        <v>0</v>
      </c>
      <c r="H116" s="100">
        <v>687934.36</v>
      </c>
      <c r="I116" s="100">
        <v>687934.36</v>
      </c>
      <c r="J116" s="101">
        <v>0</v>
      </c>
      <c r="K116" s="100">
        <v>377528.43999999983</v>
      </c>
      <c r="L116" s="100">
        <v>13208.28</v>
      </c>
      <c r="M116" s="100">
        <v>0</v>
      </c>
      <c r="N116" s="100">
        <v>0</v>
      </c>
      <c r="O116" s="108"/>
      <c r="P116" s="100">
        <v>0</v>
      </c>
      <c r="Q116" s="108"/>
      <c r="R116" s="100">
        <v>0</v>
      </c>
      <c r="S116" s="100">
        <v>0</v>
      </c>
      <c r="T116" s="100">
        <v>0</v>
      </c>
      <c r="U116" s="100">
        <v>390736.71999999986</v>
      </c>
      <c r="V116" s="100">
        <v>384132.58</v>
      </c>
      <c r="W116" s="101">
        <v>0</v>
      </c>
      <c r="X116" s="91">
        <v>1.9199999999999998E-2</v>
      </c>
    </row>
    <row r="117" spans="1:24" x14ac:dyDescent="0.3">
      <c r="A117" s="71">
        <v>31700</v>
      </c>
      <c r="B117" s="87" t="s">
        <v>349</v>
      </c>
      <c r="C117" s="100">
        <v>5602918.4799999967</v>
      </c>
      <c r="D117" s="100">
        <v>0</v>
      </c>
      <c r="E117" s="100">
        <v>0</v>
      </c>
      <c r="F117" s="100">
        <v>0</v>
      </c>
      <c r="G117" s="100">
        <v>0</v>
      </c>
      <c r="H117" s="100">
        <v>5602918.4799999967</v>
      </c>
      <c r="I117" s="100">
        <v>5602918.4800000004</v>
      </c>
      <c r="J117" s="101">
        <v>0</v>
      </c>
      <c r="K117" s="100">
        <v>1504338.839999988</v>
      </c>
      <c r="L117" s="100">
        <v>156881.76</v>
      </c>
      <c r="M117" s="100">
        <v>0</v>
      </c>
      <c r="N117" s="100">
        <v>0</v>
      </c>
      <c r="O117" s="108"/>
      <c r="P117" s="100">
        <v>0</v>
      </c>
      <c r="Q117" s="108"/>
      <c r="R117" s="100">
        <v>0</v>
      </c>
      <c r="S117" s="100">
        <v>0</v>
      </c>
      <c r="T117" s="100">
        <v>0</v>
      </c>
      <c r="U117" s="100">
        <v>1661220.599999988</v>
      </c>
      <c r="V117" s="100">
        <v>1582779.72</v>
      </c>
      <c r="W117" s="101">
        <v>0</v>
      </c>
      <c r="X117" s="91">
        <v>2.7999999999999997E-2</v>
      </c>
    </row>
    <row r="118" spans="1:24" x14ac:dyDescent="0.3">
      <c r="A118" s="71">
        <v>34028</v>
      </c>
      <c r="B118" s="87" t="s">
        <v>350</v>
      </c>
      <c r="C118" s="100">
        <v>0</v>
      </c>
      <c r="D118" s="100">
        <v>0</v>
      </c>
      <c r="E118" s="100">
        <v>0</v>
      </c>
      <c r="F118" s="100">
        <v>0</v>
      </c>
      <c r="G118" s="100">
        <v>0</v>
      </c>
      <c r="H118" s="100">
        <v>0</v>
      </c>
      <c r="I118" s="100">
        <v>0</v>
      </c>
      <c r="J118" s="101">
        <v>0</v>
      </c>
      <c r="K118" s="100">
        <v>0</v>
      </c>
      <c r="L118" s="100">
        <v>0</v>
      </c>
      <c r="M118" s="100">
        <v>0</v>
      </c>
      <c r="N118" s="100">
        <v>0</v>
      </c>
      <c r="O118" s="108"/>
      <c r="P118" s="100">
        <v>0</v>
      </c>
      <c r="Q118" s="108"/>
      <c r="R118" s="100">
        <v>0</v>
      </c>
      <c r="S118" s="100">
        <v>0</v>
      </c>
      <c r="T118" s="100">
        <v>0</v>
      </c>
      <c r="U118" s="100">
        <v>0</v>
      </c>
      <c r="V118" s="100">
        <v>0</v>
      </c>
      <c r="W118" s="101">
        <v>0</v>
      </c>
      <c r="X118" s="91">
        <v>0</v>
      </c>
    </row>
    <row r="119" spans="1:24" x14ac:dyDescent="0.3">
      <c r="A119" s="71">
        <v>34030</v>
      </c>
      <c r="B119" s="87" t="s">
        <v>351</v>
      </c>
      <c r="C119" s="100">
        <v>1592891.05</v>
      </c>
      <c r="D119" s="100">
        <v>0</v>
      </c>
      <c r="E119" s="100">
        <v>0</v>
      </c>
      <c r="F119" s="100">
        <v>0</v>
      </c>
      <c r="G119" s="100">
        <v>0</v>
      </c>
      <c r="H119" s="100">
        <v>1592891.05</v>
      </c>
      <c r="I119" s="100">
        <v>1592891.05</v>
      </c>
      <c r="J119" s="101">
        <v>0</v>
      </c>
      <c r="K119" s="100">
        <v>0</v>
      </c>
      <c r="L119" s="100">
        <v>0</v>
      </c>
      <c r="M119" s="100">
        <v>0</v>
      </c>
      <c r="N119" s="100">
        <v>0</v>
      </c>
      <c r="O119" s="108"/>
      <c r="P119" s="100">
        <v>0</v>
      </c>
      <c r="Q119" s="108"/>
      <c r="R119" s="100">
        <v>0</v>
      </c>
      <c r="S119" s="100">
        <v>0</v>
      </c>
      <c r="T119" s="100">
        <v>0</v>
      </c>
      <c r="U119" s="100">
        <v>0</v>
      </c>
      <c r="V119" s="100">
        <v>0</v>
      </c>
      <c r="W119" s="101">
        <v>0</v>
      </c>
      <c r="X119" s="91">
        <v>0</v>
      </c>
    </row>
    <row r="120" spans="1:24" x14ac:dyDescent="0.3">
      <c r="A120" s="71">
        <v>34042</v>
      </c>
      <c r="B120" s="87" t="s">
        <v>352</v>
      </c>
      <c r="C120" s="100">
        <v>0</v>
      </c>
      <c r="D120" s="100">
        <v>0</v>
      </c>
      <c r="E120" s="100">
        <v>0</v>
      </c>
      <c r="F120" s="100">
        <v>0</v>
      </c>
      <c r="G120" s="100">
        <v>0</v>
      </c>
      <c r="H120" s="100">
        <v>0</v>
      </c>
      <c r="I120" s="100">
        <v>0</v>
      </c>
      <c r="J120" s="101">
        <v>0</v>
      </c>
      <c r="K120" s="100">
        <v>0</v>
      </c>
      <c r="L120" s="100">
        <v>0</v>
      </c>
      <c r="M120" s="100">
        <v>0</v>
      </c>
      <c r="N120" s="100">
        <v>0</v>
      </c>
      <c r="O120" s="108"/>
      <c r="P120" s="100">
        <v>0</v>
      </c>
      <c r="Q120" s="108"/>
      <c r="R120" s="100">
        <v>0</v>
      </c>
      <c r="S120" s="100">
        <v>0</v>
      </c>
      <c r="T120" s="100">
        <v>0</v>
      </c>
      <c r="U120" s="100">
        <v>0</v>
      </c>
      <c r="V120" s="100">
        <v>0</v>
      </c>
      <c r="W120" s="101">
        <v>0</v>
      </c>
      <c r="X120" s="91">
        <v>0</v>
      </c>
    </row>
    <row r="121" spans="1:24" x14ac:dyDescent="0.3">
      <c r="A121" s="71">
        <v>34081</v>
      </c>
      <c r="B121" s="87" t="s">
        <v>353</v>
      </c>
      <c r="C121" s="100">
        <v>18197341.469999999</v>
      </c>
      <c r="D121" s="100">
        <v>0</v>
      </c>
      <c r="E121" s="100">
        <v>0</v>
      </c>
      <c r="F121" s="100">
        <v>0</v>
      </c>
      <c r="G121" s="100">
        <v>0</v>
      </c>
      <c r="H121" s="100">
        <v>18197341.469999999</v>
      </c>
      <c r="I121" s="100">
        <v>18197341.469999999</v>
      </c>
      <c r="J121" s="101">
        <v>0</v>
      </c>
      <c r="K121" s="100">
        <v>0</v>
      </c>
      <c r="L121" s="100">
        <v>0</v>
      </c>
      <c r="M121" s="100">
        <v>0</v>
      </c>
      <c r="N121" s="100">
        <v>0</v>
      </c>
      <c r="O121" s="108"/>
      <c r="P121" s="100">
        <v>0</v>
      </c>
      <c r="Q121" s="108"/>
      <c r="R121" s="100">
        <v>0</v>
      </c>
      <c r="S121" s="100">
        <v>0</v>
      </c>
      <c r="T121" s="100">
        <v>0</v>
      </c>
      <c r="U121" s="100">
        <v>0</v>
      </c>
      <c r="V121" s="100">
        <v>0</v>
      </c>
      <c r="W121" s="101">
        <v>0</v>
      </c>
      <c r="X121" s="91">
        <v>0</v>
      </c>
    </row>
    <row r="122" spans="1:24" x14ac:dyDescent="0.3">
      <c r="A122" s="71">
        <v>34099</v>
      </c>
      <c r="B122" s="87" t="s">
        <v>354</v>
      </c>
      <c r="C122" s="100">
        <v>174163367.94</v>
      </c>
      <c r="D122" s="100">
        <v>15362126.26</v>
      </c>
      <c r="E122" s="100">
        <v>0</v>
      </c>
      <c r="F122" s="100">
        <v>0</v>
      </c>
      <c r="G122" s="100">
        <v>0</v>
      </c>
      <c r="H122" s="100">
        <v>189525494.19999999</v>
      </c>
      <c r="I122" s="100">
        <v>175345069.96000001</v>
      </c>
      <c r="J122" s="101">
        <v>0</v>
      </c>
      <c r="K122" s="100">
        <v>0</v>
      </c>
      <c r="L122" s="100">
        <v>0</v>
      </c>
      <c r="M122" s="100">
        <v>0</v>
      </c>
      <c r="N122" s="100">
        <v>0</v>
      </c>
      <c r="O122" s="108"/>
      <c r="P122" s="100">
        <v>0</v>
      </c>
      <c r="Q122" s="108"/>
      <c r="R122" s="100">
        <v>0</v>
      </c>
      <c r="S122" s="100">
        <v>0</v>
      </c>
      <c r="T122" s="100">
        <v>0</v>
      </c>
      <c r="U122" s="100">
        <v>0</v>
      </c>
      <c r="V122" s="100">
        <v>0</v>
      </c>
      <c r="W122" s="101">
        <v>0</v>
      </c>
      <c r="X122" s="91">
        <v>0</v>
      </c>
    </row>
    <row r="123" spans="1:24" x14ac:dyDescent="0.3">
      <c r="A123" s="71">
        <v>34120</v>
      </c>
      <c r="B123" s="87" t="s">
        <v>355</v>
      </c>
      <c r="C123" s="100">
        <v>0</v>
      </c>
      <c r="D123" s="100">
        <v>0</v>
      </c>
      <c r="E123" s="100">
        <v>0</v>
      </c>
      <c r="F123" s="100">
        <v>0</v>
      </c>
      <c r="G123" s="100">
        <v>0</v>
      </c>
      <c r="H123" s="100">
        <v>0</v>
      </c>
      <c r="I123" s="100">
        <v>0</v>
      </c>
      <c r="J123" s="101">
        <v>0</v>
      </c>
      <c r="K123" s="100">
        <v>0</v>
      </c>
      <c r="L123" s="100">
        <v>0</v>
      </c>
      <c r="M123" s="100">
        <v>0</v>
      </c>
      <c r="N123" s="100">
        <v>0</v>
      </c>
      <c r="O123" s="108"/>
      <c r="P123" s="100">
        <v>0</v>
      </c>
      <c r="Q123" s="108"/>
      <c r="R123" s="100">
        <v>0</v>
      </c>
      <c r="S123" s="100">
        <v>0</v>
      </c>
      <c r="T123" s="100">
        <v>0</v>
      </c>
      <c r="U123" s="100">
        <v>0</v>
      </c>
      <c r="V123" s="100">
        <v>0</v>
      </c>
      <c r="W123" s="101">
        <v>0</v>
      </c>
      <c r="X123" s="91">
        <v>2.2000000000000002E-2</v>
      </c>
    </row>
    <row r="124" spans="1:24" x14ac:dyDescent="0.3">
      <c r="A124" s="71">
        <v>34128</v>
      </c>
      <c r="B124" s="87" t="s">
        <v>356</v>
      </c>
      <c r="C124" s="100">
        <v>0</v>
      </c>
      <c r="D124" s="100">
        <v>0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1">
        <v>0</v>
      </c>
      <c r="K124" s="100">
        <v>0</v>
      </c>
      <c r="L124" s="100">
        <v>0</v>
      </c>
      <c r="M124" s="100">
        <v>0</v>
      </c>
      <c r="N124" s="100">
        <v>0</v>
      </c>
      <c r="O124" s="108"/>
      <c r="P124" s="100">
        <v>0</v>
      </c>
      <c r="Q124" s="108"/>
      <c r="R124" s="100">
        <v>0</v>
      </c>
      <c r="S124" s="100">
        <v>0</v>
      </c>
      <c r="T124" s="100">
        <v>0</v>
      </c>
      <c r="U124" s="100">
        <v>0</v>
      </c>
      <c r="V124" s="100">
        <v>0</v>
      </c>
      <c r="W124" s="101">
        <v>0</v>
      </c>
      <c r="X124" s="91">
        <v>0</v>
      </c>
    </row>
    <row r="125" spans="1:24" x14ac:dyDescent="0.3">
      <c r="A125" s="71">
        <v>34130</v>
      </c>
      <c r="B125" s="87" t="s">
        <v>357</v>
      </c>
      <c r="C125" s="100">
        <v>112232113.92</v>
      </c>
      <c r="D125" s="100">
        <v>0</v>
      </c>
      <c r="E125" s="100">
        <v>0</v>
      </c>
      <c r="F125" s="100">
        <v>0</v>
      </c>
      <c r="G125" s="100">
        <v>0</v>
      </c>
      <c r="H125" s="100">
        <v>112232113.92</v>
      </c>
      <c r="I125" s="100">
        <v>112232113.92</v>
      </c>
      <c r="J125" s="101">
        <v>0</v>
      </c>
      <c r="K125" s="100">
        <v>27560672.960000008</v>
      </c>
      <c r="L125" s="100">
        <v>4152588.24</v>
      </c>
      <c r="M125" s="100">
        <v>0</v>
      </c>
      <c r="N125" s="100">
        <v>0</v>
      </c>
      <c r="O125" s="108"/>
      <c r="P125" s="100">
        <v>0</v>
      </c>
      <c r="Q125" s="108"/>
      <c r="R125" s="100">
        <v>0</v>
      </c>
      <c r="S125" s="100">
        <v>0</v>
      </c>
      <c r="T125" s="100">
        <v>0</v>
      </c>
      <c r="U125" s="100">
        <v>31713261.20000001</v>
      </c>
      <c r="V125" s="100">
        <v>29636967.079999998</v>
      </c>
      <c r="W125" s="101">
        <v>0</v>
      </c>
      <c r="X125" s="91">
        <v>3.7000000000000005E-2</v>
      </c>
    </row>
    <row r="126" spans="1:24" x14ac:dyDescent="0.3">
      <c r="A126" s="71">
        <v>34131</v>
      </c>
      <c r="B126" s="87" t="s">
        <v>358</v>
      </c>
      <c r="C126" s="100">
        <v>21253120.770000003</v>
      </c>
      <c r="D126" s="100">
        <v>0</v>
      </c>
      <c r="E126" s="100">
        <v>0</v>
      </c>
      <c r="F126" s="100">
        <v>0</v>
      </c>
      <c r="G126" s="100">
        <v>0</v>
      </c>
      <c r="H126" s="100">
        <v>21253120.770000003</v>
      </c>
      <c r="I126" s="100">
        <v>21253120.77</v>
      </c>
      <c r="J126" s="101">
        <v>0</v>
      </c>
      <c r="K126" s="100">
        <v>9609725.6199999861</v>
      </c>
      <c r="L126" s="100">
        <v>1041402.96</v>
      </c>
      <c r="M126" s="100">
        <v>0</v>
      </c>
      <c r="N126" s="100">
        <v>0</v>
      </c>
      <c r="O126" s="108"/>
      <c r="P126" s="100">
        <v>0</v>
      </c>
      <c r="Q126" s="108"/>
      <c r="R126" s="100">
        <v>0</v>
      </c>
      <c r="S126" s="100">
        <v>0</v>
      </c>
      <c r="T126" s="100">
        <v>0</v>
      </c>
      <c r="U126" s="100">
        <v>10651128.579999987</v>
      </c>
      <c r="V126" s="100">
        <v>10130427.1</v>
      </c>
      <c r="W126" s="101">
        <v>0</v>
      </c>
      <c r="X126" s="91">
        <v>4.9000000000000002E-2</v>
      </c>
    </row>
    <row r="127" spans="1:24" x14ac:dyDescent="0.3">
      <c r="A127" s="71">
        <v>34132</v>
      </c>
      <c r="B127" s="87" t="s">
        <v>359</v>
      </c>
      <c r="C127" s="100">
        <v>27131136.169999998</v>
      </c>
      <c r="D127" s="100">
        <v>0</v>
      </c>
      <c r="E127" s="100">
        <v>0</v>
      </c>
      <c r="F127" s="100">
        <v>0</v>
      </c>
      <c r="G127" s="100">
        <v>0</v>
      </c>
      <c r="H127" s="100">
        <v>27131136.169999998</v>
      </c>
      <c r="I127" s="100">
        <v>27131136.170000002</v>
      </c>
      <c r="J127" s="101">
        <v>0</v>
      </c>
      <c r="K127" s="100">
        <v>14552664.960000016</v>
      </c>
      <c r="L127" s="100">
        <v>1150360.2</v>
      </c>
      <c r="M127" s="100">
        <v>0</v>
      </c>
      <c r="N127" s="100">
        <v>0</v>
      </c>
      <c r="O127" s="108"/>
      <c r="P127" s="100">
        <v>0</v>
      </c>
      <c r="Q127" s="108"/>
      <c r="R127" s="100">
        <v>0</v>
      </c>
      <c r="S127" s="100">
        <v>0</v>
      </c>
      <c r="T127" s="100">
        <v>0</v>
      </c>
      <c r="U127" s="100">
        <v>15703025.160000015</v>
      </c>
      <c r="V127" s="100">
        <v>15127845.060000001</v>
      </c>
      <c r="W127" s="101">
        <v>0</v>
      </c>
      <c r="X127" s="91">
        <v>4.24E-2</v>
      </c>
    </row>
    <row r="128" spans="1:24" x14ac:dyDescent="0.3">
      <c r="A128" s="71">
        <v>34133</v>
      </c>
      <c r="B128" s="87" t="s">
        <v>360</v>
      </c>
      <c r="C128" s="100">
        <v>656349.29</v>
      </c>
      <c r="D128" s="100">
        <v>0</v>
      </c>
      <c r="E128" s="100">
        <v>0</v>
      </c>
      <c r="F128" s="100">
        <v>0</v>
      </c>
      <c r="G128" s="100">
        <v>0</v>
      </c>
      <c r="H128" s="100">
        <v>656349.29</v>
      </c>
      <c r="I128" s="100">
        <v>656349.29</v>
      </c>
      <c r="J128" s="101">
        <v>0</v>
      </c>
      <c r="K128" s="100">
        <v>75171.190000000031</v>
      </c>
      <c r="L128" s="100">
        <v>27829.200000000001</v>
      </c>
      <c r="M128" s="100">
        <v>0</v>
      </c>
      <c r="N128" s="100">
        <v>0</v>
      </c>
      <c r="O128" s="108"/>
      <c r="P128" s="100">
        <v>0</v>
      </c>
      <c r="Q128" s="108"/>
      <c r="R128" s="100">
        <v>0</v>
      </c>
      <c r="S128" s="100">
        <v>0</v>
      </c>
      <c r="T128" s="100">
        <v>0</v>
      </c>
      <c r="U128" s="100">
        <v>103000.39000000003</v>
      </c>
      <c r="V128" s="100">
        <v>89085.79</v>
      </c>
      <c r="W128" s="101">
        <v>0</v>
      </c>
      <c r="X128" s="91">
        <v>4.24E-2</v>
      </c>
    </row>
    <row r="129" spans="1:24" x14ac:dyDescent="0.3">
      <c r="A129" s="71">
        <v>34134</v>
      </c>
      <c r="B129" s="87" t="s">
        <v>361</v>
      </c>
      <c r="C129" s="100">
        <v>242333.96</v>
      </c>
      <c r="D129" s="100">
        <v>0</v>
      </c>
      <c r="E129" s="100">
        <v>0</v>
      </c>
      <c r="F129" s="100">
        <v>0</v>
      </c>
      <c r="G129" s="100">
        <v>0</v>
      </c>
      <c r="H129" s="100">
        <v>242333.96</v>
      </c>
      <c r="I129" s="100">
        <v>242333.96</v>
      </c>
      <c r="J129" s="101">
        <v>0</v>
      </c>
      <c r="K129" s="100">
        <v>-73139.029999999941</v>
      </c>
      <c r="L129" s="100">
        <v>14661.24</v>
      </c>
      <c r="M129" s="100">
        <v>0</v>
      </c>
      <c r="N129" s="100">
        <v>0</v>
      </c>
      <c r="O129" s="108"/>
      <c r="P129" s="100">
        <v>0</v>
      </c>
      <c r="Q129" s="108"/>
      <c r="R129" s="100">
        <v>0</v>
      </c>
      <c r="S129" s="100">
        <v>0</v>
      </c>
      <c r="T129" s="100">
        <v>0</v>
      </c>
      <c r="U129" s="100">
        <v>-58477.789999999943</v>
      </c>
      <c r="V129" s="100">
        <v>-65808.41</v>
      </c>
      <c r="W129" s="101">
        <v>0</v>
      </c>
      <c r="X129" s="91">
        <v>6.0499999999999998E-2</v>
      </c>
    </row>
    <row r="130" spans="1:24" x14ac:dyDescent="0.3">
      <c r="A130" s="71">
        <v>34135</v>
      </c>
      <c r="B130" s="87" t="s">
        <v>362</v>
      </c>
      <c r="C130" s="100">
        <v>793114.26</v>
      </c>
      <c r="D130" s="100">
        <v>0</v>
      </c>
      <c r="E130" s="100">
        <v>0</v>
      </c>
      <c r="F130" s="100">
        <v>0</v>
      </c>
      <c r="G130" s="100">
        <v>0</v>
      </c>
      <c r="H130" s="100">
        <v>793114.26</v>
      </c>
      <c r="I130" s="100">
        <v>793114.26</v>
      </c>
      <c r="J130" s="101">
        <v>0</v>
      </c>
      <c r="K130" s="100">
        <v>-27676.379999999997</v>
      </c>
      <c r="L130" s="100">
        <v>38545.32</v>
      </c>
      <c r="M130" s="100">
        <v>0</v>
      </c>
      <c r="N130" s="100">
        <v>0</v>
      </c>
      <c r="O130" s="108"/>
      <c r="P130" s="100">
        <v>0</v>
      </c>
      <c r="Q130" s="108"/>
      <c r="R130" s="100">
        <v>0</v>
      </c>
      <c r="S130" s="100">
        <v>0</v>
      </c>
      <c r="T130" s="100">
        <v>0</v>
      </c>
      <c r="U130" s="100">
        <v>10868.940000000002</v>
      </c>
      <c r="V130" s="100">
        <v>-8403.7199999999993</v>
      </c>
      <c r="W130" s="101">
        <v>0</v>
      </c>
      <c r="X130" s="91">
        <v>4.8600000000000004E-2</v>
      </c>
    </row>
    <row r="131" spans="1:24" x14ac:dyDescent="0.3">
      <c r="A131" s="71">
        <v>34136</v>
      </c>
      <c r="B131" s="87" t="s">
        <v>363</v>
      </c>
      <c r="C131" s="100">
        <v>2656231.54</v>
      </c>
      <c r="D131" s="100">
        <v>0</v>
      </c>
      <c r="E131" s="100">
        <v>0</v>
      </c>
      <c r="F131" s="100">
        <v>0</v>
      </c>
      <c r="G131" s="100">
        <v>0</v>
      </c>
      <c r="H131" s="100">
        <v>2656231.54</v>
      </c>
      <c r="I131" s="100">
        <v>2656231.54</v>
      </c>
      <c r="J131" s="101">
        <v>0</v>
      </c>
      <c r="K131" s="100">
        <v>695087.72000000114</v>
      </c>
      <c r="L131" s="100">
        <v>96155.64</v>
      </c>
      <c r="M131" s="100">
        <v>0</v>
      </c>
      <c r="N131" s="100">
        <v>0</v>
      </c>
      <c r="O131" s="108"/>
      <c r="P131" s="100">
        <v>0</v>
      </c>
      <c r="Q131" s="108"/>
      <c r="R131" s="100">
        <v>0</v>
      </c>
      <c r="S131" s="100">
        <v>0</v>
      </c>
      <c r="T131" s="100">
        <v>0</v>
      </c>
      <c r="U131" s="100">
        <v>791243.36000000115</v>
      </c>
      <c r="V131" s="100">
        <v>743165.54</v>
      </c>
      <c r="W131" s="101">
        <v>0</v>
      </c>
      <c r="X131" s="91">
        <v>3.6200000000000003E-2</v>
      </c>
    </row>
    <row r="132" spans="1:24" x14ac:dyDescent="0.3">
      <c r="A132" s="71">
        <v>34141</v>
      </c>
      <c r="B132" s="87" t="s">
        <v>364</v>
      </c>
      <c r="C132" s="100">
        <v>0</v>
      </c>
      <c r="D132" s="100">
        <v>0</v>
      </c>
      <c r="E132" s="100">
        <v>0</v>
      </c>
      <c r="F132" s="100">
        <v>0</v>
      </c>
      <c r="G132" s="100">
        <v>0</v>
      </c>
      <c r="H132" s="100">
        <v>0</v>
      </c>
      <c r="I132" s="100">
        <v>0</v>
      </c>
      <c r="J132" s="101">
        <v>0</v>
      </c>
      <c r="K132" s="100">
        <v>0</v>
      </c>
      <c r="L132" s="100">
        <v>0</v>
      </c>
      <c r="M132" s="100">
        <v>0</v>
      </c>
      <c r="N132" s="100">
        <v>0</v>
      </c>
      <c r="O132" s="108"/>
      <c r="P132" s="100">
        <v>0</v>
      </c>
      <c r="Q132" s="108"/>
      <c r="R132" s="100">
        <v>0</v>
      </c>
      <c r="S132" s="100">
        <v>0</v>
      </c>
      <c r="T132" s="100">
        <v>0</v>
      </c>
      <c r="U132" s="100">
        <v>0</v>
      </c>
      <c r="V132" s="100">
        <v>0</v>
      </c>
      <c r="W132" s="101">
        <v>0</v>
      </c>
      <c r="X132" s="91">
        <v>0</v>
      </c>
    </row>
    <row r="133" spans="1:24" x14ac:dyDescent="0.3">
      <c r="A133" s="71">
        <v>34142</v>
      </c>
      <c r="B133" s="87" t="s">
        <v>365</v>
      </c>
      <c r="C133" s="100">
        <v>0</v>
      </c>
      <c r="D133" s="100">
        <v>0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1">
        <v>0</v>
      </c>
      <c r="K133" s="100">
        <v>0</v>
      </c>
      <c r="L133" s="100">
        <v>0</v>
      </c>
      <c r="M133" s="100">
        <v>0</v>
      </c>
      <c r="N133" s="100">
        <v>0</v>
      </c>
      <c r="O133" s="108"/>
      <c r="P133" s="100">
        <v>0</v>
      </c>
      <c r="Q133" s="108"/>
      <c r="R133" s="100">
        <v>0</v>
      </c>
      <c r="S133" s="100">
        <v>0</v>
      </c>
      <c r="T133" s="100">
        <v>0</v>
      </c>
      <c r="U133" s="100">
        <v>0</v>
      </c>
      <c r="V133" s="100">
        <v>0</v>
      </c>
      <c r="W133" s="101">
        <v>0</v>
      </c>
      <c r="X133" s="91">
        <v>0</v>
      </c>
    </row>
    <row r="134" spans="1:24" x14ac:dyDescent="0.3">
      <c r="A134" s="71">
        <v>34143</v>
      </c>
      <c r="B134" s="87" t="s">
        <v>366</v>
      </c>
      <c r="C134" s="100">
        <v>2290548.98</v>
      </c>
      <c r="D134" s="100">
        <v>0</v>
      </c>
      <c r="E134" s="100">
        <v>0</v>
      </c>
      <c r="F134" s="100">
        <v>0</v>
      </c>
      <c r="G134" s="100">
        <v>0</v>
      </c>
      <c r="H134" s="100">
        <v>2290548.98</v>
      </c>
      <c r="I134" s="100">
        <v>2290548.98</v>
      </c>
      <c r="J134" s="101">
        <v>0</v>
      </c>
      <c r="K134" s="100">
        <v>1537836.1399999992</v>
      </c>
      <c r="L134" s="100">
        <v>78565.8</v>
      </c>
      <c r="M134" s="100">
        <v>0</v>
      </c>
      <c r="N134" s="100">
        <v>0</v>
      </c>
      <c r="O134" s="108"/>
      <c r="P134" s="100">
        <v>0</v>
      </c>
      <c r="Q134" s="108"/>
      <c r="R134" s="100">
        <v>0</v>
      </c>
      <c r="S134" s="100">
        <v>0</v>
      </c>
      <c r="T134" s="100">
        <v>0</v>
      </c>
      <c r="U134" s="100">
        <v>1616401.9399999992</v>
      </c>
      <c r="V134" s="100">
        <v>1577119.04</v>
      </c>
      <c r="W134" s="101">
        <v>0</v>
      </c>
      <c r="X134" s="91">
        <v>3.4300000000000004E-2</v>
      </c>
    </row>
    <row r="135" spans="1:24" x14ac:dyDescent="0.3">
      <c r="A135" s="71">
        <v>34144</v>
      </c>
      <c r="B135" s="87" t="s">
        <v>367</v>
      </c>
      <c r="C135" s="100">
        <v>3335882.55</v>
      </c>
      <c r="D135" s="100">
        <v>0</v>
      </c>
      <c r="E135" s="100">
        <v>0</v>
      </c>
      <c r="F135" s="100">
        <v>0</v>
      </c>
      <c r="G135" s="100">
        <v>0</v>
      </c>
      <c r="H135" s="100">
        <v>3335882.55</v>
      </c>
      <c r="I135" s="100">
        <v>3335882.55</v>
      </c>
      <c r="J135" s="101">
        <v>0</v>
      </c>
      <c r="K135" s="100">
        <v>1049697.2600000002</v>
      </c>
      <c r="L135" s="100">
        <v>112752.84</v>
      </c>
      <c r="M135" s="100">
        <v>0</v>
      </c>
      <c r="N135" s="100">
        <v>0</v>
      </c>
      <c r="O135" s="108"/>
      <c r="P135" s="100">
        <v>0</v>
      </c>
      <c r="Q135" s="108"/>
      <c r="R135" s="100">
        <v>0</v>
      </c>
      <c r="S135" s="100">
        <v>0</v>
      </c>
      <c r="T135" s="100">
        <v>0</v>
      </c>
      <c r="U135" s="100">
        <v>1162450.1000000003</v>
      </c>
      <c r="V135" s="100">
        <v>1106073.68</v>
      </c>
      <c r="W135" s="101">
        <v>0</v>
      </c>
      <c r="X135" s="91">
        <v>3.3799999999999997E-2</v>
      </c>
    </row>
    <row r="136" spans="1:24" x14ac:dyDescent="0.3">
      <c r="A136" s="71">
        <v>34145</v>
      </c>
      <c r="B136" s="87" t="s">
        <v>368</v>
      </c>
      <c r="C136" s="100">
        <v>0</v>
      </c>
      <c r="D136" s="100">
        <v>0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1">
        <v>0</v>
      </c>
      <c r="K136" s="100">
        <v>0</v>
      </c>
      <c r="L136" s="100">
        <v>0</v>
      </c>
      <c r="M136" s="100">
        <v>0</v>
      </c>
      <c r="N136" s="100">
        <v>0</v>
      </c>
      <c r="O136" s="108"/>
      <c r="P136" s="100">
        <v>0</v>
      </c>
      <c r="Q136" s="108"/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1">
        <v>0</v>
      </c>
      <c r="X136" s="91">
        <v>2.2000000000000002E-2</v>
      </c>
    </row>
    <row r="137" spans="1:24" x14ac:dyDescent="0.3">
      <c r="A137" s="71">
        <v>34146</v>
      </c>
      <c r="B137" s="87" t="s">
        <v>369</v>
      </c>
      <c r="C137" s="100">
        <v>0</v>
      </c>
      <c r="D137" s="100"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1">
        <v>0</v>
      </c>
      <c r="K137" s="100">
        <v>0</v>
      </c>
      <c r="L137" s="100">
        <v>0</v>
      </c>
      <c r="M137" s="100">
        <v>0</v>
      </c>
      <c r="N137" s="100">
        <v>0</v>
      </c>
      <c r="O137" s="108"/>
      <c r="P137" s="100">
        <v>0</v>
      </c>
      <c r="Q137" s="108"/>
      <c r="R137" s="100">
        <v>0</v>
      </c>
      <c r="S137" s="100">
        <v>0</v>
      </c>
      <c r="T137" s="100">
        <v>0</v>
      </c>
      <c r="U137" s="100">
        <v>0</v>
      </c>
      <c r="V137" s="100">
        <v>0</v>
      </c>
      <c r="W137" s="101">
        <v>0</v>
      </c>
      <c r="X137" s="91">
        <v>2.2000000000000002E-2</v>
      </c>
    </row>
    <row r="138" spans="1:24" x14ac:dyDescent="0.3">
      <c r="A138" s="71">
        <v>34180</v>
      </c>
      <c r="B138" s="87" t="s">
        <v>370</v>
      </c>
      <c r="C138" s="100">
        <v>193028877.69000003</v>
      </c>
      <c r="D138" s="100">
        <v>0</v>
      </c>
      <c r="E138" s="100">
        <v>0</v>
      </c>
      <c r="F138" s="100">
        <v>0</v>
      </c>
      <c r="G138" s="100">
        <v>0</v>
      </c>
      <c r="H138" s="100">
        <v>193028877.69000003</v>
      </c>
      <c r="I138" s="100">
        <v>193028877.69</v>
      </c>
      <c r="J138" s="101">
        <v>0</v>
      </c>
      <c r="K138" s="100">
        <v>67242114.899999991</v>
      </c>
      <c r="L138" s="100">
        <v>5752260.5999999996</v>
      </c>
      <c r="M138" s="100">
        <v>0</v>
      </c>
      <c r="N138" s="100">
        <v>0</v>
      </c>
      <c r="O138" s="108"/>
      <c r="P138" s="100">
        <v>0</v>
      </c>
      <c r="Q138" s="108"/>
      <c r="R138" s="100">
        <v>0</v>
      </c>
      <c r="S138" s="100">
        <v>0</v>
      </c>
      <c r="T138" s="100">
        <v>0</v>
      </c>
      <c r="U138" s="100">
        <v>72994375.499999985</v>
      </c>
      <c r="V138" s="100">
        <v>70118245.200000003</v>
      </c>
      <c r="W138" s="101">
        <v>0</v>
      </c>
      <c r="X138" s="91">
        <v>2.98E-2</v>
      </c>
    </row>
    <row r="139" spans="1:24" x14ac:dyDescent="0.3">
      <c r="A139" s="71">
        <v>34181</v>
      </c>
      <c r="B139" s="87" t="s">
        <v>371</v>
      </c>
      <c r="C139" s="100">
        <v>53101275.780000016</v>
      </c>
      <c r="D139" s="100">
        <v>0</v>
      </c>
      <c r="E139" s="100">
        <v>0</v>
      </c>
      <c r="F139" s="100">
        <v>0</v>
      </c>
      <c r="G139" s="100">
        <v>0</v>
      </c>
      <c r="H139" s="100">
        <v>53101275.780000016</v>
      </c>
      <c r="I139" s="100">
        <v>53101275.780000001</v>
      </c>
      <c r="J139" s="101">
        <v>0</v>
      </c>
      <c r="K139" s="100">
        <v>28571969.029999975</v>
      </c>
      <c r="L139" s="100">
        <v>2601962.52</v>
      </c>
      <c r="M139" s="100">
        <v>0</v>
      </c>
      <c r="N139" s="100">
        <v>0</v>
      </c>
      <c r="O139" s="108"/>
      <c r="P139" s="100">
        <v>0</v>
      </c>
      <c r="Q139" s="108"/>
      <c r="R139" s="100">
        <v>0</v>
      </c>
      <c r="S139" s="100">
        <v>0</v>
      </c>
      <c r="T139" s="100">
        <v>0</v>
      </c>
      <c r="U139" s="100">
        <v>31173931.549999975</v>
      </c>
      <c r="V139" s="100">
        <v>29872950.289999999</v>
      </c>
      <c r="W139" s="101">
        <v>0</v>
      </c>
      <c r="X139" s="91">
        <v>4.9000000000000002E-2</v>
      </c>
    </row>
    <row r="140" spans="1:24" x14ac:dyDescent="0.3">
      <c r="A140" s="71">
        <v>34182</v>
      </c>
      <c r="B140" s="87" t="s">
        <v>372</v>
      </c>
      <c r="C140" s="100">
        <v>2342155.2899999996</v>
      </c>
      <c r="D140" s="100">
        <v>0</v>
      </c>
      <c r="E140" s="100">
        <v>0</v>
      </c>
      <c r="F140" s="100">
        <v>0</v>
      </c>
      <c r="G140" s="100">
        <v>0</v>
      </c>
      <c r="H140" s="100">
        <v>2342155.2899999996</v>
      </c>
      <c r="I140" s="100">
        <v>2342155.29</v>
      </c>
      <c r="J140" s="101">
        <v>0</v>
      </c>
      <c r="K140" s="100">
        <v>1331510.5799999984</v>
      </c>
      <c r="L140" s="100">
        <v>52932.72</v>
      </c>
      <c r="M140" s="100">
        <v>0</v>
      </c>
      <c r="N140" s="100">
        <v>0</v>
      </c>
      <c r="O140" s="108"/>
      <c r="P140" s="100">
        <v>0</v>
      </c>
      <c r="Q140" s="108"/>
      <c r="R140" s="100">
        <v>0</v>
      </c>
      <c r="S140" s="100">
        <v>0</v>
      </c>
      <c r="T140" s="100">
        <v>0</v>
      </c>
      <c r="U140" s="100">
        <v>1384443.2999999984</v>
      </c>
      <c r="V140" s="100">
        <v>1357976.94</v>
      </c>
      <c r="W140" s="101">
        <v>0</v>
      </c>
      <c r="X140" s="91">
        <v>2.2599999999999999E-2</v>
      </c>
    </row>
    <row r="141" spans="1:24" x14ac:dyDescent="0.3">
      <c r="A141" s="71">
        <v>34183</v>
      </c>
      <c r="B141" s="87" t="s">
        <v>373</v>
      </c>
      <c r="C141" s="100">
        <v>10708676.690000001</v>
      </c>
      <c r="D141" s="100">
        <v>0</v>
      </c>
      <c r="E141" s="100">
        <v>0</v>
      </c>
      <c r="F141" s="100">
        <v>0</v>
      </c>
      <c r="G141" s="100">
        <v>0</v>
      </c>
      <c r="H141" s="100">
        <v>10708676.690000001</v>
      </c>
      <c r="I141" s="100">
        <v>10708676.689999999</v>
      </c>
      <c r="J141" s="101">
        <v>0</v>
      </c>
      <c r="K141" s="100">
        <v>6000960.3099999996</v>
      </c>
      <c r="L141" s="100">
        <v>243087</v>
      </c>
      <c r="M141" s="100">
        <v>0</v>
      </c>
      <c r="N141" s="100">
        <v>0</v>
      </c>
      <c r="O141" s="108"/>
      <c r="P141" s="100">
        <v>0</v>
      </c>
      <c r="Q141" s="108"/>
      <c r="R141" s="100">
        <v>0</v>
      </c>
      <c r="S141" s="100">
        <v>0</v>
      </c>
      <c r="T141" s="100">
        <v>0</v>
      </c>
      <c r="U141" s="100">
        <v>6244047.3099999996</v>
      </c>
      <c r="V141" s="100">
        <v>6122503.8099999996</v>
      </c>
      <c r="W141" s="101">
        <v>0</v>
      </c>
      <c r="X141" s="91">
        <v>2.2700000000000001E-2</v>
      </c>
    </row>
    <row r="142" spans="1:24" x14ac:dyDescent="0.3">
      <c r="A142" s="71">
        <v>34184</v>
      </c>
      <c r="B142" s="87" t="s">
        <v>374</v>
      </c>
      <c r="C142" s="100">
        <v>5812062.1499999994</v>
      </c>
      <c r="D142" s="100">
        <v>0</v>
      </c>
      <c r="E142" s="100">
        <v>0</v>
      </c>
      <c r="F142" s="100">
        <v>0</v>
      </c>
      <c r="G142" s="100">
        <v>0</v>
      </c>
      <c r="H142" s="100">
        <v>5812062.1499999994</v>
      </c>
      <c r="I142" s="100">
        <v>5812062.1500000004</v>
      </c>
      <c r="J142" s="101">
        <v>0</v>
      </c>
      <c r="K142" s="100">
        <v>2397493.3800000036</v>
      </c>
      <c r="L142" s="100">
        <v>159250.56</v>
      </c>
      <c r="M142" s="100">
        <v>0</v>
      </c>
      <c r="N142" s="100">
        <v>0</v>
      </c>
      <c r="O142" s="108"/>
      <c r="P142" s="100">
        <v>0</v>
      </c>
      <c r="Q142" s="108"/>
      <c r="R142" s="100">
        <v>0</v>
      </c>
      <c r="S142" s="100">
        <v>0</v>
      </c>
      <c r="T142" s="100">
        <v>0</v>
      </c>
      <c r="U142" s="100">
        <v>2556743.9400000037</v>
      </c>
      <c r="V142" s="100">
        <v>2477118.66</v>
      </c>
      <c r="W142" s="101">
        <v>0</v>
      </c>
      <c r="X142" s="91">
        <v>2.7400000000000001E-2</v>
      </c>
    </row>
    <row r="143" spans="1:24" x14ac:dyDescent="0.3">
      <c r="A143" s="71">
        <v>34185</v>
      </c>
      <c r="B143" s="87" t="s">
        <v>375</v>
      </c>
      <c r="C143" s="100">
        <v>5746580.1100000003</v>
      </c>
      <c r="D143" s="100">
        <v>0</v>
      </c>
      <c r="E143" s="100">
        <v>0</v>
      </c>
      <c r="F143" s="100">
        <v>0</v>
      </c>
      <c r="G143" s="100">
        <v>0</v>
      </c>
      <c r="H143" s="100">
        <v>5746580.1100000003</v>
      </c>
      <c r="I143" s="100">
        <v>5746580.1100000003</v>
      </c>
      <c r="J143" s="101">
        <v>0</v>
      </c>
      <c r="K143" s="100">
        <v>2424266.6999999988</v>
      </c>
      <c r="L143" s="100">
        <v>156306.96</v>
      </c>
      <c r="M143" s="100">
        <v>0</v>
      </c>
      <c r="N143" s="100">
        <v>0</v>
      </c>
      <c r="O143" s="108"/>
      <c r="P143" s="100">
        <v>0</v>
      </c>
      <c r="Q143" s="108"/>
      <c r="R143" s="100">
        <v>0</v>
      </c>
      <c r="S143" s="100">
        <v>0</v>
      </c>
      <c r="T143" s="100">
        <v>0</v>
      </c>
      <c r="U143" s="100">
        <v>2580573.6599999988</v>
      </c>
      <c r="V143" s="100">
        <v>2502420.1800000002</v>
      </c>
      <c r="W143" s="101">
        <v>0</v>
      </c>
      <c r="X143" s="91">
        <v>2.7200000000000002E-2</v>
      </c>
    </row>
    <row r="144" spans="1:24" x14ac:dyDescent="0.3">
      <c r="A144" s="71">
        <v>34186</v>
      </c>
      <c r="B144" s="87" t="s">
        <v>376</v>
      </c>
      <c r="C144" s="100">
        <v>13374554.050000001</v>
      </c>
      <c r="D144" s="100">
        <v>1291111.07</v>
      </c>
      <c r="E144" s="100">
        <v>-258222.22</v>
      </c>
      <c r="F144" s="100">
        <v>0</v>
      </c>
      <c r="G144" s="100">
        <v>0</v>
      </c>
      <c r="H144" s="100">
        <v>14407442.9</v>
      </c>
      <c r="I144" s="100">
        <v>13593049.77</v>
      </c>
      <c r="J144" s="101">
        <v>0</v>
      </c>
      <c r="K144" s="100">
        <v>4266581.8700000066</v>
      </c>
      <c r="L144" s="100">
        <v>396287.85</v>
      </c>
      <c r="M144" s="100">
        <v>-258222.22</v>
      </c>
      <c r="N144" s="100">
        <v>-108888.9</v>
      </c>
      <c r="O144" s="108"/>
      <c r="P144" s="100">
        <v>0</v>
      </c>
      <c r="Q144" s="108"/>
      <c r="R144" s="100">
        <v>0</v>
      </c>
      <c r="S144" s="100">
        <v>0</v>
      </c>
      <c r="T144" s="100">
        <v>0</v>
      </c>
      <c r="U144" s="100">
        <v>4295758.6000000061</v>
      </c>
      <c r="V144" s="100">
        <v>4353951.88</v>
      </c>
      <c r="W144" s="101">
        <v>0</v>
      </c>
      <c r="X144" s="91">
        <v>2.9300000000000003E-2</v>
      </c>
    </row>
    <row r="145" spans="1:24" x14ac:dyDescent="0.3">
      <c r="A145" s="71">
        <v>34198</v>
      </c>
      <c r="B145" s="87" t="s">
        <v>377</v>
      </c>
      <c r="C145" s="100">
        <v>0</v>
      </c>
      <c r="D145" s="100">
        <v>0</v>
      </c>
      <c r="E145" s="100">
        <v>0</v>
      </c>
      <c r="F145" s="100">
        <v>0</v>
      </c>
      <c r="G145" s="100">
        <v>0</v>
      </c>
      <c r="H145" s="100">
        <v>0</v>
      </c>
      <c r="I145" s="100">
        <v>0</v>
      </c>
      <c r="J145" s="101">
        <v>0</v>
      </c>
      <c r="K145" s="100">
        <v>0</v>
      </c>
      <c r="L145" s="100">
        <v>0</v>
      </c>
      <c r="M145" s="100">
        <v>0</v>
      </c>
      <c r="N145" s="100">
        <v>0</v>
      </c>
      <c r="O145" s="108"/>
      <c r="P145" s="100">
        <v>0</v>
      </c>
      <c r="Q145" s="108"/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101">
        <v>0</v>
      </c>
      <c r="X145" s="91">
        <v>3.3300000000000003E-2</v>
      </c>
    </row>
    <row r="146" spans="1:24" x14ac:dyDescent="0.3">
      <c r="A146" s="71">
        <v>34199</v>
      </c>
      <c r="B146" s="87" t="s">
        <v>378</v>
      </c>
      <c r="C146" s="100">
        <v>470718920.08000004</v>
      </c>
      <c r="D146" s="100">
        <v>0</v>
      </c>
      <c r="E146" s="100">
        <v>0</v>
      </c>
      <c r="F146" s="100">
        <v>0</v>
      </c>
      <c r="G146" s="100">
        <v>0</v>
      </c>
      <c r="H146" s="100">
        <v>470718920.08000004</v>
      </c>
      <c r="I146" s="100">
        <v>470718920.07999998</v>
      </c>
      <c r="J146" s="101">
        <v>0</v>
      </c>
      <c r="K146" s="100">
        <v>54082009.740000002</v>
      </c>
      <c r="L146" s="100">
        <v>15863227.560000001</v>
      </c>
      <c r="M146" s="100">
        <v>0</v>
      </c>
      <c r="N146" s="100">
        <v>0</v>
      </c>
      <c r="O146" s="108"/>
      <c r="P146" s="100">
        <v>0</v>
      </c>
      <c r="Q146" s="108"/>
      <c r="R146" s="100">
        <v>0</v>
      </c>
      <c r="S146" s="100">
        <v>0</v>
      </c>
      <c r="T146" s="100">
        <v>0</v>
      </c>
      <c r="U146" s="100">
        <v>69945237.299999997</v>
      </c>
      <c r="V146" s="100">
        <v>62013623.520000003</v>
      </c>
      <c r="W146" s="101">
        <v>0</v>
      </c>
      <c r="X146" s="91">
        <v>3.3700000000000001E-2</v>
      </c>
    </row>
    <row r="147" spans="1:24" x14ac:dyDescent="0.3">
      <c r="A147" s="71">
        <v>34220</v>
      </c>
      <c r="B147" s="87" t="s">
        <v>379</v>
      </c>
      <c r="C147" s="100">
        <v>0</v>
      </c>
      <c r="D147" s="100">
        <v>53790116.170000002</v>
      </c>
      <c r="E147" s="100">
        <v>0</v>
      </c>
      <c r="F147" s="100">
        <v>0</v>
      </c>
      <c r="G147" s="100">
        <v>0</v>
      </c>
      <c r="H147" s="100">
        <v>53790116.170000002</v>
      </c>
      <c r="I147" s="100">
        <v>36099210.57</v>
      </c>
      <c r="J147" s="101">
        <v>0</v>
      </c>
      <c r="K147" s="100">
        <v>0</v>
      </c>
      <c r="L147" s="100">
        <v>761749.3</v>
      </c>
      <c r="M147" s="100">
        <v>0</v>
      </c>
      <c r="N147" s="100">
        <v>0</v>
      </c>
      <c r="O147" s="108"/>
      <c r="P147" s="100">
        <v>0</v>
      </c>
      <c r="Q147" s="108"/>
      <c r="R147" s="100">
        <v>0</v>
      </c>
      <c r="S147" s="100">
        <v>0</v>
      </c>
      <c r="T147" s="100">
        <v>0</v>
      </c>
      <c r="U147" s="100">
        <v>761749.3</v>
      </c>
      <c r="V147" s="100">
        <v>261886.81</v>
      </c>
      <c r="W147" s="101">
        <v>0</v>
      </c>
      <c r="X147" s="91">
        <v>2.2000000000000002E-2</v>
      </c>
    </row>
    <row r="148" spans="1:24" x14ac:dyDescent="0.3">
      <c r="A148" s="71">
        <v>34228</v>
      </c>
      <c r="B148" s="87" t="s">
        <v>380</v>
      </c>
      <c r="C148" s="100">
        <v>0</v>
      </c>
      <c r="D148" s="100">
        <v>0</v>
      </c>
      <c r="E148" s="100">
        <v>0</v>
      </c>
      <c r="F148" s="100">
        <v>0</v>
      </c>
      <c r="G148" s="100">
        <v>0</v>
      </c>
      <c r="H148" s="100">
        <v>0</v>
      </c>
      <c r="I148" s="100">
        <v>0</v>
      </c>
      <c r="J148" s="101">
        <v>0</v>
      </c>
      <c r="K148" s="100">
        <v>0</v>
      </c>
      <c r="L148" s="100">
        <v>0</v>
      </c>
      <c r="M148" s="100">
        <v>0</v>
      </c>
      <c r="N148" s="100">
        <v>0</v>
      </c>
      <c r="O148" s="108"/>
      <c r="P148" s="100">
        <v>0</v>
      </c>
      <c r="Q148" s="108"/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1">
        <v>0</v>
      </c>
      <c r="X148" s="91">
        <v>0</v>
      </c>
    </row>
    <row r="149" spans="1:24" x14ac:dyDescent="0.3">
      <c r="A149" s="71">
        <v>34230</v>
      </c>
      <c r="B149" s="87" t="s">
        <v>381</v>
      </c>
      <c r="C149" s="100">
        <v>41315289.07</v>
      </c>
      <c r="D149" s="100">
        <v>8972430.3900000006</v>
      </c>
      <c r="E149" s="100">
        <v>-1794486.08</v>
      </c>
      <c r="F149" s="100">
        <v>0</v>
      </c>
      <c r="G149" s="100">
        <v>0</v>
      </c>
      <c r="H149" s="100">
        <v>48493233.380000003</v>
      </c>
      <c r="I149" s="100">
        <v>45243593.82</v>
      </c>
      <c r="J149" s="101">
        <v>-5.0000101327896118E-3</v>
      </c>
      <c r="K149" s="100">
        <v>4083940.739999996</v>
      </c>
      <c r="L149" s="100">
        <v>1915840.89</v>
      </c>
      <c r="M149" s="100">
        <v>-1794486.08</v>
      </c>
      <c r="N149" s="100">
        <v>-50000</v>
      </c>
      <c r="O149" s="108"/>
      <c r="P149" s="100">
        <v>0</v>
      </c>
      <c r="Q149" s="108"/>
      <c r="R149" s="100">
        <v>0</v>
      </c>
      <c r="S149" s="100">
        <v>0</v>
      </c>
      <c r="T149" s="100">
        <v>0</v>
      </c>
      <c r="U149" s="100">
        <v>4155295.5499999961</v>
      </c>
      <c r="V149" s="100">
        <v>4014239.17</v>
      </c>
      <c r="W149" s="101">
        <v>0</v>
      </c>
      <c r="X149" s="91">
        <v>4.2599999999999999E-2</v>
      </c>
    </row>
    <row r="150" spans="1:24" x14ac:dyDescent="0.3">
      <c r="A150" s="71">
        <v>34231</v>
      </c>
      <c r="B150" s="87" t="s">
        <v>382</v>
      </c>
      <c r="C150" s="100">
        <v>90649036.199999973</v>
      </c>
      <c r="D150" s="100">
        <v>17523903.68</v>
      </c>
      <c r="E150" s="100">
        <v>-3504780.74</v>
      </c>
      <c r="F150" s="100">
        <v>0</v>
      </c>
      <c r="G150" s="100">
        <v>0</v>
      </c>
      <c r="H150" s="100">
        <v>104668159.13999997</v>
      </c>
      <c r="I150" s="100">
        <v>97775274.159999996</v>
      </c>
      <c r="J150" s="101">
        <v>0</v>
      </c>
      <c r="K150" s="100">
        <v>38098120.839999981</v>
      </c>
      <c r="L150" s="100">
        <v>4578160.8499999996</v>
      </c>
      <c r="M150" s="100">
        <v>-3504780.74</v>
      </c>
      <c r="N150" s="100">
        <v>-112204.15</v>
      </c>
      <c r="O150" s="108"/>
      <c r="P150" s="100">
        <v>0</v>
      </c>
      <c r="Q150" s="108"/>
      <c r="R150" s="100">
        <v>0</v>
      </c>
      <c r="S150" s="100">
        <v>0</v>
      </c>
      <c r="T150" s="100">
        <v>0</v>
      </c>
      <c r="U150" s="100">
        <v>39059296.799999982</v>
      </c>
      <c r="V150" s="100">
        <v>38502885.350000001</v>
      </c>
      <c r="W150" s="101">
        <v>0</v>
      </c>
      <c r="X150" s="91">
        <v>4.7100000000000003E-2</v>
      </c>
    </row>
    <row r="151" spans="1:24" x14ac:dyDescent="0.3">
      <c r="A151" s="71">
        <v>34232</v>
      </c>
      <c r="B151" s="87" t="s">
        <v>383</v>
      </c>
      <c r="C151" s="100">
        <v>142690124.315</v>
      </c>
      <c r="D151" s="100">
        <v>5985489.5</v>
      </c>
      <c r="E151" s="100">
        <v>-1197097.8999999999</v>
      </c>
      <c r="F151" s="100">
        <v>0</v>
      </c>
      <c r="G151" s="100">
        <v>0</v>
      </c>
      <c r="H151" s="100">
        <v>147478515.91499999</v>
      </c>
      <c r="I151" s="100">
        <v>144286029.88</v>
      </c>
      <c r="J151" s="101">
        <v>0</v>
      </c>
      <c r="K151" s="100">
        <v>41339893.114999965</v>
      </c>
      <c r="L151" s="100">
        <v>8065119.4000000004</v>
      </c>
      <c r="M151" s="100">
        <v>-1197097.8999999999</v>
      </c>
      <c r="N151" s="100">
        <v>-1225000</v>
      </c>
      <c r="O151" s="108"/>
      <c r="P151" s="100">
        <v>0</v>
      </c>
      <c r="Q151" s="108"/>
      <c r="R151" s="100">
        <v>0</v>
      </c>
      <c r="S151" s="100">
        <v>0</v>
      </c>
      <c r="T151" s="100">
        <v>0</v>
      </c>
      <c r="U151" s="100">
        <v>46982914.614999965</v>
      </c>
      <c r="V151" s="100">
        <v>44248025.609999999</v>
      </c>
      <c r="W151" s="101">
        <v>0</v>
      </c>
      <c r="X151" s="91">
        <v>5.5999999999999994E-2</v>
      </c>
    </row>
    <row r="152" spans="1:24" x14ac:dyDescent="0.3">
      <c r="A152" s="71">
        <v>34233</v>
      </c>
      <c r="B152" s="87" t="s">
        <v>384</v>
      </c>
      <c r="C152" s="100">
        <v>4701026.2849999992</v>
      </c>
      <c r="D152" s="100">
        <v>0</v>
      </c>
      <c r="E152" s="100">
        <v>0</v>
      </c>
      <c r="F152" s="100">
        <v>0</v>
      </c>
      <c r="G152" s="100">
        <v>0</v>
      </c>
      <c r="H152" s="100">
        <v>4701026.2849999992</v>
      </c>
      <c r="I152" s="100">
        <v>4701026.29</v>
      </c>
      <c r="J152" s="101">
        <v>0</v>
      </c>
      <c r="K152" s="100">
        <v>1093320.219999999</v>
      </c>
      <c r="L152" s="100">
        <v>151843.20000000001</v>
      </c>
      <c r="M152" s="100">
        <v>0</v>
      </c>
      <c r="N152" s="100">
        <v>0</v>
      </c>
      <c r="O152" s="108"/>
      <c r="P152" s="100">
        <v>0</v>
      </c>
      <c r="Q152" s="108"/>
      <c r="R152" s="100">
        <v>0</v>
      </c>
      <c r="S152" s="100">
        <v>0</v>
      </c>
      <c r="T152" s="100">
        <v>0</v>
      </c>
      <c r="U152" s="100">
        <v>1245163.419999999</v>
      </c>
      <c r="V152" s="100">
        <v>1169241.82</v>
      </c>
      <c r="W152" s="101">
        <v>0</v>
      </c>
      <c r="X152" s="91">
        <v>3.2300000000000002E-2</v>
      </c>
    </row>
    <row r="153" spans="1:24" x14ac:dyDescent="0.3">
      <c r="A153" s="71">
        <v>34234</v>
      </c>
      <c r="B153" s="87" t="s">
        <v>385</v>
      </c>
      <c r="C153" s="100">
        <v>3384097.5599999996</v>
      </c>
      <c r="D153" s="100">
        <v>0</v>
      </c>
      <c r="E153" s="100">
        <v>0</v>
      </c>
      <c r="F153" s="100">
        <v>0</v>
      </c>
      <c r="G153" s="100">
        <v>0</v>
      </c>
      <c r="H153" s="100">
        <v>3384097.5599999996</v>
      </c>
      <c r="I153" s="100">
        <v>3384097.56</v>
      </c>
      <c r="J153" s="101">
        <v>0</v>
      </c>
      <c r="K153" s="100">
        <v>1414628.3200000017</v>
      </c>
      <c r="L153" s="100">
        <v>95093.16</v>
      </c>
      <c r="M153" s="100">
        <v>0</v>
      </c>
      <c r="N153" s="100">
        <v>0</v>
      </c>
      <c r="O153" s="108"/>
      <c r="P153" s="100">
        <v>0</v>
      </c>
      <c r="Q153" s="108"/>
      <c r="R153" s="100">
        <v>0</v>
      </c>
      <c r="S153" s="100">
        <v>0</v>
      </c>
      <c r="T153" s="100">
        <v>0</v>
      </c>
      <c r="U153" s="100">
        <v>1509721.4800000016</v>
      </c>
      <c r="V153" s="100">
        <v>1462174.9</v>
      </c>
      <c r="W153" s="101">
        <v>0</v>
      </c>
      <c r="X153" s="91">
        <v>2.81E-2</v>
      </c>
    </row>
    <row r="154" spans="1:24" x14ac:dyDescent="0.3">
      <c r="A154" s="71">
        <v>34235</v>
      </c>
      <c r="B154" s="87" t="s">
        <v>386</v>
      </c>
      <c r="C154" s="100">
        <v>2224655.6949999998</v>
      </c>
      <c r="D154" s="100">
        <v>0</v>
      </c>
      <c r="E154" s="100">
        <v>0</v>
      </c>
      <c r="F154" s="100">
        <v>0</v>
      </c>
      <c r="G154" s="100">
        <v>0</v>
      </c>
      <c r="H154" s="100">
        <v>2224655.6949999998</v>
      </c>
      <c r="I154" s="100">
        <v>2224655.7000000002</v>
      </c>
      <c r="J154" s="101">
        <v>0</v>
      </c>
      <c r="K154" s="100">
        <v>844700.81000000029</v>
      </c>
      <c r="L154" s="100">
        <v>67851.960000000006</v>
      </c>
      <c r="M154" s="100">
        <v>0</v>
      </c>
      <c r="N154" s="100">
        <v>0</v>
      </c>
      <c r="O154" s="108"/>
      <c r="P154" s="100">
        <v>0</v>
      </c>
      <c r="Q154" s="108"/>
      <c r="R154" s="100">
        <v>0</v>
      </c>
      <c r="S154" s="100">
        <v>0</v>
      </c>
      <c r="T154" s="100">
        <v>0</v>
      </c>
      <c r="U154" s="100">
        <v>912552.77000000025</v>
      </c>
      <c r="V154" s="100">
        <v>878626.79</v>
      </c>
      <c r="W154" s="101">
        <v>0</v>
      </c>
      <c r="X154" s="91">
        <v>3.0499999999999999E-2</v>
      </c>
    </row>
    <row r="155" spans="1:24" x14ac:dyDescent="0.3">
      <c r="A155" s="71">
        <v>34236</v>
      </c>
      <c r="B155" s="87" t="s">
        <v>387</v>
      </c>
      <c r="C155" s="100">
        <v>1562890.97</v>
      </c>
      <c r="D155" s="100">
        <v>0</v>
      </c>
      <c r="E155" s="100">
        <v>0</v>
      </c>
      <c r="F155" s="100">
        <v>0</v>
      </c>
      <c r="G155" s="100">
        <v>0</v>
      </c>
      <c r="H155" s="100">
        <v>1562890.97</v>
      </c>
      <c r="I155" s="100">
        <v>1562890.97</v>
      </c>
      <c r="J155" s="101">
        <v>0</v>
      </c>
      <c r="K155" s="100">
        <v>635398.15999999922</v>
      </c>
      <c r="L155" s="100">
        <v>44386.080000000002</v>
      </c>
      <c r="M155" s="100">
        <v>0</v>
      </c>
      <c r="N155" s="100">
        <v>0</v>
      </c>
      <c r="O155" s="108"/>
      <c r="P155" s="100">
        <v>0</v>
      </c>
      <c r="Q155" s="108"/>
      <c r="R155" s="100">
        <v>0</v>
      </c>
      <c r="S155" s="100">
        <v>0</v>
      </c>
      <c r="T155" s="100">
        <v>0</v>
      </c>
      <c r="U155" s="100">
        <v>679784.23999999918</v>
      </c>
      <c r="V155" s="100">
        <v>657591.19999999995</v>
      </c>
      <c r="W155" s="101">
        <v>0</v>
      </c>
      <c r="X155" s="91">
        <v>2.8399999999999998E-2</v>
      </c>
    </row>
    <row r="156" spans="1:24" x14ac:dyDescent="0.3">
      <c r="A156" s="71">
        <v>34241</v>
      </c>
      <c r="B156" s="87" t="s">
        <v>388</v>
      </c>
      <c r="C156" s="100">
        <v>0</v>
      </c>
      <c r="D156" s="100">
        <v>0</v>
      </c>
      <c r="E156" s="100">
        <v>0</v>
      </c>
      <c r="F156" s="100">
        <v>0</v>
      </c>
      <c r="G156" s="100">
        <v>0</v>
      </c>
      <c r="H156" s="100">
        <v>0</v>
      </c>
      <c r="I156" s="100">
        <v>0</v>
      </c>
      <c r="J156" s="101">
        <v>0</v>
      </c>
      <c r="K156" s="100">
        <v>0</v>
      </c>
      <c r="L156" s="100">
        <v>0</v>
      </c>
      <c r="M156" s="100">
        <v>0</v>
      </c>
      <c r="N156" s="100">
        <v>0</v>
      </c>
      <c r="O156" s="108"/>
      <c r="P156" s="100">
        <v>0</v>
      </c>
      <c r="Q156" s="108"/>
      <c r="R156" s="100">
        <v>0</v>
      </c>
      <c r="S156" s="100">
        <v>0</v>
      </c>
      <c r="T156" s="100">
        <v>0</v>
      </c>
      <c r="U156" s="100">
        <v>0</v>
      </c>
      <c r="V156" s="100">
        <v>0</v>
      </c>
      <c r="W156" s="101">
        <v>0</v>
      </c>
      <c r="X156" s="91">
        <v>0</v>
      </c>
    </row>
    <row r="157" spans="1:24" x14ac:dyDescent="0.3">
      <c r="A157" s="71">
        <v>34242</v>
      </c>
      <c r="B157" s="87" t="s">
        <v>389</v>
      </c>
      <c r="C157" s="100">
        <v>0</v>
      </c>
      <c r="D157" s="100">
        <v>0</v>
      </c>
      <c r="E157" s="100">
        <v>0</v>
      </c>
      <c r="F157" s="100">
        <v>0</v>
      </c>
      <c r="G157" s="100">
        <v>0</v>
      </c>
      <c r="H157" s="100">
        <v>0</v>
      </c>
      <c r="I157" s="100">
        <v>0</v>
      </c>
      <c r="J157" s="101">
        <v>0</v>
      </c>
      <c r="K157" s="100">
        <v>0</v>
      </c>
      <c r="L157" s="100">
        <v>0</v>
      </c>
      <c r="M157" s="100">
        <v>0</v>
      </c>
      <c r="N157" s="100">
        <v>0</v>
      </c>
      <c r="O157" s="108"/>
      <c r="P157" s="100">
        <v>0</v>
      </c>
      <c r="Q157" s="108"/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101">
        <v>0</v>
      </c>
      <c r="X157" s="91">
        <v>0</v>
      </c>
    </row>
    <row r="158" spans="1:24" x14ac:dyDescent="0.3">
      <c r="A158" s="71">
        <v>34243</v>
      </c>
      <c r="B158" s="87" t="s">
        <v>390</v>
      </c>
      <c r="C158" s="100">
        <v>3578328.7149999999</v>
      </c>
      <c r="D158" s="100">
        <v>22673.64</v>
      </c>
      <c r="E158" s="100">
        <v>0</v>
      </c>
      <c r="F158" s="100">
        <v>0</v>
      </c>
      <c r="G158" s="100">
        <v>0</v>
      </c>
      <c r="H158" s="100">
        <v>3601002.355</v>
      </c>
      <c r="I158" s="100">
        <v>3590537.6</v>
      </c>
      <c r="J158" s="101">
        <v>-5.0000003539025784E-3</v>
      </c>
      <c r="K158" s="100">
        <v>1581137.0800000003</v>
      </c>
      <c r="L158" s="100">
        <v>79690.559999999998</v>
      </c>
      <c r="M158" s="100">
        <v>0</v>
      </c>
      <c r="N158" s="100">
        <v>-269950.2</v>
      </c>
      <c r="O158" s="108"/>
      <c r="P158" s="100">
        <v>0</v>
      </c>
      <c r="Q158" s="108"/>
      <c r="R158" s="100">
        <v>0</v>
      </c>
      <c r="S158" s="100">
        <v>0</v>
      </c>
      <c r="T158" s="100">
        <v>0</v>
      </c>
      <c r="U158" s="100">
        <v>1390877.4400000004</v>
      </c>
      <c r="V158" s="100">
        <v>1485949.19</v>
      </c>
      <c r="W158" s="101">
        <v>0</v>
      </c>
      <c r="X158" s="91">
        <v>2.2200000000000001E-2</v>
      </c>
    </row>
    <row r="159" spans="1:24" x14ac:dyDescent="0.3">
      <c r="A159" s="71">
        <v>34244</v>
      </c>
      <c r="B159" s="87" t="s">
        <v>391</v>
      </c>
      <c r="C159" s="100">
        <v>3722741.3250000007</v>
      </c>
      <c r="D159" s="100">
        <v>0</v>
      </c>
      <c r="E159" s="100">
        <v>0</v>
      </c>
      <c r="F159" s="100">
        <v>0</v>
      </c>
      <c r="G159" s="100">
        <v>0</v>
      </c>
      <c r="H159" s="100">
        <v>3722741.3250000007</v>
      </c>
      <c r="I159" s="100">
        <v>3722741.33</v>
      </c>
      <c r="J159" s="101">
        <v>0</v>
      </c>
      <c r="K159" s="100">
        <v>669545.61000000045</v>
      </c>
      <c r="L159" s="100">
        <v>165662.04</v>
      </c>
      <c r="M159" s="100">
        <v>0</v>
      </c>
      <c r="N159" s="100">
        <v>0</v>
      </c>
      <c r="O159" s="108"/>
      <c r="P159" s="100">
        <v>0</v>
      </c>
      <c r="Q159" s="108"/>
      <c r="R159" s="100">
        <v>0</v>
      </c>
      <c r="S159" s="100">
        <v>0</v>
      </c>
      <c r="T159" s="100">
        <v>0</v>
      </c>
      <c r="U159" s="100">
        <v>835207.65000000049</v>
      </c>
      <c r="V159" s="100">
        <v>752376.63</v>
      </c>
      <c r="W159" s="101">
        <v>0</v>
      </c>
      <c r="X159" s="91">
        <v>4.4500000000000005E-2</v>
      </c>
    </row>
    <row r="160" spans="1:24" x14ac:dyDescent="0.3">
      <c r="A160" s="71">
        <v>34245</v>
      </c>
      <c r="B160" s="87" t="s">
        <v>392</v>
      </c>
      <c r="C160" s="100">
        <v>307028.13</v>
      </c>
      <c r="D160" s="100">
        <v>202500</v>
      </c>
      <c r="E160" s="100">
        <v>0</v>
      </c>
      <c r="F160" s="100">
        <v>0</v>
      </c>
      <c r="G160" s="100">
        <v>0</v>
      </c>
      <c r="H160" s="100">
        <v>509528.13</v>
      </c>
      <c r="I160" s="100">
        <v>391835.82</v>
      </c>
      <c r="J160" s="101">
        <v>0</v>
      </c>
      <c r="K160" s="100">
        <v>-15387.880000000001</v>
      </c>
      <c r="L160" s="100">
        <v>14440.65</v>
      </c>
      <c r="M160" s="100">
        <v>0</v>
      </c>
      <c r="N160" s="100">
        <v>-20000</v>
      </c>
      <c r="O160" s="108"/>
      <c r="P160" s="100">
        <v>0</v>
      </c>
      <c r="Q160" s="108"/>
      <c r="R160" s="100">
        <v>0</v>
      </c>
      <c r="S160" s="100">
        <v>0</v>
      </c>
      <c r="T160" s="100">
        <v>0</v>
      </c>
      <c r="U160" s="100">
        <v>-20947.230000000003</v>
      </c>
      <c r="V160" s="100">
        <v>-18885.39</v>
      </c>
      <c r="W160" s="101">
        <v>0</v>
      </c>
      <c r="X160" s="91">
        <v>3.78E-2</v>
      </c>
    </row>
    <row r="161" spans="1:24" x14ac:dyDescent="0.3">
      <c r="A161" s="71">
        <v>34246</v>
      </c>
      <c r="B161" s="87" t="s">
        <v>393</v>
      </c>
      <c r="C161" s="100">
        <v>388113.42500000016</v>
      </c>
      <c r="D161" s="100">
        <v>0</v>
      </c>
      <c r="E161" s="100">
        <v>0</v>
      </c>
      <c r="F161" s="100">
        <v>0</v>
      </c>
      <c r="G161" s="100">
        <v>0</v>
      </c>
      <c r="H161" s="100">
        <v>388113.42500000016</v>
      </c>
      <c r="I161" s="100">
        <v>388113.43</v>
      </c>
      <c r="J161" s="101">
        <v>0</v>
      </c>
      <c r="K161" s="100">
        <v>-15044.130000000001</v>
      </c>
      <c r="L161" s="100">
        <v>14166.12</v>
      </c>
      <c r="M161" s="100">
        <v>0</v>
      </c>
      <c r="N161" s="100">
        <v>0</v>
      </c>
      <c r="O161" s="108"/>
      <c r="P161" s="100">
        <v>0</v>
      </c>
      <c r="Q161" s="108"/>
      <c r="R161" s="100">
        <v>0</v>
      </c>
      <c r="S161" s="100">
        <v>0</v>
      </c>
      <c r="T161" s="100">
        <v>0</v>
      </c>
      <c r="U161" s="100">
        <v>-878.01000000000022</v>
      </c>
      <c r="V161" s="100">
        <v>-7961.07</v>
      </c>
      <c r="W161" s="101">
        <v>1.5916157281026244E-12</v>
      </c>
      <c r="X161" s="91">
        <v>3.6499999999999998E-2</v>
      </c>
    </row>
    <row r="162" spans="1:24" x14ac:dyDescent="0.3">
      <c r="A162" s="71">
        <v>34280</v>
      </c>
      <c r="B162" s="87" t="s">
        <v>394</v>
      </c>
      <c r="C162" s="100">
        <v>12463388.849999996</v>
      </c>
      <c r="D162" s="100">
        <v>3094842.98</v>
      </c>
      <c r="E162" s="100">
        <v>-618968.59</v>
      </c>
      <c r="F162" s="100">
        <v>0</v>
      </c>
      <c r="G162" s="100">
        <v>0</v>
      </c>
      <c r="H162" s="100">
        <v>14939263.239999996</v>
      </c>
      <c r="I162" s="100">
        <v>13157136.470000001</v>
      </c>
      <c r="J162" s="101">
        <v>-5.0000008195638657E-3</v>
      </c>
      <c r="K162" s="100">
        <v>3981107.2900000005</v>
      </c>
      <c r="L162" s="100">
        <v>413674.3</v>
      </c>
      <c r="M162" s="100">
        <v>-618968.59</v>
      </c>
      <c r="N162" s="100">
        <v>-238333.34</v>
      </c>
      <c r="O162" s="108"/>
      <c r="P162" s="100">
        <v>0</v>
      </c>
      <c r="Q162" s="108"/>
      <c r="R162" s="100">
        <v>0</v>
      </c>
      <c r="S162" s="100">
        <v>0</v>
      </c>
      <c r="T162" s="100">
        <v>0</v>
      </c>
      <c r="U162" s="100">
        <v>3537479.6600000011</v>
      </c>
      <c r="V162" s="100">
        <v>3898106.62</v>
      </c>
      <c r="W162" s="101">
        <v>0</v>
      </c>
      <c r="X162" s="91">
        <v>3.1800000000000002E-2</v>
      </c>
    </row>
    <row r="163" spans="1:24" x14ac:dyDescent="0.3">
      <c r="A163" s="71">
        <v>34281</v>
      </c>
      <c r="B163" s="87" t="s">
        <v>395</v>
      </c>
      <c r="C163" s="100">
        <v>249190687.45500001</v>
      </c>
      <c r="D163" s="100">
        <v>41699077.409999996</v>
      </c>
      <c r="E163" s="100">
        <v>-282925.78000000003</v>
      </c>
      <c r="F163" s="100">
        <v>0</v>
      </c>
      <c r="G163" s="100">
        <v>0</v>
      </c>
      <c r="H163" s="100">
        <v>290606839.08500004</v>
      </c>
      <c r="I163" s="100">
        <v>274202644.38</v>
      </c>
      <c r="J163" s="101">
        <v>-5.0000548362731934E-3</v>
      </c>
      <c r="K163" s="100">
        <v>153401051.44999993</v>
      </c>
      <c r="L163" s="100">
        <v>10176768.939999999</v>
      </c>
      <c r="M163" s="100">
        <v>-282925.78000000003</v>
      </c>
      <c r="N163" s="100">
        <v>-98333.23</v>
      </c>
      <c r="O163" s="108"/>
      <c r="P163" s="100">
        <v>0</v>
      </c>
      <c r="Q163" s="108"/>
      <c r="R163" s="100">
        <v>0</v>
      </c>
      <c r="S163" s="100">
        <v>0</v>
      </c>
      <c r="T163" s="100">
        <v>0</v>
      </c>
      <c r="U163" s="100">
        <v>163196561.37999994</v>
      </c>
      <c r="V163" s="100">
        <v>158218001.62</v>
      </c>
      <c r="W163" s="101">
        <v>4.999995231628418E-3</v>
      </c>
      <c r="X163" s="91">
        <v>3.73E-2</v>
      </c>
    </row>
    <row r="164" spans="1:24" x14ac:dyDescent="0.3">
      <c r="A164" s="71">
        <v>34282</v>
      </c>
      <c r="B164" s="87" t="s">
        <v>396</v>
      </c>
      <c r="C164" s="100">
        <v>3721240.5999999996</v>
      </c>
      <c r="D164" s="100">
        <v>5122430.82</v>
      </c>
      <c r="E164" s="100">
        <v>-1024486.19</v>
      </c>
      <c r="F164" s="100">
        <v>0</v>
      </c>
      <c r="G164" s="100">
        <v>0</v>
      </c>
      <c r="H164" s="100">
        <v>7819185.2300000004</v>
      </c>
      <c r="I164" s="100">
        <v>4238123.0599999996</v>
      </c>
      <c r="J164" s="101">
        <v>-5.0000026822090149E-3</v>
      </c>
      <c r="K164" s="100">
        <v>454514.10999999964</v>
      </c>
      <c r="L164" s="100">
        <v>121342.79</v>
      </c>
      <c r="M164" s="100">
        <v>-1024486.19</v>
      </c>
      <c r="N164" s="100">
        <v>-52133.4</v>
      </c>
      <c r="O164" s="108"/>
      <c r="P164" s="100">
        <v>0</v>
      </c>
      <c r="Q164" s="108"/>
      <c r="R164" s="100">
        <v>0</v>
      </c>
      <c r="S164" s="100">
        <v>0</v>
      </c>
      <c r="T164" s="100">
        <v>0</v>
      </c>
      <c r="U164" s="100">
        <v>-500762.69000000029</v>
      </c>
      <c r="V164" s="100">
        <v>357825.41</v>
      </c>
      <c r="W164" s="101">
        <v>0</v>
      </c>
      <c r="X164" s="91">
        <v>3.0800000000000001E-2</v>
      </c>
    </row>
    <row r="165" spans="1:24" x14ac:dyDescent="0.3">
      <c r="A165" s="71">
        <v>34283</v>
      </c>
      <c r="B165" s="87" t="s">
        <v>397</v>
      </c>
      <c r="C165" s="100">
        <v>1847091.01</v>
      </c>
      <c r="D165" s="100">
        <v>1949801.76</v>
      </c>
      <c r="E165" s="100">
        <v>-389960.35</v>
      </c>
      <c r="F165" s="100">
        <v>0</v>
      </c>
      <c r="G165" s="100">
        <v>0</v>
      </c>
      <c r="H165" s="100">
        <v>3406932.42</v>
      </c>
      <c r="I165" s="100">
        <v>1967078.81</v>
      </c>
      <c r="J165" s="101">
        <v>0</v>
      </c>
      <c r="K165" s="100">
        <v>563166.31999999948</v>
      </c>
      <c r="L165" s="100">
        <v>47285.52</v>
      </c>
      <c r="M165" s="100">
        <v>-389960.35</v>
      </c>
      <c r="N165" s="100">
        <v>0</v>
      </c>
      <c r="O165" s="108"/>
      <c r="P165" s="100">
        <v>0</v>
      </c>
      <c r="Q165" s="108"/>
      <c r="R165" s="100">
        <v>0</v>
      </c>
      <c r="S165" s="100">
        <v>0</v>
      </c>
      <c r="T165" s="100">
        <v>0</v>
      </c>
      <c r="U165" s="100">
        <v>220491.48999999953</v>
      </c>
      <c r="V165" s="100">
        <v>556812.13</v>
      </c>
      <c r="W165" s="101">
        <v>-4.3655745685100555E-10</v>
      </c>
      <c r="X165" s="91">
        <v>2.5600000000000001E-2</v>
      </c>
    </row>
    <row r="166" spans="1:24" x14ac:dyDescent="0.3">
      <c r="A166" s="71">
        <v>34284</v>
      </c>
      <c r="B166" s="87" t="s">
        <v>398</v>
      </c>
      <c r="C166" s="100">
        <v>2710665.564999999</v>
      </c>
      <c r="D166" s="100">
        <v>3206910.65</v>
      </c>
      <c r="E166" s="100">
        <v>-641382.13</v>
      </c>
      <c r="F166" s="100">
        <v>0</v>
      </c>
      <c r="G166" s="100">
        <v>0</v>
      </c>
      <c r="H166" s="100">
        <v>5276194.084999999</v>
      </c>
      <c r="I166" s="100">
        <v>2908013.91</v>
      </c>
      <c r="J166" s="101">
        <v>-4.999999888241291E-3</v>
      </c>
      <c r="K166" s="100">
        <v>289986.77000000025</v>
      </c>
      <c r="L166" s="100">
        <v>105173.88</v>
      </c>
      <c r="M166" s="100">
        <v>-641382.13</v>
      </c>
      <c r="N166" s="100">
        <v>0</v>
      </c>
      <c r="O166" s="108"/>
      <c r="P166" s="100">
        <v>0</v>
      </c>
      <c r="Q166" s="108"/>
      <c r="R166" s="100">
        <v>0</v>
      </c>
      <c r="S166" s="100">
        <v>0</v>
      </c>
      <c r="T166" s="100">
        <v>0</v>
      </c>
      <c r="U166" s="100">
        <v>-246221.47999999975</v>
      </c>
      <c r="V166" s="100">
        <v>293236.62</v>
      </c>
      <c r="W166" s="101">
        <v>0</v>
      </c>
      <c r="X166" s="91">
        <v>3.8800000000000001E-2</v>
      </c>
    </row>
    <row r="167" spans="1:24" x14ac:dyDescent="0.3">
      <c r="A167" s="71">
        <v>34285</v>
      </c>
      <c r="B167" s="87" t="s">
        <v>399</v>
      </c>
      <c r="C167" s="100">
        <v>3090954.2100000004</v>
      </c>
      <c r="D167" s="100">
        <v>3543064.53</v>
      </c>
      <c r="E167" s="100">
        <v>-708612.91</v>
      </c>
      <c r="F167" s="100">
        <v>0</v>
      </c>
      <c r="G167" s="100">
        <v>0</v>
      </c>
      <c r="H167" s="100">
        <v>5925405.8300000001</v>
      </c>
      <c r="I167" s="100">
        <v>3437805.12</v>
      </c>
      <c r="J167" s="101">
        <v>0</v>
      </c>
      <c r="K167" s="100">
        <v>821501.3899999992</v>
      </c>
      <c r="L167" s="100">
        <v>101114.82</v>
      </c>
      <c r="M167" s="100">
        <v>-708612.91</v>
      </c>
      <c r="N167" s="100">
        <v>0</v>
      </c>
      <c r="O167" s="108"/>
      <c r="P167" s="100">
        <v>0</v>
      </c>
      <c r="Q167" s="108"/>
      <c r="R167" s="100">
        <v>0</v>
      </c>
      <c r="S167" s="100">
        <v>0</v>
      </c>
      <c r="T167" s="100">
        <v>0</v>
      </c>
      <c r="U167" s="100">
        <v>214003.29999999923</v>
      </c>
      <c r="V167" s="100">
        <v>783498.1</v>
      </c>
      <c r="W167" s="101">
        <v>0</v>
      </c>
      <c r="X167" s="91">
        <v>3.1300000000000001E-2</v>
      </c>
    </row>
    <row r="168" spans="1:24" x14ac:dyDescent="0.3">
      <c r="A168" s="71">
        <v>34286</v>
      </c>
      <c r="B168" s="87" t="s">
        <v>400</v>
      </c>
      <c r="C168" s="100">
        <v>215270346.14499995</v>
      </c>
      <c r="D168" s="100">
        <v>3629358.14</v>
      </c>
      <c r="E168" s="100">
        <v>-725871.64</v>
      </c>
      <c r="F168" s="100">
        <v>0</v>
      </c>
      <c r="G168" s="100">
        <v>0</v>
      </c>
      <c r="H168" s="100">
        <v>218173832.64499995</v>
      </c>
      <c r="I168" s="100">
        <v>215839674.16999999</v>
      </c>
      <c r="J168" s="101">
        <v>0</v>
      </c>
      <c r="K168" s="100">
        <v>46404921.260000035</v>
      </c>
      <c r="L168" s="100">
        <v>7267241.9299999997</v>
      </c>
      <c r="M168" s="100">
        <v>-725871.64</v>
      </c>
      <c r="N168" s="100">
        <v>-1234907.6200000001</v>
      </c>
      <c r="O168" s="108"/>
      <c r="P168" s="100">
        <v>0</v>
      </c>
      <c r="Q168" s="108"/>
      <c r="R168" s="100">
        <v>0</v>
      </c>
      <c r="S168" s="100">
        <v>0</v>
      </c>
      <c r="T168" s="100">
        <v>0</v>
      </c>
      <c r="U168" s="100">
        <v>51711383.930000037</v>
      </c>
      <c r="V168" s="100">
        <v>49276651.200000003</v>
      </c>
      <c r="W168" s="101">
        <v>0</v>
      </c>
      <c r="X168" s="91">
        <v>3.3700000000000001E-2</v>
      </c>
    </row>
    <row r="169" spans="1:24" x14ac:dyDescent="0.3">
      <c r="A169" s="71">
        <v>34287</v>
      </c>
      <c r="B169" s="87" t="s">
        <v>401</v>
      </c>
      <c r="C169" s="100">
        <v>0</v>
      </c>
      <c r="D169" s="100">
        <v>0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1">
        <v>0</v>
      </c>
      <c r="K169" s="100">
        <v>0</v>
      </c>
      <c r="L169" s="100">
        <v>0</v>
      </c>
      <c r="M169" s="100">
        <v>0</v>
      </c>
      <c r="N169" s="100">
        <v>0</v>
      </c>
      <c r="O169" s="108"/>
      <c r="P169" s="100">
        <v>0</v>
      </c>
      <c r="Q169" s="108"/>
      <c r="R169" s="100">
        <v>0</v>
      </c>
      <c r="S169" s="100">
        <v>0</v>
      </c>
      <c r="T169" s="100">
        <v>0</v>
      </c>
      <c r="U169" s="100">
        <v>0</v>
      </c>
      <c r="V169" s="100">
        <v>0</v>
      </c>
      <c r="W169" s="101">
        <v>0</v>
      </c>
      <c r="X169" s="91">
        <v>0.2</v>
      </c>
    </row>
    <row r="170" spans="1:24" x14ac:dyDescent="0.3">
      <c r="A170" s="71">
        <v>34320</v>
      </c>
      <c r="B170" s="87" t="s">
        <v>402</v>
      </c>
      <c r="C170" s="100">
        <v>0</v>
      </c>
      <c r="D170" s="100">
        <v>53790116.170000002</v>
      </c>
      <c r="E170" s="100">
        <v>0</v>
      </c>
      <c r="F170" s="100">
        <v>0</v>
      </c>
      <c r="G170" s="100">
        <v>0</v>
      </c>
      <c r="H170" s="100">
        <v>53790116.170000002</v>
      </c>
      <c r="I170" s="100">
        <v>36099210.57</v>
      </c>
      <c r="J170" s="101">
        <v>0</v>
      </c>
      <c r="K170" s="100">
        <v>0</v>
      </c>
      <c r="L170" s="100">
        <v>720199.34</v>
      </c>
      <c r="M170" s="100">
        <v>0</v>
      </c>
      <c r="N170" s="100">
        <v>0</v>
      </c>
      <c r="O170" s="108"/>
      <c r="P170" s="100">
        <v>0</v>
      </c>
      <c r="Q170" s="108"/>
      <c r="R170" s="100">
        <v>0</v>
      </c>
      <c r="S170" s="100">
        <v>0</v>
      </c>
      <c r="T170" s="100">
        <v>0</v>
      </c>
      <c r="U170" s="100">
        <v>720199.34</v>
      </c>
      <c r="V170" s="100">
        <v>247602.08</v>
      </c>
      <c r="W170" s="101">
        <v>0</v>
      </c>
      <c r="X170" s="91">
        <v>2.0799999999999999E-2</v>
      </c>
    </row>
    <row r="171" spans="1:24" x14ac:dyDescent="0.3">
      <c r="A171" s="71">
        <v>34328</v>
      </c>
      <c r="B171" s="87" t="s">
        <v>403</v>
      </c>
      <c r="C171" s="100">
        <v>0</v>
      </c>
      <c r="D171" s="100">
        <v>0</v>
      </c>
      <c r="E171" s="100">
        <v>0</v>
      </c>
      <c r="F171" s="100">
        <v>0</v>
      </c>
      <c r="G171" s="100">
        <v>0</v>
      </c>
      <c r="H171" s="100">
        <v>0</v>
      </c>
      <c r="I171" s="100">
        <v>0</v>
      </c>
      <c r="J171" s="101">
        <v>0</v>
      </c>
      <c r="K171" s="100">
        <v>0</v>
      </c>
      <c r="L171" s="100">
        <v>0</v>
      </c>
      <c r="M171" s="100">
        <v>0</v>
      </c>
      <c r="N171" s="100">
        <v>0</v>
      </c>
      <c r="O171" s="108"/>
      <c r="P171" s="100">
        <v>0</v>
      </c>
      <c r="Q171" s="108"/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1">
        <v>0</v>
      </c>
      <c r="X171" s="91">
        <v>0</v>
      </c>
    </row>
    <row r="172" spans="1:24" x14ac:dyDescent="0.3">
      <c r="A172" s="71">
        <v>34330</v>
      </c>
      <c r="B172" s="87" t="s">
        <v>404</v>
      </c>
      <c r="C172" s="100">
        <v>56329274.839999996</v>
      </c>
      <c r="D172" s="100">
        <v>8972430.3900000006</v>
      </c>
      <c r="E172" s="100">
        <v>-1794486.08</v>
      </c>
      <c r="F172" s="100">
        <v>0</v>
      </c>
      <c r="G172" s="100">
        <v>0</v>
      </c>
      <c r="H172" s="100">
        <v>63507219.149999999</v>
      </c>
      <c r="I172" s="100">
        <v>60257579.590000004</v>
      </c>
      <c r="J172" s="101">
        <v>-5.0000101327896118E-3</v>
      </c>
      <c r="K172" s="100">
        <v>14254042.050000012</v>
      </c>
      <c r="L172" s="100">
        <v>3281276.66</v>
      </c>
      <c r="M172" s="100">
        <v>-1794486.08</v>
      </c>
      <c r="N172" s="100">
        <v>-50000</v>
      </c>
      <c r="O172" s="108"/>
      <c r="P172" s="100">
        <v>0</v>
      </c>
      <c r="Q172" s="108"/>
      <c r="R172" s="100">
        <v>0</v>
      </c>
      <c r="S172" s="100">
        <v>0</v>
      </c>
      <c r="T172" s="100">
        <v>0</v>
      </c>
      <c r="U172" s="100">
        <v>15690832.630000012</v>
      </c>
      <c r="V172" s="100">
        <v>14861222.58</v>
      </c>
      <c r="W172" s="101">
        <v>0</v>
      </c>
      <c r="X172" s="91">
        <v>5.4699999999999999E-2</v>
      </c>
    </row>
    <row r="173" spans="1:24" x14ac:dyDescent="0.3">
      <c r="A173" s="71">
        <v>34331</v>
      </c>
      <c r="B173" s="87" t="s">
        <v>405</v>
      </c>
      <c r="C173" s="100">
        <v>257142960.82999992</v>
      </c>
      <c r="D173" s="100">
        <v>17523903.68</v>
      </c>
      <c r="E173" s="100">
        <v>-3504780.74</v>
      </c>
      <c r="F173" s="100">
        <v>0</v>
      </c>
      <c r="G173" s="100">
        <v>0</v>
      </c>
      <c r="H173" s="100">
        <v>271162083.76999992</v>
      </c>
      <c r="I173" s="100">
        <v>264269198.78999999</v>
      </c>
      <c r="J173" s="101">
        <v>0</v>
      </c>
      <c r="K173" s="100">
        <v>105037292.93999995</v>
      </c>
      <c r="L173" s="100">
        <v>13633020.720000001</v>
      </c>
      <c r="M173" s="100">
        <v>-3504780.74</v>
      </c>
      <c r="N173" s="100">
        <v>-112204.15</v>
      </c>
      <c r="O173" s="108"/>
      <c r="P173" s="100">
        <v>0</v>
      </c>
      <c r="Q173" s="108"/>
      <c r="R173" s="100">
        <v>0</v>
      </c>
      <c r="S173" s="100">
        <v>0</v>
      </c>
      <c r="T173" s="100">
        <v>0</v>
      </c>
      <c r="U173" s="100">
        <v>115053328.76999995</v>
      </c>
      <c r="V173" s="100">
        <v>109964930.92</v>
      </c>
      <c r="W173" s="101">
        <v>0</v>
      </c>
      <c r="X173" s="91">
        <v>5.1699999999999996E-2</v>
      </c>
    </row>
    <row r="174" spans="1:24" x14ac:dyDescent="0.3">
      <c r="A174" s="71">
        <v>34332</v>
      </c>
      <c r="B174" s="87" t="s">
        <v>406</v>
      </c>
      <c r="C174" s="100">
        <v>325379582.98500013</v>
      </c>
      <c r="D174" s="100">
        <v>5985489.5</v>
      </c>
      <c r="E174" s="100">
        <v>-1197097.8999999999</v>
      </c>
      <c r="F174" s="100">
        <v>0</v>
      </c>
      <c r="G174" s="100">
        <v>0</v>
      </c>
      <c r="H174" s="100">
        <v>330167974.58500016</v>
      </c>
      <c r="I174" s="100">
        <v>326975488.55000001</v>
      </c>
      <c r="J174" s="101">
        <v>0</v>
      </c>
      <c r="K174" s="100">
        <v>127467801.04499994</v>
      </c>
      <c r="L174" s="100">
        <v>17642310.219999999</v>
      </c>
      <c r="M174" s="100">
        <v>-1197097.8999999999</v>
      </c>
      <c r="N174" s="100">
        <v>-1225000</v>
      </c>
      <c r="O174" s="108"/>
      <c r="P174" s="100">
        <v>0</v>
      </c>
      <c r="Q174" s="108"/>
      <c r="R174" s="100">
        <v>0</v>
      </c>
      <c r="S174" s="100">
        <v>0</v>
      </c>
      <c r="T174" s="100">
        <v>0</v>
      </c>
      <c r="U174" s="100">
        <v>142688013.36499992</v>
      </c>
      <c r="V174" s="100">
        <v>135165197.52000001</v>
      </c>
      <c r="W174" s="101">
        <v>0</v>
      </c>
      <c r="X174" s="91">
        <v>5.4000000000000006E-2</v>
      </c>
    </row>
    <row r="175" spans="1:24" x14ac:dyDescent="0.3">
      <c r="A175" s="71">
        <v>34333</v>
      </c>
      <c r="B175" s="87" t="s">
        <v>407</v>
      </c>
      <c r="C175" s="100">
        <v>16800143.014999993</v>
      </c>
      <c r="D175" s="100">
        <v>0</v>
      </c>
      <c r="E175" s="100">
        <v>0</v>
      </c>
      <c r="F175" s="100">
        <v>0</v>
      </c>
      <c r="G175" s="100">
        <v>0</v>
      </c>
      <c r="H175" s="100">
        <v>16800143.014999993</v>
      </c>
      <c r="I175" s="100">
        <v>16800143.02</v>
      </c>
      <c r="J175" s="101">
        <v>0</v>
      </c>
      <c r="K175" s="100">
        <v>9023420.4900000058</v>
      </c>
      <c r="L175" s="100">
        <v>356163</v>
      </c>
      <c r="M175" s="100">
        <v>0</v>
      </c>
      <c r="N175" s="100">
        <v>0</v>
      </c>
      <c r="O175" s="108"/>
      <c r="P175" s="100">
        <v>0</v>
      </c>
      <c r="Q175" s="108"/>
      <c r="R175" s="100">
        <v>0</v>
      </c>
      <c r="S175" s="100">
        <v>0</v>
      </c>
      <c r="T175" s="100">
        <v>0</v>
      </c>
      <c r="U175" s="100">
        <v>9379583.4900000058</v>
      </c>
      <c r="V175" s="100">
        <v>9201501.9900000002</v>
      </c>
      <c r="W175" s="101">
        <v>0</v>
      </c>
      <c r="X175" s="91">
        <v>2.12E-2</v>
      </c>
    </row>
    <row r="176" spans="1:24" x14ac:dyDescent="0.3">
      <c r="A176" s="71">
        <v>34334</v>
      </c>
      <c r="B176" s="87" t="s">
        <v>408</v>
      </c>
      <c r="C176" s="100">
        <v>16052104.970000001</v>
      </c>
      <c r="D176" s="100">
        <v>0</v>
      </c>
      <c r="E176" s="100">
        <v>0</v>
      </c>
      <c r="F176" s="100">
        <v>0</v>
      </c>
      <c r="G176" s="100">
        <v>0</v>
      </c>
      <c r="H176" s="100">
        <v>16052104.970000001</v>
      </c>
      <c r="I176" s="100">
        <v>16052104.970000001</v>
      </c>
      <c r="J176" s="101">
        <v>0</v>
      </c>
      <c r="K176" s="100">
        <v>9491777.7400000058</v>
      </c>
      <c r="L176" s="100">
        <v>329068.2</v>
      </c>
      <c r="M176" s="100">
        <v>0</v>
      </c>
      <c r="N176" s="100">
        <v>0</v>
      </c>
      <c r="O176" s="108"/>
      <c r="P176" s="100">
        <v>0</v>
      </c>
      <c r="Q176" s="108"/>
      <c r="R176" s="100">
        <v>0</v>
      </c>
      <c r="S176" s="100">
        <v>0</v>
      </c>
      <c r="T176" s="100">
        <v>0</v>
      </c>
      <c r="U176" s="100">
        <v>9820845.9400000051</v>
      </c>
      <c r="V176" s="100">
        <v>9656311.8399999999</v>
      </c>
      <c r="W176" s="101">
        <v>0</v>
      </c>
      <c r="X176" s="91">
        <v>2.0499999999999997E-2</v>
      </c>
    </row>
    <row r="177" spans="1:24" x14ac:dyDescent="0.3">
      <c r="A177" s="71">
        <v>34335</v>
      </c>
      <c r="B177" s="87" t="s">
        <v>409</v>
      </c>
      <c r="C177" s="100">
        <v>18801752.445</v>
      </c>
      <c r="D177" s="100">
        <v>0</v>
      </c>
      <c r="E177" s="100">
        <v>0</v>
      </c>
      <c r="F177" s="100">
        <v>0</v>
      </c>
      <c r="G177" s="100">
        <v>0</v>
      </c>
      <c r="H177" s="100">
        <v>18801752.445</v>
      </c>
      <c r="I177" s="100">
        <v>18801752.449999999</v>
      </c>
      <c r="J177" s="101">
        <v>0</v>
      </c>
      <c r="K177" s="100">
        <v>11929082.48</v>
      </c>
      <c r="L177" s="100">
        <v>389196.24</v>
      </c>
      <c r="M177" s="100">
        <v>0</v>
      </c>
      <c r="N177" s="100">
        <v>0</v>
      </c>
      <c r="O177" s="108"/>
      <c r="P177" s="100">
        <v>0</v>
      </c>
      <c r="Q177" s="108"/>
      <c r="R177" s="100">
        <v>0</v>
      </c>
      <c r="S177" s="100">
        <v>0</v>
      </c>
      <c r="T177" s="100">
        <v>0</v>
      </c>
      <c r="U177" s="100">
        <v>12318278.720000001</v>
      </c>
      <c r="V177" s="100">
        <v>12123680.6</v>
      </c>
      <c r="W177" s="101">
        <v>0</v>
      </c>
      <c r="X177" s="91">
        <v>2.07E-2</v>
      </c>
    </row>
    <row r="178" spans="1:24" x14ac:dyDescent="0.3">
      <c r="A178" s="71">
        <v>34336</v>
      </c>
      <c r="B178" s="87" t="s">
        <v>410</v>
      </c>
      <c r="C178" s="100">
        <v>17542092.239999998</v>
      </c>
      <c r="D178" s="100">
        <v>0</v>
      </c>
      <c r="E178" s="100">
        <v>0</v>
      </c>
      <c r="F178" s="100">
        <v>0</v>
      </c>
      <c r="G178" s="100">
        <v>0</v>
      </c>
      <c r="H178" s="100">
        <v>17542092.239999998</v>
      </c>
      <c r="I178" s="100">
        <v>17542092.239999998</v>
      </c>
      <c r="J178" s="101">
        <v>0</v>
      </c>
      <c r="K178" s="100">
        <v>11493965.270000007</v>
      </c>
      <c r="L178" s="100">
        <v>315757.68</v>
      </c>
      <c r="M178" s="100">
        <v>0</v>
      </c>
      <c r="N178" s="100">
        <v>0</v>
      </c>
      <c r="O178" s="108"/>
      <c r="P178" s="100">
        <v>0</v>
      </c>
      <c r="Q178" s="108"/>
      <c r="R178" s="100">
        <v>0</v>
      </c>
      <c r="S178" s="100">
        <v>0</v>
      </c>
      <c r="T178" s="100">
        <v>0</v>
      </c>
      <c r="U178" s="100">
        <v>11809722.950000007</v>
      </c>
      <c r="V178" s="100">
        <v>11651844.109999999</v>
      </c>
      <c r="W178" s="101">
        <v>0</v>
      </c>
      <c r="X178" s="91">
        <v>1.8000000000000002E-2</v>
      </c>
    </row>
    <row r="179" spans="1:24" x14ac:dyDescent="0.3">
      <c r="A179" s="71">
        <v>34341</v>
      </c>
      <c r="B179" s="87" t="s">
        <v>411</v>
      </c>
      <c r="C179" s="100">
        <v>0</v>
      </c>
      <c r="D179" s="100">
        <v>0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1">
        <v>0</v>
      </c>
      <c r="K179" s="100">
        <v>0</v>
      </c>
      <c r="L179" s="100">
        <v>0</v>
      </c>
      <c r="M179" s="100">
        <v>0</v>
      </c>
      <c r="N179" s="100">
        <v>0</v>
      </c>
      <c r="O179" s="108"/>
      <c r="P179" s="100">
        <v>0</v>
      </c>
      <c r="Q179" s="108"/>
      <c r="R179" s="100">
        <v>0</v>
      </c>
      <c r="S179" s="100">
        <v>0</v>
      </c>
      <c r="T179" s="100">
        <v>0</v>
      </c>
      <c r="U179" s="100">
        <v>0</v>
      </c>
      <c r="V179" s="100">
        <v>0</v>
      </c>
      <c r="W179" s="101">
        <v>0</v>
      </c>
      <c r="X179" s="91">
        <v>0</v>
      </c>
    </row>
    <row r="180" spans="1:24" x14ac:dyDescent="0.3">
      <c r="A180" s="71">
        <v>34342</v>
      </c>
      <c r="B180" s="87" t="s">
        <v>412</v>
      </c>
      <c r="C180" s="100">
        <v>0</v>
      </c>
      <c r="D180" s="100">
        <v>0</v>
      </c>
      <c r="E180" s="100">
        <v>0</v>
      </c>
      <c r="F180" s="100">
        <v>0</v>
      </c>
      <c r="G180" s="100">
        <v>0</v>
      </c>
      <c r="H180" s="100">
        <v>0</v>
      </c>
      <c r="I180" s="100">
        <v>0</v>
      </c>
      <c r="J180" s="101">
        <v>0</v>
      </c>
      <c r="K180" s="100">
        <v>0</v>
      </c>
      <c r="L180" s="100">
        <v>0</v>
      </c>
      <c r="M180" s="100">
        <v>0</v>
      </c>
      <c r="N180" s="100">
        <v>0</v>
      </c>
      <c r="O180" s="108"/>
      <c r="P180" s="100">
        <v>0</v>
      </c>
      <c r="Q180" s="108"/>
      <c r="R180" s="100">
        <v>0</v>
      </c>
      <c r="S180" s="100">
        <v>0</v>
      </c>
      <c r="T180" s="100">
        <v>0</v>
      </c>
      <c r="U180" s="100">
        <v>0</v>
      </c>
      <c r="V180" s="100">
        <v>0</v>
      </c>
      <c r="W180" s="101">
        <v>0</v>
      </c>
      <c r="X180" s="91">
        <v>0</v>
      </c>
    </row>
    <row r="181" spans="1:24" x14ac:dyDescent="0.3">
      <c r="A181" s="71">
        <v>34343</v>
      </c>
      <c r="B181" s="87" t="s">
        <v>413</v>
      </c>
      <c r="C181" s="100">
        <v>459235396.42500007</v>
      </c>
      <c r="D181" s="100">
        <v>22673.64</v>
      </c>
      <c r="E181" s="100">
        <v>0</v>
      </c>
      <c r="F181" s="100">
        <v>0</v>
      </c>
      <c r="G181" s="100">
        <v>0</v>
      </c>
      <c r="H181" s="100">
        <v>459258070.06500006</v>
      </c>
      <c r="I181" s="100">
        <v>459247605.31</v>
      </c>
      <c r="J181" s="101">
        <v>-4.999995231628418E-3</v>
      </c>
      <c r="K181" s="100">
        <v>19813608.059999999</v>
      </c>
      <c r="L181" s="100">
        <v>16716581.1</v>
      </c>
      <c r="M181" s="100">
        <v>0</v>
      </c>
      <c r="N181" s="100">
        <v>-269950.2</v>
      </c>
      <c r="O181" s="108"/>
      <c r="P181" s="100">
        <v>0</v>
      </c>
      <c r="Q181" s="108"/>
      <c r="R181" s="100">
        <v>0</v>
      </c>
      <c r="S181" s="100">
        <v>0</v>
      </c>
      <c r="T181" s="100">
        <v>0</v>
      </c>
      <c r="U181" s="100">
        <v>36260238.959999993</v>
      </c>
      <c r="V181" s="100">
        <v>28036828.289999999</v>
      </c>
      <c r="W181" s="101">
        <v>0</v>
      </c>
      <c r="X181" s="91">
        <v>3.6400000000000002E-2</v>
      </c>
    </row>
    <row r="182" spans="1:24" x14ac:dyDescent="0.3">
      <c r="A182" s="71">
        <v>34344</v>
      </c>
      <c r="B182" s="87" t="s">
        <v>414</v>
      </c>
      <c r="C182" s="100">
        <v>21710268.795000002</v>
      </c>
      <c r="D182" s="100">
        <v>0</v>
      </c>
      <c r="E182" s="100">
        <v>0</v>
      </c>
      <c r="F182" s="100">
        <v>0</v>
      </c>
      <c r="G182" s="100">
        <v>0</v>
      </c>
      <c r="H182" s="100">
        <v>21710268.795000002</v>
      </c>
      <c r="I182" s="100">
        <v>21710268.800000001</v>
      </c>
      <c r="J182" s="101">
        <v>0</v>
      </c>
      <c r="K182" s="100">
        <v>11147576.739999995</v>
      </c>
      <c r="L182" s="100">
        <v>590519.28</v>
      </c>
      <c r="M182" s="100">
        <v>0</v>
      </c>
      <c r="N182" s="100">
        <v>0</v>
      </c>
      <c r="O182" s="108"/>
      <c r="P182" s="100">
        <v>0</v>
      </c>
      <c r="Q182" s="108"/>
      <c r="R182" s="100">
        <v>0</v>
      </c>
      <c r="S182" s="100">
        <v>0</v>
      </c>
      <c r="T182" s="100">
        <v>0</v>
      </c>
      <c r="U182" s="100">
        <v>11738096.019999994</v>
      </c>
      <c r="V182" s="100">
        <v>11442836.380000001</v>
      </c>
      <c r="W182" s="101">
        <v>0</v>
      </c>
      <c r="X182" s="91">
        <v>2.7200000000000002E-2</v>
      </c>
    </row>
    <row r="183" spans="1:24" x14ac:dyDescent="0.3">
      <c r="A183" s="71">
        <v>34345</v>
      </c>
      <c r="B183" s="87" t="s">
        <v>415</v>
      </c>
      <c r="C183" s="100">
        <v>176825383.25000009</v>
      </c>
      <c r="D183" s="100">
        <v>202500</v>
      </c>
      <c r="E183" s="100">
        <v>0</v>
      </c>
      <c r="F183" s="100">
        <v>0</v>
      </c>
      <c r="G183" s="100">
        <v>0</v>
      </c>
      <c r="H183" s="100">
        <v>177027883.25000009</v>
      </c>
      <c r="I183" s="100">
        <v>176910190.94</v>
      </c>
      <c r="J183" s="101">
        <v>0</v>
      </c>
      <c r="K183" s="100">
        <v>14396000.979999999</v>
      </c>
      <c r="L183" s="100">
        <v>6191513.4299999997</v>
      </c>
      <c r="M183" s="100">
        <v>0</v>
      </c>
      <c r="N183" s="100">
        <v>-20000</v>
      </c>
      <c r="O183" s="108"/>
      <c r="P183" s="100">
        <v>0</v>
      </c>
      <c r="Q183" s="108"/>
      <c r="R183" s="100">
        <v>0</v>
      </c>
      <c r="S183" s="100">
        <v>0</v>
      </c>
      <c r="T183" s="100">
        <v>0</v>
      </c>
      <c r="U183" s="100">
        <v>20567514.409999996</v>
      </c>
      <c r="V183" s="100">
        <v>17481093.02</v>
      </c>
      <c r="W183" s="101">
        <v>0</v>
      </c>
      <c r="X183" s="91">
        <v>3.5000000000000003E-2</v>
      </c>
    </row>
    <row r="184" spans="1:24" x14ac:dyDescent="0.3">
      <c r="A184" s="71">
        <v>34346</v>
      </c>
      <c r="B184" s="87" t="s">
        <v>416</v>
      </c>
      <c r="C184" s="100">
        <v>175636432.62500012</v>
      </c>
      <c r="D184" s="100">
        <v>0</v>
      </c>
      <c r="E184" s="100">
        <v>0</v>
      </c>
      <c r="F184" s="100">
        <v>0</v>
      </c>
      <c r="G184" s="100">
        <v>0</v>
      </c>
      <c r="H184" s="100">
        <v>175636432.62500012</v>
      </c>
      <c r="I184" s="100">
        <v>175636432.63</v>
      </c>
      <c r="J184" s="101">
        <v>0</v>
      </c>
      <c r="K184" s="100">
        <v>14305937.169999998</v>
      </c>
      <c r="L184" s="100">
        <v>6147275.1600000001</v>
      </c>
      <c r="M184" s="100">
        <v>0</v>
      </c>
      <c r="N184" s="100">
        <v>0</v>
      </c>
      <c r="O184" s="108"/>
      <c r="P184" s="100">
        <v>0</v>
      </c>
      <c r="Q184" s="108"/>
      <c r="R184" s="100">
        <v>0</v>
      </c>
      <c r="S184" s="100">
        <v>0</v>
      </c>
      <c r="T184" s="100">
        <v>0</v>
      </c>
      <c r="U184" s="100">
        <v>20453212.329999998</v>
      </c>
      <c r="V184" s="100">
        <v>17379574.75</v>
      </c>
      <c r="W184" s="101">
        <v>0</v>
      </c>
      <c r="X184" s="91">
        <v>3.5000000000000003E-2</v>
      </c>
    </row>
    <row r="185" spans="1:24" x14ac:dyDescent="0.3">
      <c r="A185" s="71">
        <v>34352</v>
      </c>
      <c r="B185" s="87" t="s">
        <v>417</v>
      </c>
      <c r="C185" s="100">
        <v>0</v>
      </c>
      <c r="D185" s="100">
        <v>0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1">
        <v>0</v>
      </c>
      <c r="K185" s="100">
        <v>0</v>
      </c>
      <c r="L185" s="100">
        <v>0</v>
      </c>
      <c r="M185" s="100">
        <v>0</v>
      </c>
      <c r="N185" s="100">
        <v>0</v>
      </c>
      <c r="O185" s="108"/>
      <c r="P185" s="100">
        <v>0</v>
      </c>
      <c r="Q185" s="108"/>
      <c r="R185" s="100">
        <v>0</v>
      </c>
      <c r="S185" s="100">
        <v>0</v>
      </c>
      <c r="T185" s="100">
        <v>0</v>
      </c>
      <c r="U185" s="100">
        <v>0</v>
      </c>
      <c r="V185" s="100">
        <v>0</v>
      </c>
      <c r="W185" s="101">
        <v>0</v>
      </c>
      <c r="X185" s="91">
        <v>0</v>
      </c>
    </row>
    <row r="186" spans="1:24" x14ac:dyDescent="0.3">
      <c r="A186" s="71">
        <v>34380</v>
      </c>
      <c r="B186" s="87" t="s">
        <v>418</v>
      </c>
      <c r="C186" s="100">
        <v>13374221.219999995</v>
      </c>
      <c r="D186" s="100">
        <v>3094842.98</v>
      </c>
      <c r="E186" s="100">
        <v>-618968.59</v>
      </c>
      <c r="F186" s="100">
        <v>0</v>
      </c>
      <c r="G186" s="100">
        <v>0</v>
      </c>
      <c r="H186" s="100">
        <v>15850095.609999996</v>
      </c>
      <c r="I186" s="100">
        <v>14067968.84</v>
      </c>
      <c r="J186" s="101">
        <v>-5.0000008195638657E-3</v>
      </c>
      <c r="K186" s="100">
        <v>2663150.1200000015</v>
      </c>
      <c r="L186" s="100">
        <v>526155.56000000006</v>
      </c>
      <c r="M186" s="100">
        <v>-618968.59</v>
      </c>
      <c r="N186" s="100">
        <v>-238333.34</v>
      </c>
      <c r="O186" s="108"/>
      <c r="P186" s="100">
        <v>0</v>
      </c>
      <c r="Q186" s="108"/>
      <c r="R186" s="100">
        <v>0</v>
      </c>
      <c r="S186" s="100">
        <v>0</v>
      </c>
      <c r="T186" s="100">
        <v>0</v>
      </c>
      <c r="U186" s="100">
        <v>2332003.7500000019</v>
      </c>
      <c r="V186" s="100">
        <v>2635807.2599999998</v>
      </c>
      <c r="W186" s="101">
        <v>0</v>
      </c>
      <c r="X186" s="91">
        <v>3.78E-2</v>
      </c>
    </row>
    <row r="187" spans="1:24" x14ac:dyDescent="0.3">
      <c r="A187" s="71">
        <v>34381</v>
      </c>
      <c r="B187" s="87" t="s">
        <v>419</v>
      </c>
      <c r="C187" s="100">
        <v>164019280.71499991</v>
      </c>
      <c r="D187" s="100">
        <v>41699077.409999996</v>
      </c>
      <c r="E187" s="100">
        <v>-282925.78000000003</v>
      </c>
      <c r="F187" s="100">
        <v>0</v>
      </c>
      <c r="G187" s="100">
        <v>0</v>
      </c>
      <c r="H187" s="100">
        <v>205435432.34499991</v>
      </c>
      <c r="I187" s="100">
        <v>189031237.63999999</v>
      </c>
      <c r="J187" s="101">
        <v>-4.9998462200164795E-3</v>
      </c>
      <c r="K187" s="100">
        <v>91770284.029999986</v>
      </c>
      <c r="L187" s="100">
        <v>8032028.6799999997</v>
      </c>
      <c r="M187" s="100">
        <v>-282925.78000000003</v>
      </c>
      <c r="N187" s="100">
        <v>-98333.23</v>
      </c>
      <c r="O187" s="108"/>
      <c r="P187" s="100">
        <v>0</v>
      </c>
      <c r="Q187" s="108"/>
      <c r="R187" s="100">
        <v>0</v>
      </c>
      <c r="S187" s="100">
        <v>0</v>
      </c>
      <c r="T187" s="100">
        <v>0</v>
      </c>
      <c r="U187" s="100">
        <v>99421053.699999973</v>
      </c>
      <c r="V187" s="100">
        <v>95489877.969999999</v>
      </c>
      <c r="W187" s="101">
        <v>4.999995231628418E-3</v>
      </c>
      <c r="X187" s="91">
        <v>4.2800000000000005E-2</v>
      </c>
    </row>
    <row r="188" spans="1:24" x14ac:dyDescent="0.3">
      <c r="A188" s="71">
        <v>34382</v>
      </c>
      <c r="B188" s="87" t="s">
        <v>420</v>
      </c>
      <c r="C188" s="100">
        <v>37467329.220000029</v>
      </c>
      <c r="D188" s="100">
        <v>5122430.82</v>
      </c>
      <c r="E188" s="100">
        <v>-1024486.19</v>
      </c>
      <c r="F188" s="100">
        <v>0</v>
      </c>
      <c r="G188" s="100">
        <v>0</v>
      </c>
      <c r="H188" s="100">
        <v>41565273.850000031</v>
      </c>
      <c r="I188" s="100">
        <v>37984211.68</v>
      </c>
      <c r="J188" s="101">
        <v>-4.9999803304672241E-3</v>
      </c>
      <c r="K188" s="100">
        <v>10409071.580000006</v>
      </c>
      <c r="L188" s="100">
        <v>1477282.95</v>
      </c>
      <c r="M188" s="100">
        <v>-1024486.19</v>
      </c>
      <c r="N188" s="100">
        <v>-52133.4</v>
      </c>
      <c r="O188" s="108"/>
      <c r="P188" s="100">
        <v>0</v>
      </c>
      <c r="Q188" s="108"/>
      <c r="R188" s="100">
        <v>0</v>
      </c>
      <c r="S188" s="100">
        <v>0</v>
      </c>
      <c r="T188" s="100">
        <v>0</v>
      </c>
      <c r="U188" s="100">
        <v>10809734.940000005</v>
      </c>
      <c r="V188" s="100">
        <v>10989787.67</v>
      </c>
      <c r="W188" s="101">
        <v>1.4901161193847656E-8</v>
      </c>
      <c r="X188" s="91">
        <v>3.9199999999999999E-2</v>
      </c>
    </row>
    <row r="189" spans="1:24" x14ac:dyDescent="0.3">
      <c r="A189" s="71">
        <v>34383</v>
      </c>
      <c r="B189" s="87" t="s">
        <v>421</v>
      </c>
      <c r="C189" s="100">
        <v>38711529.969999999</v>
      </c>
      <c r="D189" s="100">
        <v>1949801.76</v>
      </c>
      <c r="E189" s="100">
        <v>-389960.35</v>
      </c>
      <c r="F189" s="100">
        <v>0</v>
      </c>
      <c r="G189" s="100">
        <v>0</v>
      </c>
      <c r="H189" s="100">
        <v>40271371.379999995</v>
      </c>
      <c r="I189" s="100">
        <v>38831517.770000003</v>
      </c>
      <c r="J189" s="101">
        <v>0</v>
      </c>
      <c r="K189" s="100">
        <v>23362826.240000024</v>
      </c>
      <c r="L189" s="100">
        <v>874880.52</v>
      </c>
      <c r="M189" s="100">
        <v>-389960.35</v>
      </c>
      <c r="N189" s="100">
        <v>0</v>
      </c>
      <c r="O189" s="108"/>
      <c r="P189" s="100">
        <v>0</v>
      </c>
      <c r="Q189" s="108"/>
      <c r="R189" s="100">
        <v>0</v>
      </c>
      <c r="S189" s="100">
        <v>0</v>
      </c>
      <c r="T189" s="100">
        <v>0</v>
      </c>
      <c r="U189" s="100">
        <v>23847746.410000023</v>
      </c>
      <c r="V189" s="100">
        <v>23770269.550000001</v>
      </c>
      <c r="W189" s="101">
        <v>0</v>
      </c>
      <c r="X189" s="91">
        <v>2.2599999999999999E-2</v>
      </c>
    </row>
    <row r="190" spans="1:24" x14ac:dyDescent="0.3">
      <c r="A190" s="71">
        <v>34384</v>
      </c>
      <c r="B190" s="87" t="s">
        <v>422</v>
      </c>
      <c r="C190" s="100">
        <v>28730215.395000007</v>
      </c>
      <c r="D190" s="100">
        <v>3206910.65</v>
      </c>
      <c r="E190" s="100">
        <v>-641382.13</v>
      </c>
      <c r="F190" s="100">
        <v>0</v>
      </c>
      <c r="G190" s="100">
        <v>0</v>
      </c>
      <c r="H190" s="100">
        <v>31295743.915000007</v>
      </c>
      <c r="I190" s="100">
        <v>28927563.739999998</v>
      </c>
      <c r="J190" s="101">
        <v>-4.9999989569187164E-3</v>
      </c>
      <c r="K190" s="100">
        <v>8371480.6000000034</v>
      </c>
      <c r="L190" s="100">
        <v>1172192.76</v>
      </c>
      <c r="M190" s="100">
        <v>-641382.13</v>
      </c>
      <c r="N190" s="100">
        <v>0</v>
      </c>
      <c r="O190" s="108"/>
      <c r="P190" s="100">
        <v>0</v>
      </c>
      <c r="Q190" s="108"/>
      <c r="R190" s="100">
        <v>0</v>
      </c>
      <c r="S190" s="100">
        <v>0</v>
      </c>
      <c r="T190" s="100">
        <v>0</v>
      </c>
      <c r="U190" s="100">
        <v>8902291.2300000023</v>
      </c>
      <c r="V190" s="100">
        <v>8908239.8900000006</v>
      </c>
      <c r="W190" s="101">
        <v>0</v>
      </c>
      <c r="X190" s="91">
        <v>4.0800000000000003E-2</v>
      </c>
    </row>
    <row r="191" spans="1:24" x14ac:dyDescent="0.3">
      <c r="A191" s="71">
        <v>34385</v>
      </c>
      <c r="B191" s="87" t="s">
        <v>423</v>
      </c>
      <c r="C191" s="100">
        <v>25537597.419999994</v>
      </c>
      <c r="D191" s="100">
        <v>3543064.53</v>
      </c>
      <c r="E191" s="100">
        <v>-708612.91</v>
      </c>
      <c r="F191" s="100">
        <v>0</v>
      </c>
      <c r="G191" s="100">
        <v>0</v>
      </c>
      <c r="H191" s="100">
        <v>28372049.039999995</v>
      </c>
      <c r="I191" s="100">
        <v>25884448.329999998</v>
      </c>
      <c r="J191" s="101">
        <v>0</v>
      </c>
      <c r="K191" s="100">
        <v>6881861.0700000022</v>
      </c>
      <c r="L191" s="100">
        <v>1073304.75</v>
      </c>
      <c r="M191" s="100">
        <v>-708612.91</v>
      </c>
      <c r="N191" s="100">
        <v>0</v>
      </c>
      <c r="O191" s="108"/>
      <c r="P191" s="100">
        <v>0</v>
      </c>
      <c r="Q191" s="108"/>
      <c r="R191" s="100">
        <v>0</v>
      </c>
      <c r="S191" s="100">
        <v>0</v>
      </c>
      <c r="T191" s="100">
        <v>0</v>
      </c>
      <c r="U191" s="100">
        <v>7246552.910000002</v>
      </c>
      <c r="V191" s="100">
        <v>7329332.8099999996</v>
      </c>
      <c r="W191" s="101">
        <v>0</v>
      </c>
      <c r="X191" s="91">
        <v>4.1799999999999997E-2</v>
      </c>
    </row>
    <row r="192" spans="1:24" x14ac:dyDescent="0.3">
      <c r="A192" s="71">
        <v>34386</v>
      </c>
      <c r="B192" s="87" t="s">
        <v>424</v>
      </c>
      <c r="C192" s="100">
        <v>225351015.47500005</v>
      </c>
      <c r="D192" s="100">
        <v>3629358.14</v>
      </c>
      <c r="E192" s="100">
        <v>-725871.64</v>
      </c>
      <c r="F192" s="100">
        <v>0</v>
      </c>
      <c r="G192" s="100">
        <v>0</v>
      </c>
      <c r="H192" s="100">
        <v>228254501.97500005</v>
      </c>
      <c r="I192" s="100">
        <v>225920343.5</v>
      </c>
      <c r="J192" s="101">
        <v>0</v>
      </c>
      <c r="K192" s="100">
        <v>49140894.330000043</v>
      </c>
      <c r="L192" s="100">
        <v>7855258.8600000003</v>
      </c>
      <c r="M192" s="100">
        <v>-725871.64</v>
      </c>
      <c r="N192" s="100">
        <v>-1234907.6200000001</v>
      </c>
      <c r="O192" s="108"/>
      <c r="P192" s="100">
        <v>0</v>
      </c>
      <c r="Q192" s="108"/>
      <c r="R192" s="100">
        <v>0</v>
      </c>
      <c r="S192" s="100">
        <v>0</v>
      </c>
      <c r="T192" s="100">
        <v>0</v>
      </c>
      <c r="U192" s="100">
        <v>55035373.930000044</v>
      </c>
      <c r="V192" s="100">
        <v>52306564.020000003</v>
      </c>
      <c r="W192" s="101">
        <v>0</v>
      </c>
      <c r="X192" s="91">
        <v>3.4800000000000005E-2</v>
      </c>
    </row>
    <row r="193" spans="1:24" x14ac:dyDescent="0.3">
      <c r="A193" s="71">
        <v>34390</v>
      </c>
      <c r="B193" s="87" t="s">
        <v>425</v>
      </c>
      <c r="C193" s="100">
        <v>0</v>
      </c>
      <c r="D193" s="100">
        <v>0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1">
        <v>0</v>
      </c>
      <c r="K193" s="100">
        <v>0</v>
      </c>
      <c r="L193" s="100">
        <v>0</v>
      </c>
      <c r="M193" s="100">
        <v>0</v>
      </c>
      <c r="N193" s="100">
        <v>0</v>
      </c>
      <c r="O193" s="108"/>
      <c r="P193" s="100">
        <v>0</v>
      </c>
      <c r="Q193" s="108"/>
      <c r="R193" s="100">
        <v>0</v>
      </c>
      <c r="S193" s="100">
        <v>0</v>
      </c>
      <c r="T193" s="100">
        <v>0</v>
      </c>
      <c r="U193" s="100">
        <v>0</v>
      </c>
      <c r="V193" s="100">
        <v>0</v>
      </c>
      <c r="W193" s="101">
        <v>0</v>
      </c>
      <c r="X193" s="91">
        <v>0</v>
      </c>
    </row>
    <row r="194" spans="1:24" x14ac:dyDescent="0.3">
      <c r="A194" s="71">
        <v>34398</v>
      </c>
      <c r="B194" s="87" t="s">
        <v>426</v>
      </c>
      <c r="C194" s="100">
        <v>940672.19000000018</v>
      </c>
      <c r="D194" s="100">
        <v>0</v>
      </c>
      <c r="E194" s="100">
        <v>0</v>
      </c>
      <c r="F194" s="100">
        <v>0</v>
      </c>
      <c r="G194" s="100">
        <v>0</v>
      </c>
      <c r="H194" s="100">
        <v>940672.19000000018</v>
      </c>
      <c r="I194" s="100">
        <v>940672.19</v>
      </c>
      <c r="J194" s="101">
        <v>0</v>
      </c>
      <c r="K194" s="100">
        <v>56806.889999999985</v>
      </c>
      <c r="L194" s="100">
        <v>32076.959999999999</v>
      </c>
      <c r="M194" s="100">
        <v>0</v>
      </c>
      <c r="N194" s="100">
        <v>0</v>
      </c>
      <c r="O194" s="108"/>
      <c r="P194" s="100">
        <v>0</v>
      </c>
      <c r="Q194" s="108"/>
      <c r="R194" s="100">
        <v>0</v>
      </c>
      <c r="S194" s="100">
        <v>0</v>
      </c>
      <c r="T194" s="100">
        <v>0</v>
      </c>
      <c r="U194" s="100">
        <v>88883.849999999977</v>
      </c>
      <c r="V194" s="100">
        <v>72845.37</v>
      </c>
      <c r="W194" s="101">
        <v>0</v>
      </c>
      <c r="X194" s="91">
        <v>3.4099999999999998E-2</v>
      </c>
    </row>
    <row r="195" spans="1:24" x14ac:dyDescent="0.3">
      <c r="A195" s="71">
        <v>34399</v>
      </c>
      <c r="B195" s="87" t="s">
        <v>427</v>
      </c>
      <c r="C195" s="100">
        <v>960796152.64999998</v>
      </c>
      <c r="D195" s="100">
        <v>222493915.77000001</v>
      </c>
      <c r="E195" s="100">
        <v>0</v>
      </c>
      <c r="F195" s="100">
        <v>0</v>
      </c>
      <c r="G195" s="100">
        <v>0</v>
      </c>
      <c r="H195" s="100">
        <v>1183290068.4200001</v>
      </c>
      <c r="I195" s="100">
        <v>988809302.15999997</v>
      </c>
      <c r="J195" s="101">
        <v>0</v>
      </c>
      <c r="K195" s="100">
        <v>92761911.579999998</v>
      </c>
      <c r="L195" s="100">
        <v>32971227.170000002</v>
      </c>
      <c r="M195" s="100">
        <v>0</v>
      </c>
      <c r="N195" s="100">
        <v>0</v>
      </c>
      <c r="O195" s="108"/>
      <c r="P195" s="100">
        <v>0</v>
      </c>
      <c r="Q195" s="108"/>
      <c r="R195" s="100">
        <v>0</v>
      </c>
      <c r="S195" s="100">
        <v>0</v>
      </c>
      <c r="T195" s="100">
        <v>0</v>
      </c>
      <c r="U195" s="100">
        <v>125733138.75</v>
      </c>
      <c r="V195" s="100">
        <v>109212885.17</v>
      </c>
      <c r="W195" s="101">
        <v>0</v>
      </c>
      <c r="X195" s="91">
        <v>3.39E-2</v>
      </c>
    </row>
    <row r="196" spans="1:24" x14ac:dyDescent="0.3">
      <c r="A196" s="71">
        <v>34520</v>
      </c>
      <c r="B196" s="87" t="s">
        <v>428</v>
      </c>
      <c r="C196" s="100">
        <v>0</v>
      </c>
      <c r="D196" s="100">
        <v>0</v>
      </c>
      <c r="E196" s="100">
        <v>0</v>
      </c>
      <c r="F196" s="100">
        <v>0</v>
      </c>
      <c r="G196" s="100">
        <v>0</v>
      </c>
      <c r="H196" s="100">
        <v>0</v>
      </c>
      <c r="I196" s="100">
        <v>0</v>
      </c>
      <c r="J196" s="101">
        <v>0</v>
      </c>
      <c r="K196" s="100">
        <v>0</v>
      </c>
      <c r="L196" s="100">
        <v>0</v>
      </c>
      <c r="M196" s="100">
        <v>0</v>
      </c>
      <c r="N196" s="100">
        <v>0</v>
      </c>
      <c r="O196" s="108"/>
      <c r="P196" s="100">
        <v>0</v>
      </c>
      <c r="Q196" s="108"/>
      <c r="R196" s="100">
        <v>0</v>
      </c>
      <c r="S196" s="100">
        <v>0</v>
      </c>
      <c r="T196" s="100">
        <v>0</v>
      </c>
      <c r="U196" s="100">
        <v>0</v>
      </c>
      <c r="V196" s="100">
        <v>0</v>
      </c>
      <c r="W196" s="101">
        <v>0</v>
      </c>
      <c r="X196" s="91">
        <v>1.89E-2</v>
      </c>
    </row>
    <row r="197" spans="1:24" x14ac:dyDescent="0.3">
      <c r="A197" s="71">
        <v>34528</v>
      </c>
      <c r="B197" s="87" t="s">
        <v>429</v>
      </c>
      <c r="C197" s="100">
        <v>0</v>
      </c>
      <c r="D197" s="100">
        <v>0</v>
      </c>
      <c r="E197" s="100">
        <v>0</v>
      </c>
      <c r="F197" s="100">
        <v>0</v>
      </c>
      <c r="G197" s="100">
        <v>0</v>
      </c>
      <c r="H197" s="100">
        <v>0</v>
      </c>
      <c r="I197" s="100">
        <v>0</v>
      </c>
      <c r="J197" s="101">
        <v>0</v>
      </c>
      <c r="K197" s="100">
        <v>0</v>
      </c>
      <c r="L197" s="100">
        <v>0</v>
      </c>
      <c r="M197" s="100">
        <v>0</v>
      </c>
      <c r="N197" s="100">
        <v>0</v>
      </c>
      <c r="O197" s="108"/>
      <c r="P197" s="100">
        <v>0</v>
      </c>
      <c r="Q197" s="108"/>
      <c r="R197" s="100">
        <v>0</v>
      </c>
      <c r="S197" s="100">
        <v>0</v>
      </c>
      <c r="T197" s="100">
        <v>0</v>
      </c>
      <c r="U197" s="100">
        <v>0</v>
      </c>
      <c r="V197" s="100">
        <v>0</v>
      </c>
      <c r="W197" s="101">
        <v>0</v>
      </c>
      <c r="X197" s="91">
        <v>0</v>
      </c>
    </row>
    <row r="198" spans="1:24" x14ac:dyDescent="0.3">
      <c r="A198" s="71">
        <v>34530</v>
      </c>
      <c r="B198" s="87" t="s">
        <v>430</v>
      </c>
      <c r="C198" s="100">
        <v>32858830.609999999</v>
      </c>
      <c r="D198" s="100">
        <v>0</v>
      </c>
      <c r="E198" s="100">
        <v>0</v>
      </c>
      <c r="F198" s="100">
        <v>0</v>
      </c>
      <c r="G198" s="100">
        <v>0</v>
      </c>
      <c r="H198" s="100">
        <v>32858830.609999999</v>
      </c>
      <c r="I198" s="100">
        <v>32858830.609999999</v>
      </c>
      <c r="J198" s="101">
        <v>0</v>
      </c>
      <c r="K198" s="100">
        <v>14137386.859999998</v>
      </c>
      <c r="L198" s="100">
        <v>808327.2</v>
      </c>
      <c r="M198" s="100">
        <v>0</v>
      </c>
      <c r="N198" s="100">
        <v>0</v>
      </c>
      <c r="O198" s="108"/>
      <c r="P198" s="100">
        <v>0</v>
      </c>
      <c r="Q198" s="108"/>
      <c r="R198" s="100">
        <v>0</v>
      </c>
      <c r="S198" s="100">
        <v>0</v>
      </c>
      <c r="T198" s="100">
        <v>0</v>
      </c>
      <c r="U198" s="100">
        <v>14945714.059999997</v>
      </c>
      <c r="V198" s="100">
        <v>14541550.460000001</v>
      </c>
      <c r="W198" s="101">
        <v>0</v>
      </c>
      <c r="X198" s="91">
        <v>2.46E-2</v>
      </c>
    </row>
    <row r="199" spans="1:24" x14ac:dyDescent="0.3">
      <c r="A199" s="71">
        <v>34531</v>
      </c>
      <c r="B199" s="87" t="s">
        <v>431</v>
      </c>
      <c r="C199" s="100">
        <v>40601976.5</v>
      </c>
      <c r="D199" s="100">
        <v>0</v>
      </c>
      <c r="E199" s="100">
        <v>0</v>
      </c>
      <c r="F199" s="100">
        <v>0</v>
      </c>
      <c r="G199" s="100">
        <v>0</v>
      </c>
      <c r="H199" s="100">
        <v>40601976.5</v>
      </c>
      <c r="I199" s="100">
        <v>40601976.5</v>
      </c>
      <c r="J199" s="101">
        <v>0</v>
      </c>
      <c r="K199" s="100">
        <v>23536486.480000019</v>
      </c>
      <c r="L199" s="100">
        <v>1364226.36</v>
      </c>
      <c r="M199" s="100">
        <v>0</v>
      </c>
      <c r="N199" s="100">
        <v>0</v>
      </c>
      <c r="O199" s="108"/>
      <c r="P199" s="100">
        <v>0</v>
      </c>
      <c r="Q199" s="108"/>
      <c r="R199" s="100">
        <v>0</v>
      </c>
      <c r="S199" s="100">
        <v>0</v>
      </c>
      <c r="T199" s="100">
        <v>0</v>
      </c>
      <c r="U199" s="100">
        <v>24900712.840000018</v>
      </c>
      <c r="V199" s="100">
        <v>24218599.66</v>
      </c>
      <c r="W199" s="101">
        <v>0</v>
      </c>
      <c r="X199" s="91">
        <v>3.3599999999999998E-2</v>
      </c>
    </row>
    <row r="200" spans="1:24" x14ac:dyDescent="0.3">
      <c r="A200" s="71">
        <v>34532</v>
      </c>
      <c r="B200" s="87" t="s">
        <v>432</v>
      </c>
      <c r="C200" s="100">
        <v>44698672.580000006</v>
      </c>
      <c r="D200" s="100">
        <v>0</v>
      </c>
      <c r="E200" s="100">
        <v>0</v>
      </c>
      <c r="F200" s="100">
        <v>0</v>
      </c>
      <c r="G200" s="100">
        <v>0</v>
      </c>
      <c r="H200" s="100">
        <v>44698672.580000006</v>
      </c>
      <c r="I200" s="100">
        <v>44698672.579999998</v>
      </c>
      <c r="J200" s="101">
        <v>0</v>
      </c>
      <c r="K200" s="100">
        <v>25733846.520000026</v>
      </c>
      <c r="L200" s="100">
        <v>1600212.48</v>
      </c>
      <c r="M200" s="100">
        <v>0</v>
      </c>
      <c r="N200" s="100">
        <v>0</v>
      </c>
      <c r="O200" s="108"/>
      <c r="P200" s="100">
        <v>0</v>
      </c>
      <c r="Q200" s="108"/>
      <c r="R200" s="100">
        <v>0</v>
      </c>
      <c r="S200" s="100">
        <v>0</v>
      </c>
      <c r="T200" s="100">
        <v>0</v>
      </c>
      <c r="U200" s="100">
        <v>27334059.000000026</v>
      </c>
      <c r="V200" s="100">
        <v>26533952.760000002</v>
      </c>
      <c r="W200" s="101">
        <v>0</v>
      </c>
      <c r="X200" s="91">
        <v>3.5799999999999998E-2</v>
      </c>
    </row>
    <row r="201" spans="1:24" x14ac:dyDescent="0.3">
      <c r="A201" s="71">
        <v>34533</v>
      </c>
      <c r="B201" s="87" t="s">
        <v>433</v>
      </c>
      <c r="C201" s="100">
        <v>14174190.639999999</v>
      </c>
      <c r="D201" s="100">
        <v>0</v>
      </c>
      <c r="E201" s="100">
        <v>0</v>
      </c>
      <c r="F201" s="100">
        <v>0</v>
      </c>
      <c r="G201" s="100">
        <v>0</v>
      </c>
      <c r="H201" s="100">
        <v>14174190.639999999</v>
      </c>
      <c r="I201" s="100">
        <v>14174190.640000001</v>
      </c>
      <c r="J201" s="101">
        <v>0</v>
      </c>
      <c r="K201" s="100">
        <v>6497504.6499999929</v>
      </c>
      <c r="L201" s="100">
        <v>364276.68</v>
      </c>
      <c r="M201" s="100">
        <v>0</v>
      </c>
      <c r="N201" s="100">
        <v>0</v>
      </c>
      <c r="O201" s="108"/>
      <c r="P201" s="100">
        <v>0</v>
      </c>
      <c r="Q201" s="108"/>
      <c r="R201" s="100">
        <v>0</v>
      </c>
      <c r="S201" s="100">
        <v>0</v>
      </c>
      <c r="T201" s="100">
        <v>0</v>
      </c>
      <c r="U201" s="100">
        <v>6861781.3299999926</v>
      </c>
      <c r="V201" s="100">
        <v>6679642.9900000002</v>
      </c>
      <c r="W201" s="101">
        <v>0</v>
      </c>
      <c r="X201" s="91">
        <v>2.5699999999999997E-2</v>
      </c>
    </row>
    <row r="202" spans="1:24" x14ac:dyDescent="0.3">
      <c r="A202" s="71">
        <v>34534</v>
      </c>
      <c r="B202" s="87" t="s">
        <v>434</v>
      </c>
      <c r="C202" s="100">
        <v>4189431.02</v>
      </c>
      <c r="D202" s="100">
        <v>0</v>
      </c>
      <c r="E202" s="100">
        <v>0</v>
      </c>
      <c r="F202" s="100">
        <v>0</v>
      </c>
      <c r="G202" s="100">
        <v>0</v>
      </c>
      <c r="H202" s="100">
        <v>4189431.02</v>
      </c>
      <c r="I202" s="100">
        <v>4189431.02</v>
      </c>
      <c r="J202" s="101">
        <v>0</v>
      </c>
      <c r="K202" s="100">
        <v>2059900.969999999</v>
      </c>
      <c r="L202" s="100">
        <v>101803.2</v>
      </c>
      <c r="M202" s="100">
        <v>0</v>
      </c>
      <c r="N202" s="100">
        <v>0</v>
      </c>
      <c r="O202" s="108"/>
      <c r="P202" s="100">
        <v>0</v>
      </c>
      <c r="Q202" s="108"/>
      <c r="R202" s="100">
        <v>0</v>
      </c>
      <c r="S202" s="100">
        <v>0</v>
      </c>
      <c r="T202" s="100">
        <v>0</v>
      </c>
      <c r="U202" s="100">
        <v>2161704.169999999</v>
      </c>
      <c r="V202" s="100">
        <v>2110802.5699999998</v>
      </c>
      <c r="W202" s="101">
        <v>0</v>
      </c>
      <c r="X202" s="91">
        <v>2.4300000000000002E-2</v>
      </c>
    </row>
    <row r="203" spans="1:24" x14ac:dyDescent="0.3">
      <c r="A203" s="71">
        <v>34535</v>
      </c>
      <c r="B203" s="87" t="s">
        <v>435</v>
      </c>
      <c r="C203" s="100">
        <v>10408627.609999998</v>
      </c>
      <c r="D203" s="100">
        <v>0</v>
      </c>
      <c r="E203" s="100">
        <v>0</v>
      </c>
      <c r="F203" s="100">
        <v>0</v>
      </c>
      <c r="G203" s="100">
        <v>0</v>
      </c>
      <c r="H203" s="100">
        <v>10408627.609999998</v>
      </c>
      <c r="I203" s="100">
        <v>10408627.609999999</v>
      </c>
      <c r="J203" s="101">
        <v>0</v>
      </c>
      <c r="K203" s="100">
        <v>5186295.3899999931</v>
      </c>
      <c r="L203" s="100">
        <v>183191.88</v>
      </c>
      <c r="M203" s="100">
        <v>0</v>
      </c>
      <c r="N203" s="100">
        <v>0</v>
      </c>
      <c r="O203" s="108"/>
      <c r="P203" s="100">
        <v>0</v>
      </c>
      <c r="Q203" s="108"/>
      <c r="R203" s="100">
        <v>0</v>
      </c>
      <c r="S203" s="100">
        <v>0</v>
      </c>
      <c r="T203" s="100">
        <v>0</v>
      </c>
      <c r="U203" s="100">
        <v>5369487.269999993</v>
      </c>
      <c r="V203" s="100">
        <v>5277891.33</v>
      </c>
      <c r="W203" s="101">
        <v>0</v>
      </c>
      <c r="X203" s="91">
        <v>1.7600000000000001E-2</v>
      </c>
    </row>
    <row r="204" spans="1:24" x14ac:dyDescent="0.3">
      <c r="A204" s="71">
        <v>34536</v>
      </c>
      <c r="B204" s="87" t="s">
        <v>436</v>
      </c>
      <c r="C204" s="100">
        <v>14353367.069999998</v>
      </c>
      <c r="D204" s="100">
        <v>0</v>
      </c>
      <c r="E204" s="100">
        <v>0</v>
      </c>
      <c r="F204" s="100">
        <v>0</v>
      </c>
      <c r="G204" s="100">
        <v>0</v>
      </c>
      <c r="H204" s="100">
        <v>14353367.069999998</v>
      </c>
      <c r="I204" s="100">
        <v>14353367.07</v>
      </c>
      <c r="J204" s="101">
        <v>0</v>
      </c>
      <c r="K204" s="100">
        <v>7179143.4200000055</v>
      </c>
      <c r="L204" s="100">
        <v>345916.2</v>
      </c>
      <c r="M204" s="100">
        <v>0</v>
      </c>
      <c r="N204" s="100">
        <v>0</v>
      </c>
      <c r="O204" s="108"/>
      <c r="P204" s="100">
        <v>0</v>
      </c>
      <c r="Q204" s="108"/>
      <c r="R204" s="100">
        <v>0</v>
      </c>
      <c r="S204" s="100">
        <v>0</v>
      </c>
      <c r="T204" s="100">
        <v>0</v>
      </c>
      <c r="U204" s="100">
        <v>7525059.6200000057</v>
      </c>
      <c r="V204" s="100">
        <v>7352101.5199999996</v>
      </c>
      <c r="W204" s="101">
        <v>0</v>
      </c>
      <c r="X204" s="91">
        <v>2.41E-2</v>
      </c>
    </row>
    <row r="205" spans="1:24" x14ac:dyDescent="0.3">
      <c r="A205" s="71">
        <v>34541</v>
      </c>
      <c r="B205" s="87" t="s">
        <v>437</v>
      </c>
      <c r="C205" s="100">
        <v>0</v>
      </c>
      <c r="D205" s="100">
        <v>0</v>
      </c>
      <c r="E205" s="100">
        <v>0</v>
      </c>
      <c r="F205" s="100">
        <v>0</v>
      </c>
      <c r="G205" s="100">
        <v>0</v>
      </c>
      <c r="H205" s="100">
        <v>0</v>
      </c>
      <c r="I205" s="100">
        <v>0</v>
      </c>
      <c r="J205" s="101">
        <v>0</v>
      </c>
      <c r="K205" s="100">
        <v>0</v>
      </c>
      <c r="L205" s="100">
        <v>0</v>
      </c>
      <c r="M205" s="100">
        <v>0</v>
      </c>
      <c r="N205" s="100">
        <v>0</v>
      </c>
      <c r="O205" s="108"/>
      <c r="P205" s="100">
        <v>0</v>
      </c>
      <c r="Q205" s="108"/>
      <c r="R205" s="100">
        <v>0</v>
      </c>
      <c r="S205" s="100">
        <v>0</v>
      </c>
      <c r="T205" s="100">
        <v>0</v>
      </c>
      <c r="U205" s="100">
        <v>0</v>
      </c>
      <c r="V205" s="100">
        <v>0</v>
      </c>
      <c r="W205" s="101">
        <v>0</v>
      </c>
      <c r="X205" s="91">
        <v>0</v>
      </c>
    </row>
    <row r="206" spans="1:24" x14ac:dyDescent="0.3">
      <c r="A206" s="71">
        <v>34542</v>
      </c>
      <c r="B206" s="87" t="s">
        <v>438</v>
      </c>
      <c r="C206" s="100">
        <v>0</v>
      </c>
      <c r="D206" s="100">
        <v>0</v>
      </c>
      <c r="E206" s="100">
        <v>0</v>
      </c>
      <c r="F206" s="100">
        <v>0</v>
      </c>
      <c r="G206" s="100">
        <v>0</v>
      </c>
      <c r="H206" s="100">
        <v>0</v>
      </c>
      <c r="I206" s="100">
        <v>0</v>
      </c>
      <c r="J206" s="101">
        <v>0</v>
      </c>
      <c r="K206" s="100">
        <v>0</v>
      </c>
      <c r="L206" s="100">
        <v>0</v>
      </c>
      <c r="M206" s="100">
        <v>0</v>
      </c>
      <c r="N206" s="100">
        <v>0</v>
      </c>
      <c r="O206" s="108"/>
      <c r="P206" s="100">
        <v>0</v>
      </c>
      <c r="Q206" s="108"/>
      <c r="R206" s="100">
        <v>0</v>
      </c>
      <c r="S206" s="100">
        <v>0</v>
      </c>
      <c r="T206" s="100">
        <v>0</v>
      </c>
      <c r="U206" s="100">
        <v>0</v>
      </c>
      <c r="V206" s="100">
        <v>0</v>
      </c>
      <c r="W206" s="101">
        <v>0</v>
      </c>
      <c r="X206" s="91">
        <v>0</v>
      </c>
    </row>
    <row r="207" spans="1:24" x14ac:dyDescent="0.3">
      <c r="A207" s="71">
        <v>34543</v>
      </c>
      <c r="B207" s="87" t="s">
        <v>439</v>
      </c>
      <c r="C207" s="100">
        <v>700677.02</v>
      </c>
      <c r="D207" s="100">
        <v>0</v>
      </c>
      <c r="E207" s="100">
        <v>0</v>
      </c>
      <c r="F207" s="100">
        <v>0</v>
      </c>
      <c r="G207" s="100">
        <v>0</v>
      </c>
      <c r="H207" s="100">
        <v>700677.02</v>
      </c>
      <c r="I207" s="100">
        <v>700677.02</v>
      </c>
      <c r="J207" s="101">
        <v>0</v>
      </c>
      <c r="K207" s="100">
        <v>95984.73000000004</v>
      </c>
      <c r="L207" s="100">
        <v>20459.759999999998</v>
      </c>
      <c r="M207" s="100">
        <v>0</v>
      </c>
      <c r="N207" s="100">
        <v>0</v>
      </c>
      <c r="O207" s="108"/>
      <c r="P207" s="100">
        <v>0</v>
      </c>
      <c r="Q207" s="108"/>
      <c r="R207" s="100">
        <v>0</v>
      </c>
      <c r="S207" s="100">
        <v>0</v>
      </c>
      <c r="T207" s="100">
        <v>0</v>
      </c>
      <c r="U207" s="100">
        <v>116444.49000000003</v>
      </c>
      <c r="V207" s="100">
        <v>106214.61</v>
      </c>
      <c r="W207" s="101">
        <v>0</v>
      </c>
      <c r="X207" s="91">
        <v>2.92E-2</v>
      </c>
    </row>
    <row r="208" spans="1:24" x14ac:dyDescent="0.3">
      <c r="A208" s="71">
        <v>34544</v>
      </c>
      <c r="B208" s="87" t="s">
        <v>440</v>
      </c>
      <c r="C208" s="100">
        <v>16328713.470000001</v>
      </c>
      <c r="D208" s="100">
        <v>0</v>
      </c>
      <c r="E208" s="100">
        <v>0</v>
      </c>
      <c r="F208" s="100">
        <v>0</v>
      </c>
      <c r="G208" s="100">
        <v>0</v>
      </c>
      <c r="H208" s="100">
        <v>16328713.470000001</v>
      </c>
      <c r="I208" s="100">
        <v>16328713.470000001</v>
      </c>
      <c r="J208" s="101">
        <v>0</v>
      </c>
      <c r="K208" s="100">
        <v>7561769.4300000044</v>
      </c>
      <c r="L208" s="100">
        <v>395154.84</v>
      </c>
      <c r="M208" s="100">
        <v>0</v>
      </c>
      <c r="N208" s="100">
        <v>0</v>
      </c>
      <c r="O208" s="108"/>
      <c r="P208" s="100">
        <v>0</v>
      </c>
      <c r="Q208" s="108"/>
      <c r="R208" s="100">
        <v>0</v>
      </c>
      <c r="S208" s="100">
        <v>0</v>
      </c>
      <c r="T208" s="100">
        <v>0</v>
      </c>
      <c r="U208" s="100">
        <v>7956924.2700000042</v>
      </c>
      <c r="V208" s="100">
        <v>7759346.8499999996</v>
      </c>
      <c r="W208" s="101">
        <v>0</v>
      </c>
      <c r="X208" s="91">
        <v>2.4199999999999999E-2</v>
      </c>
    </row>
    <row r="209" spans="1:24" x14ac:dyDescent="0.3">
      <c r="A209" s="71">
        <v>34545</v>
      </c>
      <c r="B209" s="87" t="s">
        <v>441</v>
      </c>
      <c r="C209" s="100">
        <v>58769.36</v>
      </c>
      <c r="D209" s="100">
        <v>0</v>
      </c>
      <c r="E209" s="100">
        <v>0</v>
      </c>
      <c r="F209" s="100">
        <v>0</v>
      </c>
      <c r="G209" s="100">
        <v>0</v>
      </c>
      <c r="H209" s="100">
        <v>58769.36</v>
      </c>
      <c r="I209" s="100">
        <v>58769.36</v>
      </c>
      <c r="J209" s="101">
        <v>0</v>
      </c>
      <c r="K209" s="100">
        <v>1704.36</v>
      </c>
      <c r="L209" s="100">
        <v>1110.72</v>
      </c>
      <c r="M209" s="100">
        <v>0</v>
      </c>
      <c r="N209" s="100">
        <v>0</v>
      </c>
      <c r="O209" s="108"/>
      <c r="P209" s="100">
        <v>0</v>
      </c>
      <c r="Q209" s="108"/>
      <c r="R209" s="100">
        <v>0</v>
      </c>
      <c r="S209" s="100">
        <v>0</v>
      </c>
      <c r="T209" s="100">
        <v>0</v>
      </c>
      <c r="U209" s="100">
        <v>2815.08</v>
      </c>
      <c r="V209" s="100">
        <v>2259.7199999999998</v>
      </c>
      <c r="W209" s="101">
        <v>0</v>
      </c>
      <c r="X209" s="91">
        <v>1.89E-2</v>
      </c>
    </row>
    <row r="210" spans="1:24" x14ac:dyDescent="0.3">
      <c r="A210" s="71">
        <v>34546</v>
      </c>
      <c r="B210" s="87" t="s">
        <v>442</v>
      </c>
      <c r="C210" s="100">
        <v>19190.82</v>
      </c>
      <c r="D210" s="100">
        <v>0</v>
      </c>
      <c r="E210" s="100">
        <v>0</v>
      </c>
      <c r="F210" s="100">
        <v>0</v>
      </c>
      <c r="G210" s="100">
        <v>0</v>
      </c>
      <c r="H210" s="100">
        <v>19190.82</v>
      </c>
      <c r="I210" s="100">
        <v>19190.82</v>
      </c>
      <c r="J210" s="101">
        <v>0</v>
      </c>
      <c r="K210" s="100">
        <v>686.47</v>
      </c>
      <c r="L210" s="100">
        <v>362.76</v>
      </c>
      <c r="M210" s="100">
        <v>0</v>
      </c>
      <c r="N210" s="100">
        <v>0</v>
      </c>
      <c r="O210" s="108"/>
      <c r="P210" s="100">
        <v>0</v>
      </c>
      <c r="Q210" s="108"/>
      <c r="R210" s="100">
        <v>0</v>
      </c>
      <c r="S210" s="100">
        <v>0</v>
      </c>
      <c r="T210" s="100">
        <v>0</v>
      </c>
      <c r="U210" s="100">
        <v>1049.23</v>
      </c>
      <c r="V210" s="100">
        <v>867.85</v>
      </c>
      <c r="W210" s="101">
        <v>0</v>
      </c>
      <c r="X210" s="91">
        <v>1.89E-2</v>
      </c>
    </row>
    <row r="211" spans="1:24" x14ac:dyDescent="0.3">
      <c r="A211" s="71">
        <v>34580</v>
      </c>
      <c r="B211" s="87" t="s">
        <v>443</v>
      </c>
      <c r="C211" s="100">
        <v>14500596.529999997</v>
      </c>
      <c r="D211" s="100">
        <v>0</v>
      </c>
      <c r="E211" s="100">
        <v>0</v>
      </c>
      <c r="F211" s="100">
        <v>0</v>
      </c>
      <c r="G211" s="100">
        <v>0</v>
      </c>
      <c r="H211" s="100">
        <v>14500596.529999997</v>
      </c>
      <c r="I211" s="100">
        <v>14500596.529999999</v>
      </c>
      <c r="J211" s="101">
        <v>0</v>
      </c>
      <c r="K211" s="100">
        <v>4502475.62</v>
      </c>
      <c r="L211" s="100">
        <v>411816.96000000002</v>
      </c>
      <c r="M211" s="100">
        <v>0</v>
      </c>
      <c r="N211" s="100">
        <v>0</v>
      </c>
      <c r="O211" s="108"/>
      <c r="P211" s="100">
        <v>0</v>
      </c>
      <c r="Q211" s="108"/>
      <c r="R211" s="100">
        <v>0</v>
      </c>
      <c r="S211" s="100">
        <v>0</v>
      </c>
      <c r="T211" s="100">
        <v>0</v>
      </c>
      <c r="U211" s="100">
        <v>4914292.58</v>
      </c>
      <c r="V211" s="100">
        <v>4708384.0999999996</v>
      </c>
      <c r="W211" s="101">
        <v>0</v>
      </c>
      <c r="X211" s="91">
        <v>2.8399999999999998E-2</v>
      </c>
    </row>
    <row r="212" spans="1:24" x14ac:dyDescent="0.3">
      <c r="A212" s="71">
        <v>34581</v>
      </c>
      <c r="B212" s="87" t="s">
        <v>444</v>
      </c>
      <c r="C212" s="100">
        <v>60502604.230000012</v>
      </c>
      <c r="D212" s="100">
        <v>0</v>
      </c>
      <c r="E212" s="100">
        <v>0</v>
      </c>
      <c r="F212" s="100">
        <v>0</v>
      </c>
      <c r="G212" s="100">
        <v>0</v>
      </c>
      <c r="H212" s="100">
        <v>60502604.230000012</v>
      </c>
      <c r="I212" s="100">
        <v>60502604.229999997</v>
      </c>
      <c r="J212" s="101">
        <v>0</v>
      </c>
      <c r="K212" s="100">
        <v>45601245.639999948</v>
      </c>
      <c r="L212" s="100">
        <v>1536766.2</v>
      </c>
      <c r="M212" s="100">
        <v>0</v>
      </c>
      <c r="N212" s="100">
        <v>0</v>
      </c>
      <c r="O212" s="108"/>
      <c r="P212" s="100">
        <v>0</v>
      </c>
      <c r="Q212" s="108"/>
      <c r="R212" s="100">
        <v>0</v>
      </c>
      <c r="S212" s="100">
        <v>0</v>
      </c>
      <c r="T212" s="100">
        <v>0</v>
      </c>
      <c r="U212" s="100">
        <v>47138011.839999951</v>
      </c>
      <c r="V212" s="100">
        <v>46369628.740000002</v>
      </c>
      <c r="W212" s="101">
        <v>0</v>
      </c>
      <c r="X212" s="91">
        <v>2.5399999999999999E-2</v>
      </c>
    </row>
    <row r="213" spans="1:24" x14ac:dyDescent="0.3">
      <c r="A213" s="71">
        <v>34582</v>
      </c>
      <c r="B213" s="87" t="s">
        <v>445</v>
      </c>
      <c r="C213" s="100">
        <v>19218097.860000003</v>
      </c>
      <c r="D213" s="100">
        <v>0</v>
      </c>
      <c r="E213" s="100">
        <v>0</v>
      </c>
      <c r="F213" s="100">
        <v>0</v>
      </c>
      <c r="G213" s="100">
        <v>0</v>
      </c>
      <c r="H213" s="100">
        <v>19218097.860000003</v>
      </c>
      <c r="I213" s="100">
        <v>19218097.859999999</v>
      </c>
      <c r="J213" s="101">
        <v>0</v>
      </c>
      <c r="K213" s="100">
        <v>11226851.10999999</v>
      </c>
      <c r="L213" s="100">
        <v>370909.32</v>
      </c>
      <c r="M213" s="100">
        <v>0</v>
      </c>
      <c r="N213" s="100">
        <v>0</v>
      </c>
      <c r="O213" s="108"/>
      <c r="P213" s="100">
        <v>0</v>
      </c>
      <c r="Q213" s="108"/>
      <c r="R213" s="100">
        <v>0</v>
      </c>
      <c r="S213" s="100">
        <v>0</v>
      </c>
      <c r="T213" s="100">
        <v>0</v>
      </c>
      <c r="U213" s="100">
        <v>11597760.42999999</v>
      </c>
      <c r="V213" s="100">
        <v>11412305.77</v>
      </c>
      <c r="W213" s="101">
        <v>0</v>
      </c>
      <c r="X213" s="91">
        <v>1.9299999999999998E-2</v>
      </c>
    </row>
    <row r="214" spans="1:24" x14ac:dyDescent="0.3">
      <c r="A214" s="71">
        <v>34583</v>
      </c>
      <c r="B214" s="87" t="s">
        <v>446</v>
      </c>
      <c r="C214" s="100">
        <v>9146691.5499999989</v>
      </c>
      <c r="D214" s="100">
        <v>0</v>
      </c>
      <c r="E214" s="100">
        <v>0</v>
      </c>
      <c r="F214" s="100">
        <v>0</v>
      </c>
      <c r="G214" s="100">
        <v>0</v>
      </c>
      <c r="H214" s="100">
        <v>9146691.5499999989</v>
      </c>
      <c r="I214" s="100">
        <v>9146691.5500000007</v>
      </c>
      <c r="J214" s="101">
        <v>0</v>
      </c>
      <c r="K214" s="100">
        <v>5946088.9699999867</v>
      </c>
      <c r="L214" s="100">
        <v>151835.04</v>
      </c>
      <c r="M214" s="100">
        <v>0</v>
      </c>
      <c r="N214" s="100">
        <v>0</v>
      </c>
      <c r="O214" s="108"/>
      <c r="P214" s="100">
        <v>0</v>
      </c>
      <c r="Q214" s="108"/>
      <c r="R214" s="100">
        <v>0</v>
      </c>
      <c r="S214" s="100">
        <v>0</v>
      </c>
      <c r="T214" s="100">
        <v>0</v>
      </c>
      <c r="U214" s="100">
        <v>6097924.0099999867</v>
      </c>
      <c r="V214" s="100">
        <v>6022006.4900000002</v>
      </c>
      <c r="W214" s="101">
        <v>0</v>
      </c>
      <c r="X214" s="91">
        <v>1.66E-2</v>
      </c>
    </row>
    <row r="215" spans="1:24" x14ac:dyDescent="0.3">
      <c r="A215" s="71">
        <v>34584</v>
      </c>
      <c r="B215" s="87" t="s">
        <v>447</v>
      </c>
      <c r="C215" s="100">
        <v>5586747.4299999997</v>
      </c>
      <c r="D215" s="100">
        <v>0</v>
      </c>
      <c r="E215" s="100">
        <v>0</v>
      </c>
      <c r="F215" s="100">
        <v>0</v>
      </c>
      <c r="G215" s="100">
        <v>0</v>
      </c>
      <c r="H215" s="100">
        <v>5586747.4299999997</v>
      </c>
      <c r="I215" s="100">
        <v>5586747.4299999997</v>
      </c>
      <c r="J215" s="101">
        <v>0</v>
      </c>
      <c r="K215" s="100">
        <v>3437914.8499999959</v>
      </c>
      <c r="L215" s="100">
        <v>97768.08</v>
      </c>
      <c r="M215" s="100">
        <v>0</v>
      </c>
      <c r="N215" s="100">
        <v>0</v>
      </c>
      <c r="O215" s="108"/>
      <c r="P215" s="100">
        <v>0</v>
      </c>
      <c r="Q215" s="108"/>
      <c r="R215" s="100">
        <v>0</v>
      </c>
      <c r="S215" s="100">
        <v>0</v>
      </c>
      <c r="T215" s="100">
        <v>0</v>
      </c>
      <c r="U215" s="100">
        <v>3535682.929999996</v>
      </c>
      <c r="V215" s="100">
        <v>3486798.89</v>
      </c>
      <c r="W215" s="101">
        <v>0</v>
      </c>
      <c r="X215" s="91">
        <v>1.7500000000000002E-2</v>
      </c>
    </row>
    <row r="216" spans="1:24" x14ac:dyDescent="0.3">
      <c r="A216" s="71">
        <v>34585</v>
      </c>
      <c r="B216" s="87" t="s">
        <v>448</v>
      </c>
      <c r="C216" s="100">
        <v>5489268.9800000014</v>
      </c>
      <c r="D216" s="100">
        <v>0</v>
      </c>
      <c r="E216" s="100">
        <v>0</v>
      </c>
      <c r="F216" s="100">
        <v>0</v>
      </c>
      <c r="G216" s="100">
        <v>0</v>
      </c>
      <c r="H216" s="100">
        <v>5489268.9800000014</v>
      </c>
      <c r="I216" s="100">
        <v>5489268.9800000004</v>
      </c>
      <c r="J216" s="101">
        <v>0</v>
      </c>
      <c r="K216" s="100">
        <v>3413552.0199999972</v>
      </c>
      <c r="L216" s="100">
        <v>93866.52</v>
      </c>
      <c r="M216" s="100">
        <v>0</v>
      </c>
      <c r="N216" s="100">
        <v>0</v>
      </c>
      <c r="O216" s="108"/>
      <c r="P216" s="100">
        <v>0</v>
      </c>
      <c r="Q216" s="108"/>
      <c r="R216" s="100">
        <v>0</v>
      </c>
      <c r="S216" s="100">
        <v>0</v>
      </c>
      <c r="T216" s="100">
        <v>0</v>
      </c>
      <c r="U216" s="100">
        <v>3507418.5399999972</v>
      </c>
      <c r="V216" s="100">
        <v>3460485.28</v>
      </c>
      <c r="W216" s="101">
        <v>0</v>
      </c>
      <c r="X216" s="91">
        <v>1.7100000000000001E-2</v>
      </c>
    </row>
    <row r="217" spans="1:24" x14ac:dyDescent="0.3">
      <c r="A217" s="71">
        <v>34586</v>
      </c>
      <c r="B217" s="87" t="s">
        <v>449</v>
      </c>
      <c r="C217" s="100">
        <v>18338595.009999998</v>
      </c>
      <c r="D217" s="100">
        <v>0</v>
      </c>
      <c r="E217" s="100">
        <v>0</v>
      </c>
      <c r="F217" s="100">
        <v>0</v>
      </c>
      <c r="G217" s="100">
        <v>0</v>
      </c>
      <c r="H217" s="100">
        <v>18338595.009999998</v>
      </c>
      <c r="I217" s="100">
        <v>18338595.010000002</v>
      </c>
      <c r="J217" s="101">
        <v>0</v>
      </c>
      <c r="K217" s="100">
        <v>4565338.5300000021</v>
      </c>
      <c r="L217" s="100">
        <v>557493.24</v>
      </c>
      <c r="M217" s="100">
        <v>0</v>
      </c>
      <c r="N217" s="100">
        <v>0</v>
      </c>
      <c r="O217" s="108"/>
      <c r="P217" s="100">
        <v>0</v>
      </c>
      <c r="Q217" s="108"/>
      <c r="R217" s="100">
        <v>0</v>
      </c>
      <c r="S217" s="100">
        <v>0</v>
      </c>
      <c r="T217" s="100">
        <v>0</v>
      </c>
      <c r="U217" s="100">
        <v>5122831.7700000023</v>
      </c>
      <c r="V217" s="100">
        <v>4844085.1500000004</v>
      </c>
      <c r="W217" s="101">
        <v>0</v>
      </c>
      <c r="X217" s="91">
        <v>3.04E-2</v>
      </c>
    </row>
    <row r="218" spans="1:24" x14ac:dyDescent="0.3">
      <c r="A218" s="71">
        <v>34598</v>
      </c>
      <c r="B218" s="87" t="s">
        <v>450</v>
      </c>
      <c r="C218" s="100">
        <v>0</v>
      </c>
      <c r="D218" s="100">
        <v>0</v>
      </c>
      <c r="E218" s="100">
        <v>0</v>
      </c>
      <c r="F218" s="100">
        <v>0</v>
      </c>
      <c r="G218" s="100">
        <v>0</v>
      </c>
      <c r="H218" s="100">
        <v>0</v>
      </c>
      <c r="I218" s="100">
        <v>0</v>
      </c>
      <c r="J218" s="101">
        <v>0</v>
      </c>
      <c r="K218" s="100">
        <v>0</v>
      </c>
      <c r="L218" s="100">
        <v>0</v>
      </c>
      <c r="M218" s="100">
        <v>0</v>
      </c>
      <c r="N218" s="100">
        <v>0</v>
      </c>
      <c r="O218" s="108"/>
      <c r="P218" s="100">
        <v>0</v>
      </c>
      <c r="Q218" s="108"/>
      <c r="R218" s="100">
        <v>0</v>
      </c>
      <c r="S218" s="100">
        <v>0</v>
      </c>
      <c r="T218" s="100">
        <v>0</v>
      </c>
      <c r="U218" s="100">
        <v>0</v>
      </c>
      <c r="V218" s="100">
        <v>0</v>
      </c>
      <c r="W218" s="101">
        <v>0</v>
      </c>
      <c r="X218" s="91">
        <v>3.3300000000000003E-2</v>
      </c>
    </row>
    <row r="219" spans="1:24" x14ac:dyDescent="0.3">
      <c r="A219" s="71">
        <v>34599</v>
      </c>
      <c r="B219" s="87" t="s">
        <v>451</v>
      </c>
      <c r="C219" s="100">
        <v>324613475.78000015</v>
      </c>
      <c r="D219" s="100">
        <v>0</v>
      </c>
      <c r="E219" s="100">
        <v>0</v>
      </c>
      <c r="F219" s="100">
        <v>0</v>
      </c>
      <c r="G219" s="100">
        <v>0</v>
      </c>
      <c r="H219" s="100">
        <v>324613475.78000015</v>
      </c>
      <c r="I219" s="100">
        <v>324613475.77999997</v>
      </c>
      <c r="J219" s="101">
        <v>0</v>
      </c>
      <c r="K219" s="100">
        <v>37445332.689999998</v>
      </c>
      <c r="L219" s="100">
        <v>10971935.52</v>
      </c>
      <c r="M219" s="100">
        <v>0</v>
      </c>
      <c r="N219" s="100">
        <v>0</v>
      </c>
      <c r="O219" s="108"/>
      <c r="P219" s="100">
        <v>0</v>
      </c>
      <c r="Q219" s="108"/>
      <c r="R219" s="100">
        <v>0</v>
      </c>
      <c r="S219" s="100">
        <v>0</v>
      </c>
      <c r="T219" s="100">
        <v>0</v>
      </c>
      <c r="U219" s="100">
        <v>48417268.209999993</v>
      </c>
      <c r="V219" s="100">
        <v>42931300.450000003</v>
      </c>
      <c r="W219" s="101">
        <v>0</v>
      </c>
      <c r="X219" s="91">
        <v>3.3799999999999997E-2</v>
      </c>
    </row>
    <row r="220" spans="1:24" x14ac:dyDescent="0.3">
      <c r="A220" s="71">
        <v>34620</v>
      </c>
      <c r="B220" s="87" t="s">
        <v>452</v>
      </c>
      <c r="C220" s="100">
        <v>0</v>
      </c>
      <c r="D220" s="100">
        <v>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1">
        <v>0</v>
      </c>
      <c r="K220" s="100">
        <v>0</v>
      </c>
      <c r="L220" s="100">
        <v>0</v>
      </c>
      <c r="M220" s="100">
        <v>0</v>
      </c>
      <c r="N220" s="100">
        <v>0</v>
      </c>
      <c r="O220" s="108"/>
      <c r="P220" s="100">
        <v>0</v>
      </c>
      <c r="Q220" s="108"/>
      <c r="R220" s="100">
        <v>0</v>
      </c>
      <c r="S220" s="100">
        <v>0</v>
      </c>
      <c r="T220" s="100">
        <v>0</v>
      </c>
      <c r="U220" s="100">
        <v>0</v>
      </c>
      <c r="V220" s="100">
        <v>0</v>
      </c>
      <c r="W220" s="101">
        <v>0</v>
      </c>
      <c r="X220" s="91">
        <v>2.9700000000000001E-2</v>
      </c>
    </row>
    <row r="221" spans="1:24" x14ac:dyDescent="0.3">
      <c r="A221" s="71">
        <v>34628</v>
      </c>
      <c r="B221" s="87" t="s">
        <v>453</v>
      </c>
      <c r="C221" s="100">
        <v>0</v>
      </c>
      <c r="D221" s="100">
        <v>0</v>
      </c>
      <c r="E221" s="100">
        <v>0</v>
      </c>
      <c r="F221" s="100">
        <v>0</v>
      </c>
      <c r="G221" s="100">
        <v>0</v>
      </c>
      <c r="H221" s="100">
        <v>0</v>
      </c>
      <c r="I221" s="100">
        <v>0</v>
      </c>
      <c r="J221" s="101">
        <v>0</v>
      </c>
      <c r="K221" s="100">
        <v>0</v>
      </c>
      <c r="L221" s="100">
        <v>0</v>
      </c>
      <c r="M221" s="100">
        <v>0</v>
      </c>
      <c r="N221" s="100">
        <v>0</v>
      </c>
      <c r="O221" s="108"/>
      <c r="P221" s="100">
        <v>0</v>
      </c>
      <c r="Q221" s="108"/>
      <c r="R221" s="100">
        <v>0</v>
      </c>
      <c r="S221" s="100">
        <v>0</v>
      </c>
      <c r="T221" s="100">
        <v>0</v>
      </c>
      <c r="U221" s="100">
        <v>0</v>
      </c>
      <c r="V221" s="100">
        <v>0</v>
      </c>
      <c r="W221" s="101">
        <v>0</v>
      </c>
      <c r="X221" s="91">
        <v>0</v>
      </c>
    </row>
    <row r="222" spans="1:24" x14ac:dyDescent="0.3">
      <c r="A222" s="71">
        <v>34630</v>
      </c>
      <c r="B222" s="87" t="s">
        <v>454</v>
      </c>
      <c r="C222" s="100">
        <v>11491776.410000002</v>
      </c>
      <c r="D222" s="100">
        <v>0</v>
      </c>
      <c r="E222" s="100">
        <v>0</v>
      </c>
      <c r="F222" s="100">
        <v>0</v>
      </c>
      <c r="G222" s="100">
        <v>0</v>
      </c>
      <c r="H222" s="100">
        <v>11491776.410000002</v>
      </c>
      <c r="I222" s="100">
        <v>11491776.41</v>
      </c>
      <c r="J222" s="101">
        <v>0</v>
      </c>
      <c r="K222" s="100">
        <v>5402366.7299999995</v>
      </c>
      <c r="L222" s="100">
        <v>374631.96</v>
      </c>
      <c r="M222" s="100">
        <v>0</v>
      </c>
      <c r="N222" s="100">
        <v>0</v>
      </c>
      <c r="O222" s="108"/>
      <c r="P222" s="100">
        <v>0</v>
      </c>
      <c r="Q222" s="108"/>
      <c r="R222" s="100">
        <v>0</v>
      </c>
      <c r="S222" s="100">
        <v>0</v>
      </c>
      <c r="T222" s="100">
        <v>0</v>
      </c>
      <c r="U222" s="100">
        <v>5776998.6899999995</v>
      </c>
      <c r="V222" s="100">
        <v>5589682.71</v>
      </c>
      <c r="W222" s="101">
        <v>0</v>
      </c>
      <c r="X222" s="91">
        <v>3.2599999999999997E-2</v>
      </c>
    </row>
    <row r="223" spans="1:24" x14ac:dyDescent="0.3">
      <c r="A223" s="71">
        <v>34631</v>
      </c>
      <c r="B223" s="87" t="s">
        <v>455</v>
      </c>
      <c r="C223" s="100">
        <v>1175705.21</v>
      </c>
      <c r="D223" s="100">
        <v>0</v>
      </c>
      <c r="E223" s="100">
        <v>0</v>
      </c>
      <c r="F223" s="100">
        <v>0</v>
      </c>
      <c r="G223" s="100">
        <v>0</v>
      </c>
      <c r="H223" s="100">
        <v>1175705.21</v>
      </c>
      <c r="I223" s="100">
        <v>1175705.21</v>
      </c>
      <c r="J223" s="101">
        <v>0</v>
      </c>
      <c r="K223" s="100">
        <v>673431.15999999887</v>
      </c>
      <c r="L223" s="100">
        <v>50437.8</v>
      </c>
      <c r="M223" s="100">
        <v>0</v>
      </c>
      <c r="N223" s="100">
        <v>0</v>
      </c>
      <c r="O223" s="108"/>
      <c r="P223" s="100">
        <v>0</v>
      </c>
      <c r="Q223" s="108"/>
      <c r="R223" s="100">
        <v>0</v>
      </c>
      <c r="S223" s="100">
        <v>0</v>
      </c>
      <c r="T223" s="100">
        <v>0</v>
      </c>
      <c r="U223" s="100">
        <v>723868.95999999892</v>
      </c>
      <c r="V223" s="100">
        <v>698650.06</v>
      </c>
      <c r="W223" s="101">
        <v>0</v>
      </c>
      <c r="X223" s="91">
        <v>4.2900000000000001E-2</v>
      </c>
    </row>
    <row r="224" spans="1:24" x14ac:dyDescent="0.3">
      <c r="A224" s="71">
        <v>34632</v>
      </c>
      <c r="B224" s="87" t="s">
        <v>456</v>
      </c>
      <c r="C224" s="100">
        <v>1455592.35</v>
      </c>
      <c r="D224" s="100">
        <v>0</v>
      </c>
      <c r="E224" s="100">
        <v>0</v>
      </c>
      <c r="F224" s="100">
        <v>0</v>
      </c>
      <c r="G224" s="100">
        <v>0</v>
      </c>
      <c r="H224" s="100">
        <v>1455592.35</v>
      </c>
      <c r="I224" s="100">
        <v>1455592.35</v>
      </c>
      <c r="J224" s="101">
        <v>0</v>
      </c>
      <c r="K224" s="100">
        <v>853788.74000000022</v>
      </c>
      <c r="L224" s="100">
        <v>60261.48</v>
      </c>
      <c r="M224" s="100">
        <v>0</v>
      </c>
      <c r="N224" s="100">
        <v>0</v>
      </c>
      <c r="O224" s="108"/>
      <c r="P224" s="100">
        <v>0</v>
      </c>
      <c r="Q224" s="108"/>
      <c r="R224" s="100">
        <v>0</v>
      </c>
      <c r="S224" s="100">
        <v>0</v>
      </c>
      <c r="T224" s="100">
        <v>0</v>
      </c>
      <c r="U224" s="100">
        <v>914050.2200000002</v>
      </c>
      <c r="V224" s="100">
        <v>883919.48</v>
      </c>
      <c r="W224" s="101">
        <v>0</v>
      </c>
      <c r="X224" s="91">
        <v>4.1399999999999999E-2</v>
      </c>
    </row>
    <row r="225" spans="1:24" x14ac:dyDescent="0.3">
      <c r="A225" s="71">
        <v>34633</v>
      </c>
      <c r="B225" s="87" t="s">
        <v>457</v>
      </c>
      <c r="C225" s="100">
        <v>904.61</v>
      </c>
      <c r="D225" s="100">
        <v>0</v>
      </c>
      <c r="E225" s="100">
        <v>0</v>
      </c>
      <c r="F225" s="100">
        <v>0</v>
      </c>
      <c r="G225" s="100">
        <v>0</v>
      </c>
      <c r="H225" s="100">
        <v>904.61</v>
      </c>
      <c r="I225" s="100">
        <v>904.61</v>
      </c>
      <c r="J225" s="101">
        <v>0</v>
      </c>
      <c r="K225" s="100">
        <v>486.96000000000009</v>
      </c>
      <c r="L225" s="100">
        <v>25.92</v>
      </c>
      <c r="M225" s="100">
        <v>0</v>
      </c>
      <c r="N225" s="100">
        <v>0</v>
      </c>
      <c r="O225" s="108"/>
      <c r="P225" s="100">
        <v>0</v>
      </c>
      <c r="Q225" s="108"/>
      <c r="R225" s="100">
        <v>0</v>
      </c>
      <c r="S225" s="100">
        <v>0</v>
      </c>
      <c r="T225" s="100">
        <v>0</v>
      </c>
      <c r="U225" s="100">
        <v>512.88000000000011</v>
      </c>
      <c r="V225" s="100">
        <v>499.92</v>
      </c>
      <c r="W225" s="101">
        <v>0</v>
      </c>
      <c r="X225" s="91">
        <v>2.87E-2</v>
      </c>
    </row>
    <row r="226" spans="1:24" x14ac:dyDescent="0.3">
      <c r="A226" s="71">
        <v>34634</v>
      </c>
      <c r="B226" s="87" t="s">
        <v>458</v>
      </c>
      <c r="C226" s="100">
        <v>904.61</v>
      </c>
      <c r="D226" s="100">
        <v>0</v>
      </c>
      <c r="E226" s="100">
        <v>0</v>
      </c>
      <c r="F226" s="100">
        <v>0</v>
      </c>
      <c r="G226" s="100">
        <v>0</v>
      </c>
      <c r="H226" s="100">
        <v>904.61</v>
      </c>
      <c r="I226" s="100">
        <v>904.61</v>
      </c>
      <c r="J226" s="101">
        <v>0</v>
      </c>
      <c r="K226" s="100">
        <v>486.96000000000009</v>
      </c>
      <c r="L226" s="100">
        <v>25.92</v>
      </c>
      <c r="M226" s="100">
        <v>0</v>
      </c>
      <c r="N226" s="100">
        <v>0</v>
      </c>
      <c r="O226" s="108"/>
      <c r="P226" s="100">
        <v>0</v>
      </c>
      <c r="Q226" s="108"/>
      <c r="R226" s="100">
        <v>0</v>
      </c>
      <c r="S226" s="100">
        <v>0</v>
      </c>
      <c r="T226" s="100">
        <v>0</v>
      </c>
      <c r="U226" s="100">
        <v>512.88000000000011</v>
      </c>
      <c r="V226" s="100">
        <v>499.92</v>
      </c>
      <c r="W226" s="101">
        <v>0</v>
      </c>
      <c r="X226" s="91">
        <v>2.87E-2</v>
      </c>
    </row>
    <row r="227" spans="1:24" x14ac:dyDescent="0.3">
      <c r="A227" s="71">
        <v>34635</v>
      </c>
      <c r="B227" s="87" t="s">
        <v>459</v>
      </c>
      <c r="C227" s="100">
        <v>0</v>
      </c>
      <c r="D227" s="100">
        <v>0</v>
      </c>
      <c r="E227" s="100">
        <v>0</v>
      </c>
      <c r="F227" s="100">
        <v>0</v>
      </c>
      <c r="G227" s="100">
        <v>0</v>
      </c>
      <c r="H227" s="100">
        <v>0</v>
      </c>
      <c r="I227" s="100">
        <v>0</v>
      </c>
      <c r="J227" s="101">
        <v>0</v>
      </c>
      <c r="K227" s="100">
        <v>0</v>
      </c>
      <c r="L227" s="100">
        <v>0</v>
      </c>
      <c r="M227" s="100">
        <v>0</v>
      </c>
      <c r="N227" s="100">
        <v>0</v>
      </c>
      <c r="O227" s="108"/>
      <c r="P227" s="100">
        <v>0</v>
      </c>
      <c r="Q227" s="108"/>
      <c r="R227" s="100">
        <v>0</v>
      </c>
      <c r="S227" s="100">
        <v>0</v>
      </c>
      <c r="T227" s="100">
        <v>0</v>
      </c>
      <c r="U227" s="100">
        <v>0</v>
      </c>
      <c r="V227" s="100">
        <v>0</v>
      </c>
      <c r="W227" s="101">
        <v>0</v>
      </c>
      <c r="X227" s="91">
        <v>2.9399999999999999E-2</v>
      </c>
    </row>
    <row r="228" spans="1:24" x14ac:dyDescent="0.3">
      <c r="A228" s="71">
        <v>34636</v>
      </c>
      <c r="B228" s="87" t="s">
        <v>460</v>
      </c>
      <c r="C228" s="100">
        <v>11736.48</v>
      </c>
      <c r="D228" s="100">
        <v>0</v>
      </c>
      <c r="E228" s="100">
        <v>0</v>
      </c>
      <c r="F228" s="100">
        <v>0</v>
      </c>
      <c r="G228" s="100">
        <v>0</v>
      </c>
      <c r="H228" s="100">
        <v>11736.48</v>
      </c>
      <c r="I228" s="100">
        <v>11736.48</v>
      </c>
      <c r="J228" s="101">
        <v>0</v>
      </c>
      <c r="K228" s="100">
        <v>5889.7200000000103</v>
      </c>
      <c r="L228" s="100">
        <v>363.84</v>
      </c>
      <c r="M228" s="100">
        <v>0</v>
      </c>
      <c r="N228" s="100">
        <v>0</v>
      </c>
      <c r="O228" s="108"/>
      <c r="P228" s="100">
        <v>0</v>
      </c>
      <c r="Q228" s="108"/>
      <c r="R228" s="100">
        <v>0</v>
      </c>
      <c r="S228" s="100">
        <v>0</v>
      </c>
      <c r="T228" s="100">
        <v>0</v>
      </c>
      <c r="U228" s="100">
        <v>6253.5600000000104</v>
      </c>
      <c r="V228" s="100">
        <v>6071.64</v>
      </c>
      <c r="W228" s="101">
        <v>0</v>
      </c>
      <c r="X228" s="91">
        <v>3.1E-2</v>
      </c>
    </row>
    <row r="229" spans="1:24" x14ac:dyDescent="0.3">
      <c r="A229" s="71">
        <v>34637</v>
      </c>
      <c r="B229" s="87" t="s">
        <v>461</v>
      </c>
      <c r="C229" s="100">
        <v>268326.1999999999</v>
      </c>
      <c r="D229" s="100">
        <v>0</v>
      </c>
      <c r="E229" s="100">
        <v>-47209.02</v>
      </c>
      <c r="F229" s="100">
        <v>0</v>
      </c>
      <c r="G229" s="100">
        <v>0</v>
      </c>
      <c r="H229" s="100">
        <v>221117.17999999991</v>
      </c>
      <c r="I229" s="100">
        <v>253800.35</v>
      </c>
      <c r="J229" s="101">
        <v>0</v>
      </c>
      <c r="K229" s="100">
        <v>165016.37</v>
      </c>
      <c r="L229" s="100">
        <v>36682.89</v>
      </c>
      <c r="M229" s="100">
        <v>-47209.02</v>
      </c>
      <c r="N229" s="100">
        <v>0</v>
      </c>
      <c r="O229" s="108"/>
      <c r="P229" s="100">
        <v>0</v>
      </c>
      <c r="Q229" s="108"/>
      <c r="R229" s="100">
        <v>0</v>
      </c>
      <c r="S229" s="100">
        <v>0</v>
      </c>
      <c r="T229" s="100">
        <v>0</v>
      </c>
      <c r="U229" s="100">
        <v>154490.24000000002</v>
      </c>
      <c r="V229" s="100">
        <v>169416.17</v>
      </c>
      <c r="W229" s="101">
        <v>0</v>
      </c>
      <c r="X229" s="91">
        <v>0.14300000000000002</v>
      </c>
    </row>
    <row r="230" spans="1:24" x14ac:dyDescent="0.3">
      <c r="A230" s="71">
        <v>34641</v>
      </c>
      <c r="B230" s="87" t="s">
        <v>462</v>
      </c>
      <c r="C230" s="100">
        <v>0</v>
      </c>
      <c r="D230" s="100">
        <v>0</v>
      </c>
      <c r="E230" s="100">
        <v>0</v>
      </c>
      <c r="F230" s="100">
        <v>0</v>
      </c>
      <c r="G230" s="100">
        <v>0</v>
      </c>
      <c r="H230" s="100">
        <v>0</v>
      </c>
      <c r="I230" s="100">
        <v>0</v>
      </c>
      <c r="J230" s="101">
        <v>0</v>
      </c>
      <c r="K230" s="100">
        <v>0</v>
      </c>
      <c r="L230" s="100">
        <v>0</v>
      </c>
      <c r="M230" s="100">
        <v>0</v>
      </c>
      <c r="N230" s="100">
        <v>0</v>
      </c>
      <c r="O230" s="108"/>
      <c r="P230" s="100">
        <v>0</v>
      </c>
      <c r="Q230" s="108"/>
      <c r="R230" s="100">
        <v>0</v>
      </c>
      <c r="S230" s="100">
        <v>0</v>
      </c>
      <c r="T230" s="100">
        <v>0</v>
      </c>
      <c r="U230" s="100">
        <v>0</v>
      </c>
      <c r="V230" s="100">
        <v>0</v>
      </c>
      <c r="W230" s="101">
        <v>0</v>
      </c>
      <c r="X230" s="91">
        <v>0</v>
      </c>
    </row>
    <row r="231" spans="1:24" x14ac:dyDescent="0.3">
      <c r="A231" s="71">
        <v>34643</v>
      </c>
      <c r="B231" s="87" t="s">
        <v>463</v>
      </c>
      <c r="C231" s="100">
        <v>308525.93</v>
      </c>
      <c r="D231" s="100">
        <v>0</v>
      </c>
      <c r="E231" s="100">
        <v>0</v>
      </c>
      <c r="F231" s="100">
        <v>0</v>
      </c>
      <c r="G231" s="100">
        <v>0</v>
      </c>
      <c r="H231" s="100">
        <v>308525.93</v>
      </c>
      <c r="I231" s="100">
        <v>308525.93</v>
      </c>
      <c r="J231" s="101">
        <v>0</v>
      </c>
      <c r="K231" s="100">
        <v>245232.20000000013</v>
      </c>
      <c r="L231" s="100">
        <v>8206.7999999999993</v>
      </c>
      <c r="M231" s="100">
        <v>0</v>
      </c>
      <c r="N231" s="100">
        <v>0</v>
      </c>
      <c r="O231" s="108"/>
      <c r="P231" s="100">
        <v>0</v>
      </c>
      <c r="Q231" s="108"/>
      <c r="R231" s="100">
        <v>0</v>
      </c>
      <c r="S231" s="100">
        <v>0</v>
      </c>
      <c r="T231" s="100">
        <v>0</v>
      </c>
      <c r="U231" s="100">
        <v>253439.00000000012</v>
      </c>
      <c r="V231" s="100">
        <v>249335.6</v>
      </c>
      <c r="W231" s="101">
        <v>0</v>
      </c>
      <c r="X231" s="91">
        <v>2.6600000000000002E-2</v>
      </c>
    </row>
    <row r="232" spans="1:24" x14ac:dyDescent="0.3">
      <c r="A232" s="71">
        <v>34644</v>
      </c>
      <c r="B232" s="87" t="s">
        <v>464</v>
      </c>
      <c r="C232" s="100">
        <v>510664.71</v>
      </c>
      <c r="D232" s="100">
        <v>0</v>
      </c>
      <c r="E232" s="100">
        <v>0</v>
      </c>
      <c r="F232" s="100">
        <v>0</v>
      </c>
      <c r="G232" s="100">
        <v>0</v>
      </c>
      <c r="H232" s="100">
        <v>510664.71</v>
      </c>
      <c r="I232" s="100">
        <v>510664.71</v>
      </c>
      <c r="J232" s="101">
        <v>0</v>
      </c>
      <c r="K232" s="100">
        <v>252986.53999999998</v>
      </c>
      <c r="L232" s="100">
        <v>15983.76</v>
      </c>
      <c r="M232" s="100">
        <v>0</v>
      </c>
      <c r="N232" s="100">
        <v>0</v>
      </c>
      <c r="O232" s="108"/>
      <c r="P232" s="100">
        <v>0</v>
      </c>
      <c r="Q232" s="108"/>
      <c r="R232" s="100">
        <v>0</v>
      </c>
      <c r="S232" s="100">
        <v>0</v>
      </c>
      <c r="T232" s="100">
        <v>0</v>
      </c>
      <c r="U232" s="100">
        <v>268970.3</v>
      </c>
      <c r="V232" s="100">
        <v>260978.42</v>
      </c>
      <c r="W232" s="101">
        <v>0</v>
      </c>
      <c r="X232" s="91">
        <v>3.1300000000000001E-2</v>
      </c>
    </row>
    <row r="233" spans="1:24" x14ac:dyDescent="0.3">
      <c r="A233" s="71">
        <v>34645</v>
      </c>
      <c r="B233" s="87" t="s">
        <v>465</v>
      </c>
      <c r="C233" s="100">
        <v>0</v>
      </c>
      <c r="D233" s="100">
        <v>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1">
        <v>0</v>
      </c>
      <c r="K233" s="100">
        <v>0</v>
      </c>
      <c r="L233" s="100">
        <v>0</v>
      </c>
      <c r="M233" s="100">
        <v>0</v>
      </c>
      <c r="N233" s="100">
        <v>0</v>
      </c>
      <c r="O233" s="108"/>
      <c r="P233" s="100">
        <v>0</v>
      </c>
      <c r="Q233" s="108"/>
      <c r="R233" s="100">
        <v>0</v>
      </c>
      <c r="S233" s="100">
        <v>0</v>
      </c>
      <c r="T233" s="100">
        <v>0</v>
      </c>
      <c r="U233" s="100">
        <v>0</v>
      </c>
      <c r="V233" s="100">
        <v>0</v>
      </c>
      <c r="W233" s="101">
        <v>0</v>
      </c>
      <c r="X233" s="91">
        <v>2.9399999999999999E-2</v>
      </c>
    </row>
    <row r="234" spans="1:24" x14ac:dyDescent="0.3">
      <c r="A234" s="71">
        <v>34646</v>
      </c>
      <c r="B234" s="87" t="s">
        <v>466</v>
      </c>
      <c r="C234" s="100">
        <v>0</v>
      </c>
      <c r="D234" s="100">
        <v>0</v>
      </c>
      <c r="E234" s="100">
        <v>0</v>
      </c>
      <c r="F234" s="100">
        <v>0</v>
      </c>
      <c r="G234" s="100">
        <v>0</v>
      </c>
      <c r="H234" s="100">
        <v>0</v>
      </c>
      <c r="I234" s="100">
        <v>0</v>
      </c>
      <c r="J234" s="101">
        <v>0</v>
      </c>
      <c r="K234" s="100">
        <v>0</v>
      </c>
      <c r="L234" s="100">
        <v>0</v>
      </c>
      <c r="M234" s="100">
        <v>0</v>
      </c>
      <c r="N234" s="100">
        <v>0</v>
      </c>
      <c r="O234" s="108"/>
      <c r="P234" s="100">
        <v>0</v>
      </c>
      <c r="Q234" s="108"/>
      <c r="R234" s="100">
        <v>0</v>
      </c>
      <c r="S234" s="100">
        <v>0</v>
      </c>
      <c r="T234" s="100">
        <v>0</v>
      </c>
      <c r="U234" s="100">
        <v>0</v>
      </c>
      <c r="V234" s="100">
        <v>0</v>
      </c>
      <c r="W234" s="101">
        <v>0</v>
      </c>
      <c r="X234" s="91">
        <v>2.9399999999999999E-2</v>
      </c>
    </row>
    <row r="235" spans="1:24" x14ac:dyDescent="0.3">
      <c r="A235" s="71">
        <v>34680</v>
      </c>
      <c r="B235" s="87" t="s">
        <v>467</v>
      </c>
      <c r="C235" s="100">
        <v>1259507.78</v>
      </c>
      <c r="D235" s="100">
        <v>0</v>
      </c>
      <c r="E235" s="100">
        <v>0</v>
      </c>
      <c r="F235" s="100">
        <v>0</v>
      </c>
      <c r="G235" s="100">
        <v>0</v>
      </c>
      <c r="H235" s="100">
        <v>1259507.78</v>
      </c>
      <c r="I235" s="100">
        <v>1259507.78</v>
      </c>
      <c r="J235" s="101">
        <v>0</v>
      </c>
      <c r="K235" s="100">
        <v>68357.699999999968</v>
      </c>
      <c r="L235" s="100">
        <v>58818.96</v>
      </c>
      <c r="M235" s="100">
        <v>0</v>
      </c>
      <c r="N235" s="100">
        <v>0</v>
      </c>
      <c r="O235" s="108"/>
      <c r="P235" s="100">
        <v>0</v>
      </c>
      <c r="Q235" s="108"/>
      <c r="R235" s="100">
        <v>0</v>
      </c>
      <c r="S235" s="100">
        <v>0</v>
      </c>
      <c r="T235" s="100">
        <v>0</v>
      </c>
      <c r="U235" s="100">
        <v>127176.65999999997</v>
      </c>
      <c r="V235" s="100">
        <v>97767.18</v>
      </c>
      <c r="W235" s="101">
        <v>0</v>
      </c>
      <c r="X235" s="91">
        <v>4.6699999999999998E-2</v>
      </c>
    </row>
    <row r="236" spans="1:24" x14ac:dyDescent="0.3">
      <c r="A236" s="71">
        <v>34681</v>
      </c>
      <c r="B236" s="87" t="s">
        <v>468</v>
      </c>
      <c r="C236" s="100">
        <v>6717060.589999998</v>
      </c>
      <c r="D236" s="100">
        <v>0</v>
      </c>
      <c r="E236" s="100">
        <v>0</v>
      </c>
      <c r="F236" s="100">
        <v>0</v>
      </c>
      <c r="G236" s="100">
        <v>0</v>
      </c>
      <c r="H236" s="100">
        <v>6717060.589999998</v>
      </c>
      <c r="I236" s="100">
        <v>6717060.5899999999</v>
      </c>
      <c r="J236" s="101">
        <v>0</v>
      </c>
      <c r="K236" s="100">
        <v>2936532.67</v>
      </c>
      <c r="L236" s="100">
        <v>354660.84</v>
      </c>
      <c r="M236" s="100">
        <v>0</v>
      </c>
      <c r="N236" s="100">
        <v>0</v>
      </c>
      <c r="O236" s="108"/>
      <c r="P236" s="100">
        <v>0</v>
      </c>
      <c r="Q236" s="108"/>
      <c r="R236" s="100">
        <v>0</v>
      </c>
      <c r="S236" s="100">
        <v>0</v>
      </c>
      <c r="T236" s="100">
        <v>0</v>
      </c>
      <c r="U236" s="100">
        <v>3291193.51</v>
      </c>
      <c r="V236" s="100">
        <v>3113863.09</v>
      </c>
      <c r="W236" s="101">
        <v>0</v>
      </c>
      <c r="X236" s="91">
        <v>5.28E-2</v>
      </c>
    </row>
    <row r="237" spans="1:24" x14ac:dyDescent="0.3">
      <c r="A237" s="71">
        <v>34682</v>
      </c>
      <c r="B237" s="87" t="s">
        <v>469</v>
      </c>
      <c r="C237" s="100">
        <v>173209.90999999997</v>
      </c>
      <c r="D237" s="100">
        <v>0</v>
      </c>
      <c r="E237" s="100">
        <v>0</v>
      </c>
      <c r="F237" s="100">
        <v>0</v>
      </c>
      <c r="G237" s="100">
        <v>0</v>
      </c>
      <c r="H237" s="100">
        <v>173209.90999999997</v>
      </c>
      <c r="I237" s="100">
        <v>173209.91</v>
      </c>
      <c r="J237" s="101">
        <v>0</v>
      </c>
      <c r="K237" s="100">
        <v>139897.27000000016</v>
      </c>
      <c r="L237" s="100">
        <v>2598.12</v>
      </c>
      <c r="M237" s="100">
        <v>0</v>
      </c>
      <c r="N237" s="100">
        <v>0</v>
      </c>
      <c r="O237" s="108"/>
      <c r="P237" s="100">
        <v>0</v>
      </c>
      <c r="Q237" s="108"/>
      <c r="R237" s="100">
        <v>0</v>
      </c>
      <c r="S237" s="100">
        <v>0</v>
      </c>
      <c r="T237" s="100">
        <v>0</v>
      </c>
      <c r="U237" s="100">
        <v>142495.39000000016</v>
      </c>
      <c r="V237" s="100">
        <v>141196.32999999999</v>
      </c>
      <c r="W237" s="101">
        <v>0</v>
      </c>
      <c r="X237" s="91">
        <v>1.4999999999999999E-2</v>
      </c>
    </row>
    <row r="238" spans="1:24" x14ac:dyDescent="0.3">
      <c r="A238" s="71">
        <v>34683</v>
      </c>
      <c r="B238" s="87" t="s">
        <v>470</v>
      </c>
      <c r="C238" s="100">
        <v>432910.42</v>
      </c>
      <c r="D238" s="100">
        <v>0</v>
      </c>
      <c r="E238" s="100">
        <v>0</v>
      </c>
      <c r="F238" s="100">
        <v>0</v>
      </c>
      <c r="G238" s="100">
        <v>0</v>
      </c>
      <c r="H238" s="100">
        <v>432910.42</v>
      </c>
      <c r="I238" s="100">
        <v>432910.42</v>
      </c>
      <c r="J238" s="101">
        <v>0</v>
      </c>
      <c r="K238" s="100">
        <v>283696.63999999966</v>
      </c>
      <c r="L238" s="100">
        <v>10563</v>
      </c>
      <c r="M238" s="100">
        <v>0</v>
      </c>
      <c r="N238" s="100">
        <v>0</v>
      </c>
      <c r="O238" s="108"/>
      <c r="P238" s="100">
        <v>0</v>
      </c>
      <c r="Q238" s="108"/>
      <c r="R238" s="100">
        <v>0</v>
      </c>
      <c r="S238" s="100">
        <v>0</v>
      </c>
      <c r="T238" s="100">
        <v>0</v>
      </c>
      <c r="U238" s="100">
        <v>294259.63999999966</v>
      </c>
      <c r="V238" s="100">
        <v>288978.14</v>
      </c>
      <c r="W238" s="101">
        <v>0</v>
      </c>
      <c r="X238" s="91">
        <v>2.4399999999999998E-2</v>
      </c>
    </row>
    <row r="239" spans="1:24" x14ac:dyDescent="0.3">
      <c r="A239" s="71">
        <v>34684</v>
      </c>
      <c r="B239" s="87" t="s">
        <v>471</v>
      </c>
      <c r="C239" s="100">
        <v>0</v>
      </c>
      <c r="D239" s="100">
        <v>0</v>
      </c>
      <c r="E239" s="100">
        <v>0</v>
      </c>
      <c r="F239" s="100">
        <v>0</v>
      </c>
      <c r="G239" s="100">
        <v>0</v>
      </c>
      <c r="H239" s="100">
        <v>0</v>
      </c>
      <c r="I239" s="100">
        <v>0</v>
      </c>
      <c r="J239" s="101">
        <v>0</v>
      </c>
      <c r="K239" s="100">
        <v>0</v>
      </c>
      <c r="L239" s="100">
        <v>0</v>
      </c>
      <c r="M239" s="100">
        <v>0</v>
      </c>
      <c r="N239" s="100">
        <v>0</v>
      </c>
      <c r="O239" s="108"/>
      <c r="P239" s="100">
        <v>0</v>
      </c>
      <c r="Q239" s="108"/>
      <c r="R239" s="100">
        <v>0</v>
      </c>
      <c r="S239" s="100">
        <v>0</v>
      </c>
      <c r="T239" s="100">
        <v>0</v>
      </c>
      <c r="U239" s="100">
        <v>0</v>
      </c>
      <c r="V239" s="100">
        <v>0</v>
      </c>
      <c r="W239" s="101">
        <v>0</v>
      </c>
      <c r="X239" s="91">
        <v>2.9399999999999999E-2</v>
      </c>
    </row>
    <row r="240" spans="1:24" x14ac:dyDescent="0.3">
      <c r="A240" s="71">
        <v>34685</v>
      </c>
      <c r="B240" s="87" t="s">
        <v>472</v>
      </c>
      <c r="C240" s="100">
        <v>0</v>
      </c>
      <c r="D240" s="100">
        <v>0</v>
      </c>
      <c r="E240" s="100">
        <v>0</v>
      </c>
      <c r="F240" s="100">
        <v>0</v>
      </c>
      <c r="G240" s="100">
        <v>0</v>
      </c>
      <c r="H240" s="100">
        <v>0</v>
      </c>
      <c r="I240" s="100">
        <v>0</v>
      </c>
      <c r="J240" s="101">
        <v>0</v>
      </c>
      <c r="K240" s="100">
        <v>0</v>
      </c>
      <c r="L240" s="100">
        <v>0</v>
      </c>
      <c r="M240" s="100">
        <v>0</v>
      </c>
      <c r="N240" s="100">
        <v>0</v>
      </c>
      <c r="O240" s="108"/>
      <c r="P240" s="100">
        <v>0</v>
      </c>
      <c r="Q240" s="108"/>
      <c r="R240" s="100">
        <v>0</v>
      </c>
      <c r="S240" s="100">
        <v>0</v>
      </c>
      <c r="T240" s="100">
        <v>0</v>
      </c>
      <c r="U240" s="100">
        <v>0</v>
      </c>
      <c r="V240" s="100">
        <v>0</v>
      </c>
      <c r="W240" s="101">
        <v>0</v>
      </c>
      <c r="X240" s="91">
        <v>2.9399999999999999E-2</v>
      </c>
    </row>
    <row r="241" spans="1:24" x14ac:dyDescent="0.3">
      <c r="A241" s="71">
        <v>34686</v>
      </c>
      <c r="B241" s="87" t="s">
        <v>473</v>
      </c>
      <c r="C241" s="100">
        <v>141626.41</v>
      </c>
      <c r="D241" s="100">
        <v>0</v>
      </c>
      <c r="E241" s="100">
        <v>0</v>
      </c>
      <c r="F241" s="100">
        <v>0</v>
      </c>
      <c r="G241" s="100">
        <v>0</v>
      </c>
      <c r="H241" s="100">
        <v>141626.41</v>
      </c>
      <c r="I241" s="100">
        <v>141626.41</v>
      </c>
      <c r="J241" s="101">
        <v>0</v>
      </c>
      <c r="K241" s="100">
        <v>30886.060000000027</v>
      </c>
      <c r="L241" s="100">
        <v>5254.32</v>
      </c>
      <c r="M241" s="100">
        <v>0</v>
      </c>
      <c r="N241" s="100">
        <v>0</v>
      </c>
      <c r="O241" s="108"/>
      <c r="P241" s="100">
        <v>0</v>
      </c>
      <c r="Q241" s="108"/>
      <c r="R241" s="100">
        <v>0</v>
      </c>
      <c r="S241" s="100">
        <v>0</v>
      </c>
      <c r="T241" s="100">
        <v>0</v>
      </c>
      <c r="U241" s="100">
        <v>36140.380000000026</v>
      </c>
      <c r="V241" s="100">
        <v>33513.22</v>
      </c>
      <c r="W241" s="101">
        <v>0</v>
      </c>
      <c r="X241" s="91">
        <v>3.7100000000000001E-2</v>
      </c>
    </row>
    <row r="242" spans="1:24" x14ac:dyDescent="0.3">
      <c r="A242" s="71">
        <v>34687</v>
      </c>
      <c r="B242" s="87" t="s">
        <v>474</v>
      </c>
      <c r="C242" s="100">
        <v>2111959.9400000004</v>
      </c>
      <c r="D242" s="100">
        <v>0</v>
      </c>
      <c r="E242" s="100">
        <v>0</v>
      </c>
      <c r="F242" s="100">
        <v>0</v>
      </c>
      <c r="G242" s="100">
        <v>0</v>
      </c>
      <c r="H242" s="100">
        <v>2111959.9400000004</v>
      </c>
      <c r="I242" s="100">
        <v>2111959.94</v>
      </c>
      <c r="J242" s="101">
        <v>0</v>
      </c>
      <c r="K242" s="100">
        <v>1086892.4700000002</v>
      </c>
      <c r="L242" s="100">
        <v>302010.23999999999</v>
      </c>
      <c r="M242" s="100">
        <v>0</v>
      </c>
      <c r="N242" s="100">
        <v>0</v>
      </c>
      <c r="O242" s="108"/>
      <c r="P242" s="100">
        <v>0</v>
      </c>
      <c r="Q242" s="108"/>
      <c r="R242" s="100">
        <v>0</v>
      </c>
      <c r="S242" s="100">
        <v>0</v>
      </c>
      <c r="T242" s="100">
        <v>0</v>
      </c>
      <c r="U242" s="100">
        <v>1388902.7100000002</v>
      </c>
      <c r="V242" s="100">
        <v>1237897.5900000001</v>
      </c>
      <c r="W242" s="101">
        <v>0</v>
      </c>
      <c r="X242" s="91">
        <v>0.14300000000000002</v>
      </c>
    </row>
    <row r="243" spans="1:24" x14ac:dyDescent="0.3">
      <c r="A243" s="71">
        <v>34700</v>
      </c>
      <c r="B243" s="87" t="s">
        <v>475</v>
      </c>
      <c r="C243" s="100">
        <v>12376233.219999999</v>
      </c>
      <c r="D243" s="100">
        <v>0</v>
      </c>
      <c r="E243" s="100">
        <v>0</v>
      </c>
      <c r="F243" s="100">
        <v>0</v>
      </c>
      <c r="G243" s="100">
        <v>0</v>
      </c>
      <c r="H243" s="100">
        <v>12376233.219999999</v>
      </c>
      <c r="I243" s="100">
        <v>12376233.220000001</v>
      </c>
      <c r="J243" s="101">
        <v>0</v>
      </c>
      <c r="K243" s="100">
        <v>1980782.0799999989</v>
      </c>
      <c r="L243" s="100">
        <v>420791.88</v>
      </c>
      <c r="M243" s="100">
        <v>0</v>
      </c>
      <c r="N243" s="100">
        <v>0</v>
      </c>
      <c r="O243" s="108"/>
      <c r="P243" s="100">
        <v>0</v>
      </c>
      <c r="Q243" s="108"/>
      <c r="R243" s="100">
        <v>0</v>
      </c>
      <c r="S243" s="100">
        <v>0</v>
      </c>
      <c r="T243" s="100">
        <v>0</v>
      </c>
      <c r="U243" s="100">
        <v>2401573.959999999</v>
      </c>
      <c r="V243" s="100">
        <v>2191178.02</v>
      </c>
      <c r="W243" s="101">
        <v>0</v>
      </c>
      <c r="X243" s="91">
        <v>3.4000000000000002E-2</v>
      </c>
    </row>
    <row r="244" spans="1:24" x14ac:dyDescent="0.3">
      <c r="A244" s="71">
        <v>34300</v>
      </c>
      <c r="B244" s="87" t="s">
        <v>476</v>
      </c>
      <c r="C244" s="100">
        <v>0</v>
      </c>
      <c r="D244" s="100">
        <v>0</v>
      </c>
      <c r="E244" s="100">
        <v>0</v>
      </c>
      <c r="F244" s="100">
        <v>0</v>
      </c>
      <c r="G244" s="100">
        <v>0</v>
      </c>
      <c r="H244" s="100">
        <v>0</v>
      </c>
      <c r="I244" s="100">
        <v>0</v>
      </c>
      <c r="J244" s="101">
        <v>0</v>
      </c>
      <c r="K244" s="100">
        <v>0</v>
      </c>
      <c r="L244" s="100">
        <v>0</v>
      </c>
      <c r="M244" s="100">
        <v>0</v>
      </c>
      <c r="N244" s="100">
        <v>0</v>
      </c>
      <c r="O244" s="108"/>
      <c r="P244" s="100">
        <v>0</v>
      </c>
      <c r="Q244" s="108"/>
      <c r="R244" s="100">
        <v>0</v>
      </c>
      <c r="S244" s="100">
        <v>0</v>
      </c>
      <c r="T244" s="100">
        <v>0</v>
      </c>
      <c r="U244" s="100">
        <v>0</v>
      </c>
      <c r="V244" s="100">
        <v>0</v>
      </c>
      <c r="W244" s="101">
        <v>0</v>
      </c>
      <c r="X244" s="91">
        <v>3.3000000000000002E-2</v>
      </c>
    </row>
    <row r="245" spans="1:24" x14ac:dyDescent="0.3">
      <c r="A245" s="71">
        <v>34800</v>
      </c>
      <c r="B245" s="87" t="s">
        <v>477</v>
      </c>
      <c r="C245" s="100">
        <v>0</v>
      </c>
      <c r="D245" s="100">
        <v>0</v>
      </c>
      <c r="E245" s="100">
        <v>0</v>
      </c>
      <c r="F245" s="100">
        <v>0</v>
      </c>
      <c r="G245" s="100">
        <v>0</v>
      </c>
      <c r="H245" s="100">
        <v>0</v>
      </c>
      <c r="I245" s="100">
        <v>0</v>
      </c>
      <c r="J245" s="101">
        <v>0</v>
      </c>
      <c r="K245" s="100">
        <v>0</v>
      </c>
      <c r="L245" s="100">
        <v>0</v>
      </c>
      <c r="M245" s="100">
        <v>0</v>
      </c>
      <c r="N245" s="100">
        <v>0</v>
      </c>
      <c r="O245" s="108"/>
      <c r="P245" s="100">
        <v>0</v>
      </c>
      <c r="Q245" s="108"/>
      <c r="R245" s="100">
        <v>0</v>
      </c>
      <c r="S245" s="100">
        <v>0</v>
      </c>
      <c r="T245" s="100">
        <v>0</v>
      </c>
      <c r="U245" s="100">
        <v>0</v>
      </c>
      <c r="V245" s="100">
        <v>0</v>
      </c>
      <c r="W245" s="101">
        <v>0</v>
      </c>
      <c r="X245" s="91">
        <v>0.1</v>
      </c>
    </row>
    <row r="246" spans="1:24" x14ac:dyDescent="0.3">
      <c r="A246" s="71">
        <v>34820</v>
      </c>
      <c r="B246" s="87" t="s">
        <v>478</v>
      </c>
      <c r="C246" s="100">
        <v>0</v>
      </c>
      <c r="D246" s="100">
        <v>32203865.48</v>
      </c>
      <c r="E246" s="100">
        <v>0</v>
      </c>
      <c r="F246" s="100">
        <v>0</v>
      </c>
      <c r="G246" s="100">
        <v>0</v>
      </c>
      <c r="H246" s="100">
        <v>32203865.48</v>
      </c>
      <c r="I246" s="100">
        <v>20609769.649999999</v>
      </c>
      <c r="J246" s="101">
        <v>0</v>
      </c>
      <c r="K246" s="100">
        <v>0</v>
      </c>
      <c r="L246" s="100">
        <v>1964359.53</v>
      </c>
      <c r="M246" s="100">
        <v>0</v>
      </c>
      <c r="N246" s="100">
        <v>0</v>
      </c>
      <c r="O246" s="108"/>
      <c r="P246" s="100">
        <v>0</v>
      </c>
      <c r="Q246" s="108"/>
      <c r="R246" s="100">
        <v>0</v>
      </c>
      <c r="S246" s="100">
        <v>0</v>
      </c>
      <c r="T246" s="100">
        <v>0</v>
      </c>
      <c r="U246" s="100">
        <v>1964359.53</v>
      </c>
      <c r="V246" s="100">
        <v>662588.54</v>
      </c>
      <c r="W246" s="101">
        <v>0</v>
      </c>
      <c r="X246" s="91">
        <v>0.1</v>
      </c>
    </row>
    <row r="247" spans="1:24" x14ac:dyDescent="0.3">
      <c r="A247" s="71">
        <v>34898</v>
      </c>
      <c r="B247" s="87" t="s">
        <v>479</v>
      </c>
      <c r="C247" s="100">
        <v>9237.029999999997</v>
      </c>
      <c r="D247" s="100">
        <v>0</v>
      </c>
      <c r="E247" s="100">
        <v>0</v>
      </c>
      <c r="F247" s="100">
        <v>0</v>
      </c>
      <c r="G247" s="100">
        <v>0</v>
      </c>
      <c r="H247" s="100">
        <v>9237.029999999997</v>
      </c>
      <c r="I247" s="100">
        <v>9237.0300000000007</v>
      </c>
      <c r="J247" s="101">
        <v>0</v>
      </c>
      <c r="K247" s="100">
        <v>1788.87</v>
      </c>
      <c r="L247" s="100">
        <v>991.08</v>
      </c>
      <c r="M247" s="100">
        <v>0</v>
      </c>
      <c r="N247" s="100">
        <v>0</v>
      </c>
      <c r="O247" s="108"/>
      <c r="P247" s="100">
        <v>0</v>
      </c>
      <c r="Q247" s="108"/>
      <c r="R247" s="100">
        <v>0</v>
      </c>
      <c r="S247" s="100">
        <v>0</v>
      </c>
      <c r="T247" s="100">
        <v>0</v>
      </c>
      <c r="U247" s="100">
        <v>2779.95</v>
      </c>
      <c r="V247" s="100">
        <v>2284.41</v>
      </c>
      <c r="W247" s="101">
        <v>0</v>
      </c>
      <c r="X247" s="91">
        <v>0.10730000000000001</v>
      </c>
    </row>
    <row r="248" spans="1:24" x14ac:dyDescent="0.3">
      <c r="A248" s="71">
        <v>34899</v>
      </c>
      <c r="B248" s="87" t="s">
        <v>480</v>
      </c>
      <c r="C248" s="100">
        <v>28009837.169999998</v>
      </c>
      <c r="D248" s="100">
        <v>115229275.86</v>
      </c>
      <c r="E248" s="100">
        <v>0</v>
      </c>
      <c r="F248" s="100">
        <v>0</v>
      </c>
      <c r="G248" s="100">
        <v>0</v>
      </c>
      <c r="H248" s="100">
        <v>143239113.03</v>
      </c>
      <c r="I248" s="100">
        <v>108541769.38</v>
      </c>
      <c r="J248" s="101">
        <v>0</v>
      </c>
      <c r="K248" s="100">
        <v>4326803.6099999975</v>
      </c>
      <c r="L248" s="100">
        <v>10860853.32</v>
      </c>
      <c r="M248" s="100">
        <v>0</v>
      </c>
      <c r="N248" s="100">
        <v>0</v>
      </c>
      <c r="O248" s="108"/>
      <c r="P248" s="100">
        <v>0</v>
      </c>
      <c r="Q248" s="108"/>
      <c r="R248" s="100">
        <v>0</v>
      </c>
      <c r="S248" s="100">
        <v>0</v>
      </c>
      <c r="T248" s="100">
        <v>0</v>
      </c>
      <c r="U248" s="100">
        <v>15187656.929999998</v>
      </c>
      <c r="V248" s="100">
        <v>8752577.0700000003</v>
      </c>
      <c r="W248" s="101">
        <v>0</v>
      </c>
      <c r="X248" s="91">
        <v>0.10279999999999999</v>
      </c>
    </row>
    <row r="249" spans="1:24" x14ac:dyDescent="0.3">
      <c r="A249" s="71">
        <v>35000</v>
      </c>
      <c r="B249" s="87" t="s">
        <v>481</v>
      </c>
      <c r="C249" s="100">
        <v>17799998.559999999</v>
      </c>
      <c r="D249" s="100">
        <v>0</v>
      </c>
      <c r="E249" s="100">
        <v>0</v>
      </c>
      <c r="F249" s="100">
        <v>0</v>
      </c>
      <c r="G249" s="100">
        <v>0</v>
      </c>
      <c r="H249" s="100">
        <v>17799998.559999999</v>
      </c>
      <c r="I249" s="100">
        <v>17799998.559999999</v>
      </c>
      <c r="J249" s="101">
        <v>0</v>
      </c>
      <c r="K249" s="100">
        <v>0</v>
      </c>
      <c r="L249" s="100">
        <v>0</v>
      </c>
      <c r="M249" s="100">
        <v>0</v>
      </c>
      <c r="N249" s="100">
        <v>0</v>
      </c>
      <c r="O249" s="108"/>
      <c r="P249" s="100">
        <v>0</v>
      </c>
      <c r="Q249" s="108"/>
      <c r="R249" s="100">
        <v>0</v>
      </c>
      <c r="S249" s="100">
        <v>0</v>
      </c>
      <c r="T249" s="100">
        <v>0</v>
      </c>
      <c r="U249" s="100">
        <v>0</v>
      </c>
      <c r="V249" s="100">
        <v>0</v>
      </c>
      <c r="W249" s="101">
        <v>0</v>
      </c>
      <c r="X249" s="91">
        <v>0</v>
      </c>
    </row>
    <row r="250" spans="1:24" x14ac:dyDescent="0.3">
      <c r="A250" s="71">
        <v>35001</v>
      </c>
      <c r="B250" s="87" t="s">
        <v>482</v>
      </c>
      <c r="C250" s="100">
        <v>12162254.090000002</v>
      </c>
      <c r="D250" s="100">
        <v>0</v>
      </c>
      <c r="E250" s="100">
        <v>0</v>
      </c>
      <c r="F250" s="100">
        <v>0</v>
      </c>
      <c r="G250" s="100">
        <v>0</v>
      </c>
      <c r="H250" s="100">
        <v>12162254.090000002</v>
      </c>
      <c r="I250" s="100">
        <v>12162254.09</v>
      </c>
      <c r="J250" s="101">
        <v>0</v>
      </c>
      <c r="K250" s="100">
        <v>5088906.0300000086</v>
      </c>
      <c r="L250" s="100">
        <v>187298.76</v>
      </c>
      <c r="M250" s="100">
        <v>0</v>
      </c>
      <c r="N250" s="100">
        <v>0</v>
      </c>
      <c r="O250" s="108"/>
      <c r="P250" s="100">
        <v>0</v>
      </c>
      <c r="Q250" s="108"/>
      <c r="R250" s="100">
        <v>0</v>
      </c>
      <c r="S250" s="100">
        <v>0</v>
      </c>
      <c r="T250" s="100">
        <v>0</v>
      </c>
      <c r="U250" s="100">
        <v>5276204.7900000084</v>
      </c>
      <c r="V250" s="100">
        <v>5182555.41</v>
      </c>
      <c r="W250" s="101">
        <v>0</v>
      </c>
      <c r="X250" s="91">
        <v>1.54E-2</v>
      </c>
    </row>
    <row r="251" spans="1:24" x14ac:dyDescent="0.3">
      <c r="A251" s="71">
        <v>35100</v>
      </c>
      <c r="B251" s="87" t="s">
        <v>483</v>
      </c>
      <c r="C251" s="100">
        <v>0</v>
      </c>
      <c r="D251" s="100">
        <v>0</v>
      </c>
      <c r="E251" s="100">
        <v>0</v>
      </c>
      <c r="F251" s="100">
        <v>0</v>
      </c>
      <c r="G251" s="100">
        <v>0</v>
      </c>
      <c r="H251" s="100">
        <v>0</v>
      </c>
      <c r="I251" s="100">
        <v>0</v>
      </c>
      <c r="J251" s="101">
        <v>0</v>
      </c>
      <c r="K251" s="100">
        <v>0</v>
      </c>
      <c r="L251" s="100">
        <v>0</v>
      </c>
      <c r="M251" s="100">
        <v>0</v>
      </c>
      <c r="N251" s="100">
        <v>0</v>
      </c>
      <c r="O251" s="108"/>
      <c r="P251" s="100">
        <v>0</v>
      </c>
      <c r="Q251" s="108"/>
      <c r="R251" s="100">
        <v>0</v>
      </c>
      <c r="S251" s="100">
        <v>0</v>
      </c>
      <c r="T251" s="100">
        <v>0</v>
      </c>
      <c r="U251" s="100">
        <v>0</v>
      </c>
      <c r="V251" s="100">
        <v>0</v>
      </c>
      <c r="W251" s="101">
        <v>0</v>
      </c>
      <c r="X251" s="91">
        <v>0.1</v>
      </c>
    </row>
    <row r="252" spans="1:24" x14ac:dyDescent="0.3">
      <c r="A252" s="71">
        <v>35200</v>
      </c>
      <c r="B252" s="87" t="s">
        <v>484</v>
      </c>
      <c r="C252" s="100">
        <v>76277379.719999999</v>
      </c>
      <c r="D252" s="100">
        <v>0</v>
      </c>
      <c r="E252" s="100">
        <v>0</v>
      </c>
      <c r="F252" s="100">
        <v>0</v>
      </c>
      <c r="G252" s="100">
        <v>0</v>
      </c>
      <c r="H252" s="100">
        <v>76277379.719999999</v>
      </c>
      <c r="I252" s="100">
        <v>76277379.719999999</v>
      </c>
      <c r="J252" s="101">
        <v>0</v>
      </c>
      <c r="K252" s="100">
        <v>16146070.070000004</v>
      </c>
      <c r="L252" s="100">
        <v>1655219.16</v>
      </c>
      <c r="M252" s="100">
        <v>0</v>
      </c>
      <c r="N252" s="100">
        <v>0</v>
      </c>
      <c r="O252" s="108"/>
      <c r="P252" s="100">
        <v>0</v>
      </c>
      <c r="Q252" s="108"/>
      <c r="R252" s="100">
        <v>0</v>
      </c>
      <c r="S252" s="100">
        <v>0</v>
      </c>
      <c r="T252" s="100">
        <v>0</v>
      </c>
      <c r="U252" s="100">
        <v>17801289.230000004</v>
      </c>
      <c r="V252" s="100">
        <v>16973679.649999999</v>
      </c>
      <c r="W252" s="101">
        <v>0</v>
      </c>
      <c r="X252" s="91">
        <v>2.1700000000000001E-2</v>
      </c>
    </row>
    <row r="253" spans="1:24" x14ac:dyDescent="0.3">
      <c r="A253" s="71">
        <v>35300</v>
      </c>
      <c r="B253" s="87" t="s">
        <v>485</v>
      </c>
      <c r="C253" s="100">
        <v>449281371.64640033</v>
      </c>
      <c r="D253" s="100">
        <v>36762021.990000002</v>
      </c>
      <c r="E253" s="100">
        <v>-5514303.2800000003</v>
      </c>
      <c r="F253" s="100">
        <v>0</v>
      </c>
      <c r="G253" s="100">
        <v>0</v>
      </c>
      <c r="H253" s="100">
        <v>480529090.35640037</v>
      </c>
      <c r="I253" s="100">
        <v>458449851.30000001</v>
      </c>
      <c r="J253" s="101">
        <v>2.6999711990356445E-3</v>
      </c>
      <c r="K253" s="100">
        <v>95817470.748700008</v>
      </c>
      <c r="L253" s="100">
        <v>10775994.01</v>
      </c>
      <c r="M253" s="100">
        <v>-5514303.2800000003</v>
      </c>
      <c r="N253" s="100">
        <v>3800.8</v>
      </c>
      <c r="O253" s="108"/>
      <c r="P253" s="100">
        <v>0</v>
      </c>
      <c r="Q253" s="108"/>
      <c r="R253" s="100">
        <v>0</v>
      </c>
      <c r="S253" s="100">
        <v>0</v>
      </c>
      <c r="T253" s="100">
        <v>0</v>
      </c>
      <c r="U253" s="100">
        <v>101082962.27870001</v>
      </c>
      <c r="V253" s="100">
        <v>99557050.689999998</v>
      </c>
      <c r="W253" s="101">
        <v>7.9996883869171143E-4</v>
      </c>
      <c r="X253" s="91">
        <v>2.3599999999999999E-2</v>
      </c>
    </row>
    <row r="254" spans="1:24" x14ac:dyDescent="0.3">
      <c r="A254" s="71">
        <v>35400</v>
      </c>
      <c r="B254" s="87" t="s">
        <v>486</v>
      </c>
      <c r="C254" s="100">
        <v>5092060.55</v>
      </c>
      <c r="D254" s="100">
        <v>0</v>
      </c>
      <c r="E254" s="100">
        <v>0</v>
      </c>
      <c r="F254" s="100">
        <v>0</v>
      </c>
      <c r="G254" s="100">
        <v>0</v>
      </c>
      <c r="H254" s="100">
        <v>5092060.55</v>
      </c>
      <c r="I254" s="100">
        <v>5092060.55</v>
      </c>
      <c r="J254" s="101">
        <v>0</v>
      </c>
      <c r="K254" s="100">
        <v>5281270.2899999907</v>
      </c>
      <c r="L254" s="100">
        <v>65687.64</v>
      </c>
      <c r="M254" s="100">
        <v>0</v>
      </c>
      <c r="N254" s="100">
        <v>0</v>
      </c>
      <c r="O254" s="108"/>
      <c r="P254" s="100">
        <v>0</v>
      </c>
      <c r="Q254" s="108"/>
      <c r="R254" s="100">
        <v>0</v>
      </c>
      <c r="S254" s="100">
        <v>0</v>
      </c>
      <c r="T254" s="100">
        <v>0</v>
      </c>
      <c r="U254" s="100">
        <v>5346957.9299999904</v>
      </c>
      <c r="V254" s="100">
        <v>5314114.1100000003</v>
      </c>
      <c r="W254" s="101">
        <v>0</v>
      </c>
      <c r="X254" s="91">
        <v>1.29E-2</v>
      </c>
    </row>
    <row r="255" spans="1:24" x14ac:dyDescent="0.3">
      <c r="A255" s="71">
        <v>35500</v>
      </c>
      <c r="B255" s="87" t="s">
        <v>487</v>
      </c>
      <c r="C255" s="100">
        <v>502089088.43919998</v>
      </c>
      <c r="D255" s="100">
        <v>98503789.409999996</v>
      </c>
      <c r="E255" s="100">
        <v>-5910227.3799999999</v>
      </c>
      <c r="F255" s="100">
        <v>0</v>
      </c>
      <c r="G255" s="100">
        <v>0</v>
      </c>
      <c r="H255" s="100">
        <v>594682650.46920002</v>
      </c>
      <c r="I255" s="100">
        <v>534134812.68000001</v>
      </c>
      <c r="J255" s="101">
        <v>-4.4000148773193359E-3</v>
      </c>
      <c r="K255" s="100">
        <v>139406507.31360009</v>
      </c>
      <c r="L255" s="100">
        <v>15079041.050000001</v>
      </c>
      <c r="M255" s="100">
        <v>-5910227.3799999999</v>
      </c>
      <c r="N255" s="100">
        <v>-2931244.34</v>
      </c>
      <c r="O255" s="108"/>
      <c r="P255" s="100">
        <v>0</v>
      </c>
      <c r="Q255" s="108"/>
      <c r="R255" s="100">
        <v>0</v>
      </c>
      <c r="S255" s="100">
        <v>0</v>
      </c>
      <c r="T255" s="100">
        <v>0</v>
      </c>
      <c r="U255" s="100">
        <v>145644076.64360011</v>
      </c>
      <c r="V255" s="100">
        <v>143297337.16999999</v>
      </c>
      <c r="W255" s="101">
        <v>2.4000406265258789E-3</v>
      </c>
      <c r="X255" s="91">
        <v>2.8500000000000001E-2</v>
      </c>
    </row>
    <row r="256" spans="1:24" x14ac:dyDescent="0.3">
      <c r="A256" s="71">
        <v>35600</v>
      </c>
      <c r="B256" s="87" t="s">
        <v>488</v>
      </c>
      <c r="C256" s="100">
        <v>186194171.88119996</v>
      </c>
      <c r="D256" s="100">
        <v>22784901.960000001</v>
      </c>
      <c r="E256" s="100">
        <v>-5696225.4900000002</v>
      </c>
      <c r="F256" s="100">
        <v>0</v>
      </c>
      <c r="G256" s="100">
        <v>0</v>
      </c>
      <c r="H256" s="100">
        <v>203282848.35119995</v>
      </c>
      <c r="I256" s="100">
        <v>191363148.16</v>
      </c>
      <c r="J256" s="101">
        <v>1.6000866889953613E-3</v>
      </c>
      <c r="K256" s="100">
        <v>31677206.469600018</v>
      </c>
      <c r="L256" s="100">
        <v>5692058.21</v>
      </c>
      <c r="M256" s="100">
        <v>-5696225.4900000002</v>
      </c>
      <c r="N256" s="100">
        <v>2252.33</v>
      </c>
      <c r="O256" s="108"/>
      <c r="P256" s="100">
        <v>0</v>
      </c>
      <c r="Q256" s="108"/>
      <c r="R256" s="100">
        <v>0</v>
      </c>
      <c r="S256" s="100">
        <v>0</v>
      </c>
      <c r="T256" s="100">
        <v>0</v>
      </c>
      <c r="U256" s="100">
        <v>31675291.519600011</v>
      </c>
      <c r="V256" s="100">
        <v>32778268.300000001</v>
      </c>
      <c r="W256" s="101">
        <v>-3.600001335144043E-3</v>
      </c>
      <c r="X256" s="91">
        <v>2.9900000000000003E-2</v>
      </c>
    </row>
    <row r="257" spans="1:24" x14ac:dyDescent="0.3">
      <c r="A257" s="71">
        <v>35601</v>
      </c>
      <c r="B257" s="87" t="s">
        <v>489</v>
      </c>
      <c r="C257" s="100">
        <v>2110610.13</v>
      </c>
      <c r="D257" s="100">
        <v>0</v>
      </c>
      <c r="E257" s="100">
        <v>0</v>
      </c>
      <c r="F257" s="100">
        <v>0</v>
      </c>
      <c r="G257" s="100">
        <v>0</v>
      </c>
      <c r="H257" s="100">
        <v>2110610.13</v>
      </c>
      <c r="I257" s="100">
        <v>2110610.13</v>
      </c>
      <c r="J257" s="101">
        <v>0</v>
      </c>
      <c r="K257" s="100">
        <v>1797133.0899999966</v>
      </c>
      <c r="L257" s="100">
        <v>21528.240000000002</v>
      </c>
      <c r="M257" s="100">
        <v>0</v>
      </c>
      <c r="N257" s="100">
        <v>0</v>
      </c>
      <c r="O257" s="108"/>
      <c r="P257" s="100">
        <v>0</v>
      </c>
      <c r="Q257" s="108"/>
      <c r="R257" s="100">
        <v>0</v>
      </c>
      <c r="S257" s="100">
        <v>0</v>
      </c>
      <c r="T257" s="100">
        <v>0</v>
      </c>
      <c r="U257" s="100">
        <v>1818661.3299999966</v>
      </c>
      <c r="V257" s="100">
        <v>1807897.21</v>
      </c>
      <c r="W257" s="101">
        <v>0</v>
      </c>
      <c r="X257" s="91">
        <v>1.0200000000000001E-2</v>
      </c>
    </row>
    <row r="258" spans="1:24" x14ac:dyDescent="0.3">
      <c r="A258" s="71">
        <v>35700</v>
      </c>
      <c r="B258" s="87" t="s">
        <v>490</v>
      </c>
      <c r="C258" s="100">
        <v>4322860.5300000012</v>
      </c>
      <c r="D258" s="100">
        <v>0</v>
      </c>
      <c r="E258" s="100">
        <v>0</v>
      </c>
      <c r="F258" s="100">
        <v>0</v>
      </c>
      <c r="G258" s="100">
        <v>0</v>
      </c>
      <c r="H258" s="100">
        <v>4322860.5300000012</v>
      </c>
      <c r="I258" s="100">
        <v>4322860.53</v>
      </c>
      <c r="J258" s="101">
        <v>0</v>
      </c>
      <c r="K258" s="100">
        <v>1846613.4600000021</v>
      </c>
      <c r="L258" s="100">
        <v>78676.08</v>
      </c>
      <c r="M258" s="100">
        <v>0</v>
      </c>
      <c r="N258" s="100">
        <v>0</v>
      </c>
      <c r="O258" s="108"/>
      <c r="P258" s="100">
        <v>0</v>
      </c>
      <c r="Q258" s="108"/>
      <c r="R258" s="100">
        <v>0</v>
      </c>
      <c r="S258" s="100">
        <v>0</v>
      </c>
      <c r="T258" s="100">
        <v>0</v>
      </c>
      <c r="U258" s="100">
        <v>1925289.5400000021</v>
      </c>
      <c r="V258" s="100">
        <v>1885951.5</v>
      </c>
      <c r="W258" s="101">
        <v>0</v>
      </c>
      <c r="X258" s="91">
        <v>1.8200000000000001E-2</v>
      </c>
    </row>
    <row r="259" spans="1:24" x14ac:dyDescent="0.3">
      <c r="A259" s="71">
        <v>35800</v>
      </c>
      <c r="B259" s="87" t="s">
        <v>491</v>
      </c>
      <c r="C259" s="100">
        <v>12363044.739999998</v>
      </c>
      <c r="D259" s="100">
        <v>0</v>
      </c>
      <c r="E259" s="100">
        <v>0</v>
      </c>
      <c r="F259" s="100">
        <v>0</v>
      </c>
      <c r="G259" s="100">
        <v>0</v>
      </c>
      <c r="H259" s="100">
        <v>12363044.739999998</v>
      </c>
      <c r="I259" s="100">
        <v>12363044.74</v>
      </c>
      <c r="J259" s="101">
        <v>0</v>
      </c>
      <c r="K259" s="100">
        <v>3964149.2600000026</v>
      </c>
      <c r="L259" s="100">
        <v>346165.2</v>
      </c>
      <c r="M259" s="100">
        <v>0</v>
      </c>
      <c r="N259" s="100">
        <v>0</v>
      </c>
      <c r="O259" s="108"/>
      <c r="P259" s="100">
        <v>0</v>
      </c>
      <c r="Q259" s="108"/>
      <c r="R259" s="100">
        <v>0</v>
      </c>
      <c r="S259" s="100">
        <v>0</v>
      </c>
      <c r="T259" s="100">
        <v>0</v>
      </c>
      <c r="U259" s="100">
        <v>4310314.4600000028</v>
      </c>
      <c r="V259" s="100">
        <v>4137231.86</v>
      </c>
      <c r="W259" s="101">
        <v>0</v>
      </c>
      <c r="X259" s="91">
        <v>2.7999999999999997E-2</v>
      </c>
    </row>
    <row r="260" spans="1:24" x14ac:dyDescent="0.3">
      <c r="A260" s="71">
        <v>35900</v>
      </c>
      <c r="B260" s="87" t="s">
        <v>492</v>
      </c>
      <c r="C260" s="100">
        <v>19815799.533199996</v>
      </c>
      <c r="D260" s="100">
        <v>1361556.37</v>
      </c>
      <c r="E260" s="100">
        <v>13615.56</v>
      </c>
      <c r="F260" s="100">
        <v>0</v>
      </c>
      <c r="G260" s="100">
        <v>0</v>
      </c>
      <c r="H260" s="100">
        <v>21190971.463199995</v>
      </c>
      <c r="I260" s="100">
        <v>20219292.530000001</v>
      </c>
      <c r="J260" s="101">
        <v>9.9997967481613159E-5</v>
      </c>
      <c r="K260" s="100">
        <v>3556859.3081</v>
      </c>
      <c r="L260" s="100">
        <v>356448.25</v>
      </c>
      <c r="M260" s="100">
        <v>13615.56</v>
      </c>
      <c r="N260" s="100">
        <v>140.77000000000001</v>
      </c>
      <c r="O260" s="108"/>
      <c r="P260" s="100">
        <v>0</v>
      </c>
      <c r="Q260" s="108"/>
      <c r="R260" s="100">
        <v>0</v>
      </c>
      <c r="S260" s="100">
        <v>0</v>
      </c>
      <c r="T260" s="100">
        <v>0</v>
      </c>
      <c r="U260" s="100">
        <v>3927063.8881000001</v>
      </c>
      <c r="V260" s="100">
        <v>3738078.57</v>
      </c>
      <c r="W260" s="101">
        <v>4.0000025182962418E-4</v>
      </c>
      <c r="X260" s="91">
        <v>1.77E-2</v>
      </c>
    </row>
    <row r="261" spans="1:24" x14ac:dyDescent="0.3">
      <c r="A261" s="71">
        <v>35910</v>
      </c>
      <c r="B261" s="87" t="s">
        <v>493</v>
      </c>
      <c r="C261" s="100">
        <v>0</v>
      </c>
      <c r="D261" s="100">
        <v>0</v>
      </c>
      <c r="E261" s="100">
        <v>0</v>
      </c>
      <c r="F261" s="100">
        <v>0</v>
      </c>
      <c r="G261" s="100">
        <v>0</v>
      </c>
      <c r="H261" s="100">
        <v>0</v>
      </c>
      <c r="I261" s="100">
        <v>0</v>
      </c>
      <c r="J261" s="101">
        <v>0</v>
      </c>
      <c r="K261" s="100">
        <v>0</v>
      </c>
      <c r="L261" s="100">
        <v>0</v>
      </c>
      <c r="M261" s="100">
        <v>0</v>
      </c>
      <c r="N261" s="100">
        <v>0</v>
      </c>
      <c r="O261" s="108"/>
      <c r="P261" s="100">
        <v>0</v>
      </c>
      <c r="Q261" s="108"/>
      <c r="R261" s="100">
        <v>0</v>
      </c>
      <c r="S261" s="100">
        <v>0</v>
      </c>
      <c r="T261" s="100">
        <v>0</v>
      </c>
      <c r="U261" s="100">
        <v>0</v>
      </c>
      <c r="V261" s="100">
        <v>0</v>
      </c>
      <c r="W261" s="101">
        <v>0</v>
      </c>
      <c r="X261" s="91">
        <v>0</v>
      </c>
    </row>
    <row r="262" spans="1:24" x14ac:dyDescent="0.3">
      <c r="A262" s="71">
        <v>36000</v>
      </c>
      <c r="B262" s="87" t="s">
        <v>494</v>
      </c>
      <c r="C262" s="100">
        <v>10119782.539999999</v>
      </c>
      <c r="D262" s="100">
        <v>0</v>
      </c>
      <c r="E262" s="100">
        <v>0</v>
      </c>
      <c r="F262" s="100">
        <v>0</v>
      </c>
      <c r="G262" s="100">
        <v>0</v>
      </c>
      <c r="H262" s="100">
        <v>10119782.539999999</v>
      </c>
      <c r="I262" s="100">
        <v>10119782.539999999</v>
      </c>
      <c r="J262" s="101">
        <v>0</v>
      </c>
      <c r="K262" s="100">
        <v>0</v>
      </c>
      <c r="L262" s="100">
        <v>0</v>
      </c>
      <c r="M262" s="100">
        <v>0</v>
      </c>
      <c r="N262" s="100">
        <v>0</v>
      </c>
      <c r="O262" s="108"/>
      <c r="P262" s="100">
        <v>0</v>
      </c>
      <c r="Q262" s="108"/>
      <c r="R262" s="100">
        <v>0</v>
      </c>
      <c r="S262" s="100">
        <v>0</v>
      </c>
      <c r="T262" s="100">
        <v>0</v>
      </c>
      <c r="U262" s="100">
        <v>0</v>
      </c>
      <c r="V262" s="100">
        <v>0</v>
      </c>
      <c r="W262" s="101">
        <v>0</v>
      </c>
      <c r="X262" s="91">
        <v>0</v>
      </c>
    </row>
    <row r="263" spans="1:24" x14ac:dyDescent="0.3">
      <c r="A263" s="71">
        <v>36100</v>
      </c>
      <c r="B263" s="87" t="s">
        <v>495</v>
      </c>
      <c r="C263" s="100">
        <v>34138496.829999983</v>
      </c>
      <c r="D263" s="100">
        <v>0</v>
      </c>
      <c r="E263" s="100">
        <v>0</v>
      </c>
      <c r="F263" s="100">
        <v>0</v>
      </c>
      <c r="G263" s="100">
        <v>0</v>
      </c>
      <c r="H263" s="100">
        <v>34138496.829999983</v>
      </c>
      <c r="I263" s="100">
        <v>34138496.829999998</v>
      </c>
      <c r="J263" s="101">
        <v>0</v>
      </c>
      <c r="K263" s="100">
        <v>9856495.3399999999</v>
      </c>
      <c r="L263" s="100">
        <v>880773.24</v>
      </c>
      <c r="M263" s="100">
        <v>0</v>
      </c>
      <c r="N263" s="100">
        <v>0</v>
      </c>
      <c r="O263" s="108"/>
      <c r="P263" s="100">
        <v>0</v>
      </c>
      <c r="Q263" s="108"/>
      <c r="R263" s="100">
        <v>0</v>
      </c>
      <c r="S263" s="100">
        <v>0</v>
      </c>
      <c r="T263" s="100">
        <v>0</v>
      </c>
      <c r="U263" s="100">
        <v>10737268.58</v>
      </c>
      <c r="V263" s="100">
        <v>10296881.960000001</v>
      </c>
      <c r="W263" s="101">
        <v>0</v>
      </c>
      <c r="X263" s="91">
        <v>2.58E-2</v>
      </c>
    </row>
    <row r="264" spans="1:24" x14ac:dyDescent="0.3">
      <c r="A264" s="71">
        <v>36200</v>
      </c>
      <c r="B264" s="87" t="s">
        <v>496</v>
      </c>
      <c r="C264" s="100">
        <v>324446834.12040013</v>
      </c>
      <c r="D264" s="100">
        <v>20542987.850000001</v>
      </c>
      <c r="E264" s="100">
        <v>-1848868.91</v>
      </c>
      <c r="F264" s="100">
        <v>0</v>
      </c>
      <c r="G264" s="100">
        <v>0</v>
      </c>
      <c r="H264" s="100">
        <v>343140953.06040013</v>
      </c>
      <c r="I264" s="100">
        <v>331220247.22000003</v>
      </c>
      <c r="J264" s="101">
        <v>2.3999214172363281E-3</v>
      </c>
      <c r="K264" s="100">
        <v>79369590.867200106</v>
      </c>
      <c r="L264" s="100">
        <v>9114261.2100000009</v>
      </c>
      <c r="M264" s="100">
        <v>-1848868.91</v>
      </c>
      <c r="N264" s="100">
        <v>-1406794.22</v>
      </c>
      <c r="O264" s="108"/>
      <c r="P264" s="100">
        <v>271250.23</v>
      </c>
      <c r="Q264" s="108"/>
      <c r="R264" s="100">
        <v>0</v>
      </c>
      <c r="S264" s="100">
        <v>0</v>
      </c>
      <c r="T264" s="100">
        <v>0</v>
      </c>
      <c r="U264" s="100">
        <v>85499439.177200124</v>
      </c>
      <c r="V264" s="100">
        <v>82677371.489999995</v>
      </c>
      <c r="W264" s="101">
        <v>-2.8000026941299438E-3</v>
      </c>
      <c r="X264" s="91">
        <v>2.76E-2</v>
      </c>
    </row>
    <row r="265" spans="1:24" x14ac:dyDescent="0.3">
      <c r="A265" s="71">
        <v>36300</v>
      </c>
      <c r="B265" s="87" t="s">
        <v>497</v>
      </c>
      <c r="C265" s="100">
        <v>0</v>
      </c>
      <c r="D265" s="100">
        <v>0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1">
        <v>0</v>
      </c>
      <c r="K265" s="100">
        <v>0</v>
      </c>
      <c r="L265" s="100">
        <v>0</v>
      </c>
      <c r="M265" s="100">
        <v>0</v>
      </c>
      <c r="N265" s="100">
        <v>0</v>
      </c>
      <c r="O265" s="108"/>
      <c r="P265" s="100">
        <v>0</v>
      </c>
      <c r="Q265" s="108"/>
      <c r="R265" s="100">
        <v>0</v>
      </c>
      <c r="S265" s="100">
        <v>0</v>
      </c>
      <c r="T265" s="100">
        <v>0</v>
      </c>
      <c r="U265" s="100">
        <v>0</v>
      </c>
      <c r="V265" s="100">
        <v>0</v>
      </c>
      <c r="W265" s="101">
        <v>0</v>
      </c>
      <c r="X265" s="91">
        <v>0.1</v>
      </c>
    </row>
    <row r="266" spans="1:24" x14ac:dyDescent="0.3">
      <c r="A266" s="71">
        <v>36400</v>
      </c>
      <c r="B266" s="87" t="s">
        <v>498</v>
      </c>
      <c r="C266" s="100">
        <v>463677269.34720021</v>
      </c>
      <c r="D266" s="100">
        <v>86227910.329999998</v>
      </c>
      <c r="E266" s="100">
        <v>-12934186.550000001</v>
      </c>
      <c r="F266" s="100">
        <v>0</v>
      </c>
      <c r="G266" s="100">
        <v>0</v>
      </c>
      <c r="H266" s="100">
        <v>536970993.12720025</v>
      </c>
      <c r="I266" s="100">
        <v>499219433.48000002</v>
      </c>
      <c r="J266" s="101">
        <v>-4.2999982833862305E-3</v>
      </c>
      <c r="K266" s="100">
        <v>189632327.78209987</v>
      </c>
      <c r="L266" s="100">
        <v>26341501.280000001</v>
      </c>
      <c r="M266" s="100">
        <v>-12934186.550000001</v>
      </c>
      <c r="N266" s="100">
        <v>-7239637.3499999996</v>
      </c>
      <c r="O266" s="108"/>
      <c r="P266" s="100">
        <v>644219.29</v>
      </c>
      <c r="Q266" s="108"/>
      <c r="R266" s="100">
        <v>0</v>
      </c>
      <c r="S266" s="100">
        <v>0</v>
      </c>
      <c r="T266" s="100">
        <v>0</v>
      </c>
      <c r="U266" s="100">
        <v>196444224.45209986</v>
      </c>
      <c r="V266" s="100">
        <v>192985641.19</v>
      </c>
      <c r="W266" s="101">
        <v>-2.9000639915466309E-3</v>
      </c>
      <c r="X266" s="91">
        <v>5.3099999999999994E-2</v>
      </c>
    </row>
    <row r="267" spans="1:24" x14ac:dyDescent="0.3">
      <c r="A267" s="71">
        <v>36500</v>
      </c>
      <c r="B267" s="87" t="s">
        <v>499</v>
      </c>
      <c r="C267" s="100">
        <v>295008858.25520003</v>
      </c>
      <c r="D267" s="100">
        <v>24715640.43</v>
      </c>
      <c r="E267" s="100">
        <v>-7909004.9199999999</v>
      </c>
      <c r="F267" s="100">
        <v>0</v>
      </c>
      <c r="G267" s="100">
        <v>0</v>
      </c>
      <c r="H267" s="100">
        <v>311815493.76520002</v>
      </c>
      <c r="I267" s="100">
        <v>303327783.04000002</v>
      </c>
      <c r="J267" s="101">
        <v>1.1999607086181641E-3</v>
      </c>
      <c r="K267" s="100">
        <v>152134506.23360002</v>
      </c>
      <c r="L267" s="100">
        <v>7051057.04</v>
      </c>
      <c r="M267" s="100">
        <v>-7909004.9199999999</v>
      </c>
      <c r="N267" s="100">
        <v>-703397.11</v>
      </c>
      <c r="O267" s="108"/>
      <c r="P267" s="100">
        <v>135625.10999999999</v>
      </c>
      <c r="Q267" s="108"/>
      <c r="R267" s="100">
        <v>0</v>
      </c>
      <c r="S267" s="100">
        <v>0</v>
      </c>
      <c r="T267" s="100">
        <v>0</v>
      </c>
      <c r="U267" s="100">
        <v>150708786.35360003</v>
      </c>
      <c r="V267" s="100">
        <v>151439200.53999999</v>
      </c>
      <c r="W267" s="101">
        <v>3.6000311374664307E-3</v>
      </c>
      <c r="X267" s="91">
        <v>2.3300000000000001E-2</v>
      </c>
    </row>
    <row r="268" spans="1:24" x14ac:dyDescent="0.3">
      <c r="A268" s="71">
        <v>36600</v>
      </c>
      <c r="B268" s="87" t="s">
        <v>500</v>
      </c>
      <c r="C268" s="100">
        <v>453436794.29440022</v>
      </c>
      <c r="D268" s="100">
        <v>23499553.870000001</v>
      </c>
      <c r="E268" s="100">
        <v>-234995.53</v>
      </c>
      <c r="F268" s="100">
        <v>0</v>
      </c>
      <c r="G268" s="100">
        <v>0</v>
      </c>
      <c r="H268" s="100">
        <v>476701352.63440025</v>
      </c>
      <c r="I268" s="100">
        <v>464182170.16000003</v>
      </c>
      <c r="J268" s="101">
        <v>3.9000511169433594E-3</v>
      </c>
      <c r="K268" s="100">
        <v>98415100.006700009</v>
      </c>
      <c r="L268" s="100">
        <v>8151244.7199999997</v>
      </c>
      <c r="M268" s="100">
        <v>-234995.53</v>
      </c>
      <c r="N268" s="100">
        <v>-2286040.61</v>
      </c>
      <c r="O268" s="108"/>
      <c r="P268" s="100">
        <v>440781.62</v>
      </c>
      <c r="Q268" s="108"/>
      <c r="R268" s="100">
        <v>0</v>
      </c>
      <c r="S268" s="100">
        <v>0</v>
      </c>
      <c r="T268" s="100">
        <v>0</v>
      </c>
      <c r="U268" s="100">
        <v>104486090.20670001</v>
      </c>
      <c r="V268" s="100">
        <v>101456610.04000001</v>
      </c>
      <c r="W268" s="101">
        <v>1.6999989748001099E-3</v>
      </c>
      <c r="X268" s="91">
        <v>1.7600000000000001E-2</v>
      </c>
    </row>
    <row r="269" spans="1:24" x14ac:dyDescent="0.3">
      <c r="A269" s="71">
        <v>36700</v>
      </c>
      <c r="B269" s="87" t="s">
        <v>501</v>
      </c>
      <c r="C269" s="100">
        <v>710559613.38919997</v>
      </c>
      <c r="D269" s="100">
        <v>164552217.69</v>
      </c>
      <c r="E269" s="100">
        <v>-16455221.779999999</v>
      </c>
      <c r="F269" s="100">
        <v>0</v>
      </c>
      <c r="G269" s="100">
        <v>0</v>
      </c>
      <c r="H269" s="100">
        <v>858656609.29920006</v>
      </c>
      <c r="I269" s="100">
        <v>784983492.21000004</v>
      </c>
      <c r="J269" s="101">
        <v>2.699732780456543E-3</v>
      </c>
      <c r="K269" s="100">
        <v>62438192.203100026</v>
      </c>
      <c r="L269" s="100">
        <v>27882617.57</v>
      </c>
      <c r="M269" s="100">
        <v>-16455221.779999999</v>
      </c>
      <c r="N269" s="100">
        <v>-8981711.5</v>
      </c>
      <c r="O269" s="108"/>
      <c r="P269" s="100">
        <v>305156.51</v>
      </c>
      <c r="Q269" s="108"/>
      <c r="R269" s="100">
        <v>0</v>
      </c>
      <c r="S269" s="100">
        <v>0</v>
      </c>
      <c r="T269" s="100">
        <v>0</v>
      </c>
      <c r="U269" s="100">
        <v>65189033.003100015</v>
      </c>
      <c r="V269" s="100">
        <v>63380247.600000001</v>
      </c>
      <c r="W269" s="101">
        <v>-1.8999651074409485E-3</v>
      </c>
      <c r="X269" s="91">
        <v>3.5799999999999998E-2</v>
      </c>
    </row>
    <row r="270" spans="1:24" x14ac:dyDescent="0.3">
      <c r="A270" s="71">
        <v>36800</v>
      </c>
      <c r="B270" s="87" t="s">
        <v>502</v>
      </c>
      <c r="C270" s="100">
        <v>1012768588.9443998</v>
      </c>
      <c r="D270" s="100">
        <v>68691003.629999995</v>
      </c>
      <c r="E270" s="100">
        <v>-8242920.4299999997</v>
      </c>
      <c r="F270" s="100">
        <v>0</v>
      </c>
      <c r="G270" s="100">
        <v>0</v>
      </c>
      <c r="H270" s="100">
        <v>1073216672.1444</v>
      </c>
      <c r="I270" s="100">
        <v>1040688198.04</v>
      </c>
      <c r="J270" s="101">
        <v>1.3998746871948242E-3</v>
      </c>
      <c r="K270" s="100">
        <v>365510328.88420016</v>
      </c>
      <c r="L270" s="100">
        <v>40688717.689999998</v>
      </c>
      <c r="M270" s="100">
        <v>-8242920.4299999997</v>
      </c>
      <c r="N270" s="100">
        <v>-6682272.5499999998</v>
      </c>
      <c r="O270" s="108"/>
      <c r="P270" s="100">
        <v>1288438.58</v>
      </c>
      <c r="Q270" s="108"/>
      <c r="R270" s="100">
        <v>0</v>
      </c>
      <c r="S270" s="100">
        <v>0</v>
      </c>
      <c r="T270" s="100">
        <v>0</v>
      </c>
      <c r="U270" s="100">
        <v>392562292.17420012</v>
      </c>
      <c r="V270" s="100">
        <v>379252067.89999998</v>
      </c>
      <c r="W270" s="101">
        <v>4.2001008987426758E-3</v>
      </c>
      <c r="X270" s="91">
        <v>3.9199999999999999E-2</v>
      </c>
    </row>
    <row r="271" spans="1:24" x14ac:dyDescent="0.3">
      <c r="A271" s="71">
        <v>36900</v>
      </c>
      <c r="B271" s="87" t="s">
        <v>503</v>
      </c>
      <c r="C271" s="100">
        <v>84517203.168800056</v>
      </c>
      <c r="D271" s="100">
        <v>1807657.99</v>
      </c>
      <c r="E271" s="100">
        <v>-180765.8</v>
      </c>
      <c r="F271" s="100">
        <v>0</v>
      </c>
      <c r="G271" s="100">
        <v>0</v>
      </c>
      <c r="H271" s="100">
        <v>86144095.358800054</v>
      </c>
      <c r="I271" s="100">
        <v>85268628.049999997</v>
      </c>
      <c r="J271" s="101">
        <v>2.9997527599334717E-4</v>
      </c>
      <c r="K271" s="100">
        <v>66612392.865900002</v>
      </c>
      <c r="L271" s="100">
        <v>1993578.74</v>
      </c>
      <c r="M271" s="100">
        <v>-180765.8</v>
      </c>
      <c r="N271" s="100">
        <v>-175849.28</v>
      </c>
      <c r="O271" s="108"/>
      <c r="P271" s="100">
        <v>33906.28</v>
      </c>
      <c r="Q271" s="108"/>
      <c r="R271" s="100">
        <v>0</v>
      </c>
      <c r="S271" s="100">
        <v>0</v>
      </c>
      <c r="T271" s="100">
        <v>0</v>
      </c>
      <c r="U271" s="100">
        <v>68283262.805900007</v>
      </c>
      <c r="V271" s="100">
        <v>67453988.900000006</v>
      </c>
      <c r="W271" s="101">
        <v>8.999556303024292E-4</v>
      </c>
      <c r="X271" s="91">
        <v>2.3399999999999997E-2</v>
      </c>
    </row>
    <row r="272" spans="1:24" x14ac:dyDescent="0.3">
      <c r="A272" s="71">
        <v>36902</v>
      </c>
      <c r="B272" s="87" t="s">
        <v>504</v>
      </c>
      <c r="C272" s="100">
        <v>152450524.02760002</v>
      </c>
      <c r="D272" s="100">
        <v>3615315.98</v>
      </c>
      <c r="E272" s="100">
        <v>-108459.47</v>
      </c>
      <c r="F272" s="100">
        <v>0</v>
      </c>
      <c r="G272" s="100">
        <v>0</v>
      </c>
      <c r="H272" s="100">
        <v>155957380.53760001</v>
      </c>
      <c r="I272" s="100">
        <v>154070262.12</v>
      </c>
      <c r="J272" s="101">
        <v>5.9998035430908203E-4</v>
      </c>
      <c r="K272" s="100">
        <v>74802744.641799927</v>
      </c>
      <c r="L272" s="100">
        <v>4063303.26</v>
      </c>
      <c r="M272" s="100">
        <v>-108459.47</v>
      </c>
      <c r="N272" s="100">
        <v>-351698.56</v>
      </c>
      <c r="O272" s="108"/>
      <c r="P272" s="100">
        <v>67812.56</v>
      </c>
      <c r="Q272" s="108"/>
      <c r="R272" s="100">
        <v>0</v>
      </c>
      <c r="S272" s="100">
        <v>0</v>
      </c>
      <c r="T272" s="100">
        <v>0</v>
      </c>
      <c r="U272" s="100">
        <v>78473702.431799933</v>
      </c>
      <c r="V272" s="100">
        <v>76639637.709999993</v>
      </c>
      <c r="W272" s="101">
        <v>1.8000006675720215E-3</v>
      </c>
      <c r="X272" s="91">
        <v>2.64E-2</v>
      </c>
    </row>
    <row r="273" spans="1:24" x14ac:dyDescent="0.3">
      <c r="A273" s="71">
        <v>37000</v>
      </c>
      <c r="B273" s="87" t="s">
        <v>505</v>
      </c>
      <c r="C273" s="100">
        <v>18799459.209999971</v>
      </c>
      <c r="D273" s="100">
        <v>0</v>
      </c>
      <c r="E273" s="100">
        <v>0</v>
      </c>
      <c r="F273" s="100">
        <v>0</v>
      </c>
      <c r="G273" s="100">
        <v>0</v>
      </c>
      <c r="H273" s="100">
        <v>18799459.209999971</v>
      </c>
      <c r="I273" s="100">
        <v>18799459.210000001</v>
      </c>
      <c r="J273" s="101">
        <v>0</v>
      </c>
      <c r="K273" s="100">
        <v>5210375.6900000023</v>
      </c>
      <c r="L273" s="100">
        <v>1372360.56</v>
      </c>
      <c r="M273" s="100">
        <v>0</v>
      </c>
      <c r="N273" s="100">
        <v>0</v>
      </c>
      <c r="O273" s="108"/>
      <c r="P273" s="100">
        <v>0</v>
      </c>
      <c r="Q273" s="108"/>
      <c r="R273" s="100">
        <v>0</v>
      </c>
      <c r="S273" s="100">
        <v>0</v>
      </c>
      <c r="T273" s="100">
        <v>0</v>
      </c>
      <c r="U273" s="100">
        <v>6582736.2500000019</v>
      </c>
      <c r="V273" s="100">
        <v>5896555.9699999997</v>
      </c>
      <c r="W273" s="101">
        <v>0</v>
      </c>
      <c r="X273" s="91">
        <v>7.2999999999999995E-2</v>
      </c>
    </row>
    <row r="274" spans="1:24" x14ac:dyDescent="0.3">
      <c r="A274" s="71">
        <v>37001</v>
      </c>
      <c r="B274" s="87" t="s">
        <v>506</v>
      </c>
      <c r="C274" s="100">
        <v>121027749.79279995</v>
      </c>
      <c r="D274" s="100">
        <v>14637401.939999999</v>
      </c>
      <c r="E274" s="100">
        <v>-7318700.96</v>
      </c>
      <c r="F274" s="100">
        <v>0</v>
      </c>
      <c r="G274" s="100">
        <v>0</v>
      </c>
      <c r="H274" s="100">
        <v>128346450.77279995</v>
      </c>
      <c r="I274" s="100">
        <v>124480363.42</v>
      </c>
      <c r="J274" s="101">
        <v>1.7999708652496338E-3</v>
      </c>
      <c r="K274" s="100">
        <v>16007484.385400003</v>
      </c>
      <c r="L274" s="100">
        <v>13384252.84</v>
      </c>
      <c r="M274" s="100">
        <v>-7318700.96</v>
      </c>
      <c r="N274" s="100">
        <v>-1172470.71</v>
      </c>
      <c r="O274" s="108"/>
      <c r="P274" s="100">
        <v>344588.96</v>
      </c>
      <c r="Q274" s="108"/>
      <c r="R274" s="100">
        <v>0</v>
      </c>
      <c r="S274" s="100">
        <v>0</v>
      </c>
      <c r="T274" s="100">
        <v>0</v>
      </c>
      <c r="U274" s="100">
        <v>21245154.5154</v>
      </c>
      <c r="V274" s="100">
        <v>18779219.93</v>
      </c>
      <c r="W274" s="101">
        <v>5.4000131785869598E-3</v>
      </c>
      <c r="X274" s="91">
        <v>0.10779999999999999</v>
      </c>
    </row>
    <row r="275" spans="1:24" x14ac:dyDescent="0.3">
      <c r="A275" s="71">
        <v>37010</v>
      </c>
      <c r="B275" s="87" t="s">
        <v>507</v>
      </c>
      <c r="C275" s="100">
        <v>4959785.3200000012</v>
      </c>
      <c r="D275" s="100">
        <v>3208575.69</v>
      </c>
      <c r="E275" s="100">
        <v>0</v>
      </c>
      <c r="F275" s="100">
        <v>0</v>
      </c>
      <c r="G275" s="100">
        <v>0</v>
      </c>
      <c r="H275" s="100">
        <v>8168361.0100000016</v>
      </c>
      <c r="I275" s="100">
        <v>6574569.5800000001</v>
      </c>
      <c r="J275" s="101">
        <v>0</v>
      </c>
      <c r="K275" s="100">
        <v>409424.99</v>
      </c>
      <c r="L275" s="100">
        <v>647396.23</v>
      </c>
      <c r="M275" s="100">
        <v>0</v>
      </c>
      <c r="N275" s="100">
        <v>-5000</v>
      </c>
      <c r="O275" s="108"/>
      <c r="P275" s="100">
        <v>0</v>
      </c>
      <c r="Q275" s="108"/>
      <c r="R275" s="100">
        <v>0</v>
      </c>
      <c r="S275" s="100">
        <v>0</v>
      </c>
      <c r="T275" s="100">
        <v>0</v>
      </c>
      <c r="U275" s="100">
        <v>1051821.22</v>
      </c>
      <c r="V275" s="100">
        <v>705136.44</v>
      </c>
      <c r="W275" s="101">
        <v>0</v>
      </c>
      <c r="X275" s="91">
        <v>0.10050000000000001</v>
      </c>
    </row>
    <row r="276" spans="1:24" x14ac:dyDescent="0.3">
      <c r="A276" s="71">
        <v>37101</v>
      </c>
      <c r="B276" s="87" t="s">
        <v>508</v>
      </c>
      <c r="C276" s="100">
        <v>0</v>
      </c>
      <c r="D276" s="100">
        <v>0</v>
      </c>
      <c r="E276" s="100">
        <v>0</v>
      </c>
      <c r="F276" s="100">
        <v>0</v>
      </c>
      <c r="G276" s="100">
        <v>0</v>
      </c>
      <c r="H276" s="100">
        <v>0</v>
      </c>
      <c r="I276" s="100">
        <v>0</v>
      </c>
      <c r="J276" s="101">
        <v>0</v>
      </c>
      <c r="K276" s="100">
        <v>0</v>
      </c>
      <c r="L276" s="100">
        <v>0</v>
      </c>
      <c r="M276" s="100">
        <v>0</v>
      </c>
      <c r="N276" s="100">
        <v>0</v>
      </c>
      <c r="O276" s="108"/>
      <c r="P276" s="100">
        <v>0</v>
      </c>
      <c r="Q276" s="108"/>
      <c r="R276" s="100">
        <v>0</v>
      </c>
      <c r="S276" s="100">
        <v>0</v>
      </c>
      <c r="T276" s="100">
        <v>0</v>
      </c>
      <c r="U276" s="100">
        <v>0</v>
      </c>
      <c r="V276" s="100">
        <v>0</v>
      </c>
      <c r="W276" s="101">
        <v>0</v>
      </c>
      <c r="X276" s="91">
        <v>0.1</v>
      </c>
    </row>
    <row r="277" spans="1:24" x14ac:dyDescent="0.3">
      <c r="A277" s="71">
        <v>37102</v>
      </c>
      <c r="B277" s="87" t="s">
        <v>509</v>
      </c>
      <c r="C277" s="100">
        <v>0</v>
      </c>
      <c r="D277" s="100">
        <v>0</v>
      </c>
      <c r="E277" s="100">
        <v>0</v>
      </c>
      <c r="F277" s="100">
        <v>0</v>
      </c>
      <c r="G277" s="100">
        <v>0</v>
      </c>
      <c r="H277" s="100">
        <v>0</v>
      </c>
      <c r="I277" s="100">
        <v>0</v>
      </c>
      <c r="J277" s="101">
        <v>0</v>
      </c>
      <c r="K277" s="100">
        <v>0</v>
      </c>
      <c r="L277" s="100">
        <v>0</v>
      </c>
      <c r="M277" s="100">
        <v>0</v>
      </c>
      <c r="N277" s="100">
        <v>0</v>
      </c>
      <c r="O277" s="108"/>
      <c r="P277" s="100">
        <v>0</v>
      </c>
      <c r="Q277" s="108"/>
      <c r="R277" s="100">
        <v>0</v>
      </c>
      <c r="S277" s="100">
        <v>0</v>
      </c>
      <c r="T277" s="100">
        <v>0</v>
      </c>
      <c r="U277" s="100">
        <v>0</v>
      </c>
      <c r="V277" s="100">
        <v>0</v>
      </c>
      <c r="W277" s="101">
        <v>0</v>
      </c>
      <c r="X277" s="91">
        <v>6.7000000000000004E-2</v>
      </c>
    </row>
    <row r="278" spans="1:24" x14ac:dyDescent="0.3">
      <c r="A278" s="71">
        <v>37103</v>
      </c>
      <c r="B278" s="87" t="s">
        <v>510</v>
      </c>
      <c r="C278" s="100">
        <v>0</v>
      </c>
      <c r="D278" s="100">
        <v>0</v>
      </c>
      <c r="E278" s="100">
        <v>0</v>
      </c>
      <c r="F278" s="100">
        <v>0</v>
      </c>
      <c r="G278" s="100">
        <v>0</v>
      </c>
      <c r="H278" s="100">
        <v>0</v>
      </c>
      <c r="I278" s="100">
        <v>0</v>
      </c>
      <c r="J278" s="101">
        <v>0</v>
      </c>
      <c r="K278" s="100">
        <v>0</v>
      </c>
      <c r="L278" s="100">
        <v>0</v>
      </c>
      <c r="M278" s="100">
        <v>0</v>
      </c>
      <c r="N278" s="100">
        <v>0</v>
      </c>
      <c r="O278" s="108"/>
      <c r="P278" s="100">
        <v>0</v>
      </c>
      <c r="Q278" s="108"/>
      <c r="R278" s="100">
        <v>0</v>
      </c>
      <c r="S278" s="100">
        <v>0</v>
      </c>
      <c r="T278" s="100">
        <v>0</v>
      </c>
      <c r="U278" s="100">
        <v>0</v>
      </c>
      <c r="V278" s="100">
        <v>0</v>
      </c>
      <c r="W278" s="101">
        <v>0</v>
      </c>
      <c r="X278" s="91">
        <v>3.3000000000000002E-2</v>
      </c>
    </row>
    <row r="279" spans="1:24" x14ac:dyDescent="0.3">
      <c r="A279" s="71">
        <v>37300</v>
      </c>
      <c r="B279" s="87" t="s">
        <v>511</v>
      </c>
      <c r="C279" s="100">
        <v>389454091.40999979</v>
      </c>
      <c r="D279" s="100">
        <v>14546121.310000001</v>
      </c>
      <c r="E279" s="100">
        <v>-5091142.47</v>
      </c>
      <c r="F279" s="100">
        <v>0</v>
      </c>
      <c r="G279" s="100">
        <v>0</v>
      </c>
      <c r="H279" s="100">
        <v>398909070.24999976</v>
      </c>
      <c r="I279" s="100">
        <v>394175875.25999999</v>
      </c>
      <c r="J279" s="101">
        <v>0</v>
      </c>
      <c r="K279" s="100">
        <v>127432283.98999992</v>
      </c>
      <c r="L279" s="100">
        <v>14373022.65</v>
      </c>
      <c r="M279" s="100">
        <v>-5091142.47</v>
      </c>
      <c r="N279" s="100">
        <v>-2934375.63</v>
      </c>
      <c r="O279" s="108"/>
      <c r="P279" s="100">
        <v>0</v>
      </c>
      <c r="Q279" s="108"/>
      <c r="R279" s="100">
        <v>0</v>
      </c>
      <c r="S279" s="100">
        <v>0</v>
      </c>
      <c r="T279" s="100">
        <v>0</v>
      </c>
      <c r="U279" s="100">
        <v>133779788.53999993</v>
      </c>
      <c r="V279" s="100">
        <v>130582391.13</v>
      </c>
      <c r="W279" s="101">
        <v>-1.3411045074462891E-7</v>
      </c>
      <c r="X279" s="91">
        <v>3.6499999999999998E-2</v>
      </c>
    </row>
    <row r="280" spans="1:24" x14ac:dyDescent="0.3">
      <c r="A280" s="71">
        <v>37302</v>
      </c>
      <c r="B280" s="87" t="s">
        <v>512</v>
      </c>
      <c r="C280" s="100">
        <v>22121804.289999999</v>
      </c>
      <c r="D280" s="100">
        <v>0</v>
      </c>
      <c r="E280" s="100">
        <v>0</v>
      </c>
      <c r="F280" s="100">
        <v>0</v>
      </c>
      <c r="G280" s="100">
        <v>0</v>
      </c>
      <c r="H280" s="100">
        <v>22121804.289999999</v>
      </c>
      <c r="I280" s="100">
        <v>22121804.289999999</v>
      </c>
      <c r="J280" s="101">
        <v>0</v>
      </c>
      <c r="K280" s="100">
        <v>1183906.5900000003</v>
      </c>
      <c r="L280" s="100">
        <v>902569.56</v>
      </c>
      <c r="M280" s="100">
        <v>0</v>
      </c>
      <c r="N280" s="100">
        <v>0</v>
      </c>
      <c r="O280" s="108"/>
      <c r="P280" s="100">
        <v>0</v>
      </c>
      <c r="Q280" s="108"/>
      <c r="R280" s="100">
        <v>0</v>
      </c>
      <c r="S280" s="100">
        <v>0</v>
      </c>
      <c r="T280" s="100">
        <v>0</v>
      </c>
      <c r="U280" s="100">
        <v>2086476.1500000004</v>
      </c>
      <c r="V280" s="100">
        <v>1635191.37</v>
      </c>
      <c r="W280" s="101">
        <v>0</v>
      </c>
      <c r="X280" s="91">
        <v>4.0800000000000003E-2</v>
      </c>
    </row>
    <row r="281" spans="1:24" x14ac:dyDescent="0.3">
      <c r="A281" s="71">
        <v>37400</v>
      </c>
      <c r="B281" s="87" t="s">
        <v>513</v>
      </c>
      <c r="C281" s="100">
        <v>7160182.2599999998</v>
      </c>
      <c r="D281" s="100">
        <v>0</v>
      </c>
      <c r="E281" s="100">
        <v>0</v>
      </c>
      <c r="F281" s="100">
        <v>0</v>
      </c>
      <c r="G281" s="100">
        <v>0</v>
      </c>
      <c r="H281" s="100">
        <v>7160182.2599999998</v>
      </c>
      <c r="I281" s="100">
        <v>7160182.2599999998</v>
      </c>
      <c r="J281" s="101">
        <v>0</v>
      </c>
      <c r="K281" s="100">
        <v>1867312.2500000012</v>
      </c>
      <c r="L281" s="100">
        <v>100242.6</v>
      </c>
      <c r="M281" s="100">
        <v>0</v>
      </c>
      <c r="N281" s="100">
        <v>0</v>
      </c>
      <c r="O281" s="108"/>
      <c r="P281" s="100">
        <v>0</v>
      </c>
      <c r="Q281" s="108"/>
      <c r="R281" s="100">
        <v>0</v>
      </c>
      <c r="S281" s="100">
        <v>0</v>
      </c>
      <c r="T281" s="100">
        <v>0</v>
      </c>
      <c r="U281" s="100">
        <v>1967554.8500000013</v>
      </c>
      <c r="V281" s="100">
        <v>1917433.55</v>
      </c>
      <c r="W281" s="101">
        <v>0</v>
      </c>
      <c r="X281" s="91">
        <v>1.3999999999999999E-2</v>
      </c>
    </row>
    <row r="282" spans="1:24" x14ac:dyDescent="0.3">
      <c r="A282" s="71">
        <v>38900</v>
      </c>
      <c r="B282" s="87" t="s">
        <v>514</v>
      </c>
      <c r="C282" s="100">
        <v>3286630.42</v>
      </c>
      <c r="D282" s="100">
        <v>23298939.879999999</v>
      </c>
      <c r="E282" s="100">
        <v>0</v>
      </c>
      <c r="F282" s="100">
        <v>0</v>
      </c>
      <c r="G282" s="100">
        <v>0</v>
      </c>
      <c r="H282" s="100">
        <v>26585570.299999997</v>
      </c>
      <c r="I282" s="100">
        <v>16600915.82</v>
      </c>
      <c r="J282" s="101">
        <v>0</v>
      </c>
      <c r="K282" s="100">
        <v>0</v>
      </c>
      <c r="L282" s="100">
        <v>0</v>
      </c>
      <c r="M282" s="100">
        <v>0</v>
      </c>
      <c r="N282" s="100">
        <v>0</v>
      </c>
      <c r="O282" s="108"/>
      <c r="P282" s="100">
        <v>0</v>
      </c>
      <c r="Q282" s="108"/>
      <c r="R282" s="100">
        <v>0</v>
      </c>
      <c r="S282" s="100">
        <v>0</v>
      </c>
      <c r="T282" s="100">
        <v>0</v>
      </c>
      <c r="U282" s="100">
        <v>0</v>
      </c>
      <c r="V282" s="100">
        <v>0</v>
      </c>
      <c r="W282" s="101">
        <v>0</v>
      </c>
      <c r="X282" s="91">
        <v>0</v>
      </c>
    </row>
    <row r="283" spans="1:24" x14ac:dyDescent="0.3">
      <c r="A283" s="71">
        <v>39000</v>
      </c>
      <c r="B283" s="87" t="s">
        <v>515</v>
      </c>
      <c r="C283" s="100">
        <v>178441382.23999989</v>
      </c>
      <c r="D283" s="100">
        <v>485649517.87</v>
      </c>
      <c r="E283" s="100">
        <v>-15499278.039999999</v>
      </c>
      <c r="F283" s="100">
        <v>0</v>
      </c>
      <c r="G283" s="100">
        <v>0</v>
      </c>
      <c r="H283" s="100">
        <v>648591622.06999993</v>
      </c>
      <c r="I283" s="100">
        <v>440479478.23000002</v>
      </c>
      <c r="J283" s="101">
        <v>0</v>
      </c>
      <c r="K283" s="100">
        <v>52207882.039999992</v>
      </c>
      <c r="L283" s="100">
        <v>7193325.5899999999</v>
      </c>
      <c r="M283" s="100">
        <v>-15499278.039999999</v>
      </c>
      <c r="N283" s="100">
        <v>-479540.17</v>
      </c>
      <c r="O283" s="108"/>
      <c r="P283" s="100">
        <v>0</v>
      </c>
      <c r="Q283" s="108"/>
      <c r="R283" s="100">
        <v>0</v>
      </c>
      <c r="S283" s="100">
        <v>0</v>
      </c>
      <c r="T283" s="100">
        <v>0</v>
      </c>
      <c r="U283" s="100">
        <v>43422389.419999994</v>
      </c>
      <c r="V283" s="100">
        <v>45485804.700000003</v>
      </c>
      <c r="W283" s="101">
        <v>0</v>
      </c>
      <c r="X283" s="91">
        <v>1.7000000000000001E-2</v>
      </c>
    </row>
    <row r="284" spans="1:24" x14ac:dyDescent="0.3">
      <c r="A284" s="71">
        <v>39101</v>
      </c>
      <c r="B284" s="87" t="s">
        <v>516</v>
      </c>
      <c r="C284" s="100">
        <v>6802255.2699999968</v>
      </c>
      <c r="D284" s="100">
        <v>321642.02</v>
      </c>
      <c r="E284" s="100">
        <v>-674911.45</v>
      </c>
      <c r="F284" s="100">
        <v>0</v>
      </c>
      <c r="G284" s="100">
        <v>0</v>
      </c>
      <c r="H284" s="100">
        <v>6448985.8399999971</v>
      </c>
      <c r="I284" s="100">
        <v>6522111.1699999999</v>
      </c>
      <c r="J284" s="101">
        <v>0</v>
      </c>
      <c r="K284" s="100">
        <v>3782379.5600000015</v>
      </c>
      <c r="L284" s="100">
        <v>933533.31</v>
      </c>
      <c r="M284" s="100">
        <v>-674911.45</v>
      </c>
      <c r="N284" s="100">
        <v>0</v>
      </c>
      <c r="O284" s="108"/>
      <c r="P284" s="100">
        <v>0</v>
      </c>
      <c r="Q284" s="108"/>
      <c r="R284" s="100">
        <v>0</v>
      </c>
      <c r="S284" s="100">
        <v>0</v>
      </c>
      <c r="T284" s="100">
        <v>0</v>
      </c>
      <c r="U284" s="100">
        <v>4041001.4200000009</v>
      </c>
      <c r="V284" s="100">
        <v>3840867.1</v>
      </c>
      <c r="W284" s="101">
        <v>0</v>
      </c>
      <c r="X284" s="91">
        <v>0.14300000000000002</v>
      </c>
    </row>
    <row r="285" spans="1:24" x14ac:dyDescent="0.3">
      <c r="A285" s="71">
        <v>39102</v>
      </c>
      <c r="B285" s="87" t="s">
        <v>517</v>
      </c>
      <c r="C285" s="100">
        <v>13056303.310000001</v>
      </c>
      <c r="D285" s="100">
        <v>2847880.67</v>
      </c>
      <c r="E285" s="100">
        <v>-891362.76</v>
      </c>
      <c r="F285" s="100">
        <v>0</v>
      </c>
      <c r="G285" s="100">
        <v>0</v>
      </c>
      <c r="H285" s="100">
        <v>15012821.220000001</v>
      </c>
      <c r="I285" s="100">
        <v>13313638.630000001</v>
      </c>
      <c r="J285" s="101">
        <v>0</v>
      </c>
      <c r="K285" s="100">
        <v>8574964.3599999994</v>
      </c>
      <c r="L285" s="100">
        <v>3293010.02</v>
      </c>
      <c r="M285" s="100">
        <v>-891362.76</v>
      </c>
      <c r="N285" s="100">
        <v>0</v>
      </c>
      <c r="O285" s="108"/>
      <c r="P285" s="100">
        <v>0</v>
      </c>
      <c r="Q285" s="108"/>
      <c r="R285" s="100">
        <v>0</v>
      </c>
      <c r="S285" s="100">
        <v>0</v>
      </c>
      <c r="T285" s="100">
        <v>0</v>
      </c>
      <c r="U285" s="100">
        <v>10976611.619999999</v>
      </c>
      <c r="V285" s="100">
        <v>9594376.6199999992</v>
      </c>
      <c r="W285" s="101">
        <v>0</v>
      </c>
      <c r="X285" s="91">
        <v>0.25</v>
      </c>
    </row>
    <row r="286" spans="1:24" x14ac:dyDescent="0.3">
      <c r="A286" s="71">
        <v>39103</v>
      </c>
      <c r="B286" s="87" t="s">
        <v>518</v>
      </c>
      <c r="C286" s="100">
        <v>0</v>
      </c>
      <c r="D286" s="100">
        <v>0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1">
        <v>0</v>
      </c>
      <c r="K286" s="100">
        <v>0</v>
      </c>
      <c r="L286" s="100">
        <v>0</v>
      </c>
      <c r="M286" s="100">
        <v>0</v>
      </c>
      <c r="N286" s="100">
        <v>0</v>
      </c>
      <c r="O286" s="108"/>
      <c r="P286" s="100">
        <v>0</v>
      </c>
      <c r="Q286" s="108"/>
      <c r="R286" s="100">
        <v>0</v>
      </c>
      <c r="S286" s="100">
        <v>0</v>
      </c>
      <c r="T286" s="100">
        <v>0</v>
      </c>
      <c r="U286" s="100">
        <v>0</v>
      </c>
      <c r="V286" s="100">
        <v>0</v>
      </c>
      <c r="W286" s="101">
        <v>0</v>
      </c>
      <c r="X286" s="91">
        <v>0</v>
      </c>
    </row>
    <row r="287" spans="1:24" x14ac:dyDescent="0.3">
      <c r="A287" s="71">
        <v>39104</v>
      </c>
      <c r="B287" s="87" t="s">
        <v>519</v>
      </c>
      <c r="C287" s="100">
        <v>55362003.109999977</v>
      </c>
      <c r="D287" s="100">
        <v>13376933.220000001</v>
      </c>
      <c r="E287" s="100">
        <v>-4172496.44</v>
      </c>
      <c r="F287" s="100">
        <v>0</v>
      </c>
      <c r="G287" s="100">
        <v>0</v>
      </c>
      <c r="H287" s="100">
        <v>64566439.889999986</v>
      </c>
      <c r="I287" s="100">
        <v>53762035.640000001</v>
      </c>
      <c r="J287" s="101">
        <v>0</v>
      </c>
      <c r="K287" s="100">
        <v>24183219.899999995</v>
      </c>
      <c r="L287" s="100">
        <v>10572333.720000001</v>
      </c>
      <c r="M287" s="100">
        <v>-4172496.44</v>
      </c>
      <c r="N287" s="100">
        <v>0</v>
      </c>
      <c r="O287" s="108"/>
      <c r="P287" s="100">
        <v>0</v>
      </c>
      <c r="Q287" s="108"/>
      <c r="R287" s="100">
        <v>0</v>
      </c>
      <c r="S287" s="100">
        <v>0</v>
      </c>
      <c r="T287" s="100">
        <v>0</v>
      </c>
      <c r="U287" s="100">
        <v>30583057.179999996</v>
      </c>
      <c r="V287" s="100">
        <v>25663039.079999998</v>
      </c>
      <c r="W287" s="101">
        <v>0</v>
      </c>
      <c r="X287" s="91">
        <v>0.2</v>
      </c>
    </row>
    <row r="288" spans="1:24" x14ac:dyDescent="0.3">
      <c r="A288" s="71">
        <v>39201</v>
      </c>
      <c r="B288" s="87" t="s">
        <v>520</v>
      </c>
      <c r="C288" s="100">
        <v>0</v>
      </c>
      <c r="D288" s="100">
        <v>0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1">
        <v>0</v>
      </c>
      <c r="K288" s="100">
        <v>0</v>
      </c>
      <c r="L288" s="100">
        <v>0</v>
      </c>
      <c r="M288" s="100">
        <v>0</v>
      </c>
      <c r="N288" s="100">
        <v>0</v>
      </c>
      <c r="O288" s="108"/>
      <c r="P288" s="100">
        <v>0</v>
      </c>
      <c r="Q288" s="108"/>
      <c r="R288" s="100">
        <v>0</v>
      </c>
      <c r="S288" s="100">
        <v>0</v>
      </c>
      <c r="T288" s="100">
        <v>0</v>
      </c>
      <c r="U288" s="100">
        <v>0</v>
      </c>
      <c r="V288" s="100">
        <v>0</v>
      </c>
      <c r="W288" s="101">
        <v>0</v>
      </c>
      <c r="X288" s="91">
        <v>0</v>
      </c>
    </row>
    <row r="289" spans="1:24" x14ac:dyDescent="0.3">
      <c r="A289" s="71">
        <v>39202</v>
      </c>
      <c r="B289" s="87" t="s">
        <v>521</v>
      </c>
      <c r="C289" s="100">
        <v>31038759.249999993</v>
      </c>
      <c r="D289" s="100">
        <v>130000</v>
      </c>
      <c r="E289" s="100">
        <v>-19500</v>
      </c>
      <c r="F289" s="100">
        <v>0</v>
      </c>
      <c r="G289" s="100">
        <v>0</v>
      </c>
      <c r="H289" s="100">
        <v>31149259.249999993</v>
      </c>
      <c r="I289" s="100">
        <v>31088615.02</v>
      </c>
      <c r="J289" s="101">
        <v>0</v>
      </c>
      <c r="K289" s="100">
        <v>7607982.429999995</v>
      </c>
      <c r="L289" s="100">
        <v>2166524.2200000002</v>
      </c>
      <c r="M289" s="100">
        <v>-19500</v>
      </c>
      <c r="N289" s="100">
        <v>0</v>
      </c>
      <c r="O289" s="108"/>
      <c r="P289" s="100">
        <v>35200</v>
      </c>
      <c r="Q289" s="108"/>
      <c r="R289" s="100">
        <v>0</v>
      </c>
      <c r="S289" s="100">
        <v>0</v>
      </c>
      <c r="T289" s="100">
        <v>0</v>
      </c>
      <c r="U289" s="100">
        <v>9790206.6499999948</v>
      </c>
      <c r="V289" s="100">
        <v>8690962.6500000004</v>
      </c>
      <c r="W289" s="101">
        <v>0</v>
      </c>
      <c r="X289" s="91">
        <v>6.9699999999999998E-2</v>
      </c>
    </row>
    <row r="290" spans="1:24" x14ac:dyDescent="0.3">
      <c r="A290" s="71">
        <v>39203</v>
      </c>
      <c r="B290" s="87" t="s">
        <v>522</v>
      </c>
      <c r="C290" s="100">
        <v>80730762.210000008</v>
      </c>
      <c r="D290" s="100">
        <v>0</v>
      </c>
      <c r="E290" s="100">
        <v>0</v>
      </c>
      <c r="F290" s="100">
        <v>0</v>
      </c>
      <c r="G290" s="100">
        <v>0</v>
      </c>
      <c r="H290" s="100">
        <v>80730762.210000008</v>
      </c>
      <c r="I290" s="100">
        <v>80730762.209999993</v>
      </c>
      <c r="J290" s="101">
        <v>0</v>
      </c>
      <c r="K290" s="100">
        <v>28088665.460000016</v>
      </c>
      <c r="L290" s="100">
        <v>3366472.8</v>
      </c>
      <c r="M290" s="100">
        <v>0</v>
      </c>
      <c r="N290" s="100">
        <v>56425</v>
      </c>
      <c r="O290" s="108"/>
      <c r="P290" s="100">
        <v>1000000</v>
      </c>
      <c r="Q290" s="108"/>
      <c r="R290" s="100">
        <v>0</v>
      </c>
      <c r="S290" s="100">
        <v>0</v>
      </c>
      <c r="T290" s="100">
        <v>0</v>
      </c>
      <c r="U290" s="100">
        <v>32511563.260000017</v>
      </c>
      <c r="V290" s="100">
        <v>30234072.18</v>
      </c>
      <c r="W290" s="101">
        <v>0</v>
      </c>
      <c r="X290" s="91">
        <v>4.1700000000000001E-2</v>
      </c>
    </row>
    <row r="291" spans="1:24" x14ac:dyDescent="0.3">
      <c r="A291" s="71">
        <v>39204</v>
      </c>
      <c r="B291" s="87" t="s">
        <v>523</v>
      </c>
      <c r="C291" s="100">
        <v>0</v>
      </c>
      <c r="D291" s="100">
        <v>0</v>
      </c>
      <c r="E291" s="100">
        <v>0</v>
      </c>
      <c r="F291" s="100">
        <v>0</v>
      </c>
      <c r="G291" s="100">
        <v>0</v>
      </c>
      <c r="H291" s="100">
        <v>0</v>
      </c>
      <c r="I291" s="100">
        <v>0</v>
      </c>
      <c r="J291" s="101">
        <v>0</v>
      </c>
      <c r="K291" s="100">
        <v>0</v>
      </c>
      <c r="L291" s="100">
        <v>0</v>
      </c>
      <c r="M291" s="100">
        <v>0</v>
      </c>
      <c r="N291" s="100">
        <v>0</v>
      </c>
      <c r="O291" s="108"/>
      <c r="P291" s="100">
        <v>0</v>
      </c>
      <c r="Q291" s="108"/>
      <c r="R291" s="100">
        <v>0</v>
      </c>
      <c r="S291" s="100">
        <v>0</v>
      </c>
      <c r="T291" s="100">
        <v>0</v>
      </c>
      <c r="U291" s="100">
        <v>0</v>
      </c>
      <c r="V291" s="100">
        <v>0</v>
      </c>
      <c r="W291" s="101">
        <v>0</v>
      </c>
      <c r="X291" s="91">
        <v>0</v>
      </c>
    </row>
    <row r="292" spans="1:24" x14ac:dyDescent="0.3">
      <c r="A292" s="71">
        <v>39212</v>
      </c>
      <c r="B292" s="87" t="s">
        <v>524</v>
      </c>
      <c r="C292" s="100">
        <v>6411738.3199999994</v>
      </c>
      <c r="D292" s="100">
        <v>0</v>
      </c>
      <c r="E292" s="100">
        <v>0</v>
      </c>
      <c r="F292" s="100">
        <v>0</v>
      </c>
      <c r="G292" s="100">
        <v>0</v>
      </c>
      <c r="H292" s="100">
        <v>6411738.3199999994</v>
      </c>
      <c r="I292" s="100">
        <v>6411738.3200000003</v>
      </c>
      <c r="J292" s="101">
        <v>0</v>
      </c>
      <c r="K292" s="100">
        <v>2193421.4700000011</v>
      </c>
      <c r="L292" s="100">
        <v>363545.52</v>
      </c>
      <c r="M292" s="100">
        <v>0</v>
      </c>
      <c r="N292" s="100">
        <v>0</v>
      </c>
      <c r="O292" s="108"/>
      <c r="P292" s="100">
        <v>0</v>
      </c>
      <c r="Q292" s="108"/>
      <c r="R292" s="100">
        <v>0</v>
      </c>
      <c r="S292" s="100">
        <v>0</v>
      </c>
      <c r="T292" s="100">
        <v>0</v>
      </c>
      <c r="U292" s="100">
        <v>2556966.9900000012</v>
      </c>
      <c r="V292" s="100">
        <v>2375194.23</v>
      </c>
      <c r="W292" s="101">
        <v>0</v>
      </c>
      <c r="X292" s="91">
        <v>5.67E-2</v>
      </c>
    </row>
    <row r="293" spans="1:24" x14ac:dyDescent="0.3">
      <c r="A293" s="71">
        <v>39213</v>
      </c>
      <c r="B293" s="87" t="s">
        <v>525</v>
      </c>
      <c r="C293" s="100">
        <v>1071147.3900000001</v>
      </c>
      <c r="D293" s="100">
        <v>0</v>
      </c>
      <c r="E293" s="100">
        <v>0</v>
      </c>
      <c r="F293" s="100">
        <v>0</v>
      </c>
      <c r="G293" s="100">
        <v>0</v>
      </c>
      <c r="H293" s="100">
        <v>1071147.3900000001</v>
      </c>
      <c r="I293" s="100">
        <v>1071147.3899999999</v>
      </c>
      <c r="J293" s="101">
        <v>0</v>
      </c>
      <c r="K293" s="100">
        <v>273203.89000000007</v>
      </c>
      <c r="L293" s="100">
        <v>64590.239999999998</v>
      </c>
      <c r="M293" s="100">
        <v>0</v>
      </c>
      <c r="N293" s="100">
        <v>0</v>
      </c>
      <c r="O293" s="108"/>
      <c r="P293" s="100">
        <v>0</v>
      </c>
      <c r="Q293" s="108"/>
      <c r="R293" s="100">
        <v>0</v>
      </c>
      <c r="S293" s="100">
        <v>0</v>
      </c>
      <c r="T293" s="100">
        <v>0</v>
      </c>
      <c r="U293" s="100">
        <v>337794.13000000006</v>
      </c>
      <c r="V293" s="100">
        <v>305499.01</v>
      </c>
      <c r="W293" s="101">
        <v>0</v>
      </c>
      <c r="X293" s="91">
        <v>6.0299999999999999E-2</v>
      </c>
    </row>
    <row r="294" spans="1:24" x14ac:dyDescent="0.3">
      <c r="A294" s="71">
        <v>39214</v>
      </c>
      <c r="B294" s="87" t="s">
        <v>526</v>
      </c>
      <c r="C294" s="100">
        <v>0</v>
      </c>
      <c r="D294" s="100">
        <v>0</v>
      </c>
      <c r="E294" s="100">
        <v>0</v>
      </c>
      <c r="F294" s="100">
        <v>0</v>
      </c>
      <c r="G294" s="100">
        <v>0</v>
      </c>
      <c r="H294" s="100">
        <v>0</v>
      </c>
      <c r="I294" s="100">
        <v>0</v>
      </c>
      <c r="J294" s="101">
        <v>0</v>
      </c>
      <c r="K294" s="100">
        <v>0</v>
      </c>
      <c r="L294" s="100">
        <v>0</v>
      </c>
      <c r="M294" s="100">
        <v>0</v>
      </c>
      <c r="N294" s="100">
        <v>0</v>
      </c>
      <c r="O294" s="108"/>
      <c r="P294" s="100">
        <v>0</v>
      </c>
      <c r="Q294" s="108"/>
      <c r="R294" s="100">
        <v>0</v>
      </c>
      <c r="S294" s="100">
        <v>0</v>
      </c>
      <c r="T294" s="100">
        <v>0</v>
      </c>
      <c r="U294" s="100">
        <v>0</v>
      </c>
      <c r="V294" s="100">
        <v>0</v>
      </c>
      <c r="W294" s="101">
        <v>0</v>
      </c>
      <c r="X294" s="91">
        <v>0</v>
      </c>
    </row>
    <row r="295" spans="1:24" x14ac:dyDescent="0.3">
      <c r="A295" s="71">
        <v>39300</v>
      </c>
      <c r="B295" s="87" t="s">
        <v>527</v>
      </c>
      <c r="C295" s="100">
        <v>0</v>
      </c>
      <c r="D295" s="100">
        <v>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1">
        <v>0</v>
      </c>
      <c r="K295" s="100">
        <v>0</v>
      </c>
      <c r="L295" s="100">
        <v>0</v>
      </c>
      <c r="M295" s="100">
        <v>0</v>
      </c>
      <c r="N295" s="100">
        <v>0</v>
      </c>
      <c r="O295" s="108"/>
      <c r="P295" s="100">
        <v>0</v>
      </c>
      <c r="Q295" s="108"/>
      <c r="R295" s="100">
        <v>0</v>
      </c>
      <c r="S295" s="100">
        <v>0</v>
      </c>
      <c r="T295" s="100">
        <v>0</v>
      </c>
      <c r="U295" s="100">
        <v>0</v>
      </c>
      <c r="V295" s="100">
        <v>0</v>
      </c>
      <c r="W295" s="101">
        <v>0</v>
      </c>
      <c r="X295" s="91">
        <v>0.14300000000000002</v>
      </c>
    </row>
    <row r="296" spans="1:24" x14ac:dyDescent="0.3">
      <c r="A296" s="71">
        <v>39400</v>
      </c>
      <c r="B296" s="87" t="s">
        <v>528</v>
      </c>
      <c r="C296" s="100">
        <v>16145975.260000002</v>
      </c>
      <c r="D296" s="100">
        <v>2799742.39</v>
      </c>
      <c r="E296" s="100">
        <v>-2311617.2000000002</v>
      </c>
      <c r="F296" s="100">
        <v>0</v>
      </c>
      <c r="G296" s="100">
        <v>0</v>
      </c>
      <c r="H296" s="100">
        <v>16634100.450000003</v>
      </c>
      <c r="I296" s="100">
        <v>15905802.65</v>
      </c>
      <c r="J296" s="101">
        <v>0</v>
      </c>
      <c r="K296" s="100">
        <v>6575993.2300000014</v>
      </c>
      <c r="L296" s="100">
        <v>2265850.92</v>
      </c>
      <c r="M296" s="100">
        <v>-2311617.2000000002</v>
      </c>
      <c r="N296" s="100">
        <v>0</v>
      </c>
      <c r="O296" s="108"/>
      <c r="P296" s="100">
        <v>0</v>
      </c>
      <c r="Q296" s="108"/>
      <c r="R296" s="100">
        <v>0</v>
      </c>
      <c r="S296" s="100">
        <v>0</v>
      </c>
      <c r="T296" s="100">
        <v>0</v>
      </c>
      <c r="U296" s="100">
        <v>6530226.950000002</v>
      </c>
      <c r="V296" s="100">
        <v>6796314.5999999996</v>
      </c>
      <c r="W296" s="101">
        <v>0</v>
      </c>
      <c r="X296" s="91">
        <v>0.14300000000000002</v>
      </c>
    </row>
    <row r="297" spans="1:24" x14ac:dyDescent="0.3">
      <c r="A297" s="71">
        <v>39401</v>
      </c>
      <c r="B297" s="87" t="s">
        <v>529</v>
      </c>
      <c r="C297" s="100">
        <v>4188533.43</v>
      </c>
      <c r="D297" s="100">
        <v>0</v>
      </c>
      <c r="E297" s="100">
        <v>0</v>
      </c>
      <c r="F297" s="100">
        <v>0</v>
      </c>
      <c r="G297" s="100">
        <v>0</v>
      </c>
      <c r="H297" s="100">
        <v>4188533.43</v>
      </c>
      <c r="I297" s="100">
        <v>4188533.43</v>
      </c>
      <c r="J297" s="101">
        <v>0</v>
      </c>
      <c r="K297" s="100">
        <v>2993233.67</v>
      </c>
      <c r="L297" s="100">
        <v>837706.68</v>
      </c>
      <c r="M297" s="100">
        <v>0</v>
      </c>
      <c r="N297" s="100">
        <v>0</v>
      </c>
      <c r="O297" s="108"/>
      <c r="P297" s="100">
        <v>0</v>
      </c>
      <c r="Q297" s="108"/>
      <c r="R297" s="100">
        <v>0</v>
      </c>
      <c r="S297" s="100">
        <v>0</v>
      </c>
      <c r="T297" s="100">
        <v>0</v>
      </c>
      <c r="U297" s="100">
        <v>3830940.35</v>
      </c>
      <c r="V297" s="100">
        <v>3412087.01</v>
      </c>
      <c r="W297" s="101">
        <v>0</v>
      </c>
      <c r="X297" s="91">
        <v>0.2</v>
      </c>
    </row>
    <row r="298" spans="1:24" x14ac:dyDescent="0.3">
      <c r="A298" s="71">
        <v>39403</v>
      </c>
      <c r="B298" s="87" t="s">
        <v>530</v>
      </c>
      <c r="C298" s="100">
        <v>0</v>
      </c>
      <c r="D298" s="100">
        <v>0</v>
      </c>
      <c r="E298" s="100">
        <v>0</v>
      </c>
      <c r="F298" s="100">
        <v>0</v>
      </c>
      <c r="G298" s="100">
        <v>0</v>
      </c>
      <c r="H298" s="100">
        <v>0</v>
      </c>
      <c r="I298" s="100">
        <v>0</v>
      </c>
      <c r="J298" s="101">
        <v>0</v>
      </c>
      <c r="K298" s="100">
        <v>0</v>
      </c>
      <c r="L298" s="100">
        <v>0</v>
      </c>
      <c r="M298" s="100">
        <v>0</v>
      </c>
      <c r="N298" s="100">
        <v>0</v>
      </c>
      <c r="O298" s="108"/>
      <c r="P298" s="100">
        <v>0</v>
      </c>
      <c r="Q298" s="108"/>
      <c r="R298" s="100">
        <v>0</v>
      </c>
      <c r="S298" s="100">
        <v>0</v>
      </c>
      <c r="T298" s="100">
        <v>0</v>
      </c>
      <c r="U298" s="100">
        <v>0</v>
      </c>
      <c r="V298" s="100">
        <v>0</v>
      </c>
      <c r="W298" s="101">
        <v>0</v>
      </c>
      <c r="X298" s="91">
        <v>0</v>
      </c>
    </row>
    <row r="299" spans="1:24" x14ac:dyDescent="0.3">
      <c r="A299" s="71">
        <v>39500</v>
      </c>
      <c r="B299" s="87" t="s">
        <v>531</v>
      </c>
      <c r="C299" s="100">
        <v>12803541.98</v>
      </c>
      <c r="D299" s="100">
        <v>8613341</v>
      </c>
      <c r="E299" s="100">
        <v>-457528.73</v>
      </c>
      <c r="F299" s="100">
        <v>0</v>
      </c>
      <c r="G299" s="100">
        <v>0</v>
      </c>
      <c r="H299" s="100">
        <v>20959354.25</v>
      </c>
      <c r="I299" s="100">
        <v>17773394.870000001</v>
      </c>
      <c r="J299" s="101">
        <v>0</v>
      </c>
      <c r="K299" s="100">
        <v>1908021.2299999997</v>
      </c>
      <c r="L299" s="100">
        <v>2503629.46</v>
      </c>
      <c r="M299" s="100">
        <v>-457528.73</v>
      </c>
      <c r="N299" s="100">
        <v>0</v>
      </c>
      <c r="O299" s="108"/>
      <c r="P299" s="100">
        <v>0</v>
      </c>
      <c r="Q299" s="108"/>
      <c r="R299" s="100">
        <v>0</v>
      </c>
      <c r="S299" s="100">
        <v>0</v>
      </c>
      <c r="T299" s="100">
        <v>0</v>
      </c>
      <c r="U299" s="100">
        <v>3954121.9599999995</v>
      </c>
      <c r="V299" s="100">
        <v>2821810.42</v>
      </c>
      <c r="W299" s="101">
        <v>0</v>
      </c>
      <c r="X299" s="91">
        <v>0.14300000000000002</v>
      </c>
    </row>
    <row r="300" spans="1:24" x14ac:dyDescent="0.3">
      <c r="A300" s="71">
        <v>39600</v>
      </c>
      <c r="B300" s="87" t="s">
        <v>532</v>
      </c>
      <c r="C300" s="100">
        <v>0</v>
      </c>
      <c r="D300" s="100">
        <v>0</v>
      </c>
      <c r="E300" s="100">
        <v>0</v>
      </c>
      <c r="F300" s="100">
        <v>0</v>
      </c>
      <c r="G300" s="100">
        <v>0</v>
      </c>
      <c r="H300" s="100">
        <v>0</v>
      </c>
      <c r="I300" s="100">
        <v>0</v>
      </c>
      <c r="J300" s="101">
        <v>0</v>
      </c>
      <c r="K300" s="100">
        <v>0</v>
      </c>
      <c r="L300" s="100">
        <v>0</v>
      </c>
      <c r="M300" s="100">
        <v>0</v>
      </c>
      <c r="N300" s="100">
        <v>0</v>
      </c>
      <c r="O300" s="108"/>
      <c r="P300" s="100">
        <v>0</v>
      </c>
      <c r="Q300" s="108"/>
      <c r="R300" s="100">
        <v>0</v>
      </c>
      <c r="S300" s="100">
        <v>0</v>
      </c>
      <c r="T300" s="100">
        <v>0</v>
      </c>
      <c r="U300" s="100">
        <v>0</v>
      </c>
      <c r="V300" s="100">
        <v>0</v>
      </c>
      <c r="W300" s="101">
        <v>0</v>
      </c>
      <c r="X300" s="91">
        <v>0.14300000000000002</v>
      </c>
    </row>
    <row r="301" spans="1:24" x14ac:dyDescent="0.3">
      <c r="A301" s="71">
        <v>39700</v>
      </c>
      <c r="B301" s="87" t="s">
        <v>533</v>
      </c>
      <c r="C301" s="100">
        <v>46193295.790000029</v>
      </c>
      <c r="D301" s="100">
        <v>6480102.8099999996</v>
      </c>
      <c r="E301" s="100">
        <v>-13200666.1</v>
      </c>
      <c r="F301" s="100">
        <v>0</v>
      </c>
      <c r="G301" s="100">
        <v>0</v>
      </c>
      <c r="H301" s="100">
        <v>39472732.50000003</v>
      </c>
      <c r="I301" s="100">
        <v>45249965.670000002</v>
      </c>
      <c r="J301" s="101">
        <v>0</v>
      </c>
      <c r="K301" s="100">
        <v>25138803.880000003</v>
      </c>
      <c r="L301" s="100">
        <v>6539590.46</v>
      </c>
      <c r="M301" s="100">
        <v>-13200666.1</v>
      </c>
      <c r="N301" s="100">
        <v>-1968.72</v>
      </c>
      <c r="O301" s="108"/>
      <c r="P301" s="100">
        <v>0</v>
      </c>
      <c r="Q301" s="108"/>
      <c r="R301" s="100">
        <v>0</v>
      </c>
      <c r="S301" s="100">
        <v>0</v>
      </c>
      <c r="T301" s="100">
        <v>0</v>
      </c>
      <c r="U301" s="100">
        <v>18475759.520000003</v>
      </c>
      <c r="V301" s="100">
        <v>24586568.800000001</v>
      </c>
      <c r="W301" s="101">
        <v>0</v>
      </c>
      <c r="X301" s="91">
        <v>0.14300000000000002</v>
      </c>
    </row>
    <row r="302" spans="1:24" x14ac:dyDescent="0.3">
      <c r="A302" s="71">
        <v>39725</v>
      </c>
      <c r="B302" s="87" t="s">
        <v>534</v>
      </c>
      <c r="C302" s="100">
        <v>51778218.330000013</v>
      </c>
      <c r="D302" s="100">
        <v>37340104.920000002</v>
      </c>
      <c r="E302" s="100">
        <v>-4244731.01</v>
      </c>
      <c r="F302" s="100">
        <v>0</v>
      </c>
      <c r="G302" s="100">
        <v>0</v>
      </c>
      <c r="H302" s="100">
        <v>84873592.24000001</v>
      </c>
      <c r="I302" s="100">
        <v>64751054.149999999</v>
      </c>
      <c r="J302" s="101">
        <v>0</v>
      </c>
      <c r="K302" s="100">
        <v>27439427.159999989</v>
      </c>
      <c r="L302" s="100">
        <v>1810228.83</v>
      </c>
      <c r="M302" s="100">
        <v>-4244731.01</v>
      </c>
      <c r="N302" s="100">
        <v>0</v>
      </c>
      <c r="O302" s="108"/>
      <c r="P302" s="100">
        <v>0</v>
      </c>
      <c r="Q302" s="108"/>
      <c r="R302" s="100">
        <v>0</v>
      </c>
      <c r="S302" s="100">
        <v>0</v>
      </c>
      <c r="T302" s="100">
        <v>0</v>
      </c>
      <c r="U302" s="100">
        <v>25004924.979999989</v>
      </c>
      <c r="V302" s="100">
        <v>25897297.41</v>
      </c>
      <c r="W302" s="101">
        <v>0</v>
      </c>
      <c r="X302" s="91">
        <v>2.87E-2</v>
      </c>
    </row>
    <row r="303" spans="1:24" x14ac:dyDescent="0.3">
      <c r="A303" s="71">
        <v>39800</v>
      </c>
      <c r="B303" s="87" t="s">
        <v>535</v>
      </c>
      <c r="C303" s="100">
        <v>5268687.0399999991</v>
      </c>
      <c r="D303" s="100">
        <v>910000</v>
      </c>
      <c r="E303" s="100">
        <v>-692571.1</v>
      </c>
      <c r="F303" s="100">
        <v>0</v>
      </c>
      <c r="G303" s="100">
        <v>0</v>
      </c>
      <c r="H303" s="100">
        <v>5486115.9399999995</v>
      </c>
      <c r="I303" s="100">
        <v>4972845.12</v>
      </c>
      <c r="J303" s="101">
        <v>0</v>
      </c>
      <c r="K303" s="100">
        <v>2747129.8600000008</v>
      </c>
      <c r="L303" s="100">
        <v>705000.38</v>
      </c>
      <c r="M303" s="100">
        <v>-692571.1</v>
      </c>
      <c r="N303" s="100">
        <v>0</v>
      </c>
      <c r="O303" s="108"/>
      <c r="P303" s="100">
        <v>0</v>
      </c>
      <c r="Q303" s="108"/>
      <c r="R303" s="100">
        <v>0</v>
      </c>
      <c r="S303" s="100">
        <v>0</v>
      </c>
      <c r="T303" s="100">
        <v>0</v>
      </c>
      <c r="U303" s="100">
        <v>2759559.1400000006</v>
      </c>
      <c r="V303" s="100">
        <v>2741421.98</v>
      </c>
      <c r="W303" s="101">
        <v>0</v>
      </c>
      <c r="X303" s="91">
        <v>0.14300000000000002</v>
      </c>
    </row>
    <row r="304" spans="1:24" x14ac:dyDescent="0.3">
      <c r="A304" s="71">
        <v>39910</v>
      </c>
      <c r="B304" s="87" t="s">
        <v>536</v>
      </c>
      <c r="C304" s="100">
        <v>269187.51</v>
      </c>
      <c r="D304" s="100">
        <v>0</v>
      </c>
      <c r="E304" s="100">
        <v>0</v>
      </c>
      <c r="F304" s="100">
        <v>0</v>
      </c>
      <c r="G304" s="100">
        <v>0</v>
      </c>
      <c r="H304" s="100">
        <v>269187.51</v>
      </c>
      <c r="I304" s="100">
        <v>269187.51</v>
      </c>
      <c r="J304" s="101">
        <v>0</v>
      </c>
      <c r="K304" s="100">
        <v>140835.12999999995</v>
      </c>
      <c r="L304" s="100">
        <v>11575.08</v>
      </c>
      <c r="M304" s="100">
        <v>0</v>
      </c>
      <c r="N304" s="100">
        <v>0</v>
      </c>
      <c r="O304" s="108"/>
      <c r="P304" s="100">
        <v>0</v>
      </c>
      <c r="Q304" s="108"/>
      <c r="R304" s="100">
        <v>0</v>
      </c>
      <c r="S304" s="100">
        <v>0</v>
      </c>
      <c r="T304" s="100">
        <v>0</v>
      </c>
      <c r="U304" s="100">
        <v>152410.20999999993</v>
      </c>
      <c r="V304" s="100">
        <v>146622.67000000001</v>
      </c>
      <c r="W304" s="101">
        <v>0</v>
      </c>
      <c r="X304" s="91">
        <v>4.2999999999999997E-2</v>
      </c>
    </row>
    <row r="305" spans="1:24" x14ac:dyDescent="0.3">
      <c r="A305" s="71"/>
      <c r="B305" s="103"/>
      <c r="C305" s="55"/>
      <c r="D305" s="100"/>
      <c r="E305" s="100"/>
      <c r="F305" s="100"/>
      <c r="G305" s="100"/>
      <c r="H305" s="100"/>
      <c r="I305" s="100"/>
      <c r="J305" s="101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1"/>
    </row>
    <row r="306" spans="1:24" x14ac:dyDescent="0.3">
      <c r="A306" s="71"/>
      <c r="B306" s="103"/>
      <c r="C306" s="55"/>
      <c r="D306" s="100"/>
      <c r="E306" s="100"/>
      <c r="F306" s="100"/>
      <c r="G306" s="100"/>
      <c r="H306" s="100"/>
      <c r="I306" s="100"/>
      <c r="J306" s="101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1"/>
      <c r="X306" s="109"/>
    </row>
    <row r="307" spans="1:24" x14ac:dyDescent="0.3">
      <c r="A307" s="71"/>
      <c r="B307" s="103"/>
      <c r="C307" s="55"/>
      <c r="D307" s="100"/>
      <c r="E307" s="100"/>
      <c r="F307" s="100"/>
      <c r="G307" s="100"/>
      <c r="H307" s="100"/>
      <c r="I307" s="100"/>
      <c r="J307" s="101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1"/>
    </row>
    <row r="308" spans="1:24" x14ac:dyDescent="0.3">
      <c r="A308" s="71"/>
      <c r="B308" s="103"/>
      <c r="C308" s="55"/>
      <c r="D308" s="100"/>
      <c r="E308" s="100"/>
      <c r="F308" s="100"/>
      <c r="G308" s="100"/>
      <c r="H308" s="100"/>
      <c r="I308" s="100"/>
      <c r="J308" s="101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1"/>
    </row>
    <row r="309" spans="1:24" x14ac:dyDescent="0.3">
      <c r="A309" s="71"/>
      <c r="B309" s="87"/>
      <c r="C309" s="40"/>
      <c r="D309" s="100"/>
      <c r="E309" s="100"/>
      <c r="F309" s="100"/>
      <c r="G309" s="100"/>
      <c r="H309" s="100"/>
      <c r="I309" s="100"/>
      <c r="J309" s="101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1"/>
    </row>
    <row r="310" spans="1:24" ht="15" thickBot="1" x14ac:dyDescent="0.35">
      <c r="A310" s="37"/>
      <c r="B310" s="41" t="s">
        <v>537</v>
      </c>
      <c r="C310" s="42">
        <v>13702861580.460001</v>
      </c>
      <c r="D310" s="42">
        <v>1961744962.0600004</v>
      </c>
      <c r="E310" s="42">
        <v>-150854984.74999997</v>
      </c>
      <c r="F310" s="42">
        <v>0</v>
      </c>
      <c r="G310" s="42">
        <v>0</v>
      </c>
      <c r="H310" s="42">
        <v>15513751557.769995</v>
      </c>
      <c r="I310" s="42">
        <v>14529575478.969999</v>
      </c>
      <c r="J310" s="43">
        <v>-6.0000384692102671E-2</v>
      </c>
      <c r="K310" s="42">
        <v>3988243071.1099992</v>
      </c>
      <c r="L310" s="42">
        <v>572413168.64999986</v>
      </c>
      <c r="M310" s="42">
        <v>-150854984.74999997</v>
      </c>
      <c r="N310" s="42">
        <v>-76972259.349999979</v>
      </c>
      <c r="O310" s="42">
        <v>0</v>
      </c>
      <c r="P310" s="42">
        <v>4566979.1399999997</v>
      </c>
      <c r="Q310" s="42">
        <v>0</v>
      </c>
      <c r="R310" s="42">
        <v>0</v>
      </c>
      <c r="S310" s="42">
        <v>33255933</v>
      </c>
      <c r="T310" s="42">
        <v>0</v>
      </c>
      <c r="U310" s="42">
        <v>4370651907.7999992</v>
      </c>
      <c r="V310" s="42">
        <v>4177806227.1399994</v>
      </c>
      <c r="W310" s="43">
        <v>2.9999936204831101E-2</v>
      </c>
    </row>
    <row r="311" spans="1:24" ht="15" thickTop="1" x14ac:dyDescent="0.3">
      <c r="A311" s="1"/>
      <c r="B311" s="44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-6.0001373291015625E-2</v>
      </c>
      <c r="I311" s="2">
        <v>0</v>
      </c>
      <c r="J311" s="45"/>
      <c r="K311" s="2">
        <v>0</v>
      </c>
      <c r="L311" s="2">
        <v>0</v>
      </c>
      <c r="M311" s="2">
        <v>0</v>
      </c>
      <c r="N311" s="2">
        <v>0</v>
      </c>
      <c r="O311" s="108"/>
      <c r="P311" s="2">
        <v>0</v>
      </c>
      <c r="Q311" s="108"/>
      <c r="R311" s="2">
        <v>0</v>
      </c>
      <c r="S311" s="2">
        <v>0</v>
      </c>
      <c r="T311" s="2">
        <v>0</v>
      </c>
      <c r="U311" s="2">
        <v>3.0000686645507813E-2</v>
      </c>
      <c r="V311" s="2">
        <v>0</v>
      </c>
      <c r="W311" s="45"/>
    </row>
    <row r="312" spans="1:24" x14ac:dyDescent="0.3">
      <c r="A312" s="37">
        <v>105</v>
      </c>
      <c r="B312" s="41" t="s">
        <v>538</v>
      </c>
      <c r="C312" s="47">
        <v>64262399.530000001</v>
      </c>
      <c r="D312" s="47">
        <v>6502552.7400000002</v>
      </c>
      <c r="E312" s="47">
        <v>0</v>
      </c>
      <c r="F312" s="47">
        <v>0</v>
      </c>
      <c r="G312" s="47">
        <v>0</v>
      </c>
      <c r="H312" s="47">
        <v>70764952.269999996</v>
      </c>
      <c r="I312" s="47">
        <v>69494543.310000002</v>
      </c>
      <c r="J312" s="48"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8">
        <v>0</v>
      </c>
    </row>
    <row r="313" spans="1:24" x14ac:dyDescent="0.3">
      <c r="A313" s="37">
        <v>108</v>
      </c>
      <c r="B313" s="41" t="s">
        <v>539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8">
        <v>0</v>
      </c>
      <c r="K313" s="47">
        <v>113636926.83999996</v>
      </c>
      <c r="L313" s="47">
        <v>17442392.039999999</v>
      </c>
      <c r="M313" s="47">
        <v>0</v>
      </c>
      <c r="N313" s="47">
        <v>-33255933</v>
      </c>
      <c r="O313" s="47">
        <v>0</v>
      </c>
      <c r="P313" s="47">
        <v>0</v>
      </c>
      <c r="Q313" s="47">
        <v>0</v>
      </c>
      <c r="R313" s="47">
        <v>0</v>
      </c>
      <c r="S313" s="47">
        <v>33255933</v>
      </c>
      <c r="T313" s="47">
        <v>0</v>
      </c>
      <c r="U313" s="47">
        <v>131079318.87999997</v>
      </c>
      <c r="V313" s="47">
        <v>119953820.33</v>
      </c>
      <c r="W313" s="48">
        <v>0</v>
      </c>
    </row>
    <row r="314" spans="1:24" x14ac:dyDescent="0.3">
      <c r="A314" s="37" t="s">
        <v>540</v>
      </c>
      <c r="B314" s="41" t="s">
        <v>541</v>
      </c>
      <c r="C314" s="47">
        <v>7484822.7599999998</v>
      </c>
      <c r="D314" s="47">
        <v>0</v>
      </c>
      <c r="E314" s="47">
        <v>0</v>
      </c>
      <c r="F314" s="47">
        <v>0</v>
      </c>
      <c r="G314" s="47">
        <v>0</v>
      </c>
      <c r="H314" s="47">
        <v>7484822.7599999998</v>
      </c>
      <c r="I314" s="47">
        <v>7484822.7599999998</v>
      </c>
      <c r="J314" s="48">
        <v>0</v>
      </c>
      <c r="K314" s="47">
        <v>6883366.1700000018</v>
      </c>
      <c r="L314" s="47">
        <v>236708.76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7120074.9300000016</v>
      </c>
      <c r="V314" s="47">
        <v>7001720.5499999998</v>
      </c>
      <c r="W314" s="48">
        <v>0</v>
      </c>
    </row>
    <row r="315" spans="1:24" x14ac:dyDescent="0.3">
      <c r="A315" s="37" t="s">
        <v>542</v>
      </c>
      <c r="B315" s="41" t="s">
        <v>543</v>
      </c>
      <c r="C315" s="47">
        <v>19720467.789999984</v>
      </c>
      <c r="D315" s="47">
        <v>1655910.96</v>
      </c>
      <c r="E315" s="47">
        <v>-651417.96</v>
      </c>
      <c r="F315" s="47">
        <v>0</v>
      </c>
      <c r="G315" s="47">
        <v>0</v>
      </c>
      <c r="H315" s="47">
        <v>20724960.789999988</v>
      </c>
      <c r="I315" s="47">
        <v>20242224.670000002</v>
      </c>
      <c r="J315" s="48">
        <v>0</v>
      </c>
      <c r="K315" s="49">
        <v>7869600.8800000008</v>
      </c>
      <c r="L315" s="47">
        <v>1190760.3799999999</v>
      </c>
      <c r="M315" s="47">
        <v>-651417.96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8408943.2999999989</v>
      </c>
      <c r="V315" s="47">
        <v>8155856.6899999995</v>
      </c>
      <c r="W315" s="48">
        <v>0</v>
      </c>
    </row>
    <row r="316" spans="1:24" x14ac:dyDescent="0.3">
      <c r="A316" s="37" t="s">
        <v>544</v>
      </c>
      <c r="B316" s="50" t="s">
        <v>545</v>
      </c>
      <c r="C316" s="47">
        <v>582215403.88000011</v>
      </c>
      <c r="D316" s="47">
        <v>83861887.680000007</v>
      </c>
      <c r="E316" s="47">
        <v>-4800478.3099999996</v>
      </c>
      <c r="F316" s="47">
        <v>0</v>
      </c>
      <c r="G316" s="47">
        <v>0</v>
      </c>
      <c r="H316" s="47">
        <v>661276813.25000024</v>
      </c>
      <c r="I316" s="47">
        <v>601250207.54999995</v>
      </c>
      <c r="J316" s="48">
        <v>0</v>
      </c>
      <c r="K316" s="47">
        <v>176791073.29000008</v>
      </c>
      <c r="L316" s="47">
        <v>39791532.470000006</v>
      </c>
      <c r="M316" s="47">
        <v>-4800478.3099999996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211782127.45000008</v>
      </c>
      <c r="V316" s="47">
        <v>192471130.09999999</v>
      </c>
      <c r="W316" s="48">
        <v>0</v>
      </c>
    </row>
    <row r="317" spans="1:24" x14ac:dyDescent="0.3">
      <c r="A317" s="37" t="s">
        <v>546</v>
      </c>
      <c r="B317" s="50" t="s">
        <v>547</v>
      </c>
      <c r="C317" s="47">
        <v>25408521.469999995</v>
      </c>
      <c r="D317" s="47">
        <v>0</v>
      </c>
      <c r="E317" s="47">
        <v>0</v>
      </c>
      <c r="F317" s="47">
        <v>0</v>
      </c>
      <c r="G317" s="47">
        <v>0</v>
      </c>
      <c r="H317" s="47">
        <v>25408521.469999995</v>
      </c>
      <c r="I317" s="47">
        <v>25408521.470000003</v>
      </c>
      <c r="J317" s="48">
        <v>0</v>
      </c>
      <c r="K317" s="47">
        <v>5493268.2999999877</v>
      </c>
      <c r="L317" s="47">
        <v>689491.32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7">
        <v>0</v>
      </c>
      <c r="T317" s="47">
        <v>0</v>
      </c>
      <c r="U317" s="47">
        <v>6182759.619999988</v>
      </c>
      <c r="V317" s="47">
        <v>5838013.96</v>
      </c>
      <c r="W317" s="48">
        <v>0</v>
      </c>
    </row>
    <row r="318" spans="1:24" x14ac:dyDescent="0.3">
      <c r="A318" s="37" t="s">
        <v>546</v>
      </c>
      <c r="B318" s="50" t="s">
        <v>548</v>
      </c>
      <c r="C318" s="47">
        <v>1477748581.1499994</v>
      </c>
      <c r="D318" s="47">
        <v>18434255.68</v>
      </c>
      <c r="E318" s="47">
        <v>-3724442.38</v>
      </c>
      <c r="F318" s="47">
        <v>0</v>
      </c>
      <c r="G318" s="47">
        <v>0</v>
      </c>
      <c r="H318" s="47">
        <v>1492458394.4499993</v>
      </c>
      <c r="I318" s="47">
        <v>1483614508.3699996</v>
      </c>
      <c r="J318" s="48">
        <v>-9.9999941885471344E-3</v>
      </c>
      <c r="K318" s="47">
        <v>554930877.77000022</v>
      </c>
      <c r="L318" s="47">
        <v>59405932.760000005</v>
      </c>
      <c r="M318" s="47">
        <v>-3724442.38</v>
      </c>
      <c r="N318" s="47">
        <v>-1716331.7199999997</v>
      </c>
      <c r="O318" s="47">
        <v>0</v>
      </c>
      <c r="P318" s="47"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v>608896036.43000019</v>
      </c>
      <c r="V318" s="47">
        <v>582206340.26000011</v>
      </c>
      <c r="W318" s="48">
        <v>9.9999883095733821E-3</v>
      </c>
    </row>
    <row r="319" spans="1:24" x14ac:dyDescent="0.3">
      <c r="A319" s="37" t="s">
        <v>546</v>
      </c>
      <c r="B319" s="50" t="s">
        <v>549</v>
      </c>
      <c r="C319" s="47">
        <v>5628446655.7699957</v>
      </c>
      <c r="D319" s="47">
        <v>684065493.77999985</v>
      </c>
      <c r="E319" s="47">
        <v>-22082575.860000003</v>
      </c>
      <c r="F319" s="47">
        <v>0</v>
      </c>
      <c r="G319" s="47">
        <v>0</v>
      </c>
      <c r="H319" s="47">
        <v>6290429573.6899967</v>
      </c>
      <c r="I319" s="47">
        <v>5911592734.0799961</v>
      </c>
      <c r="J319" s="48">
        <v>-5.9999900404363871E-2</v>
      </c>
      <c r="K319" s="47">
        <v>1375326289.2099998</v>
      </c>
      <c r="L319" s="47">
        <v>219936235.58000001</v>
      </c>
      <c r="M319" s="47">
        <v>-22082575.860000003</v>
      </c>
      <c r="N319" s="47">
        <v>-6710612.7800000012</v>
      </c>
      <c r="O319" s="47">
        <v>0</v>
      </c>
      <c r="P319" s="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1566469336.1500008</v>
      </c>
      <c r="V319" s="47">
        <v>1471881722.8200002</v>
      </c>
      <c r="W319" s="48">
        <v>1.0000004929452189E-2</v>
      </c>
    </row>
    <row r="320" spans="1:24" x14ac:dyDescent="0.3">
      <c r="A320" s="37" t="s">
        <v>546</v>
      </c>
      <c r="B320" s="50" t="s">
        <v>550</v>
      </c>
      <c r="C320" s="47">
        <v>1287508639.8200004</v>
      </c>
      <c r="D320" s="47">
        <v>159412269.73000002</v>
      </c>
      <c r="E320" s="47">
        <v>-17107140.59</v>
      </c>
      <c r="F320" s="47">
        <v>0</v>
      </c>
      <c r="G320" s="47">
        <v>0</v>
      </c>
      <c r="H320" s="47">
        <v>1429813768.9600003</v>
      </c>
      <c r="I320" s="47">
        <v>1334295312.9900002</v>
      </c>
      <c r="J320" s="48">
        <v>4.0978193283081055E-8</v>
      </c>
      <c r="K320" s="47">
        <v>304582186.04000002</v>
      </c>
      <c r="L320" s="47">
        <v>34258116.600000001</v>
      </c>
      <c r="M320" s="47">
        <v>-17107140.59</v>
      </c>
      <c r="N320" s="47">
        <v>-2925050.44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318808111.61000019</v>
      </c>
      <c r="V320" s="47">
        <v>314672164.46999997</v>
      </c>
      <c r="W320" s="48">
        <v>8.3819031715393066E-9</v>
      </c>
    </row>
    <row r="321" spans="1:23" x14ac:dyDescent="0.3">
      <c r="A321" s="37" t="s">
        <v>546</v>
      </c>
      <c r="B321" s="50" t="s">
        <v>551</v>
      </c>
      <c r="C321" s="47">
        <v>4097486854.9400001</v>
      </c>
      <c r="D321" s="47">
        <v>426044386.71000004</v>
      </c>
      <c r="E321" s="47">
        <v>-60324266.82</v>
      </c>
      <c r="F321" s="47">
        <v>0</v>
      </c>
      <c r="G321" s="47">
        <v>0</v>
      </c>
      <c r="H321" s="47">
        <v>4463206974.8300009</v>
      </c>
      <c r="I321" s="47">
        <v>4273370565.4500008</v>
      </c>
      <c r="J321" s="48">
        <v>9.9994689226150513E-3</v>
      </c>
      <c r="K321" s="47">
        <v>1249015154.4700003</v>
      </c>
      <c r="L321" s="47">
        <v>156846656.59</v>
      </c>
      <c r="M321" s="47">
        <v>-60324266.82</v>
      </c>
      <c r="N321" s="47">
        <v>-31939247.52</v>
      </c>
      <c r="O321" s="47">
        <v>0</v>
      </c>
      <c r="P321" s="47">
        <v>3531779.1399999997</v>
      </c>
      <c r="Q321" s="47">
        <v>0</v>
      </c>
      <c r="R321" s="47">
        <v>0</v>
      </c>
      <c r="S321" s="47">
        <v>0</v>
      </c>
      <c r="T321" s="47">
        <v>0</v>
      </c>
      <c r="U321" s="47">
        <v>1317130075.8600001</v>
      </c>
      <c r="V321" s="47">
        <v>1283180142.1700001</v>
      </c>
      <c r="W321" s="48">
        <v>9.999934583902359E-3</v>
      </c>
    </row>
    <row r="322" spans="1:23" x14ac:dyDescent="0.3">
      <c r="A322" s="37" t="s">
        <v>546</v>
      </c>
      <c r="B322" s="50" t="s">
        <v>552</v>
      </c>
      <c r="C322" s="47">
        <v>119252407.17</v>
      </c>
      <c r="D322" s="47">
        <v>130000</v>
      </c>
      <c r="E322" s="47">
        <v>-19500</v>
      </c>
      <c r="F322" s="47">
        <v>0</v>
      </c>
      <c r="G322" s="47">
        <v>0</v>
      </c>
      <c r="H322" s="47">
        <v>119362907.17</v>
      </c>
      <c r="I322" s="47">
        <v>119302262.93999998</v>
      </c>
      <c r="J322" s="48">
        <v>0</v>
      </c>
      <c r="K322" s="47">
        <v>38163273.250000007</v>
      </c>
      <c r="L322" s="47">
        <v>5961132.7799999993</v>
      </c>
      <c r="M322" s="47">
        <v>-19500</v>
      </c>
      <c r="N322" s="47">
        <v>56425</v>
      </c>
      <c r="O322" s="47">
        <v>0</v>
      </c>
      <c r="P322" s="47">
        <v>1035200</v>
      </c>
      <c r="Q322" s="47">
        <v>0</v>
      </c>
      <c r="R322" s="47">
        <v>0</v>
      </c>
      <c r="S322" s="47">
        <v>0</v>
      </c>
      <c r="T322" s="47">
        <v>0</v>
      </c>
      <c r="U322" s="47">
        <v>45196531.030000016</v>
      </c>
      <c r="V322" s="47">
        <v>41605728.069999993</v>
      </c>
      <c r="W322" s="48">
        <v>0</v>
      </c>
    </row>
    <row r="323" spans="1:23" x14ac:dyDescent="0.3">
      <c r="A323" s="37" t="s">
        <v>546</v>
      </c>
      <c r="B323" s="51" t="s">
        <v>553</v>
      </c>
      <c r="C323" s="47">
        <v>393326826.17999995</v>
      </c>
      <c r="D323" s="47">
        <v>581638204.77999997</v>
      </c>
      <c r="E323" s="47">
        <v>-42145162.829999998</v>
      </c>
      <c r="F323" s="47">
        <v>0</v>
      </c>
      <c r="G323" s="47">
        <v>0</v>
      </c>
      <c r="H323" s="47">
        <v>932819868.13</v>
      </c>
      <c r="I323" s="47">
        <v>683519775.38</v>
      </c>
      <c r="J323" s="48">
        <v>0</v>
      </c>
      <c r="K323" s="47">
        <v>155551054.88999999</v>
      </c>
      <c r="L323" s="47">
        <v>36654209.370000005</v>
      </c>
      <c r="M323" s="47">
        <v>-42145162.829999998</v>
      </c>
      <c r="N323" s="47">
        <v>-481508.88999999996</v>
      </c>
      <c r="O323" s="47">
        <v>0</v>
      </c>
      <c r="P323" s="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149578592.53999996</v>
      </c>
      <c r="V323" s="47">
        <v>150839587.72</v>
      </c>
      <c r="W323" s="48">
        <v>0</v>
      </c>
    </row>
    <row r="324" spans="1:23" ht="15" thickBot="1" x14ac:dyDescent="0.35">
      <c r="A324" s="52"/>
      <c r="B324" s="50" t="s">
        <v>554</v>
      </c>
      <c r="C324" s="42">
        <v>13702861580.459995</v>
      </c>
      <c r="D324" s="42">
        <v>1961744962.0599999</v>
      </c>
      <c r="E324" s="42">
        <v>-150854984.75</v>
      </c>
      <c r="F324" s="42">
        <v>0</v>
      </c>
      <c r="G324" s="42">
        <v>0</v>
      </c>
      <c r="H324" s="42">
        <v>15513751557.769997</v>
      </c>
      <c r="I324" s="42">
        <v>14529575478.969995</v>
      </c>
      <c r="J324" s="43">
        <v>-6.0000384692102671E-2</v>
      </c>
      <c r="K324" s="42">
        <v>3988243071.1100001</v>
      </c>
      <c r="L324" s="42">
        <v>572413168.6500001</v>
      </c>
      <c r="M324" s="42">
        <v>-150854984.75</v>
      </c>
      <c r="N324" s="42">
        <v>-76972259.349999994</v>
      </c>
      <c r="O324" s="42">
        <v>0</v>
      </c>
      <c r="P324" s="42">
        <v>4566979.1399999997</v>
      </c>
      <c r="Q324" s="42">
        <v>0</v>
      </c>
      <c r="R324" s="42">
        <v>0</v>
      </c>
      <c r="S324" s="42">
        <v>33255933</v>
      </c>
      <c r="T324" s="42">
        <v>0</v>
      </c>
      <c r="U324" s="42">
        <v>4370651907.8000011</v>
      </c>
      <c r="V324" s="42">
        <v>4177806227.1399999</v>
      </c>
      <c r="W324" s="43">
        <v>2.9999936204831101E-2</v>
      </c>
    </row>
    <row r="325" spans="1:23" ht="15" thickTop="1" x14ac:dyDescent="0.3">
      <c r="A325" s="53"/>
      <c r="B325" s="54" t="s">
        <v>555</v>
      </c>
      <c r="C325" s="55">
        <v>0</v>
      </c>
      <c r="D325" s="55">
        <v>0</v>
      </c>
      <c r="E325" s="55">
        <v>0</v>
      </c>
      <c r="F325" s="55">
        <v>0</v>
      </c>
      <c r="G325" s="55">
        <v>0</v>
      </c>
      <c r="H325" s="55">
        <v>0</v>
      </c>
      <c r="I325" s="55">
        <v>0</v>
      </c>
      <c r="J325" s="56">
        <v>0</v>
      </c>
      <c r="K325" s="55">
        <v>0</v>
      </c>
      <c r="L325" s="55">
        <v>0</v>
      </c>
      <c r="M325" s="55">
        <v>0</v>
      </c>
      <c r="N325" s="55">
        <v>0</v>
      </c>
      <c r="O325" s="55">
        <v>0</v>
      </c>
      <c r="P325" s="55">
        <v>0</v>
      </c>
      <c r="Q325" s="55">
        <v>0</v>
      </c>
      <c r="R325" s="55">
        <v>0</v>
      </c>
      <c r="S325" s="55">
        <v>0</v>
      </c>
      <c r="T325" s="55">
        <v>0</v>
      </c>
      <c r="U325" s="55">
        <v>0</v>
      </c>
      <c r="V325" s="55">
        <v>0</v>
      </c>
      <c r="W325" s="56">
        <v>0</v>
      </c>
    </row>
    <row r="326" spans="1:23" x14ac:dyDescent="0.3">
      <c r="A326" s="1"/>
      <c r="B326" s="44"/>
      <c r="C326" s="2"/>
      <c r="D326" s="2"/>
      <c r="E326" s="2"/>
      <c r="F326" s="2"/>
      <c r="G326" s="2"/>
      <c r="H326" s="2"/>
      <c r="I326" s="2"/>
      <c r="J326" s="4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45"/>
    </row>
    <row r="327" spans="1:23" x14ac:dyDescent="0.3">
      <c r="B327" s="104" t="s">
        <v>556</v>
      </c>
      <c r="C327" s="3">
        <v>-32739718.200001907</v>
      </c>
      <c r="D327" s="3">
        <v>6.0000419616699219E-2</v>
      </c>
      <c r="E327" s="3">
        <v>2.9802322387695313E-8</v>
      </c>
      <c r="F327" s="55">
        <v>0</v>
      </c>
      <c r="G327" s="3">
        <v>2175764.3400000003</v>
      </c>
      <c r="H327" s="3">
        <v>-30563953.800008163</v>
      </c>
      <c r="I327" s="3">
        <v>-31496686.710000534</v>
      </c>
      <c r="J327" s="57">
        <v>6.7055225372314453E-6</v>
      </c>
      <c r="K327" s="3">
        <v>0</v>
      </c>
      <c r="L327" s="3">
        <v>0</v>
      </c>
      <c r="M327" s="3">
        <v>0</v>
      </c>
      <c r="N327" s="3">
        <v>3.9999976754188538E-2</v>
      </c>
      <c r="O327" s="108"/>
      <c r="P327" s="58">
        <v>-9.9999997764825821E-3</v>
      </c>
      <c r="Q327" s="108"/>
      <c r="R327" s="55">
        <v>0</v>
      </c>
      <c r="S327" s="3">
        <v>0</v>
      </c>
      <c r="T327" s="3">
        <v>0</v>
      </c>
      <c r="U327" s="3">
        <v>3.0000686645507813E-2</v>
      </c>
      <c r="V327" s="3">
        <v>1.0000705718994141E-2</v>
      </c>
      <c r="W327" s="101"/>
    </row>
    <row r="328" spans="1:23" x14ac:dyDescent="0.3">
      <c r="A328" s="71">
        <v>10110</v>
      </c>
      <c r="B328" s="88" t="s">
        <v>557</v>
      </c>
      <c r="C328" s="3">
        <v>3026106.11</v>
      </c>
      <c r="D328" s="100">
        <v>0</v>
      </c>
      <c r="E328" s="100">
        <v>0</v>
      </c>
      <c r="F328" s="100">
        <v>0</v>
      </c>
      <c r="G328" s="100">
        <v>-453915.91000000009</v>
      </c>
      <c r="H328" s="3">
        <v>2572190.2000000002</v>
      </c>
      <c r="I328" s="3">
        <v>2799148.15</v>
      </c>
      <c r="J328" s="57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101"/>
    </row>
    <row r="329" spans="1:23" x14ac:dyDescent="0.3">
      <c r="A329" s="71">
        <v>10112</v>
      </c>
      <c r="B329" s="88" t="s">
        <v>558</v>
      </c>
      <c r="C329" s="3">
        <v>29713612.09</v>
      </c>
      <c r="D329" s="100">
        <v>0</v>
      </c>
      <c r="E329" s="100">
        <v>0</v>
      </c>
      <c r="F329" s="100">
        <v>0</v>
      </c>
      <c r="G329" s="100">
        <v>-1721848.4300000002</v>
      </c>
      <c r="H329" s="3">
        <v>27991763.66</v>
      </c>
      <c r="I329" s="3">
        <v>28697538.620000001</v>
      </c>
      <c r="J329" s="57">
        <v>0</v>
      </c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1"/>
    </row>
    <row r="330" spans="1:23" x14ac:dyDescent="0.3">
      <c r="A330" s="71">
        <v>10200</v>
      </c>
      <c r="B330" s="88" t="s">
        <v>559</v>
      </c>
      <c r="C330" s="3">
        <v>0</v>
      </c>
      <c r="D330" s="100">
        <v>0</v>
      </c>
      <c r="E330" s="100"/>
      <c r="F330" s="100"/>
      <c r="G330" s="100">
        <v>0</v>
      </c>
      <c r="H330" s="3">
        <v>0</v>
      </c>
      <c r="I330" s="3">
        <v>0</v>
      </c>
      <c r="J330" s="57">
        <v>0</v>
      </c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1"/>
    </row>
    <row r="331" spans="1:23" x14ac:dyDescent="0.3">
      <c r="B331" s="88" t="s">
        <v>560</v>
      </c>
      <c r="C331" s="100">
        <v>0</v>
      </c>
      <c r="D331" s="100">
        <v>0.06</v>
      </c>
      <c r="E331" s="100">
        <v>0</v>
      </c>
      <c r="F331" s="100">
        <v>0</v>
      </c>
      <c r="G331" s="100">
        <v>0</v>
      </c>
      <c r="H331" s="100">
        <v>0.06</v>
      </c>
      <c r="I331" s="100">
        <v>0.06</v>
      </c>
      <c r="J331" s="57">
        <v>0</v>
      </c>
      <c r="K331" s="100">
        <v>0</v>
      </c>
      <c r="L331" s="100">
        <v>0</v>
      </c>
      <c r="M331" s="100">
        <v>0</v>
      </c>
      <c r="N331" s="100">
        <v>0.04</v>
      </c>
      <c r="O331" s="100">
        <v>0</v>
      </c>
      <c r="P331" s="100">
        <v>-0.01</v>
      </c>
      <c r="Q331" s="100">
        <v>0</v>
      </c>
      <c r="R331" s="100">
        <v>0</v>
      </c>
      <c r="S331" s="100">
        <v>0</v>
      </c>
      <c r="T331" s="100">
        <v>0</v>
      </c>
      <c r="U331" s="100">
        <v>0.03</v>
      </c>
      <c r="V331" s="100">
        <v>0.01</v>
      </c>
      <c r="W331" s="101"/>
    </row>
    <row r="332" spans="1:23" x14ac:dyDescent="0.3">
      <c r="A332" s="1"/>
      <c r="B332" s="44"/>
      <c r="C332" s="46"/>
      <c r="D332" s="46"/>
      <c r="E332" s="46"/>
      <c r="F332" s="46"/>
      <c r="G332" s="46"/>
      <c r="H332" s="46"/>
      <c r="I332" s="46"/>
      <c r="J332" s="59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59"/>
    </row>
    <row r="333" spans="1:23" x14ac:dyDescent="0.3">
      <c r="B333" s="92" t="s">
        <v>561</v>
      </c>
      <c r="C333" s="93">
        <v>13715880830.870001</v>
      </c>
      <c r="D333" s="93">
        <v>1960089051.1000004</v>
      </c>
      <c r="E333" s="93">
        <v>-150203566.78999996</v>
      </c>
      <c r="F333" s="93">
        <v>0</v>
      </c>
      <c r="G333" s="93">
        <v>-2175764.3400000003</v>
      </c>
      <c r="H333" s="93">
        <v>15523590550.839994</v>
      </c>
      <c r="I333" s="93">
        <v>14540829941.07</v>
      </c>
      <c r="J333" s="48"/>
      <c r="K333" s="93">
        <v>3980373470.2299991</v>
      </c>
      <c r="L333" s="93">
        <v>571222408.26999986</v>
      </c>
      <c r="M333" s="93">
        <v>-150203566.78999996</v>
      </c>
      <c r="N333" s="93">
        <v>-76972259.349999979</v>
      </c>
      <c r="O333" s="93">
        <v>0</v>
      </c>
      <c r="P333" s="93">
        <v>4566979.1399999997</v>
      </c>
      <c r="Q333" s="93">
        <v>0</v>
      </c>
      <c r="R333" s="93">
        <v>0</v>
      </c>
      <c r="S333" s="93">
        <v>33255933</v>
      </c>
      <c r="T333" s="93">
        <v>0</v>
      </c>
      <c r="U333" s="93">
        <v>4362242964.499999</v>
      </c>
      <c r="V333" s="93">
        <v>4169650370.4499993</v>
      </c>
      <c r="W333" s="48"/>
    </row>
    <row r="334" spans="1:23" x14ac:dyDescent="0.3">
      <c r="B334" s="92" t="s">
        <v>230</v>
      </c>
      <c r="C334" s="93">
        <v>0</v>
      </c>
      <c r="D334" s="93">
        <v>0</v>
      </c>
      <c r="E334" s="93">
        <v>0</v>
      </c>
      <c r="F334" s="93">
        <v>0</v>
      </c>
      <c r="G334" s="93">
        <v>0</v>
      </c>
      <c r="H334" s="93">
        <v>0</v>
      </c>
      <c r="I334" s="93">
        <v>0</v>
      </c>
      <c r="J334" s="95"/>
      <c r="K334" s="93">
        <v>0</v>
      </c>
      <c r="L334" s="93">
        <v>0</v>
      </c>
      <c r="M334" s="93">
        <v>0</v>
      </c>
      <c r="N334" s="94">
        <v>0</v>
      </c>
      <c r="O334" s="93">
        <v>0</v>
      </c>
      <c r="P334" s="93">
        <v>0</v>
      </c>
      <c r="Q334" s="93">
        <v>0</v>
      </c>
      <c r="R334" s="93">
        <v>0</v>
      </c>
      <c r="S334" s="93">
        <v>0</v>
      </c>
      <c r="T334" s="93">
        <v>0</v>
      </c>
      <c r="U334" s="93">
        <v>0</v>
      </c>
      <c r="V334" s="93">
        <v>0</v>
      </c>
      <c r="W334" s="95"/>
    </row>
    <row r="335" spans="1:23" x14ac:dyDescent="0.3">
      <c r="A335" s="1"/>
      <c r="B335" s="44"/>
      <c r="C335" s="46"/>
      <c r="D335" s="46"/>
      <c r="E335" s="46"/>
      <c r="F335" s="46"/>
      <c r="G335" s="46"/>
      <c r="H335" s="46"/>
      <c r="I335" s="46"/>
      <c r="J335" s="59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59"/>
    </row>
    <row r="336" spans="1:23" x14ac:dyDescent="0.3">
      <c r="B336" s="105" t="s">
        <v>562</v>
      </c>
      <c r="C336" s="99">
        <v>3</v>
      </c>
      <c r="D336" s="99">
        <v>4</v>
      </c>
      <c r="E336" s="99">
        <v>5</v>
      </c>
      <c r="F336" s="99">
        <v>6</v>
      </c>
      <c r="G336" s="99">
        <v>7</v>
      </c>
      <c r="H336" s="99">
        <v>8</v>
      </c>
      <c r="I336" s="99">
        <v>9</v>
      </c>
      <c r="J336" s="106">
        <v>10</v>
      </c>
      <c r="K336" s="99">
        <v>11</v>
      </c>
      <c r="L336" s="99">
        <v>12</v>
      </c>
      <c r="M336" s="99">
        <v>13</v>
      </c>
      <c r="N336" s="99">
        <v>14</v>
      </c>
      <c r="O336" s="99">
        <v>15</v>
      </c>
      <c r="P336" s="99">
        <v>16</v>
      </c>
      <c r="Q336" s="99">
        <v>17</v>
      </c>
      <c r="R336" s="99">
        <v>18</v>
      </c>
      <c r="S336" s="99">
        <v>19</v>
      </c>
      <c r="T336" s="99">
        <v>20</v>
      </c>
      <c r="U336" s="99">
        <v>21</v>
      </c>
      <c r="V336" s="99">
        <v>22</v>
      </c>
      <c r="W336" s="106">
        <v>23</v>
      </c>
    </row>
    <row r="337" spans="1:23" x14ac:dyDescent="0.3">
      <c r="A337" s="71">
        <v>34300</v>
      </c>
      <c r="B337" s="87" t="s">
        <v>476</v>
      </c>
      <c r="C337" s="100">
        <v>0</v>
      </c>
      <c r="D337" s="100">
        <v>0</v>
      </c>
      <c r="E337" s="100">
        <v>0</v>
      </c>
      <c r="F337" s="100">
        <v>0</v>
      </c>
      <c r="G337" s="100">
        <v>0</v>
      </c>
      <c r="H337" s="100">
        <v>0</v>
      </c>
      <c r="I337" s="100">
        <v>0</v>
      </c>
      <c r="J337" s="101">
        <v>0</v>
      </c>
      <c r="K337" s="100">
        <v>0</v>
      </c>
      <c r="L337" s="100">
        <v>0</v>
      </c>
      <c r="M337" s="100">
        <v>0</v>
      </c>
      <c r="N337" s="100">
        <v>0</v>
      </c>
      <c r="O337" s="100">
        <v>0</v>
      </c>
      <c r="P337" s="100">
        <v>0</v>
      </c>
      <c r="Q337" s="100">
        <v>0</v>
      </c>
      <c r="R337" s="100">
        <v>0</v>
      </c>
      <c r="S337" s="100">
        <v>0</v>
      </c>
      <c r="T337" s="100">
        <v>0</v>
      </c>
      <c r="U337" s="100">
        <v>0</v>
      </c>
      <c r="V337" s="100">
        <v>0</v>
      </c>
      <c r="W337" s="101">
        <v>0</v>
      </c>
    </row>
    <row r="338" spans="1:23" x14ac:dyDescent="0.3">
      <c r="A338" s="71">
        <v>34800</v>
      </c>
      <c r="B338" s="87" t="s">
        <v>477</v>
      </c>
      <c r="C338" s="100">
        <v>0</v>
      </c>
      <c r="D338" s="100">
        <v>0</v>
      </c>
      <c r="E338" s="100">
        <v>0</v>
      </c>
      <c r="F338" s="100">
        <v>0</v>
      </c>
      <c r="G338" s="100">
        <v>0</v>
      </c>
      <c r="H338" s="100">
        <v>0</v>
      </c>
      <c r="I338" s="100">
        <v>0</v>
      </c>
      <c r="J338" s="101">
        <v>0</v>
      </c>
      <c r="K338" s="100">
        <v>0</v>
      </c>
      <c r="L338" s="100">
        <v>0</v>
      </c>
      <c r="M338" s="100">
        <v>0</v>
      </c>
      <c r="N338" s="100">
        <v>0</v>
      </c>
      <c r="O338" s="100">
        <v>0</v>
      </c>
      <c r="P338" s="100">
        <v>0</v>
      </c>
      <c r="Q338" s="100">
        <v>0</v>
      </c>
      <c r="R338" s="100">
        <v>0</v>
      </c>
      <c r="S338" s="100">
        <v>0</v>
      </c>
      <c r="T338" s="100">
        <v>0</v>
      </c>
      <c r="U338" s="100">
        <v>0</v>
      </c>
      <c r="V338" s="100">
        <v>0</v>
      </c>
      <c r="W338" s="101">
        <v>0</v>
      </c>
    </row>
    <row r="339" spans="1:23" x14ac:dyDescent="0.3">
      <c r="A339" s="71">
        <v>37101</v>
      </c>
      <c r="B339" s="87" t="s">
        <v>508</v>
      </c>
      <c r="C339" s="100">
        <v>0</v>
      </c>
      <c r="D339" s="100">
        <v>0</v>
      </c>
      <c r="E339" s="100">
        <v>0</v>
      </c>
      <c r="F339" s="100">
        <v>0</v>
      </c>
      <c r="G339" s="100">
        <v>0</v>
      </c>
      <c r="H339" s="100">
        <v>0</v>
      </c>
      <c r="I339" s="100">
        <v>0</v>
      </c>
      <c r="J339" s="101">
        <v>0</v>
      </c>
      <c r="K339" s="100">
        <v>0</v>
      </c>
      <c r="L339" s="100">
        <v>0</v>
      </c>
      <c r="M339" s="100">
        <v>0</v>
      </c>
      <c r="N339" s="100">
        <v>0</v>
      </c>
      <c r="O339" s="100">
        <v>0</v>
      </c>
      <c r="P339" s="100">
        <v>0</v>
      </c>
      <c r="Q339" s="100">
        <v>0</v>
      </c>
      <c r="R339" s="100">
        <v>0</v>
      </c>
      <c r="S339" s="100">
        <v>0</v>
      </c>
      <c r="T339" s="100">
        <v>0</v>
      </c>
      <c r="U339" s="100">
        <v>0</v>
      </c>
      <c r="V339" s="100">
        <v>0</v>
      </c>
      <c r="W339" s="101">
        <v>0</v>
      </c>
    </row>
    <row r="340" spans="1:23" x14ac:dyDescent="0.3">
      <c r="A340" s="71">
        <v>37102</v>
      </c>
      <c r="B340" s="87" t="s">
        <v>509</v>
      </c>
      <c r="C340" s="100">
        <v>0</v>
      </c>
      <c r="D340" s="100">
        <v>0</v>
      </c>
      <c r="E340" s="100">
        <v>0</v>
      </c>
      <c r="F340" s="100">
        <v>0</v>
      </c>
      <c r="G340" s="100">
        <v>0</v>
      </c>
      <c r="H340" s="100">
        <v>0</v>
      </c>
      <c r="I340" s="100">
        <v>0</v>
      </c>
      <c r="J340" s="101">
        <v>0</v>
      </c>
      <c r="K340" s="100">
        <v>0</v>
      </c>
      <c r="L340" s="100">
        <v>0</v>
      </c>
      <c r="M340" s="100">
        <v>0</v>
      </c>
      <c r="N340" s="100">
        <v>0</v>
      </c>
      <c r="O340" s="100">
        <v>0</v>
      </c>
      <c r="P340" s="100">
        <v>0</v>
      </c>
      <c r="Q340" s="100">
        <v>0</v>
      </c>
      <c r="R340" s="100">
        <v>0</v>
      </c>
      <c r="S340" s="100">
        <v>0</v>
      </c>
      <c r="T340" s="100">
        <v>0</v>
      </c>
      <c r="U340" s="100">
        <v>0</v>
      </c>
      <c r="V340" s="100">
        <v>0</v>
      </c>
      <c r="W340" s="101">
        <v>0</v>
      </c>
    </row>
    <row r="341" spans="1:23" x14ac:dyDescent="0.3">
      <c r="A341" s="71">
        <v>37103</v>
      </c>
      <c r="B341" s="87" t="s">
        <v>510</v>
      </c>
      <c r="C341" s="100">
        <v>0</v>
      </c>
      <c r="D341" s="100">
        <v>0</v>
      </c>
      <c r="E341" s="100">
        <v>0</v>
      </c>
      <c r="F341" s="100">
        <v>0</v>
      </c>
      <c r="G341" s="100">
        <v>0</v>
      </c>
      <c r="H341" s="100">
        <v>0</v>
      </c>
      <c r="I341" s="100">
        <v>0</v>
      </c>
      <c r="J341" s="101">
        <v>0</v>
      </c>
      <c r="K341" s="100">
        <v>0</v>
      </c>
      <c r="L341" s="100">
        <v>0</v>
      </c>
      <c r="M341" s="100">
        <v>0</v>
      </c>
      <c r="N341" s="100">
        <v>0</v>
      </c>
      <c r="O341" s="100">
        <v>0</v>
      </c>
      <c r="P341" s="100">
        <v>0</v>
      </c>
      <c r="Q341" s="100">
        <v>0</v>
      </c>
      <c r="R341" s="100">
        <v>0</v>
      </c>
      <c r="S341" s="100">
        <v>0</v>
      </c>
      <c r="T341" s="100">
        <v>0</v>
      </c>
      <c r="U341" s="100">
        <v>0</v>
      </c>
      <c r="V341" s="100">
        <v>0</v>
      </c>
      <c r="W341" s="101">
        <v>0</v>
      </c>
    </row>
    <row r="342" spans="1:23" ht="15" thickBot="1" x14ac:dyDescent="0.35">
      <c r="B342" s="92" t="s">
        <v>25</v>
      </c>
      <c r="C342" s="96">
        <v>0</v>
      </c>
      <c r="D342" s="96">
        <v>0</v>
      </c>
      <c r="E342" s="96">
        <v>0</v>
      </c>
      <c r="F342" s="96">
        <v>0</v>
      </c>
      <c r="G342" s="96">
        <v>0</v>
      </c>
      <c r="H342" s="96">
        <v>0</v>
      </c>
      <c r="I342" s="96">
        <v>0</v>
      </c>
      <c r="J342" s="97">
        <v>0</v>
      </c>
      <c r="K342" s="96">
        <v>0</v>
      </c>
      <c r="L342" s="96">
        <v>0</v>
      </c>
      <c r="M342" s="96">
        <v>0</v>
      </c>
      <c r="N342" s="96">
        <v>0</v>
      </c>
      <c r="O342" s="96">
        <v>0</v>
      </c>
      <c r="P342" s="96">
        <v>0</v>
      </c>
      <c r="Q342" s="96">
        <v>0</v>
      </c>
      <c r="R342" s="96">
        <v>0</v>
      </c>
      <c r="S342" s="96">
        <v>0</v>
      </c>
      <c r="T342" s="96">
        <v>0</v>
      </c>
      <c r="U342" s="96">
        <v>0</v>
      </c>
      <c r="V342" s="96">
        <v>0</v>
      </c>
      <c r="W342" s="97">
        <v>0</v>
      </c>
    </row>
    <row r="343" spans="1:23" ht="15" thickTop="1" x14ac:dyDescent="0.3">
      <c r="B343" s="92" t="s">
        <v>230</v>
      </c>
      <c r="C343" s="93">
        <v>0</v>
      </c>
      <c r="D343" s="93">
        <v>0</v>
      </c>
      <c r="E343" s="93">
        <v>0</v>
      </c>
      <c r="F343" s="93">
        <v>0</v>
      </c>
      <c r="G343" s="93">
        <v>0</v>
      </c>
      <c r="H343" s="93">
        <v>0</v>
      </c>
      <c r="I343" s="93">
        <v>0</v>
      </c>
      <c r="J343" s="95">
        <v>0</v>
      </c>
      <c r="K343" s="93">
        <v>0</v>
      </c>
      <c r="L343" s="93">
        <v>0</v>
      </c>
      <c r="M343" s="93">
        <v>0</v>
      </c>
      <c r="N343" s="94">
        <v>0</v>
      </c>
      <c r="O343" s="93">
        <v>0</v>
      </c>
      <c r="P343" s="93">
        <v>0</v>
      </c>
      <c r="Q343" s="93">
        <v>0</v>
      </c>
      <c r="R343" s="93">
        <v>0</v>
      </c>
      <c r="S343" s="93">
        <v>0</v>
      </c>
      <c r="T343" s="93">
        <v>0</v>
      </c>
      <c r="U343" s="93">
        <v>0</v>
      </c>
      <c r="V343" s="93">
        <v>0</v>
      </c>
      <c r="W343" s="95">
        <v>0</v>
      </c>
    </row>
    <row r="344" spans="1:23" x14ac:dyDescent="0.3">
      <c r="A344" s="1"/>
      <c r="B344" s="44"/>
      <c r="C344" s="46"/>
      <c r="D344" s="46"/>
      <c r="E344" s="46"/>
      <c r="F344" s="46"/>
      <c r="G344" s="46"/>
      <c r="H344" s="46"/>
      <c r="I344" s="46"/>
      <c r="J344" s="59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59"/>
    </row>
  </sheetData>
  <conditionalFormatting sqref="C331:I331">
    <cfRule type="cellIs" dxfId="3" priority="4" operator="notEqual">
      <formula>0</formula>
    </cfRule>
  </conditionalFormatting>
  <conditionalFormatting sqref="C334:W334">
    <cfRule type="cellIs" dxfId="2" priority="2" operator="notEqual">
      <formula>0</formula>
    </cfRule>
  </conditionalFormatting>
  <conditionalFormatting sqref="C343:W343">
    <cfRule type="cellIs" dxfId="1" priority="1" operator="notEqual">
      <formula>0</formula>
    </cfRule>
  </conditionalFormatting>
  <conditionalFormatting sqref="K331:V331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G7" sqref="G7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65" t="s">
        <v>563</v>
      </c>
    </row>
    <row r="3" spans="3:15" x14ac:dyDescent="0.3">
      <c r="C3" s="65"/>
    </row>
    <row r="4" spans="3:15" x14ac:dyDescent="0.3">
      <c r="C4" s="66" t="s">
        <v>564</v>
      </c>
    </row>
    <row r="5" spans="3:15" x14ac:dyDescent="0.3">
      <c r="C5" s="66"/>
    </row>
    <row r="6" spans="3:15" x14ac:dyDescent="0.3">
      <c r="C6" s="66"/>
    </row>
    <row r="7" spans="3:15" x14ac:dyDescent="0.3">
      <c r="C7" s="66" t="s">
        <v>565</v>
      </c>
      <c r="G7" s="70" t="s">
        <v>566</v>
      </c>
    </row>
    <row r="9" spans="3:15" x14ac:dyDescent="0.3">
      <c r="C9" s="66" t="s">
        <v>567</v>
      </c>
      <c r="N9" s="68">
        <v>34300</v>
      </c>
      <c r="O9" s="69" t="s">
        <v>476</v>
      </c>
    </row>
    <row r="10" spans="3:15" x14ac:dyDescent="0.3">
      <c r="N10" s="68">
        <v>34800</v>
      </c>
      <c r="O10" s="69" t="s">
        <v>477</v>
      </c>
    </row>
    <row r="11" spans="3:15" x14ac:dyDescent="0.3">
      <c r="C11" s="67" t="s">
        <v>568</v>
      </c>
      <c r="N11" s="68">
        <v>37101</v>
      </c>
      <c r="O11" s="69" t="s">
        <v>508</v>
      </c>
    </row>
    <row r="12" spans="3:15" x14ac:dyDescent="0.3">
      <c r="N12" s="68">
        <v>37102</v>
      </c>
      <c r="O12" s="69" t="s">
        <v>509</v>
      </c>
    </row>
    <row r="13" spans="3:15" x14ac:dyDescent="0.3">
      <c r="C13" s="66" t="s">
        <v>569</v>
      </c>
      <c r="N13" s="68">
        <v>37103</v>
      </c>
      <c r="O13" s="69" t="s">
        <v>510</v>
      </c>
    </row>
    <row r="14" spans="3:15" x14ac:dyDescent="0.3">
      <c r="C14" s="66" t="s">
        <v>570</v>
      </c>
    </row>
    <row r="15" spans="3:15" x14ac:dyDescent="0.3">
      <c r="C15" s="66" t="s">
        <v>571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2.xml><?xml version="1.0" encoding="utf-8"?>
<ds:datastoreItem xmlns:ds="http://schemas.openxmlformats.org/officeDocument/2006/customXml" ds:itemID="{9514E865-9B18-4D5A-9E0E-A9DCC18F046A}"/>
</file>

<file path=customXml/itemProps3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B-07 2025R</vt:lpstr>
      <vt:lpstr>ASDR FY2</vt:lpstr>
      <vt:lpstr>Instructions</vt:lpstr>
      <vt:lpstr>'B-07 2025R'!Print_Area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dcterms:created xsi:type="dcterms:W3CDTF">2020-08-11T15:11:46Z</dcterms:created>
  <dcterms:modified xsi:type="dcterms:W3CDTF">2024-04-08T19:02:15Z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762900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