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persons/person.xml" ContentType="application/vnd.ms-excel.perso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13_ncr:1_{19C711CD-A226-445E-86FE-28E5A46872BE}" xr6:coauthVersionLast="47" xr6:coauthVersionMax="47" xr10:uidLastSave="{45D34437-AE8B-445B-A142-FB9C8054004F}"/>
  <bookViews>
    <workbookView xWindow="28680" yWindow="-120" windowWidth="29040" windowHeight="15840" tabRatio="830" xr2:uid="{FBC05DFE-C7F9-4ACD-979B-4E83C9AAFE95}"/>
  </bookViews>
  <sheets>
    <sheet name="Chart" sheetId="1" r:id="rId1"/>
    <sheet name="GRR - Other" sheetId="18" r:id="rId2"/>
    <sheet name="PK 1" sheetId="14" r:id="rId3"/>
    <sheet name="Energy Storage - W" sheetId="10" r:id="rId4"/>
    <sheet name="Energy Storage - LM" sheetId="11" r:id="rId5"/>
    <sheet name="Energy Storage - M" sheetId="12" r:id="rId6"/>
    <sheet name="HQ" sheetId="3" r:id="rId7"/>
    <sheet name="BOC" sheetId="2" r:id="rId8"/>
    <sheet name="S Tampa Resilience" sheetId="13" r:id="rId9"/>
    <sheet name="PK Fuel" sheetId="15" r:id="rId10"/>
    <sheet name="GRR - Grid Comm" sheetId="17" r:id="rId11"/>
    <sheet name="GRR - Wk Mgmt" sheetId="16" r:id="rId12"/>
    <sheet name="Solar - CM &amp; FFD" sheetId="8" r:id="rId13"/>
    <sheet name="Solar - Big Four &amp; Farmland" sheetId="9" r:id="rId14"/>
    <sheet name="Solar - B &amp; W" sheetId="5" r:id="rId15"/>
  </sheets>
  <definedNames>
    <definedName name="_xlnm.Print_Area" localSheetId="0">Chart!$A$4:$AM$42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8" l="1"/>
  <c r="E8" i="18" s="1"/>
  <c r="K8" i="18"/>
  <c r="J8" i="18"/>
  <c r="C8" i="18"/>
  <c r="J23" i="18"/>
  <c r="K23" i="18"/>
  <c r="I23" i="18"/>
  <c r="I8" i="18" s="1"/>
  <c r="K18" i="18" l="1"/>
  <c r="K19" i="18" s="1"/>
  <c r="J18" i="18"/>
  <c r="I18" i="18"/>
  <c r="J5" i="18"/>
  <c r="J7" i="18" s="1"/>
  <c r="I5" i="18"/>
  <c r="I7" i="18" s="1"/>
  <c r="C19" i="18" l="1"/>
  <c r="C10" i="18" s="1"/>
  <c r="D19" i="18"/>
  <c r="I19" i="18"/>
  <c r="I10" i="18" s="1"/>
  <c r="C5" i="18"/>
  <c r="C7" i="18" s="1"/>
  <c r="J19" i="18"/>
  <c r="D10" i="18" l="1"/>
  <c r="K5" i="18"/>
  <c r="K7" i="18" s="1"/>
  <c r="E19" i="18"/>
  <c r="J10" i="18"/>
  <c r="K10" i="18" s="1"/>
  <c r="E10" i="18" l="1"/>
  <c r="D5" i="18"/>
  <c r="D7" i="18" s="1"/>
  <c r="I12" i="18" l="1"/>
  <c r="I25" i="18" s="1"/>
  <c r="C12" i="18"/>
  <c r="E5" i="18"/>
  <c r="E7" i="18" s="1"/>
  <c r="C25" i="18" l="1"/>
  <c r="J12" i="18"/>
  <c r="J25" i="18" s="1"/>
  <c r="D12" i="18"/>
  <c r="D25" i="18" l="1"/>
  <c r="W31" i="1" s="1"/>
  <c r="K12" i="18"/>
  <c r="K25" i="18" s="1"/>
  <c r="E12" i="18"/>
  <c r="E25" i="18" l="1"/>
  <c r="AA31" i="1" s="1"/>
  <c r="E18" i="17" l="1"/>
  <c r="K18" i="17" s="1"/>
  <c r="D18" i="17"/>
  <c r="J18" i="17" s="1"/>
  <c r="C18" i="17"/>
  <c r="I18" i="17" s="1"/>
  <c r="D19" i="5"/>
  <c r="D5" i="5"/>
  <c r="D7" i="5" s="1"/>
  <c r="C5" i="5"/>
  <c r="C7" i="5" s="1"/>
  <c r="D5" i="15"/>
  <c r="D7" i="15" s="1"/>
  <c r="E5" i="15"/>
  <c r="E7" i="15" s="1"/>
  <c r="C19" i="15"/>
  <c r="C10" i="15" s="1"/>
  <c r="D19" i="15"/>
  <c r="E19" i="15"/>
  <c r="C5" i="15"/>
  <c r="C7" i="15" s="1"/>
  <c r="C19" i="14"/>
  <c r="C10" i="14" s="1"/>
  <c r="D19" i="14"/>
  <c r="E19" i="14"/>
  <c r="C5" i="14"/>
  <c r="C7" i="14" s="1"/>
  <c r="D5" i="14"/>
  <c r="D7" i="14" s="1"/>
  <c r="E5" i="14"/>
  <c r="E7" i="14" s="1"/>
  <c r="U33" i="13"/>
  <c r="U31" i="13"/>
  <c r="V33" i="13" s="1"/>
  <c r="V5" i="13"/>
  <c r="V7" i="13" s="1"/>
  <c r="U5" i="13"/>
  <c r="U7" i="13" s="1"/>
  <c r="O33" i="9"/>
  <c r="O31" i="9"/>
  <c r="K18" i="9"/>
  <c r="Q18" i="9" s="1"/>
  <c r="Q19" i="9" s="1"/>
  <c r="J18" i="9"/>
  <c r="P18" i="9" s="1"/>
  <c r="P19" i="9" s="1"/>
  <c r="O5" i="9"/>
  <c r="O7" i="9" s="1"/>
  <c r="O31" i="8"/>
  <c r="O33" i="8"/>
  <c r="O5" i="8"/>
  <c r="O7" i="8" s="1"/>
  <c r="J18" i="8"/>
  <c r="P18" i="8" s="1"/>
  <c r="P19" i="8" s="1"/>
  <c r="K18" i="8"/>
  <c r="Q18" i="8" s="1"/>
  <c r="I18" i="8"/>
  <c r="O18" i="8" s="1"/>
  <c r="O19" i="8" s="1"/>
  <c r="O10" i="8" s="1"/>
  <c r="E5" i="5"/>
  <c r="E7" i="5" s="1"/>
  <c r="D19" i="3"/>
  <c r="E19" i="3"/>
  <c r="C19" i="3"/>
  <c r="C10" i="3" s="1"/>
  <c r="I10" i="2"/>
  <c r="I19" i="2"/>
  <c r="K19" i="2" l="1"/>
  <c r="I5" i="2"/>
  <c r="I7" i="2" s="1"/>
  <c r="O5" i="13"/>
  <c r="O7" i="13" s="1"/>
  <c r="D10" i="14"/>
  <c r="E10" i="14" s="1"/>
  <c r="E12" i="14" s="1"/>
  <c r="C19" i="8"/>
  <c r="C10" i="8" s="1"/>
  <c r="E19" i="5"/>
  <c r="Q19" i="8"/>
  <c r="J19" i="17"/>
  <c r="C19" i="5"/>
  <c r="C10" i="5" s="1"/>
  <c r="D10" i="5" s="1"/>
  <c r="C12" i="15"/>
  <c r="D10" i="15"/>
  <c r="E10" i="15" s="1"/>
  <c r="E12" i="15" s="1"/>
  <c r="I19" i="17"/>
  <c r="I10" i="17" s="1"/>
  <c r="C12" i="14"/>
  <c r="K19" i="17"/>
  <c r="E19" i="8"/>
  <c r="I5" i="13"/>
  <c r="I7" i="13" s="1"/>
  <c r="J19" i="2"/>
  <c r="J10" i="2" s="1"/>
  <c r="K10" i="2" s="1"/>
  <c r="O19" i="17"/>
  <c r="O10" i="17" s="1"/>
  <c r="I5" i="17"/>
  <c r="I7" i="17" s="1"/>
  <c r="O5" i="17"/>
  <c r="O7" i="17" s="1"/>
  <c r="P19" i="17"/>
  <c r="C5" i="13"/>
  <c r="C18" i="13"/>
  <c r="U18" i="13"/>
  <c r="U19" i="13" s="1"/>
  <c r="U10" i="13" s="1"/>
  <c r="U12" i="13" s="1"/>
  <c r="U25" i="13" s="1"/>
  <c r="D18" i="13"/>
  <c r="J18" i="13" s="1"/>
  <c r="J19" i="13" s="1"/>
  <c r="V18" i="13"/>
  <c r="V19" i="13" s="1"/>
  <c r="E18" i="13"/>
  <c r="K18" i="13" s="1"/>
  <c r="K19" i="13" s="1"/>
  <c r="W18" i="13"/>
  <c r="U32" i="13"/>
  <c r="V31" i="13"/>
  <c r="W33" i="13" s="1"/>
  <c r="O19" i="13"/>
  <c r="O10" i="13" s="1"/>
  <c r="O12" i="13" s="1"/>
  <c r="O25" i="13" s="1"/>
  <c r="P19" i="13"/>
  <c r="C5" i="9"/>
  <c r="C7" i="9" s="1"/>
  <c r="D19" i="9"/>
  <c r="E19" i="9"/>
  <c r="C19" i="9"/>
  <c r="C10" i="9" s="1"/>
  <c r="I18" i="9"/>
  <c r="P33" i="9"/>
  <c r="O32" i="9"/>
  <c r="P31" i="9"/>
  <c r="Q31" i="9" s="1"/>
  <c r="R31" i="9" s="1"/>
  <c r="S31" i="9" s="1"/>
  <c r="T31" i="9" s="1"/>
  <c r="U31" i="9" s="1"/>
  <c r="V31" i="9" s="1"/>
  <c r="W31" i="9" s="1"/>
  <c r="X31" i="9" s="1"/>
  <c r="Y31" i="9" s="1"/>
  <c r="Z31" i="9" s="1"/>
  <c r="P33" i="8"/>
  <c r="O32" i="8"/>
  <c r="P31" i="8"/>
  <c r="Q31" i="8" s="1"/>
  <c r="P10" i="8"/>
  <c r="D10" i="3"/>
  <c r="E10" i="3" s="1"/>
  <c r="D19" i="8"/>
  <c r="D10" i="8" s="1"/>
  <c r="C5" i="8"/>
  <c r="C7" i="8" s="1"/>
  <c r="C5" i="3"/>
  <c r="C7" i="3" s="1"/>
  <c r="P5" i="13" l="1"/>
  <c r="P7" i="13" s="1"/>
  <c r="D12" i="14"/>
  <c r="E25" i="15"/>
  <c r="Q10" i="8"/>
  <c r="J10" i="17"/>
  <c r="K10" i="17" s="1"/>
  <c r="E10" i="8"/>
  <c r="C25" i="15"/>
  <c r="E10" i="5"/>
  <c r="D25" i="14"/>
  <c r="O8" i="1" s="1"/>
  <c r="AN8" i="1" s="1"/>
  <c r="C25" i="14"/>
  <c r="E25" i="14"/>
  <c r="G8" i="1"/>
  <c r="P10" i="13"/>
  <c r="W31" i="13"/>
  <c r="X33" i="13" s="1"/>
  <c r="AA27" i="1"/>
  <c r="P10" i="17"/>
  <c r="D12" i="15"/>
  <c r="Q19" i="17"/>
  <c r="P5" i="17"/>
  <c r="P7" i="17" s="1"/>
  <c r="J5" i="17"/>
  <c r="J7" i="17" s="1"/>
  <c r="O23" i="13"/>
  <c r="I23" i="13"/>
  <c r="D19" i="13"/>
  <c r="C19" i="13"/>
  <c r="I18" i="13"/>
  <c r="I19" i="13" s="1"/>
  <c r="I10" i="13" s="1"/>
  <c r="J10" i="13" s="1"/>
  <c r="C7" i="13"/>
  <c r="D5" i="13"/>
  <c r="V23" i="13"/>
  <c r="J5" i="13"/>
  <c r="J7" i="13" s="1"/>
  <c r="V10" i="13"/>
  <c r="V32" i="13"/>
  <c r="Z33" i="9"/>
  <c r="Y33" i="9"/>
  <c r="X33" i="9"/>
  <c r="W33" i="9"/>
  <c r="V33" i="9"/>
  <c r="U33" i="9"/>
  <c r="T33" i="9"/>
  <c r="S33" i="9"/>
  <c r="R33" i="9"/>
  <c r="R32" i="9"/>
  <c r="Q33" i="9"/>
  <c r="Q32" i="9"/>
  <c r="Z32" i="9"/>
  <c r="Q3" i="9" s="1"/>
  <c r="Y32" i="9"/>
  <c r="X32" i="9"/>
  <c r="W32" i="9"/>
  <c r="V32" i="9"/>
  <c r="U32" i="9"/>
  <c r="T32" i="9"/>
  <c r="S32" i="9"/>
  <c r="P32" i="9"/>
  <c r="O18" i="9"/>
  <c r="O19" i="9" s="1"/>
  <c r="O10" i="9" s="1"/>
  <c r="D10" i="9"/>
  <c r="E10" i="9" s="1"/>
  <c r="D5" i="9"/>
  <c r="D7" i="9" s="1"/>
  <c r="C23" i="9"/>
  <c r="C12" i="9"/>
  <c r="R33" i="8"/>
  <c r="Q33" i="8"/>
  <c r="R31" i="8"/>
  <c r="Q32" i="8"/>
  <c r="P32" i="8"/>
  <c r="D5" i="8"/>
  <c r="D7" i="8" s="1"/>
  <c r="D5" i="3"/>
  <c r="D7" i="3" s="1"/>
  <c r="C12" i="3"/>
  <c r="E5" i="3"/>
  <c r="E7" i="3" s="1"/>
  <c r="E12" i="3" s="1"/>
  <c r="J5" i="2"/>
  <c r="J7" i="2" s="1"/>
  <c r="W32" i="13" l="1"/>
  <c r="D25" i="15"/>
  <c r="W27" i="1" s="1"/>
  <c r="AN27" i="1" s="1"/>
  <c r="X31" i="13"/>
  <c r="X32" i="13" s="1"/>
  <c r="C25" i="9"/>
  <c r="E25" i="3"/>
  <c r="C25" i="3"/>
  <c r="G16" i="1" s="1"/>
  <c r="Q10" i="17"/>
  <c r="Z34" i="9"/>
  <c r="Q9" i="9" s="1"/>
  <c r="I12" i="13"/>
  <c r="I25" i="13" s="1"/>
  <c r="F23" i="1" s="1"/>
  <c r="Y33" i="13"/>
  <c r="Y31" i="13"/>
  <c r="K5" i="17"/>
  <c r="K7" i="17" s="1"/>
  <c r="Q5" i="17"/>
  <c r="Q7" i="17" s="1"/>
  <c r="P23" i="13"/>
  <c r="J23" i="13"/>
  <c r="Q19" i="13"/>
  <c r="Q10" i="13" s="1"/>
  <c r="D7" i="13"/>
  <c r="C10" i="13"/>
  <c r="K10" i="13"/>
  <c r="V12" i="13"/>
  <c r="V25" i="13" s="1"/>
  <c r="K5" i="13"/>
  <c r="K7" i="13" s="1"/>
  <c r="E5" i="9"/>
  <c r="E7" i="9" s="1"/>
  <c r="P10" i="9"/>
  <c r="Q10" i="9" s="1"/>
  <c r="O12" i="9"/>
  <c r="O25" i="9" s="1"/>
  <c r="P5" i="9"/>
  <c r="P7" i="9" s="1"/>
  <c r="S33" i="8"/>
  <c r="S31" i="8"/>
  <c r="R32" i="8"/>
  <c r="E5" i="8"/>
  <c r="E7" i="8" s="1"/>
  <c r="D12" i="3"/>
  <c r="K5" i="2"/>
  <c r="K7" i="2" s="1"/>
  <c r="K12" i="2" s="1"/>
  <c r="K25" i="2" s="1"/>
  <c r="D25" i="3" l="1"/>
  <c r="O16" i="1" s="1"/>
  <c r="P12" i="9"/>
  <c r="P25" i="9" s="1"/>
  <c r="Z33" i="13"/>
  <c r="Z31" i="13"/>
  <c r="Z32" i="13" s="1"/>
  <c r="Y32" i="13"/>
  <c r="C12" i="13"/>
  <c r="D10" i="13"/>
  <c r="Q5" i="9"/>
  <c r="Q7" i="9" s="1"/>
  <c r="Q12" i="9" s="1"/>
  <c r="Q25" i="9" s="1"/>
  <c r="T33" i="8"/>
  <c r="T31" i="8"/>
  <c r="T32" i="8" s="1"/>
  <c r="S32" i="8"/>
  <c r="C25" i="13" l="1"/>
  <c r="AN16" i="1"/>
  <c r="AA33" i="13"/>
  <c r="AA31" i="13"/>
  <c r="U31" i="8"/>
  <c r="U33" i="8"/>
  <c r="AB33" i="13" l="1"/>
  <c r="AB31" i="13"/>
  <c r="AB32" i="13" s="1"/>
  <c r="AA32" i="13"/>
  <c r="V31" i="8"/>
  <c r="V32" i="8" s="1"/>
  <c r="V33" i="8"/>
  <c r="U32" i="8"/>
  <c r="O12" i="8"/>
  <c r="O25" i="8" s="1"/>
  <c r="AC33" i="13" l="1"/>
  <c r="AC31" i="13"/>
  <c r="W31" i="8"/>
  <c r="W33" i="8"/>
  <c r="AD33" i="13" l="1"/>
  <c r="AD31" i="13"/>
  <c r="AD32" i="13" s="1"/>
  <c r="AC32" i="13"/>
  <c r="X31" i="8"/>
  <c r="X32" i="8" s="1"/>
  <c r="X33" i="8"/>
  <c r="W32" i="8"/>
  <c r="AE33" i="13" l="1"/>
  <c r="AE31" i="13"/>
  <c r="Y31" i="8"/>
  <c r="Y33" i="8"/>
  <c r="AF33" i="13" l="1"/>
  <c r="AF34" i="13" s="1"/>
  <c r="W9" i="13" s="1"/>
  <c r="AF31" i="13"/>
  <c r="AF32" i="13"/>
  <c r="W3" i="13" s="1"/>
  <c r="AE32" i="13"/>
  <c r="Z31" i="8"/>
  <c r="Z32" i="8" s="1"/>
  <c r="P3" i="8" s="1"/>
  <c r="Z33" i="8"/>
  <c r="Z34" i="8" s="1"/>
  <c r="Y32" i="8"/>
  <c r="W5" i="13" l="1"/>
  <c r="W7" i="13" s="1"/>
  <c r="AG31" i="13"/>
  <c r="W17" i="13"/>
  <c r="AG33" i="13"/>
  <c r="P5" i="8"/>
  <c r="P7" i="8" s="1"/>
  <c r="P9" i="8"/>
  <c r="AA33" i="8"/>
  <c r="AA31" i="8"/>
  <c r="AA32" i="8" s="1"/>
  <c r="W23" i="13" l="1"/>
  <c r="W19" i="13"/>
  <c r="W10" i="13" s="1"/>
  <c r="W12" i="13" s="1"/>
  <c r="W25" i="13" s="1"/>
  <c r="E19" i="13"/>
  <c r="E10" i="13" s="1"/>
  <c r="Q5" i="13"/>
  <c r="Q7" i="13" s="1"/>
  <c r="Q23" i="13"/>
  <c r="AH33" i="13"/>
  <c r="AH31" i="13"/>
  <c r="AG32" i="13"/>
  <c r="AB31" i="8"/>
  <c r="AB32" i="8" s="1"/>
  <c r="AB33" i="8"/>
  <c r="P12" i="8"/>
  <c r="P25" i="8" l="1"/>
  <c r="AI33" i="13"/>
  <c r="AI31" i="13"/>
  <c r="AH32" i="13"/>
  <c r="E5" i="13"/>
  <c r="E7" i="13" s="1"/>
  <c r="K23" i="13"/>
  <c r="AC31" i="8"/>
  <c r="AC33" i="8"/>
  <c r="AJ33" i="13" l="1"/>
  <c r="AJ31" i="13"/>
  <c r="AI32" i="13"/>
  <c r="AD31" i="8"/>
  <c r="AD32" i="8" s="1"/>
  <c r="AD33" i="8"/>
  <c r="AC32" i="8"/>
  <c r="AK33" i="13" l="1"/>
  <c r="AK31" i="13"/>
  <c r="AJ32" i="13"/>
  <c r="AE31" i="8"/>
  <c r="AE33" i="8"/>
  <c r="AL33" i="13" l="1"/>
  <c r="AL31" i="13"/>
  <c r="AK32" i="13"/>
  <c r="AF31" i="8"/>
  <c r="AF32" i="8" s="1"/>
  <c r="AF33" i="8"/>
  <c r="AE32" i="8"/>
  <c r="AM33" i="13" l="1"/>
  <c r="AM31" i="13"/>
  <c r="AL32" i="13"/>
  <c r="AG31" i="8"/>
  <c r="AG33" i="8"/>
  <c r="AN33" i="13" l="1"/>
  <c r="AN31" i="13"/>
  <c r="AM32" i="13"/>
  <c r="AH31" i="8"/>
  <c r="AH32" i="8" s="1"/>
  <c r="AH33" i="8"/>
  <c r="AG32" i="8"/>
  <c r="AO33" i="13" l="1"/>
  <c r="AO31" i="13"/>
  <c r="AN32" i="13"/>
  <c r="AI31" i="8"/>
  <c r="AI33" i="8"/>
  <c r="AP33" i="13" l="1"/>
  <c r="AP31" i="13"/>
  <c r="AO32" i="13"/>
  <c r="AJ31" i="8"/>
  <c r="AJ33" i="8"/>
  <c r="AJ32" i="8"/>
  <c r="AI32" i="8"/>
  <c r="AQ33" i="13" l="1"/>
  <c r="AQ31" i="13"/>
  <c r="AP32" i="13"/>
  <c r="AK31" i="8"/>
  <c r="AK33" i="8"/>
  <c r="AR33" i="13" l="1"/>
  <c r="AR34" i="13" s="1"/>
  <c r="AR31" i="13"/>
  <c r="AR32" i="13" s="1"/>
  <c r="AQ32" i="13"/>
  <c r="AL31" i="8"/>
  <c r="AL33" i="8"/>
  <c r="AL34" i="8" s="1"/>
  <c r="Q9" i="8" s="1"/>
  <c r="AL32" i="8"/>
  <c r="Q3" i="8" s="1"/>
  <c r="AK32" i="8"/>
  <c r="Q5" i="8" l="1"/>
  <c r="Q7" i="8" s="1"/>
  <c r="C23" i="13" l="1"/>
  <c r="E23" i="13"/>
  <c r="Q12" i="13"/>
  <c r="Q25" i="13" s="1"/>
  <c r="AA24" i="1" s="1"/>
  <c r="D23" i="13"/>
  <c r="P12" i="13"/>
  <c r="P25" i="13" s="1"/>
  <c r="T24" i="1" s="1"/>
  <c r="K12" i="13" l="1"/>
  <c r="K25" i="13" s="1"/>
  <c r="E12" i="13"/>
  <c r="J12" i="13"/>
  <c r="D12" i="13"/>
  <c r="D25" i="13" l="1"/>
  <c r="E25" i="13"/>
  <c r="J25" i="13"/>
  <c r="O23" i="1" s="1"/>
  <c r="AN24" i="1" l="1"/>
  <c r="D19" i="16" l="1"/>
  <c r="D5" i="16"/>
  <c r="D7" i="16" s="1"/>
  <c r="C5" i="16"/>
  <c r="C7" i="16" s="1"/>
  <c r="E19" i="16"/>
  <c r="E5" i="16"/>
  <c r="E7" i="16" s="1"/>
  <c r="C23" i="2" l="1"/>
  <c r="I23" i="2" s="1"/>
  <c r="C5" i="2"/>
  <c r="C7" i="2" s="1"/>
  <c r="C19" i="16"/>
  <c r="C10" i="16" s="1"/>
  <c r="C12" i="16" s="1"/>
  <c r="O23" i="8"/>
  <c r="I23" i="8"/>
  <c r="C23" i="8" s="1"/>
  <c r="I5" i="8"/>
  <c r="I7" i="8" s="1"/>
  <c r="C25" i="16" l="1"/>
  <c r="E5" i="2"/>
  <c r="E7" i="2" s="1"/>
  <c r="D10" i="16"/>
  <c r="I12" i="2"/>
  <c r="I25" i="2" s="1"/>
  <c r="L20" i="1" s="1"/>
  <c r="C5" i="17"/>
  <c r="C7" i="17" s="1"/>
  <c r="I23" i="17"/>
  <c r="O23" i="17"/>
  <c r="C12" i="8"/>
  <c r="C25" i="8" s="1"/>
  <c r="I12" i="17" l="1"/>
  <c r="I25" i="17" s="1"/>
  <c r="J30" i="1" s="1"/>
  <c r="C23" i="17"/>
  <c r="E10" i="16"/>
  <c r="E12" i="16" s="1"/>
  <c r="D12" i="16"/>
  <c r="D23" i="2"/>
  <c r="J23" i="2" s="1"/>
  <c r="D5" i="2"/>
  <c r="D7" i="2" s="1"/>
  <c r="O12" i="17"/>
  <c r="O25" i="17" s="1"/>
  <c r="D25" i="16" l="1"/>
  <c r="E25" i="16"/>
  <c r="J12" i="2"/>
  <c r="J25" i="2" s="1"/>
  <c r="O20" i="1" s="1"/>
  <c r="P23" i="17" l="1"/>
  <c r="D5" i="17"/>
  <c r="D7" i="17" s="1"/>
  <c r="J23" i="17"/>
  <c r="J5" i="8"/>
  <c r="J7" i="8" s="1"/>
  <c r="P23" i="8"/>
  <c r="J23" i="8"/>
  <c r="D23" i="8" s="1"/>
  <c r="D12" i="8" l="1"/>
  <c r="D25" i="8" s="1"/>
  <c r="J12" i="17"/>
  <c r="J25" i="17" s="1"/>
  <c r="O30" i="1" s="1"/>
  <c r="D23" i="17"/>
  <c r="Q23" i="8"/>
  <c r="K23" i="8"/>
  <c r="E23" i="8" s="1"/>
  <c r="K5" i="8"/>
  <c r="K7" i="8" s="1"/>
  <c r="P12" i="17"/>
  <c r="P25" i="17" s="1"/>
  <c r="Z32" i="1" s="1"/>
  <c r="E12" i="8" l="1"/>
  <c r="E25" i="8" s="1"/>
  <c r="C12" i="5" l="1"/>
  <c r="C5" i="12"/>
  <c r="C7" i="12" s="1"/>
  <c r="C5" i="10"/>
  <c r="C7" i="10" s="1"/>
  <c r="I5" i="9"/>
  <c r="I7" i="9" s="1"/>
  <c r="C25" i="5" l="1"/>
  <c r="D5" i="11"/>
  <c r="D7" i="11" s="1"/>
  <c r="C5" i="11"/>
  <c r="C7" i="11" s="1"/>
  <c r="D12" i="5"/>
  <c r="E19" i="12"/>
  <c r="D19" i="12"/>
  <c r="E19" i="11"/>
  <c r="D19" i="11"/>
  <c r="E19" i="10"/>
  <c r="D19" i="10"/>
  <c r="J19" i="9"/>
  <c r="K19" i="9"/>
  <c r="J19" i="8"/>
  <c r="E19" i="17"/>
  <c r="D19" i="17"/>
  <c r="E19" i="2"/>
  <c r="D19" i="2"/>
  <c r="K19" i="8"/>
  <c r="E5" i="11"/>
  <c r="E7" i="11" s="1"/>
  <c r="D25" i="5" l="1"/>
  <c r="C19" i="12"/>
  <c r="C10" i="12" s="1"/>
  <c r="C12" i="12" s="1"/>
  <c r="C19" i="11"/>
  <c r="C10" i="11" s="1"/>
  <c r="C12" i="11" s="1"/>
  <c r="E5" i="10"/>
  <c r="E7" i="10" s="1"/>
  <c r="D5" i="10"/>
  <c r="D7" i="10" s="1"/>
  <c r="D10" i="11"/>
  <c r="E5" i="12"/>
  <c r="E7" i="12" s="1"/>
  <c r="D5" i="12"/>
  <c r="D7" i="12" s="1"/>
  <c r="C19" i="17"/>
  <c r="C10" i="17" s="1"/>
  <c r="C12" i="17" s="1"/>
  <c r="E5" i="17"/>
  <c r="E7" i="17" s="1"/>
  <c r="K23" i="17"/>
  <c r="Q23" i="17"/>
  <c r="C25" i="11" l="1"/>
  <c r="F12" i="1" s="1"/>
  <c r="C25" i="12"/>
  <c r="F13" i="1" s="1"/>
  <c r="C25" i="17"/>
  <c r="D10" i="17"/>
  <c r="E10" i="17" s="1"/>
  <c r="C19" i="10"/>
  <c r="C10" i="10" s="1"/>
  <c r="D10" i="10" s="1"/>
  <c r="E10" i="10" s="1"/>
  <c r="E12" i="10" s="1"/>
  <c r="D10" i="12"/>
  <c r="E10" i="12" s="1"/>
  <c r="E12" i="12" s="1"/>
  <c r="E10" i="11"/>
  <c r="E12" i="11" s="1"/>
  <c r="D12" i="11"/>
  <c r="C19" i="2"/>
  <c r="C10" i="2" s="1"/>
  <c r="D10" i="2" s="1"/>
  <c r="E10" i="2" s="1"/>
  <c r="E12" i="2" s="1"/>
  <c r="E12" i="5"/>
  <c r="J23" i="9"/>
  <c r="D23" i="9" s="1"/>
  <c r="P23" i="9"/>
  <c r="J5" i="9"/>
  <c r="J7" i="9" s="1"/>
  <c r="K23" i="9"/>
  <c r="E23" i="9" s="1"/>
  <c r="Q23" i="9"/>
  <c r="K5" i="9"/>
  <c r="K7" i="9" s="1"/>
  <c r="I19" i="9"/>
  <c r="I10" i="9" s="1"/>
  <c r="Q12" i="17"/>
  <c r="Q25" i="17" s="1"/>
  <c r="AA32" i="1" s="1"/>
  <c r="Q12" i="8"/>
  <c r="Q25" i="8" s="1"/>
  <c r="K12" i="17"/>
  <c r="K25" i="17" s="1"/>
  <c r="E23" i="17"/>
  <c r="I19" i="8"/>
  <c r="I10" i="8" s="1"/>
  <c r="D12" i="17" l="1"/>
  <c r="E25" i="5"/>
  <c r="E25" i="2"/>
  <c r="D12" i="2"/>
  <c r="D25" i="11"/>
  <c r="O12" i="1" s="1"/>
  <c r="E25" i="11"/>
  <c r="D25" i="17"/>
  <c r="E25" i="12"/>
  <c r="E25" i="10"/>
  <c r="C12" i="10"/>
  <c r="D12" i="10"/>
  <c r="D12" i="12"/>
  <c r="D12" i="9"/>
  <c r="D25" i="9" s="1"/>
  <c r="S36" i="1" s="1"/>
  <c r="C12" i="2"/>
  <c r="E12" i="9"/>
  <c r="E25" i="9" s="1"/>
  <c r="AA36" i="1" s="1"/>
  <c r="J10" i="8"/>
  <c r="K10" i="8" s="1"/>
  <c r="K12" i="8" s="1"/>
  <c r="I12" i="8"/>
  <c r="E12" i="17"/>
  <c r="J10" i="9"/>
  <c r="K10" i="9" s="1"/>
  <c r="I12" i="9"/>
  <c r="AN32" i="1"/>
  <c r="C25" i="10" l="1"/>
  <c r="D11" i="1" s="1"/>
  <c r="K25" i="8"/>
  <c r="I25" i="8"/>
  <c r="N35" i="1" s="1"/>
  <c r="D25" i="2"/>
  <c r="O19" i="1" s="1"/>
  <c r="AN20" i="1" s="1"/>
  <c r="C25" i="2"/>
  <c r="H19" i="1" s="1"/>
  <c r="I25" i="9"/>
  <c r="D25" i="12"/>
  <c r="O13" i="1" s="1"/>
  <c r="E25" i="17"/>
  <c r="D25" i="10"/>
  <c r="O11" i="1" s="1"/>
  <c r="AN13" i="1" s="1"/>
  <c r="K12" i="9"/>
  <c r="J12" i="8"/>
  <c r="J12" i="9"/>
  <c r="J25" i="9" l="1"/>
  <c r="Z37" i="1" s="1"/>
  <c r="X41" i="1" s="1"/>
  <c r="J25" i="8"/>
  <c r="O35" i="1" s="1"/>
  <c r="K25" i="9"/>
  <c r="AA37" i="1" s="1"/>
  <c r="AJ41" i="1" s="1"/>
  <c r="AN37" i="1" l="1"/>
  <c r="AN41" i="1" s="1"/>
  <c r="AO41" i="1" s="1"/>
</calcChain>
</file>

<file path=xl/sharedStrings.xml><?xml version="1.0" encoding="utf-8"?>
<sst xmlns="http://schemas.openxmlformats.org/spreadsheetml/2006/main" count="540" uniqueCount="95">
  <si>
    <t>Tampa Electric</t>
  </si>
  <si>
    <t>Page 2 of 2</t>
  </si>
  <si>
    <t>Summary Revenue Requirement</t>
  </si>
  <si>
    <t xml:space="preserve"> Jan</t>
  </si>
  <si>
    <t xml:space="preserve">Dec </t>
  </si>
  <si>
    <t>Total RR (for validation)</t>
  </si>
  <si>
    <t>Polk 1 Flexibility Project</t>
  </si>
  <si>
    <t>May 2025</t>
  </si>
  <si>
    <t>PK 1</t>
  </si>
  <si>
    <t>Energy Storage</t>
  </si>
  <si>
    <t>February 2025 - Wimauma</t>
  </si>
  <si>
    <t>April 2025 - Lake Mabel</t>
  </si>
  <si>
    <t>April 2025 - South Tampa</t>
  </si>
  <si>
    <t xml:space="preserve">Corporate Headquarters </t>
  </si>
  <si>
    <t>HQ</t>
  </si>
  <si>
    <t>Bearss Operations Center</t>
  </si>
  <si>
    <t>June 2025 - Building and Land</t>
  </si>
  <si>
    <t>October 2025 - Emergency Management System Upgrade</t>
  </si>
  <si>
    <t>BOC</t>
  </si>
  <si>
    <t>South Tampa Resilience Project</t>
  </si>
  <si>
    <t>April 2025 - Generation (Recips 1 and 2)</t>
  </si>
  <si>
    <t>June 2026 - Generation (Recips 3 and 4)</t>
  </si>
  <si>
    <t>S. Tampa Resilience</t>
  </si>
  <si>
    <t xml:space="preserve">Polk Fuel Diversity Project </t>
  </si>
  <si>
    <t>September 2026</t>
  </si>
  <si>
    <t xml:space="preserve">PK Fuel </t>
  </si>
  <si>
    <t>Grid Reliability and Resilence</t>
  </si>
  <si>
    <t>August 2025 - Grid Communication Network (PLTE Spectrum)</t>
  </si>
  <si>
    <t>September 2026 - Customer Information Device Expansion</t>
  </si>
  <si>
    <t>December 2026 - Grid Communication Network (Hardware), Work Management and Control Systems</t>
  </si>
  <si>
    <t>GRR</t>
  </si>
  <si>
    <t>Solar</t>
  </si>
  <si>
    <t xml:space="preserve">December 2025 - Cottonmouth &amp; Duette </t>
  </si>
  <si>
    <t>May 2026 - Big Four</t>
  </si>
  <si>
    <t>December 2026 - Farmland, Brewster &amp; Wimauma 3, and Trailing Charges</t>
  </si>
  <si>
    <t>2025 Revenue Requirement</t>
  </si>
  <si>
    <t>2026 Subsequent Yr Adjustment</t>
  </si>
  <si>
    <t>Total 2026 Revenue Requirement:</t>
  </si>
  <si>
    <t>Total 2027 Revenue Requirement:</t>
  </si>
  <si>
    <t>2027 Subsequent Yr Adjustment</t>
  </si>
  <si>
    <r>
      <t>GRR Other - Sep 2026</t>
    </r>
    <r>
      <rPr>
        <b/>
        <sz val="10"/>
        <color theme="1" tint="0.499984740745262"/>
        <rFont val="Calibri"/>
        <family val="2"/>
        <scheme val="minor"/>
      </rPr>
      <t xml:space="preserve"> (NCP-16817)</t>
    </r>
  </si>
  <si>
    <r>
      <t xml:space="preserve">GRR Other - Dec 2026 </t>
    </r>
    <r>
      <rPr>
        <b/>
        <sz val="10"/>
        <color theme="1" tint="0.499984740745262"/>
        <rFont val="Calibri"/>
        <family val="2"/>
        <scheme val="minor"/>
      </rPr>
      <t>(NCP-16834 &amp; NCP-15633)</t>
    </r>
  </si>
  <si>
    <t>Original In-Service Amount (13-Month Average)</t>
  </si>
  <si>
    <t>Rate of Return</t>
  </si>
  <si>
    <t>NOI Requested - Debt Portion</t>
  </si>
  <si>
    <t>NOI Multiplier</t>
  </si>
  <si>
    <t>Return on Rate Base</t>
  </si>
  <si>
    <t>O&amp;M Expense *</t>
  </si>
  <si>
    <t>Depreciation Expense</t>
  </si>
  <si>
    <t>Property Taxes</t>
  </si>
  <si>
    <t>ITC Amortization / PTC</t>
  </si>
  <si>
    <t>Total Revenue Requirement</t>
  </si>
  <si>
    <t>ck</t>
  </si>
  <si>
    <t>PropertyTaxes</t>
  </si>
  <si>
    <t>PY Year</t>
  </si>
  <si>
    <t>PY Basis</t>
  </si>
  <si>
    <t>Property Tax Rate</t>
  </si>
  <si>
    <t>O&amp;M - NCP-16817</t>
  </si>
  <si>
    <t>O&amp;M - NCP-16834</t>
  </si>
  <si>
    <t>O&amp;M - NCP-15633</t>
  </si>
  <si>
    <t>Total O&amp;M</t>
  </si>
  <si>
    <t>Rev Requirement in $M</t>
  </si>
  <si>
    <t>Polk 1 - May 2025</t>
  </si>
  <si>
    <t xml:space="preserve">* O&amp;M split for this high-level example is based on capital </t>
  </si>
  <si>
    <t>Energy Storage - Wimauma - Feb 2025</t>
  </si>
  <si>
    <t>Energy Storage - Lake Mabel - Apr 2025</t>
  </si>
  <si>
    <t>Energy Storage - MacDill - Apr 2025</t>
  </si>
  <si>
    <t>Headquarters - May 2025 (&amp; Dec 2024)</t>
  </si>
  <si>
    <t>BOC - Jun 2025 (&amp; Mar 2024)</t>
  </si>
  <si>
    <t>BOC - Oct 2025</t>
  </si>
  <si>
    <t>S. Tampa Resilence - 2024</t>
  </si>
  <si>
    <t>S. Tampa Resilience - Apr 2025</t>
  </si>
  <si>
    <t>S. Tampa Resilience - June 2026</t>
  </si>
  <si>
    <r>
      <rPr>
        <b/>
        <sz val="11"/>
        <color rgb="FF000000"/>
        <rFont val="Calibri"/>
        <family val="2"/>
      </rPr>
      <t xml:space="preserve">S. Tampa Resilience - </t>
    </r>
    <r>
      <rPr>
        <b/>
        <sz val="9"/>
        <color rgb="FF0A56FA"/>
        <rFont val="Calibri"/>
        <family val="2"/>
      </rPr>
      <t>Trailing Capex (from 2025 in-svc)</t>
    </r>
  </si>
  <si>
    <t>ITC Amortization / PTC **</t>
  </si>
  <si>
    <t>='S Tampa Resilience'!J25+</t>
  </si>
  <si>
    <t>* O&amp;M split for this high-level example assumes no O&amp;M on the land</t>
  </si>
  <si>
    <t>** Assumes no PTC on solar land</t>
  </si>
  <si>
    <t>Trailing Capex</t>
  </si>
  <si>
    <t>Plant In-Service</t>
  </si>
  <si>
    <t>Orig Cost 13-Mo Avg</t>
  </si>
  <si>
    <t>Depreciation Rate</t>
  </si>
  <si>
    <t>Polk Fuel - Sep 26</t>
  </si>
  <si>
    <t>GRR Grid Comm - Dec 2024</t>
  </si>
  <si>
    <t>GRR Grid Comm - Aug 2025</t>
  </si>
  <si>
    <t>GRR Grid Comm - Dec 2026</t>
  </si>
  <si>
    <t>GRR - Work Management - Dec 2026</t>
  </si>
  <si>
    <t>Solar Wave 3 Land PHFFU - Feb 2025</t>
  </si>
  <si>
    <t>Solar - Cottonmouth &amp; FFD - Dec 2025</t>
  </si>
  <si>
    <r>
      <rPr>
        <b/>
        <sz val="11"/>
        <color rgb="FF000000"/>
        <rFont val="Calibri"/>
        <family val="2"/>
      </rPr>
      <t xml:space="preserve">Solar - Cottonmouth &amp; FFD - </t>
    </r>
    <r>
      <rPr>
        <b/>
        <sz val="11"/>
        <color rgb="FF0A56FA"/>
        <rFont val="Calibri"/>
        <family val="2"/>
      </rPr>
      <t>Trailing Capex</t>
    </r>
  </si>
  <si>
    <t>Solar - Big Four - May 2026</t>
  </si>
  <si>
    <t>Solar - Farmland - Dec 2026</t>
  </si>
  <si>
    <r>
      <rPr>
        <b/>
        <sz val="11"/>
        <color rgb="FF000000"/>
        <rFont val="Calibri"/>
        <family val="2"/>
      </rPr>
      <t xml:space="preserve">Solar - Farmland - </t>
    </r>
    <r>
      <rPr>
        <b/>
        <sz val="11"/>
        <color rgb="FF0A56FA"/>
        <rFont val="Calibri"/>
        <family val="2"/>
      </rPr>
      <t>Trailing Capex</t>
    </r>
  </si>
  <si>
    <t>Solar -  Brewster &amp; Wimauma - Dec 2026</t>
  </si>
  <si>
    <t>RL-1 Document 5 - Subsequent Year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</si>
</sst>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A56FA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9"/>
      <color rgb="FF0A56FA"/>
      <name val="Calibri"/>
      <family val="2"/>
    </font>
    <font>
      <sz val="11"/>
      <color rgb="FFC0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0C1F7"/>
        <bgColor indexed="64"/>
      </patternFill>
    </fill>
    <fill>
      <patternFill patternType="solid">
        <fgColor rgb="FFFAA7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indent="1"/>
    </xf>
    <xf numFmtId="0" fontId="2" fillId="0" borderId="0" xfId="0" applyFont="1"/>
    <xf numFmtId="41" fontId="3" fillId="0" borderId="0" xfId="0" applyNumberFormat="1" applyFont="1"/>
    <xf numFmtId="41" fontId="3" fillId="0" borderId="9" xfId="0" applyNumberFormat="1" applyFont="1" applyBorder="1"/>
    <xf numFmtId="41" fontId="3" fillId="0" borderId="7" xfId="0" applyNumberFormat="1" applyFont="1" applyBorder="1"/>
    <xf numFmtId="41" fontId="1" fillId="2" borderId="8" xfId="0" applyNumberFormat="1" applyFont="1" applyFill="1" applyBorder="1"/>
    <xf numFmtId="41" fontId="6" fillId="0" borderId="0" xfId="0" applyNumberFormat="1" applyFont="1"/>
    <xf numFmtId="0" fontId="8" fillId="0" borderId="0" xfId="0" applyFont="1"/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164" fontId="3" fillId="0" borderId="0" xfId="1" applyNumberFormat="1" applyFont="1"/>
    <xf numFmtId="10" fontId="3" fillId="0" borderId="0" xfId="2" applyNumberFormat="1" applyFont="1"/>
    <xf numFmtId="164" fontId="3" fillId="0" borderId="10" xfId="1" applyNumberFormat="1" applyFont="1" applyFill="1" applyBorder="1"/>
    <xf numFmtId="164" fontId="3" fillId="0" borderId="10" xfId="1" applyNumberFormat="1" applyFont="1" applyBorder="1"/>
    <xf numFmtId="17" fontId="3" fillId="0" borderId="0" xfId="0" applyNumberFormat="1" applyFont="1" applyAlignment="1">
      <alignment horizontal="right"/>
    </xf>
    <xf numFmtId="41" fontId="1" fillId="0" borderId="0" xfId="0" applyNumberFormat="1" applyFont="1"/>
    <xf numFmtId="41" fontId="5" fillId="0" borderId="0" xfId="0" applyNumberFormat="1" applyFont="1"/>
    <xf numFmtId="10" fontId="9" fillId="0" borderId="6" xfId="0" applyNumberFormat="1" applyFont="1" applyBorder="1"/>
    <xf numFmtId="0" fontId="9" fillId="0" borderId="6" xfId="0" applyFont="1" applyBorder="1"/>
    <xf numFmtId="9" fontId="0" fillId="0" borderId="0" xfId="0" applyNumberFormat="1"/>
    <xf numFmtId="41" fontId="0" fillId="0" borderId="0" xfId="0" applyNumberForma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17" fontId="2" fillId="0" borderId="0" xfId="0" applyNumberFormat="1" applyFont="1" applyAlignment="1">
      <alignment horizontal="center"/>
    </xf>
    <xf numFmtId="164" fontId="1" fillId="0" borderId="0" xfId="1" applyNumberFormat="1" applyFont="1"/>
    <xf numFmtId="41" fontId="9" fillId="0" borderId="0" xfId="0" applyNumberFormat="1" applyFont="1"/>
    <xf numFmtId="0" fontId="12" fillId="0" borderId="0" xfId="0" applyFont="1"/>
    <xf numFmtId="17" fontId="13" fillId="0" borderId="0" xfId="0" applyNumberFormat="1" applyFont="1" applyAlignment="1">
      <alignment horizontal="center"/>
    </xf>
    <xf numFmtId="41" fontId="2" fillId="0" borderId="23" xfId="0" applyNumberFormat="1" applyFont="1" applyBorder="1"/>
    <xf numFmtId="164" fontId="0" fillId="0" borderId="0" xfId="0" applyNumberFormat="1"/>
    <xf numFmtId="165" fontId="9" fillId="4" borderId="11" xfId="0" applyNumberFormat="1" applyFont="1" applyFill="1" applyBorder="1" applyAlignment="1">
      <alignment horizontal="center"/>
    </xf>
    <xf numFmtId="164" fontId="2" fillId="0" borderId="23" xfId="0" applyNumberFormat="1" applyFont="1" applyBorder="1"/>
    <xf numFmtId="0" fontId="2" fillId="0" borderId="0" xfId="0" applyFont="1" applyAlignment="1">
      <alignment horizontal="left"/>
    </xf>
    <xf numFmtId="10" fontId="1" fillId="0" borderId="23" xfId="0" applyNumberFormat="1" applyFont="1" applyBorder="1"/>
    <xf numFmtId="0" fontId="4" fillId="3" borderId="0" xfId="0" applyFont="1" applyFill="1" applyAlignment="1">
      <alignment horizontal="left" indent="1"/>
    </xf>
    <xf numFmtId="10" fontId="1" fillId="0" borderId="0" xfId="2" applyNumberFormat="1" applyFont="1"/>
    <xf numFmtId="0" fontId="1" fillId="0" borderId="0" xfId="0" applyFont="1"/>
    <xf numFmtId="10" fontId="1" fillId="6" borderId="0" xfId="2" applyNumberFormat="1" applyFont="1" applyFill="1"/>
    <xf numFmtId="1" fontId="0" fillId="0" borderId="0" xfId="0" applyNumberFormat="1"/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 indent="1"/>
    </xf>
    <xf numFmtId="165" fontId="9" fillId="0" borderId="12" xfId="0" applyNumberFormat="1" applyFont="1" applyBorder="1"/>
    <xf numFmtId="1" fontId="9" fillId="0" borderId="13" xfId="0" applyNumberFormat="1" applyFont="1" applyBorder="1"/>
    <xf numFmtId="0" fontId="15" fillId="0" borderId="12" xfId="0" applyFont="1" applyBorder="1"/>
    <xf numFmtId="0" fontId="15" fillId="0" borderId="11" xfId="0" applyFont="1" applyBorder="1"/>
    <xf numFmtId="0" fontId="3" fillId="0" borderId="12" xfId="0" applyFont="1" applyBorder="1"/>
    <xf numFmtId="166" fontId="0" fillId="0" borderId="0" xfId="0" applyNumberFormat="1"/>
    <xf numFmtId="165" fontId="3" fillId="4" borderId="13" xfId="0" applyNumberFormat="1" applyFont="1" applyFill="1" applyBorder="1" applyAlignment="1">
      <alignment horizontal="center"/>
    </xf>
    <xf numFmtId="165" fontId="3" fillId="0" borderId="12" xfId="0" applyNumberFormat="1" applyFont="1" applyBorder="1"/>
    <xf numFmtId="6" fontId="0" fillId="0" borderId="0" xfId="0" applyNumberFormat="1"/>
    <xf numFmtId="6" fontId="0" fillId="0" borderId="5" xfId="0" applyNumberFormat="1" applyBorder="1"/>
    <xf numFmtId="6" fontId="1" fillId="2" borderId="8" xfId="0" applyNumberFormat="1" applyFont="1" applyFill="1" applyBorder="1"/>
    <xf numFmtId="165" fontId="0" fillId="0" borderId="0" xfId="0" applyNumberFormat="1"/>
    <xf numFmtId="165" fontId="2" fillId="0" borderId="24" xfId="0" applyNumberFormat="1" applyFont="1" applyBorder="1"/>
    <xf numFmtId="165" fontId="3" fillId="0" borderId="0" xfId="0" applyNumberFormat="1" applyFont="1"/>
    <xf numFmtId="165" fontId="9" fillId="4" borderId="13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 indent="1"/>
    </xf>
    <xf numFmtId="0" fontId="2" fillId="0" borderId="0" xfId="0" applyFont="1" applyAlignment="1">
      <alignment horizontal="right" indent="1"/>
    </xf>
    <xf numFmtId="0" fontId="9" fillId="0" borderId="11" xfId="0" applyFont="1" applyBorder="1" applyAlignment="1">
      <alignment horizontal="left" indent="2"/>
    </xf>
    <xf numFmtId="0" fontId="18" fillId="0" borderId="20" xfId="0" applyFont="1" applyBorder="1"/>
    <xf numFmtId="0" fontId="18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indent="2"/>
    </xf>
    <xf numFmtId="17" fontId="9" fillId="0" borderId="11" xfId="0" quotePrefix="1" applyNumberFormat="1" applyFont="1" applyBorder="1" applyAlignment="1">
      <alignment horizontal="left" indent="2"/>
    </xf>
    <xf numFmtId="164" fontId="1" fillId="7" borderId="0" xfId="1" applyNumberFormat="1" applyFont="1" applyFill="1"/>
    <xf numFmtId="0" fontId="19" fillId="0" borderId="0" xfId="0" applyFont="1"/>
    <xf numFmtId="0" fontId="0" fillId="0" borderId="0" xfId="0" applyAlignment="1">
      <alignment horizontal="right" indent="1"/>
    </xf>
    <xf numFmtId="165" fontId="9" fillId="4" borderId="11" xfId="0" applyNumberFormat="1" applyFont="1" applyFill="1" applyBorder="1" applyAlignment="1">
      <alignment horizontal="center"/>
    </xf>
    <xf numFmtId="165" fontId="9" fillId="4" borderId="12" xfId="0" applyNumberFormat="1" applyFont="1" applyFill="1" applyBorder="1" applyAlignment="1">
      <alignment horizontal="center"/>
    </xf>
    <xf numFmtId="165" fontId="9" fillId="3" borderId="12" xfId="0" applyNumberFormat="1" applyFont="1" applyFill="1" applyBorder="1" applyAlignment="1">
      <alignment horizontal="center"/>
    </xf>
    <xf numFmtId="165" fontId="9" fillId="3" borderId="1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1" xfId="0" applyNumberFormat="1" applyFont="1" applyBorder="1" applyAlignment="1">
      <alignment horizontal="left"/>
    </xf>
    <xf numFmtId="17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165" fontId="9" fillId="5" borderId="11" xfId="0" applyNumberFormat="1" applyFont="1" applyFill="1" applyBorder="1" applyAlignment="1">
      <alignment horizontal="center"/>
    </xf>
    <xf numFmtId="165" fontId="9" fillId="5" borderId="12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165" fontId="3" fillId="4" borderId="12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12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5" fontId="9" fillId="4" borderId="13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AA7A7"/>
      <color rgb="FFE0C1F7"/>
      <color rgb="FFF2E3FC"/>
      <color rgb="FFFAD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FEFF-2280-4306-85A2-0617AE24944F}">
  <sheetPr>
    <pageSetUpPr fitToPage="1"/>
  </sheetPr>
  <dimension ref="B1:AO42"/>
  <sheetViews>
    <sheetView showGridLines="0" tabSelected="1" zoomScale="79" zoomScaleNormal="89" workbookViewId="0">
      <selection activeCell="AF43" sqref="AF43"/>
    </sheetView>
  </sheetViews>
  <sheetFormatPr defaultRowHeight="15" x14ac:dyDescent="0.25"/>
  <cols>
    <col min="1" max="1" width="2.85546875" customWidth="1"/>
    <col min="2" max="2" width="92.28515625" customWidth="1"/>
    <col min="3" max="25" width="4.140625" customWidth="1"/>
    <col min="26" max="26" width="5" customWidth="1"/>
    <col min="27" max="38" width="4.140625" customWidth="1"/>
    <col min="39" max="39" width="3.85546875" customWidth="1"/>
    <col min="40" max="40" width="12.7109375" customWidth="1"/>
    <col min="41" max="41" width="9.140625" customWidth="1"/>
  </cols>
  <sheetData>
    <row r="1" spans="2:41" ht="15.75" x14ac:dyDescent="0.25">
      <c r="B1" s="82" t="s">
        <v>0</v>
      </c>
      <c r="AL1" s="83" t="s">
        <v>1</v>
      </c>
    </row>
    <row r="2" spans="2:41" ht="15" customHeight="1" x14ac:dyDescent="0.25">
      <c r="B2" s="82" t="s">
        <v>94</v>
      </c>
    </row>
    <row r="3" spans="2:41" ht="15" customHeight="1" x14ac:dyDescent="0.25">
      <c r="B3" s="82" t="s">
        <v>2</v>
      </c>
    </row>
    <row r="5" spans="2:41" x14ac:dyDescent="0.25">
      <c r="C5" s="88">
        <v>2025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88">
        <v>2026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  <c r="AA5" s="88">
        <v>2027</v>
      </c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90"/>
    </row>
    <row r="6" spans="2:41" x14ac:dyDescent="0.25">
      <c r="C6" s="91" t="s">
        <v>3</v>
      </c>
      <c r="D6" s="92"/>
      <c r="E6" s="41"/>
      <c r="F6" s="41"/>
      <c r="G6" s="41"/>
      <c r="H6" s="41"/>
      <c r="I6" s="41"/>
      <c r="J6" s="41"/>
      <c r="K6" s="3"/>
      <c r="L6" s="3"/>
      <c r="M6" s="93" t="s">
        <v>4</v>
      </c>
      <c r="N6" s="94"/>
      <c r="O6" s="91" t="s">
        <v>3</v>
      </c>
      <c r="P6" s="92"/>
      <c r="Q6" s="41"/>
      <c r="R6" s="41"/>
      <c r="S6" s="41"/>
      <c r="T6" s="41"/>
      <c r="U6" s="41"/>
      <c r="V6" s="41"/>
      <c r="W6" s="3"/>
      <c r="X6" s="3"/>
      <c r="Y6" s="93" t="s">
        <v>4</v>
      </c>
      <c r="Z6" s="94"/>
      <c r="AA6" s="91" t="s">
        <v>3</v>
      </c>
      <c r="AB6" s="92"/>
      <c r="AC6" s="41"/>
      <c r="AD6" s="41"/>
      <c r="AE6" s="41"/>
      <c r="AF6" s="41"/>
      <c r="AG6" s="41"/>
      <c r="AH6" s="41"/>
      <c r="AI6" s="3"/>
      <c r="AJ6" s="3"/>
      <c r="AK6" s="93" t="s">
        <v>4</v>
      </c>
      <c r="AL6" s="94"/>
      <c r="AN6" s="74" t="s">
        <v>5</v>
      </c>
    </row>
    <row r="7" spans="2:41" x14ac:dyDescent="0.25">
      <c r="B7" s="77" t="s">
        <v>6</v>
      </c>
      <c r="C7" s="36"/>
      <c r="D7" s="37"/>
      <c r="E7" s="37"/>
      <c r="F7" s="37"/>
      <c r="G7" s="38"/>
      <c r="H7" s="38"/>
      <c r="I7" s="38"/>
      <c r="J7" s="38"/>
      <c r="K7" s="38"/>
      <c r="L7" s="38"/>
      <c r="M7" s="38"/>
      <c r="N7" s="39"/>
      <c r="O7" s="40"/>
      <c r="P7" s="38"/>
      <c r="Q7" s="38"/>
      <c r="R7" s="38"/>
      <c r="S7" s="38"/>
      <c r="T7" s="38"/>
      <c r="U7" s="38"/>
      <c r="V7" s="38"/>
      <c r="W7" s="38"/>
      <c r="X7" s="38"/>
      <c r="Y7" s="38"/>
      <c r="Z7" s="39"/>
      <c r="AA7" s="40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</row>
    <row r="8" spans="2:41" x14ac:dyDescent="0.25">
      <c r="B8" s="76" t="s">
        <v>7</v>
      </c>
      <c r="C8" s="26"/>
      <c r="D8" s="59"/>
      <c r="E8" s="59"/>
      <c r="F8" s="59"/>
      <c r="G8" s="86">
        <f>'PK 1'!C25</f>
        <v>5.0578668952393269</v>
      </c>
      <c r="H8" s="86"/>
      <c r="I8" s="86"/>
      <c r="J8" s="86"/>
      <c r="K8" s="86"/>
      <c r="L8" s="86"/>
      <c r="M8" s="86"/>
      <c r="N8" s="87"/>
      <c r="O8" s="84">
        <f>'PK 1'!D25</f>
        <v>5.1857932433187619</v>
      </c>
      <c r="P8" s="85"/>
      <c r="Q8" s="85"/>
      <c r="R8" s="85"/>
      <c r="S8" s="27"/>
      <c r="T8" s="27"/>
      <c r="U8" s="27"/>
      <c r="V8" s="27"/>
      <c r="W8" s="27"/>
      <c r="X8" s="27"/>
      <c r="Y8" s="27"/>
      <c r="Z8" s="28"/>
      <c r="AA8" s="26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  <c r="AN8" s="70">
        <f>SUM(O8:AL8)</f>
        <v>5.1857932433187619</v>
      </c>
      <c r="AO8" s="58" t="s">
        <v>8</v>
      </c>
    </row>
    <row r="9" spans="2:41" x14ac:dyDescent="0.25">
      <c r="B9" s="76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6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  <c r="AA9" s="26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8"/>
      <c r="AN9" s="70"/>
      <c r="AO9" s="58"/>
    </row>
    <row r="10" spans="2:41" x14ac:dyDescent="0.25">
      <c r="B10" s="78" t="s">
        <v>9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6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  <c r="AA10" s="26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8"/>
      <c r="AN10" s="70"/>
      <c r="AO10" s="58"/>
    </row>
    <row r="11" spans="2:41" x14ac:dyDescent="0.25">
      <c r="B11" s="76" t="s">
        <v>10</v>
      </c>
      <c r="C11" s="26"/>
      <c r="D11" s="86">
        <f>'Energy Storage - W'!C25</f>
        <v>7.1987663847208188</v>
      </c>
      <c r="E11" s="86"/>
      <c r="F11" s="86"/>
      <c r="G11" s="86"/>
      <c r="H11" s="86"/>
      <c r="I11" s="86"/>
      <c r="J11" s="86"/>
      <c r="K11" s="86"/>
      <c r="L11" s="86"/>
      <c r="M11" s="86"/>
      <c r="N11" s="87"/>
      <c r="O11" s="48">
        <f>'Energy Storage - W'!D25</f>
        <v>2.5828536969802194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  <c r="AA11" s="26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8"/>
      <c r="AN11" s="70"/>
      <c r="AO11" s="58"/>
    </row>
    <row r="12" spans="2:41" x14ac:dyDescent="0.25">
      <c r="B12" s="76" t="s">
        <v>11</v>
      </c>
      <c r="C12" s="26"/>
      <c r="D12" s="59"/>
      <c r="E12" s="59"/>
      <c r="F12" s="86">
        <f>'Energy Storage - LM'!C25</f>
        <v>6.674242375390425</v>
      </c>
      <c r="G12" s="86"/>
      <c r="H12" s="86"/>
      <c r="I12" s="86"/>
      <c r="J12" s="86"/>
      <c r="K12" s="86"/>
      <c r="L12" s="86"/>
      <c r="M12" s="86"/>
      <c r="N12" s="87"/>
      <c r="O12" s="84">
        <f>'Energy Storage - LM'!D25</f>
        <v>4.0787624115637433</v>
      </c>
      <c r="P12" s="85"/>
      <c r="Q12" s="85"/>
      <c r="R12" s="59"/>
      <c r="S12" s="27"/>
      <c r="T12" s="27"/>
      <c r="U12" s="27"/>
      <c r="V12" s="27"/>
      <c r="W12" s="27"/>
      <c r="X12" s="27"/>
      <c r="Y12" s="27"/>
      <c r="Z12" s="28"/>
      <c r="AA12" s="26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N12" s="70"/>
      <c r="AO12" s="58"/>
    </row>
    <row r="13" spans="2:41" x14ac:dyDescent="0.25">
      <c r="B13" s="76" t="s">
        <v>12</v>
      </c>
      <c r="C13" s="26"/>
      <c r="D13" s="59"/>
      <c r="E13" s="59"/>
      <c r="F13" s="86">
        <f>'Energy Storage - M'!C25</f>
        <v>3.4845052943275476</v>
      </c>
      <c r="G13" s="86"/>
      <c r="H13" s="86"/>
      <c r="I13" s="86"/>
      <c r="J13" s="86"/>
      <c r="K13" s="86"/>
      <c r="L13" s="86"/>
      <c r="M13" s="86"/>
      <c r="N13" s="87"/>
      <c r="O13" s="84">
        <f>'Energy Storage - M'!D25</f>
        <v>2.3286707117921828</v>
      </c>
      <c r="P13" s="85"/>
      <c r="Q13" s="85"/>
      <c r="R13" s="59"/>
      <c r="S13" s="27"/>
      <c r="T13" s="27"/>
      <c r="U13" s="27"/>
      <c r="V13" s="27"/>
      <c r="W13" s="27"/>
      <c r="X13" s="27"/>
      <c r="Y13" s="27"/>
      <c r="Z13" s="28"/>
      <c r="AA13" s="26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8"/>
      <c r="AN13" s="70">
        <f>SUM(O11:AL13)</f>
        <v>8.990286820336145</v>
      </c>
      <c r="AO13" s="58" t="s">
        <v>9</v>
      </c>
    </row>
    <row r="14" spans="2:41" x14ac:dyDescent="0.25">
      <c r="B14" s="76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6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8"/>
      <c r="AN14" s="70"/>
      <c r="AO14" s="58"/>
    </row>
    <row r="15" spans="2:41" x14ac:dyDescent="0.25">
      <c r="B15" s="78" t="s">
        <v>13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  <c r="AA15" s="26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8"/>
      <c r="AN15" s="70"/>
      <c r="AO15" s="58"/>
    </row>
    <row r="16" spans="2:41" x14ac:dyDescent="0.25">
      <c r="B16" s="76" t="s">
        <v>7</v>
      </c>
      <c r="C16" s="26"/>
      <c r="D16" s="59"/>
      <c r="E16" s="59"/>
      <c r="F16" s="59"/>
      <c r="G16" s="86">
        <f>HQ!C25</f>
        <v>19.32929024234318</v>
      </c>
      <c r="H16" s="86"/>
      <c r="I16" s="86"/>
      <c r="J16" s="86"/>
      <c r="K16" s="86"/>
      <c r="L16" s="86"/>
      <c r="M16" s="86"/>
      <c r="N16" s="87"/>
      <c r="O16" s="84">
        <f>HQ!D25</f>
        <v>10.787343108415964</v>
      </c>
      <c r="P16" s="85"/>
      <c r="Q16" s="85"/>
      <c r="R16" s="85"/>
      <c r="S16" s="27"/>
      <c r="T16" s="27"/>
      <c r="U16" s="27"/>
      <c r="V16" s="27"/>
      <c r="W16" s="27"/>
      <c r="X16" s="27"/>
      <c r="Y16" s="27"/>
      <c r="Z16" s="28"/>
      <c r="AA16" s="26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  <c r="AN16" s="70">
        <f t="shared" ref="AN16" si="0">SUM(O16:AL16)</f>
        <v>10.787343108415964</v>
      </c>
      <c r="AO16" s="58" t="s">
        <v>14</v>
      </c>
    </row>
    <row r="17" spans="2:41" x14ac:dyDescent="0.25">
      <c r="B17" s="7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  <c r="AA17" s="26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8"/>
      <c r="AN17" s="70"/>
      <c r="AO17" s="58"/>
    </row>
    <row r="18" spans="2:41" x14ac:dyDescent="0.25">
      <c r="B18" s="78" t="s">
        <v>15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  <c r="AA18" s="26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8"/>
      <c r="AN18" s="70"/>
      <c r="AO18" s="58"/>
    </row>
    <row r="19" spans="2:41" x14ac:dyDescent="0.25">
      <c r="B19" s="76" t="s">
        <v>16</v>
      </c>
      <c r="C19" s="26"/>
      <c r="D19" s="27"/>
      <c r="E19" s="27"/>
      <c r="F19" s="27"/>
      <c r="G19" s="27"/>
      <c r="H19" s="86">
        <f>BOC!C25</f>
        <v>22.733138163842455</v>
      </c>
      <c r="I19" s="86"/>
      <c r="J19" s="86"/>
      <c r="K19" s="86"/>
      <c r="L19" s="86"/>
      <c r="M19" s="86"/>
      <c r="N19" s="87"/>
      <c r="O19" s="99">
        <f>BOC!D25</f>
        <v>21.200413699846116</v>
      </c>
      <c r="P19" s="100"/>
      <c r="Q19" s="100"/>
      <c r="R19" s="100"/>
      <c r="S19" s="100"/>
      <c r="T19" s="66"/>
      <c r="U19" s="66"/>
      <c r="V19" s="66"/>
      <c r="W19" s="66"/>
      <c r="X19" s="27"/>
      <c r="Y19" s="27"/>
      <c r="Z19" s="28"/>
      <c r="AA19" s="26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8"/>
    </row>
    <row r="20" spans="2:41" x14ac:dyDescent="0.25">
      <c r="B20" s="76" t="s">
        <v>17</v>
      </c>
      <c r="C20" s="26"/>
      <c r="D20" s="27"/>
      <c r="E20" s="27"/>
      <c r="F20" s="27"/>
      <c r="G20" s="27"/>
      <c r="H20" s="59"/>
      <c r="I20" s="59"/>
      <c r="J20" s="59"/>
      <c r="K20" s="59"/>
      <c r="L20" s="86">
        <f>BOC!I25</f>
        <v>1.289700370554369</v>
      </c>
      <c r="M20" s="86"/>
      <c r="N20" s="87"/>
      <c r="O20" s="99">
        <f>BOC!J25</f>
        <v>5.8253323433809729</v>
      </c>
      <c r="P20" s="100"/>
      <c r="Q20" s="100"/>
      <c r="R20" s="100"/>
      <c r="S20" s="100"/>
      <c r="T20" s="100"/>
      <c r="U20" s="100"/>
      <c r="V20" s="100"/>
      <c r="W20" s="100"/>
      <c r="X20" s="27"/>
      <c r="Y20" s="27"/>
      <c r="Z20" s="28"/>
      <c r="AA20" s="26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8"/>
      <c r="AN20" s="70">
        <f>SUM(O19:AL20)</f>
        <v>27.025746043227088</v>
      </c>
      <c r="AO20" s="58" t="s">
        <v>18</v>
      </c>
    </row>
    <row r="21" spans="2:41" x14ac:dyDescent="0.25">
      <c r="B21" s="76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8"/>
      <c r="AA21" s="26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8"/>
      <c r="AN21" s="70"/>
      <c r="AO21" s="58"/>
    </row>
    <row r="22" spans="2:41" x14ac:dyDescent="0.25">
      <c r="B22" s="78" t="s">
        <v>19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6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8"/>
      <c r="AA22" s="26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8"/>
      <c r="AN22" s="70"/>
      <c r="AO22" s="58"/>
    </row>
    <row r="23" spans="2:41" x14ac:dyDescent="0.25">
      <c r="B23" s="76" t="s">
        <v>20</v>
      </c>
      <c r="C23" s="26"/>
      <c r="D23" s="27"/>
      <c r="E23" s="27"/>
      <c r="F23" s="86">
        <f>'S Tampa Resilience'!I25</f>
        <v>9.0921507341868839</v>
      </c>
      <c r="G23" s="86"/>
      <c r="H23" s="86"/>
      <c r="I23" s="86"/>
      <c r="J23" s="86"/>
      <c r="K23" s="86"/>
      <c r="L23" s="86"/>
      <c r="M23" s="86"/>
      <c r="N23" s="87"/>
      <c r="O23" s="107">
        <f>ROUND('S Tampa Resilience'!J25+'S Tampa Resilience'!W25,1)</f>
        <v>6.2</v>
      </c>
      <c r="P23" s="105"/>
      <c r="Q23" s="105"/>
      <c r="R23" s="105"/>
      <c r="S23" s="27"/>
      <c r="T23" s="27"/>
      <c r="U23" s="27"/>
      <c r="V23" s="27"/>
      <c r="W23" s="27"/>
      <c r="X23" s="27"/>
      <c r="Y23" s="27"/>
      <c r="Z23" s="28"/>
      <c r="AA23" s="26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8"/>
      <c r="AO23" s="58"/>
    </row>
    <row r="24" spans="2:41" x14ac:dyDescent="0.25">
      <c r="B24" s="76" t="s">
        <v>21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6"/>
      <c r="P24" s="27"/>
      <c r="Q24" s="27"/>
      <c r="R24" s="27"/>
      <c r="S24" s="27"/>
      <c r="T24" s="105">
        <f>'S Tampa Resilience'!P25</f>
        <v>3.8</v>
      </c>
      <c r="U24" s="105"/>
      <c r="V24" s="105"/>
      <c r="W24" s="105"/>
      <c r="X24" s="105"/>
      <c r="Y24" s="105"/>
      <c r="Z24" s="106"/>
      <c r="AA24" s="97">
        <f>'S Tampa Resilience'!Q25</f>
        <v>3.9</v>
      </c>
      <c r="AB24" s="98"/>
      <c r="AC24" s="98"/>
      <c r="AD24" s="98"/>
      <c r="AE24" s="98"/>
      <c r="AF24" s="27"/>
      <c r="AG24" s="27"/>
      <c r="AH24" s="27"/>
      <c r="AI24" s="27"/>
      <c r="AJ24" s="27"/>
      <c r="AK24" s="27"/>
      <c r="AL24" s="28"/>
      <c r="AN24" s="70">
        <f>SUM(O23:AL24)</f>
        <v>13.9</v>
      </c>
      <c r="AO24" s="58" t="s">
        <v>22</v>
      </c>
    </row>
    <row r="25" spans="2:41" x14ac:dyDescent="0.25">
      <c r="B25" s="76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5"/>
      <c r="O25" s="26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  <c r="AA25" s="26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8"/>
      <c r="AN25" s="70"/>
      <c r="AO25" s="58"/>
    </row>
    <row r="26" spans="2:41" x14ac:dyDescent="0.25">
      <c r="B26" s="78" t="s">
        <v>23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5"/>
      <c r="O26" s="33"/>
      <c r="P26" s="34"/>
      <c r="Q26" s="34"/>
      <c r="R26" s="34"/>
      <c r="S26" s="34"/>
      <c r="T26" s="34"/>
      <c r="U26" s="34"/>
      <c r="V26" s="34"/>
      <c r="W26" s="27"/>
      <c r="X26" s="27"/>
      <c r="Y26" s="27"/>
      <c r="Z26" s="28"/>
      <c r="AA26" s="26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8"/>
      <c r="AN26" s="70"/>
      <c r="AO26" s="58"/>
    </row>
    <row r="27" spans="2:41" x14ac:dyDescent="0.25">
      <c r="B27" s="80" t="s">
        <v>24</v>
      </c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5"/>
      <c r="O27" s="33"/>
      <c r="P27" s="34"/>
      <c r="Q27" s="34"/>
      <c r="R27" s="34"/>
      <c r="S27" s="34"/>
      <c r="T27" s="34"/>
      <c r="U27" s="34"/>
      <c r="V27" s="34"/>
      <c r="W27" s="85">
        <f>'PK Fuel'!D25</f>
        <v>2.1378719245895215</v>
      </c>
      <c r="X27" s="85"/>
      <c r="Y27" s="85"/>
      <c r="Z27" s="104"/>
      <c r="AA27" s="101">
        <f>'PK Fuel'!E25</f>
        <v>6.0573693848507135</v>
      </c>
      <c r="AB27" s="102"/>
      <c r="AC27" s="102"/>
      <c r="AD27" s="102"/>
      <c r="AE27" s="102"/>
      <c r="AF27" s="102"/>
      <c r="AG27" s="102"/>
      <c r="AH27" s="102"/>
      <c r="AI27" s="27"/>
      <c r="AJ27" s="27"/>
      <c r="AK27" s="27"/>
      <c r="AL27" s="28"/>
      <c r="AN27" s="72">
        <f t="shared" ref="AN27" si="1">SUM(O27:AL27)</f>
        <v>8.1952413094402345</v>
      </c>
      <c r="AO27" s="58" t="s">
        <v>25</v>
      </c>
    </row>
    <row r="28" spans="2:41" x14ac:dyDescent="0.25">
      <c r="B28" s="76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5"/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8"/>
      <c r="AA28" s="33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28"/>
      <c r="AN28" s="72"/>
      <c r="AO28" s="58"/>
    </row>
    <row r="29" spans="2:41" x14ac:dyDescent="0.25">
      <c r="B29" s="78" t="s">
        <v>26</v>
      </c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5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28"/>
      <c r="AA29" s="33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28"/>
      <c r="AN29" s="72"/>
      <c r="AO29" s="58"/>
    </row>
    <row r="30" spans="2:41" x14ac:dyDescent="0.25">
      <c r="B30" s="76" t="s">
        <v>27</v>
      </c>
      <c r="C30" s="33"/>
      <c r="D30" s="34"/>
      <c r="E30" s="34"/>
      <c r="F30" s="34"/>
      <c r="G30" s="34"/>
      <c r="H30" s="34"/>
      <c r="I30" s="34"/>
      <c r="J30" s="86">
        <f>'GRR - Grid Comm'!I25</f>
        <v>1.7684757918461538</v>
      </c>
      <c r="K30" s="86"/>
      <c r="L30" s="86"/>
      <c r="M30" s="86"/>
      <c r="N30" s="87"/>
      <c r="O30" s="84">
        <f>'GRR - Grid Comm'!J25</f>
        <v>2.4501242749538461</v>
      </c>
      <c r="P30" s="85"/>
      <c r="Q30" s="85"/>
      <c r="R30" s="85"/>
      <c r="S30" s="85"/>
      <c r="T30" s="85"/>
      <c r="U30" s="85"/>
      <c r="V30" s="57"/>
      <c r="W30" s="27"/>
      <c r="X30" s="27"/>
      <c r="Y30" s="27"/>
      <c r="Z30" s="28"/>
      <c r="AA30" s="26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8"/>
      <c r="AO30" s="58"/>
    </row>
    <row r="31" spans="2:41" x14ac:dyDescent="0.25">
      <c r="B31" s="79" t="s">
        <v>28</v>
      </c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33"/>
      <c r="P31" s="34"/>
      <c r="Q31" s="34"/>
      <c r="R31" s="34"/>
      <c r="S31" s="34"/>
      <c r="T31" s="34"/>
      <c r="U31" s="34"/>
      <c r="V31" s="34"/>
      <c r="W31" s="85">
        <f>'GRR - Other'!D25</f>
        <v>1.0768448019334762</v>
      </c>
      <c r="X31" s="85"/>
      <c r="Y31" s="85"/>
      <c r="Z31" s="104"/>
      <c r="AA31" s="95">
        <f>'GRR - Other'!E25</f>
        <v>3.1718917533372744</v>
      </c>
      <c r="AB31" s="96"/>
      <c r="AC31" s="96"/>
      <c r="AD31" s="96"/>
      <c r="AE31" s="96"/>
      <c r="AF31" s="96"/>
      <c r="AG31" s="96"/>
      <c r="AH31" s="96"/>
      <c r="AI31" s="34"/>
      <c r="AJ31" s="34"/>
      <c r="AK31" s="34"/>
      <c r="AL31" s="35"/>
      <c r="AN31" s="70"/>
      <c r="AO31" s="58"/>
    </row>
    <row r="32" spans="2:41" x14ac:dyDescent="0.25">
      <c r="B32" s="76" t="s">
        <v>29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33"/>
      <c r="P32" s="34"/>
      <c r="Q32" s="34"/>
      <c r="R32" s="34"/>
      <c r="S32" s="34"/>
      <c r="T32" s="34"/>
      <c r="U32" s="34"/>
      <c r="V32" s="34"/>
      <c r="W32" s="27"/>
      <c r="X32" s="27"/>
      <c r="Y32" s="27"/>
      <c r="Z32" s="73">
        <f>'GRR - Other'!J25+'GRR - Wk Mgmt'!D25+'GRR - Grid Comm'!P25</f>
        <v>1.0555041292077041</v>
      </c>
      <c r="AA32" s="95">
        <f>'GRR - Other'!K25+'GRR - Wk Mgmt'!E25+'GRR - Grid Comm'!Q25</f>
        <v>25.628762295535452</v>
      </c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35"/>
      <c r="AN32" s="70">
        <f>SUM(O30:AL32)</f>
        <v>33.383127254967754</v>
      </c>
      <c r="AO32" s="58" t="s">
        <v>30</v>
      </c>
    </row>
    <row r="33" spans="2:41" x14ac:dyDescent="0.25">
      <c r="B33" s="76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  <c r="O33" s="26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8"/>
      <c r="AA33" s="26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8"/>
      <c r="AN33" s="70"/>
      <c r="AO33" s="58"/>
    </row>
    <row r="34" spans="2:41" x14ac:dyDescent="0.25">
      <c r="B34" s="78" t="s">
        <v>31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26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8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8"/>
      <c r="AN34" s="70"/>
      <c r="AO34" s="58"/>
    </row>
    <row r="35" spans="2:41" x14ac:dyDescent="0.25">
      <c r="B35" s="76" t="s">
        <v>32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9">
        <f>'Solar - CM &amp; FFD'!I25</f>
        <v>1.9444219962174314</v>
      </c>
      <c r="O35" s="84">
        <f>'Solar - CM &amp; FFD'!J25+'Solar - CM &amp; FFD'!D25</f>
        <v>21.827731179152085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60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8"/>
    </row>
    <row r="36" spans="2:41" x14ac:dyDescent="0.25">
      <c r="B36" s="76" t="s">
        <v>33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62"/>
      <c r="P36" s="61"/>
      <c r="Q36" s="61"/>
      <c r="R36" s="61"/>
      <c r="S36" s="100">
        <f>'Solar - Big Four &amp; Farmland'!D25</f>
        <v>6.1834757987729168</v>
      </c>
      <c r="T36" s="100"/>
      <c r="U36" s="100"/>
      <c r="V36" s="100"/>
      <c r="W36" s="100"/>
      <c r="X36" s="100"/>
      <c r="Y36" s="100"/>
      <c r="Z36" s="103"/>
      <c r="AA36" s="101">
        <f>'Solar - Big Four &amp; Farmland'!E25</f>
        <v>6.245592693853883</v>
      </c>
      <c r="AB36" s="102"/>
      <c r="AC36" s="102"/>
      <c r="AD36" s="102"/>
      <c r="AE36" s="63"/>
      <c r="AF36" s="63"/>
      <c r="AG36" s="63"/>
      <c r="AH36" s="63"/>
      <c r="AI36" s="63"/>
      <c r="AJ36" s="63"/>
      <c r="AK36" s="63"/>
      <c r="AL36" s="28"/>
    </row>
    <row r="37" spans="2:41" x14ac:dyDescent="0.25">
      <c r="B37" s="76" t="s">
        <v>34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62"/>
      <c r="P37" s="61"/>
      <c r="Q37" s="61"/>
      <c r="R37" s="61"/>
      <c r="S37" s="63"/>
      <c r="T37" s="63"/>
      <c r="U37" s="63"/>
      <c r="V37" s="63"/>
      <c r="W37" s="63"/>
      <c r="X37" s="63"/>
      <c r="Y37" s="63"/>
      <c r="Z37" s="65">
        <f>'Solar - Big Four &amp; Farmland'!J25+'Solar - B &amp; W'!D25+'Solar - CM &amp; FFD'!P25</f>
        <v>3.3741479040618145</v>
      </c>
      <c r="AA37" s="101">
        <f>'Solar - Big Four &amp; Farmland'!K25+'Solar - B &amp; W'!E25+'Solar - CM &amp; FFD'!Q25</f>
        <v>26.80939062657006</v>
      </c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28"/>
      <c r="AN37" s="70">
        <f>SUM(O35:AL37)</f>
        <v>64.440338202410757</v>
      </c>
      <c r="AO37" s="58" t="s">
        <v>31</v>
      </c>
    </row>
    <row r="38" spans="2:41" x14ac:dyDescent="0.25">
      <c r="B38" s="30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2"/>
      <c r="AA38" s="30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O38" s="58"/>
    </row>
    <row r="39" spans="2:41" x14ac:dyDescent="0.25">
      <c r="AO39" s="58"/>
    </row>
    <row r="40" spans="2:41" x14ac:dyDescent="0.25">
      <c r="B40" s="23" t="s">
        <v>35</v>
      </c>
      <c r="AO40" s="58"/>
    </row>
    <row r="41" spans="2:41" x14ac:dyDescent="0.25">
      <c r="B41" s="24" t="s">
        <v>36</v>
      </c>
      <c r="O41" s="3"/>
      <c r="P41" s="3"/>
      <c r="Q41" s="3"/>
      <c r="R41" s="3"/>
      <c r="S41" s="3"/>
      <c r="T41" s="3"/>
      <c r="U41" s="3"/>
      <c r="V41" s="3"/>
      <c r="W41" s="75" t="s">
        <v>37</v>
      </c>
      <c r="X41" s="108">
        <f>SUM(O7:Z38)</f>
        <v>100.09486922796933</v>
      </c>
      <c r="Y41" s="108"/>
      <c r="Z41" s="3"/>
      <c r="AA41" s="3"/>
      <c r="AB41" s="3"/>
      <c r="AC41" s="3"/>
      <c r="AD41" s="3"/>
      <c r="AE41" s="3"/>
      <c r="AF41" s="3"/>
      <c r="AG41" s="3"/>
      <c r="AH41" s="3"/>
      <c r="AI41" s="75" t="s">
        <v>38</v>
      </c>
      <c r="AJ41" s="109">
        <f>SUM(AA7:AL38)</f>
        <v>71.813006754147381</v>
      </c>
      <c r="AK41" s="109"/>
      <c r="AL41" s="3"/>
      <c r="AN41" s="71">
        <f>SUM(AN7:AN38)</f>
        <v>171.90787598211671</v>
      </c>
      <c r="AO41" s="12">
        <f>X41+AJ41-AN41</f>
        <v>0</v>
      </c>
    </row>
    <row r="42" spans="2:41" x14ac:dyDescent="0.25">
      <c r="B42" s="25" t="s">
        <v>39</v>
      </c>
    </row>
  </sheetData>
  <mergeCells count="39">
    <mergeCell ref="X41:Y41"/>
    <mergeCell ref="AJ41:AK41"/>
    <mergeCell ref="AA27:AH27"/>
    <mergeCell ref="W27:Z27"/>
    <mergeCell ref="J30:N30"/>
    <mergeCell ref="O30:U30"/>
    <mergeCell ref="H19:N19"/>
    <mergeCell ref="O19:S19"/>
    <mergeCell ref="AA37:AK37"/>
    <mergeCell ref="S36:Z36"/>
    <mergeCell ref="AA36:AD36"/>
    <mergeCell ref="W31:Z31"/>
    <mergeCell ref="O35:Y35"/>
    <mergeCell ref="T24:Z24"/>
    <mergeCell ref="F23:N23"/>
    <mergeCell ref="O23:R23"/>
    <mergeCell ref="L20:N20"/>
    <mergeCell ref="O20:W20"/>
    <mergeCell ref="AA32:AK32"/>
    <mergeCell ref="C5:N5"/>
    <mergeCell ref="C6:D6"/>
    <mergeCell ref="M6:N6"/>
    <mergeCell ref="O5:Z5"/>
    <mergeCell ref="O6:P6"/>
    <mergeCell ref="Y6:Z6"/>
    <mergeCell ref="AA5:AL5"/>
    <mergeCell ref="AA6:AB6"/>
    <mergeCell ref="AK6:AL6"/>
    <mergeCell ref="AA31:AH31"/>
    <mergeCell ref="AA24:AE24"/>
    <mergeCell ref="O8:R8"/>
    <mergeCell ref="D11:N11"/>
    <mergeCell ref="F12:N12"/>
    <mergeCell ref="O12:Q12"/>
    <mergeCell ref="G16:N16"/>
    <mergeCell ref="O16:R16"/>
    <mergeCell ref="F13:N13"/>
    <mergeCell ref="O13:Q13"/>
    <mergeCell ref="G8:N8"/>
  </mergeCells>
  <pageMargins left="0.45" right="0.45" top="1" bottom="0.75" header="0.3" footer="0.3"/>
  <pageSetup scale="51" fitToHeight="0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9377-34F2-4715-93A7-40B175CF129D}">
  <dimension ref="A2:E25"/>
  <sheetViews>
    <sheetView topLeftCell="A23" workbookViewId="0">
      <selection activeCell="C25" sqref="C25:E25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82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0</v>
      </c>
      <c r="D3" s="17">
        <v>16159559.993846156</v>
      </c>
      <c r="E3" s="17">
        <v>37696509.986153841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0</v>
      </c>
      <c r="D5" s="4">
        <f t="shared" ref="D5:E5" si="0">D3*D4</f>
        <v>1190959.5715464617</v>
      </c>
      <c r="E5" s="4">
        <f t="shared" si="0"/>
        <v>2778232.7859795382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0</v>
      </c>
      <c r="D7" s="6">
        <f t="shared" ref="D7:E7" si="1">D5*D6</f>
        <v>1600220.9187126877</v>
      </c>
      <c r="E7" s="6">
        <f t="shared" si="1"/>
        <v>3732944.7005535467</v>
      </c>
    </row>
    <row r="8" spans="1:5" x14ac:dyDescent="0.25">
      <c r="A8" s="1">
        <v>6</v>
      </c>
      <c r="B8" s="2" t="s">
        <v>47</v>
      </c>
      <c r="C8" s="7">
        <v>0</v>
      </c>
      <c r="D8" s="7">
        <v>0</v>
      </c>
      <c r="E8" s="7">
        <v>155000</v>
      </c>
    </row>
    <row r="9" spans="1:5" x14ac:dyDescent="0.25">
      <c r="A9" s="1">
        <v>7</v>
      </c>
      <c r="B9" s="2" t="s">
        <v>48</v>
      </c>
      <c r="C9" s="17">
        <v>0</v>
      </c>
      <c r="D9" s="17">
        <v>537651.00587683346</v>
      </c>
      <c r="E9" s="17">
        <v>1686604.6842971668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0</v>
      </c>
      <c r="E10" s="18">
        <f>ROUND(E19-D10-C10,0)</f>
        <v>482820</v>
      </c>
    </row>
    <row r="11" spans="1:5" x14ac:dyDescent="0.25">
      <c r="A11" s="1">
        <v>9</v>
      </c>
      <c r="B11" s="2" t="s">
        <v>50</v>
      </c>
      <c r="C11" s="8"/>
      <c r="D11" s="8"/>
      <c r="E11" s="8"/>
    </row>
    <row r="12" spans="1:5" x14ac:dyDescent="0.25">
      <c r="A12" s="1">
        <v>10</v>
      </c>
      <c r="B12" s="2" t="s">
        <v>51</v>
      </c>
      <c r="C12" s="5">
        <f>C7+C8+C9+C10+C11</f>
        <v>0</v>
      </c>
      <c r="D12" s="5">
        <f t="shared" ref="D12:E12" si="2">D7+D8+D9+D10+D11</f>
        <v>2137871.9245895213</v>
      </c>
      <c r="E12" s="5">
        <f t="shared" si="2"/>
        <v>6057369.3848507134</v>
      </c>
    </row>
    <row r="13" spans="1:5" x14ac:dyDescent="0.25">
      <c r="B13" t="s">
        <v>52</v>
      </c>
      <c r="C13" s="22">
        <v>0</v>
      </c>
      <c r="D13" s="22">
        <v>0</v>
      </c>
      <c r="E13" s="22">
        <v>-0.3326292997226119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0</v>
      </c>
      <c r="E17" s="17">
        <v>53856069.980000004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0</v>
      </c>
      <c r="D19" s="15">
        <f>+D17*D18</f>
        <v>0</v>
      </c>
      <c r="E19" s="15">
        <f>+E17*E18</f>
        <v>482819.6673707001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0</v>
      </c>
      <c r="D25" s="64">
        <f>D12/1000000</f>
        <v>2.1378719245895215</v>
      </c>
      <c r="E25" s="64">
        <f>E12/1000000</f>
        <v>6.0573693848507135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5F12-4DDC-4F0B-9E10-10A9FCA17D64}">
  <dimension ref="A2:R30"/>
  <sheetViews>
    <sheetView zoomScale="70" zoomScaleNormal="70" workbookViewId="0">
      <selection activeCell="N27" sqref="N27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39.85546875" customWidth="1"/>
    <col min="9" max="11" width="14" customWidth="1"/>
    <col min="12" max="12" width="10.28515625" customWidth="1"/>
    <col min="13" max="13" width="3.7109375" customWidth="1"/>
    <col min="14" max="14" width="39.85546875" customWidth="1"/>
    <col min="15" max="17" width="14" customWidth="1"/>
  </cols>
  <sheetData>
    <row r="2" spans="1:17" x14ac:dyDescent="0.25">
      <c r="B2" s="3" t="s">
        <v>83</v>
      </c>
      <c r="C2" s="10">
        <v>2025</v>
      </c>
      <c r="D2" s="10">
        <v>2026</v>
      </c>
      <c r="E2" s="10">
        <v>2027</v>
      </c>
      <c r="H2" s="3" t="s">
        <v>84</v>
      </c>
      <c r="I2" s="10">
        <v>2025</v>
      </c>
      <c r="J2" s="10">
        <v>2026</v>
      </c>
      <c r="K2" s="10">
        <v>2027</v>
      </c>
      <c r="N2" s="3" t="s">
        <v>85</v>
      </c>
      <c r="O2" s="10">
        <v>2025</v>
      </c>
      <c r="P2" s="10">
        <v>2026</v>
      </c>
      <c r="Q2" s="10">
        <v>2027</v>
      </c>
    </row>
    <row r="3" spans="1:17" x14ac:dyDescent="0.25">
      <c r="A3" s="1">
        <v>1</v>
      </c>
      <c r="B3" s="2" t="s">
        <v>42</v>
      </c>
      <c r="C3" s="17">
        <v>7506190.8599999994</v>
      </c>
      <c r="D3" s="17">
        <v>0</v>
      </c>
      <c r="E3" s="17">
        <v>0</v>
      </c>
      <c r="G3" s="1">
        <v>1</v>
      </c>
      <c r="H3" s="2" t="s">
        <v>42</v>
      </c>
      <c r="I3" s="17">
        <v>10615384.615384616</v>
      </c>
      <c r="J3" s="17">
        <v>16984615.384615384</v>
      </c>
      <c r="K3" s="17">
        <v>0</v>
      </c>
      <c r="L3" s="1"/>
      <c r="M3" s="1">
        <v>1</v>
      </c>
      <c r="N3" s="52" t="s">
        <v>42</v>
      </c>
      <c r="O3" s="17">
        <v>0</v>
      </c>
      <c r="P3" s="17">
        <v>4228197.0346153835</v>
      </c>
      <c r="Q3" s="17">
        <v>50738364.415384613</v>
      </c>
    </row>
    <row r="4" spans="1:17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  <c r="L4" s="1"/>
      <c r="M4" s="1">
        <v>2</v>
      </c>
      <c r="N4" s="2" t="s">
        <v>43</v>
      </c>
      <c r="O4" s="19">
        <v>7.3700000000000002E-2</v>
      </c>
      <c r="P4" s="19">
        <v>7.3700000000000002E-2</v>
      </c>
      <c r="Q4" s="19">
        <v>7.3700000000000002E-2</v>
      </c>
    </row>
    <row r="5" spans="1:17" x14ac:dyDescent="0.25">
      <c r="A5" s="1">
        <v>3</v>
      </c>
      <c r="B5" s="2" t="s">
        <v>44</v>
      </c>
      <c r="C5" s="4">
        <f>C3*C4</f>
        <v>553206.26638199994</v>
      </c>
      <c r="D5" s="4">
        <f t="shared" ref="D5:E5" si="0">D3*D4</f>
        <v>0</v>
      </c>
      <c r="E5" s="4">
        <f t="shared" si="0"/>
        <v>0</v>
      </c>
      <c r="G5" s="1">
        <v>3</v>
      </c>
      <c r="H5" s="2" t="s">
        <v>44</v>
      </c>
      <c r="I5" s="4">
        <f>I3*I4</f>
        <v>782353.84615384624</v>
      </c>
      <c r="J5" s="4">
        <f>J3*J4</f>
        <v>1251766.1538461538</v>
      </c>
      <c r="K5" s="4">
        <f>K3*K4</f>
        <v>0</v>
      </c>
      <c r="L5" s="1"/>
      <c r="M5" s="1">
        <v>3</v>
      </c>
      <c r="N5" s="2" t="s">
        <v>44</v>
      </c>
      <c r="O5" s="4">
        <f>O3*O4</f>
        <v>0</v>
      </c>
      <c r="P5" s="4">
        <f t="shared" ref="P5:Q5" si="1">P3*P4</f>
        <v>311618.12145115377</v>
      </c>
      <c r="Q5" s="4">
        <f t="shared" si="1"/>
        <v>3739417.4574138462</v>
      </c>
    </row>
    <row r="6" spans="1:17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  <c r="L6" s="1"/>
      <c r="M6" s="1">
        <v>4</v>
      </c>
      <c r="N6" s="2" t="s">
        <v>45</v>
      </c>
      <c r="O6" s="20">
        <v>1.3436399999999999</v>
      </c>
      <c r="P6" s="20">
        <v>1.3436399999999999</v>
      </c>
      <c r="Q6" s="20">
        <v>1.3436399999999999</v>
      </c>
    </row>
    <row r="7" spans="1:17" x14ac:dyDescent="0.25">
      <c r="A7" s="1">
        <v>5</v>
      </c>
      <c r="B7" s="2" t="s">
        <v>46</v>
      </c>
      <c r="C7" s="6">
        <f>C5*C6</f>
        <v>743310.06776151038</v>
      </c>
      <c r="D7" s="6">
        <f t="shared" ref="D7:E7" si="2">D5*D6</f>
        <v>0</v>
      </c>
      <c r="E7" s="6">
        <f t="shared" si="2"/>
        <v>0</v>
      </c>
      <c r="G7" s="1">
        <v>5</v>
      </c>
      <c r="H7" s="2" t="s">
        <v>46</v>
      </c>
      <c r="I7" s="6">
        <f>I5*I6</f>
        <v>1051201.9218461539</v>
      </c>
      <c r="J7" s="6">
        <f>J5*J6</f>
        <v>1681923.0749538459</v>
      </c>
      <c r="K7" s="6">
        <f>K5*K6</f>
        <v>0</v>
      </c>
      <c r="L7" s="1"/>
      <c r="M7" s="1">
        <v>5</v>
      </c>
      <c r="N7" s="2" t="s">
        <v>46</v>
      </c>
      <c r="O7" s="6">
        <f>O5*O6</f>
        <v>0</v>
      </c>
      <c r="P7" s="6">
        <f t="shared" ref="P7:Q7" si="3">P5*P6</f>
        <v>418702.57270662824</v>
      </c>
      <c r="Q7" s="6">
        <f t="shared" si="3"/>
        <v>5024430.8724795403</v>
      </c>
    </row>
    <row r="8" spans="1:17" x14ac:dyDescent="0.25">
      <c r="A8" s="1">
        <v>6</v>
      </c>
      <c r="B8" s="2" t="s">
        <v>47</v>
      </c>
      <c r="C8" s="7">
        <v>314959.13</v>
      </c>
      <c r="D8" s="7">
        <v>0</v>
      </c>
      <c r="E8" s="7">
        <v>0</v>
      </c>
      <c r="G8" s="1">
        <v>6</v>
      </c>
      <c r="H8" s="2" t="s">
        <v>47</v>
      </c>
      <c r="I8" s="7">
        <v>453233.87</v>
      </c>
      <c r="J8" s="7">
        <v>-7312.8</v>
      </c>
      <c r="K8" s="7">
        <v>0</v>
      </c>
      <c r="L8" s="1"/>
      <c r="M8" s="1">
        <v>6</v>
      </c>
      <c r="N8" s="2" t="s">
        <v>47</v>
      </c>
      <c r="O8" s="7">
        <v>0</v>
      </c>
      <c r="P8" s="7">
        <v>-1828.2</v>
      </c>
      <c r="Q8" s="7">
        <v>1310315</v>
      </c>
    </row>
    <row r="9" spans="1:17" x14ac:dyDescent="0.25">
      <c r="A9" s="1">
        <v>7</v>
      </c>
      <c r="B9" s="2" t="s">
        <v>48</v>
      </c>
      <c r="C9" s="17">
        <v>284715.29297999991</v>
      </c>
      <c r="D9" s="17">
        <v>0</v>
      </c>
      <c r="E9" s="17">
        <v>9.3132257461547852E-10</v>
      </c>
      <c r="G9" s="1">
        <v>7</v>
      </c>
      <c r="H9" s="2" t="s">
        <v>48</v>
      </c>
      <c r="I9" s="17">
        <v>264040</v>
      </c>
      <c r="J9" s="17">
        <v>528080</v>
      </c>
      <c r="K9" s="17">
        <v>0</v>
      </c>
      <c r="L9" s="1"/>
      <c r="M9" s="1">
        <v>7</v>
      </c>
      <c r="N9" s="2" t="s">
        <v>48</v>
      </c>
      <c r="O9" s="17">
        <v>0</v>
      </c>
      <c r="P9" s="17">
        <v>0</v>
      </c>
      <c r="Q9" s="17">
        <v>7860218.287349998</v>
      </c>
    </row>
    <row r="10" spans="1:17" x14ac:dyDescent="0.25">
      <c r="A10" s="1">
        <v>8</v>
      </c>
      <c r="B10" s="2" t="s">
        <v>49</v>
      </c>
      <c r="C10" s="18">
        <f>C19</f>
        <v>67293.001059900009</v>
      </c>
      <c r="D10" s="18">
        <f>D19-C10</f>
        <v>0</v>
      </c>
      <c r="E10" s="18">
        <f>ROUND(E19-D10-C10,0)</f>
        <v>0</v>
      </c>
      <c r="G10" s="1">
        <v>8</v>
      </c>
      <c r="H10" s="2" t="s">
        <v>49</v>
      </c>
      <c r="I10" s="18">
        <f>I19</f>
        <v>0</v>
      </c>
      <c r="J10" s="18">
        <f>J19-I10</f>
        <v>247434.00000000003</v>
      </c>
      <c r="K10" s="18">
        <f>ROUND(K19-J10-I10,0)</f>
        <v>0</v>
      </c>
      <c r="L10" s="1"/>
      <c r="M10" s="1">
        <v>8</v>
      </c>
      <c r="N10" s="2" t="s">
        <v>49</v>
      </c>
      <c r="O10" s="18">
        <f>O19</f>
        <v>0</v>
      </c>
      <c r="P10" s="18">
        <f>P19-O10</f>
        <v>0</v>
      </c>
      <c r="Q10" s="18">
        <f>Q19-P10</f>
        <v>492775.22339924995</v>
      </c>
    </row>
    <row r="11" spans="1:17" x14ac:dyDescent="0.25">
      <c r="A11" s="1">
        <v>9</v>
      </c>
      <c r="B11" s="2" t="s">
        <v>50</v>
      </c>
      <c r="C11" s="17"/>
      <c r="D11" s="17"/>
      <c r="E11" s="17"/>
      <c r="G11" s="1">
        <v>9</v>
      </c>
      <c r="H11" s="2" t="s">
        <v>50</v>
      </c>
      <c r="I11" s="43"/>
      <c r="J11" s="43"/>
      <c r="K11" s="43"/>
      <c r="L11" s="1"/>
      <c r="M11" s="1">
        <v>9</v>
      </c>
      <c r="N11" s="2" t="s">
        <v>74</v>
      </c>
      <c r="O11" s="17"/>
      <c r="P11" s="17"/>
      <c r="Q11" s="17"/>
    </row>
    <row r="12" spans="1:17" x14ac:dyDescent="0.25">
      <c r="A12" s="1">
        <v>10</v>
      </c>
      <c r="B12" s="2" t="s">
        <v>51</v>
      </c>
      <c r="C12" s="5">
        <f>C7+C8+C9+C10+C11</f>
        <v>1410277.4918014104</v>
      </c>
      <c r="D12" s="5">
        <f>D7+D8+D9+D10+D11</f>
        <v>0</v>
      </c>
      <c r="E12" s="5">
        <f t="shared" ref="E12" si="4">E7+E8+E9+E10+E11</f>
        <v>9.3132257461547852E-10</v>
      </c>
      <c r="G12" s="1">
        <v>10</v>
      </c>
      <c r="H12" s="2" t="s">
        <v>51</v>
      </c>
      <c r="I12" s="5">
        <f>I7+I8+I9+I10+I11</f>
        <v>1768475.7918461538</v>
      </c>
      <c r="J12" s="5">
        <f>J7+J8+J9+J10+J11</f>
        <v>2450124.2749538459</v>
      </c>
      <c r="K12" s="5">
        <f>K7+K8+K9+K10+K11</f>
        <v>0</v>
      </c>
      <c r="L12" s="1"/>
      <c r="M12" s="1">
        <v>10</v>
      </c>
      <c r="N12" s="2" t="s">
        <v>51</v>
      </c>
      <c r="O12" s="5">
        <f>O7+O8+O9+O10+O11</f>
        <v>0</v>
      </c>
      <c r="P12" s="5">
        <f t="shared" ref="P12:Q12" si="5">P7+P8+P9+P10+P11</f>
        <v>416874.37270662823</v>
      </c>
      <c r="Q12" s="5">
        <f t="shared" si="5"/>
        <v>14687739.383228788</v>
      </c>
    </row>
    <row r="13" spans="1:17" x14ac:dyDescent="0.25">
      <c r="B13" t="s">
        <v>52</v>
      </c>
      <c r="C13" s="22">
        <v>0</v>
      </c>
      <c r="D13" s="22">
        <v>0</v>
      </c>
      <c r="E13" s="22">
        <v>0</v>
      </c>
      <c r="H13" t="s">
        <v>52</v>
      </c>
      <c r="I13" s="22"/>
      <c r="J13" s="22"/>
      <c r="K13" s="22"/>
    </row>
    <row r="15" spans="1:17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  <c r="N15" s="9" t="s">
        <v>53</v>
      </c>
      <c r="O15" s="10">
        <v>2025</v>
      </c>
      <c r="P15" s="10">
        <v>2026</v>
      </c>
      <c r="Q15" s="10">
        <v>2027</v>
      </c>
    </row>
    <row r="16" spans="1:17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  <c r="N16" s="11" t="s">
        <v>54</v>
      </c>
      <c r="O16" s="16">
        <v>45627</v>
      </c>
      <c r="P16" s="16">
        <v>45992</v>
      </c>
      <c r="Q16" s="16">
        <v>46357</v>
      </c>
    </row>
    <row r="17" spans="1:18" x14ac:dyDescent="0.25">
      <c r="B17" s="11" t="s">
        <v>55</v>
      </c>
      <c r="C17" s="12">
        <v>7506190.8600000003</v>
      </c>
      <c r="D17" s="12">
        <v>7506190.8599999994</v>
      </c>
      <c r="E17" s="12">
        <v>7506190.8599999994</v>
      </c>
      <c r="H17" s="11" t="s">
        <v>55</v>
      </c>
      <c r="I17" s="42">
        <v>0</v>
      </c>
      <c r="J17" s="42">
        <v>27600000</v>
      </c>
      <c r="K17" s="42">
        <v>27600000</v>
      </c>
      <c r="N17" s="11" t="s">
        <v>55</v>
      </c>
      <c r="O17" s="81">
        <v>0</v>
      </c>
      <c r="P17" s="81">
        <v>0</v>
      </c>
      <c r="Q17" s="81">
        <v>54966561.449999988</v>
      </c>
    </row>
    <row r="18" spans="1:18" x14ac:dyDescent="0.25">
      <c r="B18" s="11" t="s">
        <v>56</v>
      </c>
      <c r="C18" s="13">
        <f>O18</f>
        <v>8.9650000000000007E-3</v>
      </c>
      <c r="D18" s="13">
        <f>P18</f>
        <v>8.9650000000000007E-3</v>
      </c>
      <c r="E18" s="13">
        <f>Q18</f>
        <v>8.9650000000000007E-3</v>
      </c>
      <c r="H18" s="11" t="s">
        <v>56</v>
      </c>
      <c r="I18" s="13">
        <f>C18</f>
        <v>8.9650000000000007E-3</v>
      </c>
      <c r="J18" s="13">
        <f>D18</f>
        <v>8.9650000000000007E-3</v>
      </c>
      <c r="K18" s="13">
        <f>E18</f>
        <v>8.9650000000000007E-3</v>
      </c>
      <c r="N18" s="11" t="s">
        <v>56</v>
      </c>
      <c r="O18" s="53">
        <v>8.9650000000000007E-3</v>
      </c>
      <c r="P18" s="53">
        <v>8.9650000000000007E-3</v>
      </c>
      <c r="Q18" s="53">
        <v>8.9650000000000007E-3</v>
      </c>
    </row>
    <row r="19" spans="1:18" x14ac:dyDescent="0.25">
      <c r="B19" s="11" t="s">
        <v>49</v>
      </c>
      <c r="C19" s="14">
        <f>+C17*C18</f>
        <v>67293.001059900009</v>
      </c>
      <c r="D19" s="15">
        <f>+D17*D18</f>
        <v>67293.001059899994</v>
      </c>
      <c r="E19" s="15">
        <f>+E17*E18</f>
        <v>67293.001059899994</v>
      </c>
      <c r="H19" s="11" t="s">
        <v>49</v>
      </c>
      <c r="I19" s="15">
        <f>+I17*I18</f>
        <v>0</v>
      </c>
      <c r="J19" s="15">
        <f>+J17*J18</f>
        <v>247434.00000000003</v>
      </c>
      <c r="K19" s="15">
        <f>+K17*K18</f>
        <v>247434.00000000003</v>
      </c>
      <c r="N19" s="11" t="s">
        <v>49</v>
      </c>
      <c r="O19" s="14">
        <f>+O17*O18</f>
        <v>0</v>
      </c>
      <c r="P19" s="15">
        <f>+P17*P18</f>
        <v>0</v>
      </c>
      <c r="Q19" s="15">
        <f>+Q17*Q18</f>
        <v>492775.22339924995</v>
      </c>
    </row>
    <row r="22" spans="1:18" x14ac:dyDescent="0.25">
      <c r="B22" t="s">
        <v>63</v>
      </c>
      <c r="H22" t="s">
        <v>63</v>
      </c>
      <c r="N22" t="s">
        <v>76</v>
      </c>
    </row>
    <row r="23" spans="1:18" x14ac:dyDescent="0.25">
      <c r="C23" s="21">
        <f>100%-I23-O23</f>
        <v>0.41000000000000003</v>
      </c>
      <c r="D23" s="21">
        <f t="shared" ref="D23:E23" si="6">100%-J23-P23</f>
        <v>0</v>
      </c>
      <c r="E23" s="21">
        <f t="shared" si="6"/>
        <v>0</v>
      </c>
      <c r="I23" s="21">
        <f>ROUND(I3/($I$3+$C$3+$O$3),2)</f>
        <v>0.59</v>
      </c>
      <c r="J23" s="21">
        <f>ROUND(J3/($J$3+$D$3+$P$3),2)</f>
        <v>0.8</v>
      </c>
      <c r="K23" s="21">
        <f>ROUND(K3/($K$3+$E$3+$Q$3),2)</f>
        <v>0</v>
      </c>
      <c r="O23" s="21">
        <f>ROUND(O3/($I$3+$C$3+$O$3),2)</f>
        <v>0</v>
      </c>
      <c r="P23" s="21">
        <f>ROUND(P3/($J$3+$D$3+$P$3),2)</f>
        <v>0.2</v>
      </c>
      <c r="Q23" s="21">
        <f>ROUND(Q3/($K$3+$E$3+$Q$3),2)</f>
        <v>1</v>
      </c>
    </row>
    <row r="24" spans="1:18" x14ac:dyDescent="0.25">
      <c r="N24" t="s">
        <v>77</v>
      </c>
    </row>
    <row r="25" spans="1:18" x14ac:dyDescent="0.25">
      <c r="B25" t="s">
        <v>61</v>
      </c>
      <c r="C25" s="64">
        <f>C12/1000000</f>
        <v>1.4102774918014105</v>
      </c>
      <c r="D25" s="64">
        <f>D12/1000000</f>
        <v>0</v>
      </c>
      <c r="E25" s="64">
        <f>E12/1000000</f>
        <v>9.3132257461547847E-16</v>
      </c>
      <c r="H25" t="s">
        <v>61</v>
      </c>
      <c r="I25" s="64">
        <f>I12/1000000</f>
        <v>1.7684757918461538</v>
      </c>
      <c r="J25" s="64">
        <f>J12/1000000</f>
        <v>2.4501242749538461</v>
      </c>
      <c r="K25" s="64">
        <f>K12/1000000</f>
        <v>0</v>
      </c>
      <c r="N25" t="s">
        <v>61</v>
      </c>
      <c r="O25">
        <f>ROUND(O12/1000000,1)</f>
        <v>0</v>
      </c>
      <c r="P25">
        <f>ROUND(P12/1000000,1)</f>
        <v>0.4</v>
      </c>
      <c r="Q25">
        <f>ROUND(Q12/1000000,1)</f>
        <v>14.7</v>
      </c>
    </row>
    <row r="29" spans="1:18" x14ac:dyDescent="0.25">
      <c r="A29" s="45"/>
      <c r="B29" s="45"/>
      <c r="C29" s="45"/>
      <c r="D29" s="45"/>
      <c r="E29" s="45"/>
      <c r="F29" s="45"/>
      <c r="G29" s="45"/>
      <c r="O29" s="45"/>
      <c r="P29" s="45"/>
      <c r="Q29" s="45"/>
      <c r="R29" s="45"/>
    </row>
    <row r="30" spans="1:18" x14ac:dyDescent="0.25">
      <c r="D30" s="4"/>
      <c r="E30" s="4"/>
      <c r="F30" s="4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1B7F7-559D-4625-962D-F525BCFA9C9A}">
  <dimension ref="A2:E25"/>
  <sheetViews>
    <sheetView zoomScale="80" zoomScaleNormal="80" workbookViewId="0">
      <selection activeCell="D3" sqref="D3:E3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86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0</v>
      </c>
      <c r="D3" s="17">
        <v>4027155.0000000005</v>
      </c>
      <c r="E3" s="17">
        <v>48325860.000000007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0</v>
      </c>
      <c r="D5" s="4">
        <f t="shared" ref="D5:E5" si="0">D3*D4</f>
        <v>296801.32350000006</v>
      </c>
      <c r="E5" s="4">
        <f t="shared" si="0"/>
        <v>3561615.8820000007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0</v>
      </c>
      <c r="D7" s="6">
        <f t="shared" ref="D7:E7" si="1">D5*D6</f>
        <v>398794.13030754006</v>
      </c>
      <c r="E7" s="6">
        <f t="shared" si="1"/>
        <v>4785529.5636904808</v>
      </c>
    </row>
    <row r="8" spans="1:5" x14ac:dyDescent="0.25">
      <c r="A8" s="1">
        <v>6</v>
      </c>
      <c r="B8" s="2" t="s">
        <v>47</v>
      </c>
      <c r="C8" s="7">
        <v>0</v>
      </c>
      <c r="D8" s="7">
        <v>0</v>
      </c>
      <c r="E8" s="7">
        <v>0</v>
      </c>
    </row>
    <row r="9" spans="1:5" x14ac:dyDescent="0.25">
      <c r="A9" s="1">
        <v>7</v>
      </c>
      <c r="B9" s="2" t="s">
        <v>48</v>
      </c>
      <c r="C9" s="17">
        <v>0</v>
      </c>
      <c r="D9" s="17">
        <v>0</v>
      </c>
      <c r="E9" s="17">
        <v>3507652.0050000013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0</v>
      </c>
      <c r="E10" s="18">
        <f>ROUND(E19-D10-C10,0)</f>
        <v>469345</v>
      </c>
    </row>
    <row r="11" spans="1:5" x14ac:dyDescent="0.25">
      <c r="A11" s="1">
        <v>9</v>
      </c>
      <c r="B11" s="2" t="s">
        <v>50</v>
      </c>
      <c r="C11" s="8"/>
      <c r="D11" s="8"/>
      <c r="E11" s="8"/>
    </row>
    <row r="12" spans="1:5" x14ac:dyDescent="0.25">
      <c r="A12" s="1">
        <v>10</v>
      </c>
      <c r="B12" s="2" t="s">
        <v>51</v>
      </c>
      <c r="C12" s="5">
        <f>C7+C8+C9+C10+C11</f>
        <v>0</v>
      </c>
      <c r="D12" s="5">
        <f t="shared" ref="D12:E12" si="2">D7+D8+D9+D10+D11</f>
        <v>398794.13030754006</v>
      </c>
      <c r="E12" s="5">
        <f t="shared" si="2"/>
        <v>8762526.5686904825</v>
      </c>
    </row>
    <row r="13" spans="1:5" x14ac:dyDescent="0.25">
      <c r="B13" t="s">
        <v>52</v>
      </c>
      <c r="C13" s="22">
        <v>0</v>
      </c>
      <c r="D13" s="22">
        <v>0</v>
      </c>
      <c r="E13" s="22">
        <v>-0.22052500024437904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0</v>
      </c>
      <c r="E17" s="17">
        <v>52353015.000000007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0</v>
      </c>
      <c r="D19" s="15">
        <f>+D17*D18</f>
        <v>0</v>
      </c>
      <c r="E19" s="15">
        <f>+E17*E18</f>
        <v>469344.7794750001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0</v>
      </c>
      <c r="D25" s="64">
        <f>D12/1000000</f>
        <v>0.39879413030754007</v>
      </c>
      <c r="E25" s="64">
        <f>E12/1000000</f>
        <v>8.7625265686904825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F8CB-617C-4845-BE4A-8B75E3B5A03F}">
  <dimension ref="A2:AL34"/>
  <sheetViews>
    <sheetView topLeftCell="Y15" zoomScale="80" zoomScaleNormal="80" workbookViewId="0">
      <selection activeCell="D3" sqref="C3:D3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39.85546875" customWidth="1"/>
    <col min="9" max="11" width="14" customWidth="1"/>
    <col min="13" max="13" width="3.7109375" customWidth="1"/>
    <col min="14" max="14" width="39.85546875" customWidth="1"/>
    <col min="15" max="17" width="14" customWidth="1"/>
    <col min="18" max="28" width="10.28515625" customWidth="1"/>
    <col min="29" max="39" width="10.42578125" customWidth="1"/>
  </cols>
  <sheetData>
    <row r="2" spans="1:18" x14ac:dyDescent="0.25">
      <c r="B2" s="3" t="s">
        <v>87</v>
      </c>
      <c r="C2" s="10">
        <v>2025</v>
      </c>
      <c r="D2" s="10">
        <v>2026</v>
      </c>
      <c r="E2" s="10">
        <v>2027</v>
      </c>
      <c r="H2" s="3" t="s">
        <v>88</v>
      </c>
      <c r="I2" s="10">
        <v>2025</v>
      </c>
      <c r="J2" s="10">
        <v>2026</v>
      </c>
      <c r="K2" s="10">
        <v>2027</v>
      </c>
      <c r="N2" s="44" t="s">
        <v>89</v>
      </c>
      <c r="O2" s="10">
        <v>2025</v>
      </c>
      <c r="P2" s="10">
        <v>2026</v>
      </c>
      <c r="Q2" s="10">
        <v>2027</v>
      </c>
    </row>
    <row r="3" spans="1:18" x14ac:dyDescent="0.25">
      <c r="A3" s="1">
        <v>1</v>
      </c>
      <c r="B3" s="2" t="s">
        <v>42</v>
      </c>
      <c r="C3" s="17">
        <v>5076923.076923077</v>
      </c>
      <c r="D3" s="17">
        <v>923076.92307692301</v>
      </c>
      <c r="E3" s="17">
        <v>0</v>
      </c>
      <c r="G3" s="1">
        <v>1</v>
      </c>
      <c r="H3" s="2" t="s">
        <v>42</v>
      </c>
      <c r="I3" s="4">
        <v>18156413.879230767</v>
      </c>
      <c r="J3" s="4">
        <v>217876966.55076924</v>
      </c>
      <c r="K3" s="4">
        <v>-2.0721927285194397E-8</v>
      </c>
      <c r="M3" s="1">
        <v>1</v>
      </c>
      <c r="N3" s="2" t="s">
        <v>42</v>
      </c>
      <c r="O3" s="4">
        <v>0</v>
      </c>
      <c r="P3" s="4">
        <f>Z32-O3</f>
        <v>1537962.1538461538</v>
      </c>
      <c r="Q3" s="18">
        <f>AL32-P3-O3</f>
        <v>393288.84615384624</v>
      </c>
      <c r="R3" s="1"/>
    </row>
    <row r="4" spans="1:18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  <c r="M4" s="1">
        <v>2</v>
      </c>
      <c r="N4" s="2" t="s">
        <v>43</v>
      </c>
      <c r="O4" s="19">
        <v>7.3700000000000002E-2</v>
      </c>
      <c r="P4" s="19">
        <v>7.3700000000000002E-2</v>
      </c>
      <c r="Q4" s="19">
        <v>7.3700000000000002E-2</v>
      </c>
      <c r="R4" s="1"/>
    </row>
    <row r="5" spans="1:18" x14ac:dyDescent="0.25">
      <c r="A5" s="1">
        <v>3</v>
      </c>
      <c r="B5" s="2" t="s">
        <v>44</v>
      </c>
      <c r="C5" s="4">
        <f>C3*C4</f>
        <v>374169.23076923081</v>
      </c>
      <c r="D5" s="4">
        <f t="shared" ref="D5:E5" si="0">D3*D4</f>
        <v>68030.769230769234</v>
      </c>
      <c r="E5" s="4">
        <f t="shared" si="0"/>
        <v>0</v>
      </c>
      <c r="G5" s="1">
        <v>3</v>
      </c>
      <c r="H5" s="2" t="s">
        <v>44</v>
      </c>
      <c r="I5" s="4">
        <f>I3*I4</f>
        <v>1338127.7028993075</v>
      </c>
      <c r="J5" s="4">
        <f t="shared" ref="J5:K5" si="1">J3*J4</f>
        <v>16057532.434791693</v>
      </c>
      <c r="K5" s="4">
        <f t="shared" si="1"/>
        <v>-1.5272060409188271E-9</v>
      </c>
      <c r="M5" s="1">
        <v>3</v>
      </c>
      <c r="N5" s="2" t="s">
        <v>44</v>
      </c>
      <c r="O5" s="4">
        <f>O3*O4</f>
        <v>0</v>
      </c>
      <c r="P5" s="4">
        <f>P3*P4</f>
        <v>113347.81073846153</v>
      </c>
      <c r="Q5" s="4">
        <f>Q3*Q4</f>
        <v>28985.387961538469</v>
      </c>
      <c r="R5" s="1"/>
    </row>
    <row r="6" spans="1:18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  <c r="M6" s="1">
        <v>4</v>
      </c>
      <c r="N6" s="2" t="s">
        <v>45</v>
      </c>
      <c r="O6" s="20">
        <v>1.3436399999999999</v>
      </c>
      <c r="P6" s="20">
        <v>1.3436399999999999</v>
      </c>
      <c r="Q6" s="20">
        <v>1.3436399999999999</v>
      </c>
      <c r="R6" s="1"/>
    </row>
    <row r="7" spans="1:18" x14ac:dyDescent="0.25">
      <c r="A7" s="1">
        <v>5</v>
      </c>
      <c r="B7" s="2" t="s">
        <v>46</v>
      </c>
      <c r="C7" s="6">
        <f>C5*C6</f>
        <v>502748.74523076927</v>
      </c>
      <c r="D7" s="6">
        <f t="shared" ref="D7:E7" si="2">D5*D6</f>
        <v>91408.862769230764</v>
      </c>
      <c r="E7" s="6">
        <f t="shared" si="2"/>
        <v>0</v>
      </c>
      <c r="G7" s="1">
        <v>5</v>
      </c>
      <c r="H7" s="2" t="s">
        <v>46</v>
      </c>
      <c r="I7" s="6">
        <f>I5*I6</f>
        <v>1797961.9067236255</v>
      </c>
      <c r="J7" s="6">
        <f t="shared" ref="J7:K7" si="3">J5*J6</f>
        <v>21575542.880683511</v>
      </c>
      <c r="K7" s="6">
        <f t="shared" si="3"/>
        <v>-2.0520151248201728E-9</v>
      </c>
      <c r="M7" s="1">
        <v>5</v>
      </c>
      <c r="N7" s="2" t="s">
        <v>46</v>
      </c>
      <c r="O7" s="6">
        <f>O5*O6</f>
        <v>0</v>
      </c>
      <c r="P7" s="6">
        <f>P5*P6</f>
        <v>152298.65242062643</v>
      </c>
      <c r="Q7" s="6">
        <f>Q5*Q6</f>
        <v>38945.926680641547</v>
      </c>
      <c r="R7" s="1"/>
    </row>
    <row r="8" spans="1:18" x14ac:dyDescent="0.25">
      <c r="A8" s="1">
        <v>6</v>
      </c>
      <c r="B8" s="2" t="s">
        <v>47</v>
      </c>
      <c r="C8" s="7">
        <v>0</v>
      </c>
      <c r="D8" s="7">
        <v>0</v>
      </c>
      <c r="E8" s="7">
        <v>0</v>
      </c>
      <c r="G8" s="1">
        <v>6</v>
      </c>
      <c r="H8" s="2" t="s">
        <v>47</v>
      </c>
      <c r="I8" s="7">
        <v>700000</v>
      </c>
      <c r="J8" s="7">
        <v>2235000</v>
      </c>
      <c r="K8" s="7">
        <v>0</v>
      </c>
      <c r="M8" s="1">
        <v>6</v>
      </c>
      <c r="N8" s="2" t="s">
        <v>47</v>
      </c>
      <c r="O8" s="7">
        <v>0</v>
      </c>
      <c r="P8" s="7">
        <v>0</v>
      </c>
      <c r="Q8" s="7">
        <v>88050</v>
      </c>
      <c r="R8" s="1"/>
    </row>
    <row r="9" spans="1:18" x14ac:dyDescent="0.25">
      <c r="A9" s="1">
        <v>7</v>
      </c>
      <c r="B9" s="2" t="s">
        <v>48</v>
      </c>
      <c r="C9" s="17">
        <v>0</v>
      </c>
      <c r="D9" s="17">
        <v>0</v>
      </c>
      <c r="E9" s="17">
        <v>0</v>
      </c>
      <c r="G9" s="1">
        <v>7</v>
      </c>
      <c r="H9" s="2" t="s">
        <v>48</v>
      </c>
      <c r="I9" s="17">
        <v>0</v>
      </c>
      <c r="J9" s="17">
        <v>7363310.1048510019</v>
      </c>
      <c r="K9" s="17">
        <v>-4.4383341446518898E-10</v>
      </c>
      <c r="M9" s="1">
        <v>7</v>
      </c>
      <c r="N9" s="2" t="s">
        <v>48</v>
      </c>
      <c r="O9" s="17">
        <v>0</v>
      </c>
      <c r="P9" s="17">
        <f>Z34</f>
        <v>51025.876025000005</v>
      </c>
      <c r="Q9" s="18">
        <f>AL34-P9-O9</f>
        <v>14443.532875000012</v>
      </c>
      <c r="R9" s="1"/>
    </row>
    <row r="10" spans="1:18" x14ac:dyDescent="0.25">
      <c r="A10" s="1">
        <v>8</v>
      </c>
      <c r="B10" s="2" t="s">
        <v>49</v>
      </c>
      <c r="C10" s="18">
        <f>C19</f>
        <v>0</v>
      </c>
      <c r="D10" s="18">
        <f>D19-C10</f>
        <v>19559.999999999993</v>
      </c>
      <c r="E10" s="18">
        <f>E19-D10</f>
        <v>0</v>
      </c>
      <c r="G10" s="1">
        <v>8</v>
      </c>
      <c r="H10" s="2" t="s">
        <v>49</v>
      </c>
      <c r="I10" s="18">
        <f>I19</f>
        <v>0</v>
      </c>
      <c r="J10" s="18">
        <f>J19-I10</f>
        <v>769468.82020179974</v>
      </c>
      <c r="K10" s="18">
        <f>ROUND(K19-J10-I10,0)</f>
        <v>0</v>
      </c>
      <c r="M10" s="1">
        <v>8</v>
      </c>
      <c r="N10" s="2" t="s">
        <v>49</v>
      </c>
      <c r="O10" s="18">
        <f>O19</f>
        <v>0</v>
      </c>
      <c r="P10" s="18">
        <f>P19-O10</f>
        <v>0</v>
      </c>
      <c r="Q10" s="18">
        <f>ROUND(Q19-P10-O10,0)</f>
        <v>6296</v>
      </c>
      <c r="R10" s="1"/>
    </row>
    <row r="11" spans="1:18" x14ac:dyDescent="0.25">
      <c r="A11" s="1">
        <v>9</v>
      </c>
      <c r="B11" s="2" t="s">
        <v>74</v>
      </c>
      <c r="C11" s="43">
        <v>0</v>
      </c>
      <c r="D11" s="43">
        <v>0</v>
      </c>
      <c r="E11" s="43">
        <v>0</v>
      </c>
      <c r="G11" s="1">
        <v>9</v>
      </c>
      <c r="H11" s="2" t="s">
        <v>50</v>
      </c>
      <c r="I11" s="17">
        <v>-553539.91050619388</v>
      </c>
      <c r="J11" s="17">
        <v>-10226559.489353456</v>
      </c>
      <c r="K11" s="17">
        <v>0</v>
      </c>
      <c r="M11" s="1">
        <v>9</v>
      </c>
      <c r="N11" s="2" t="s">
        <v>50</v>
      </c>
      <c r="O11" s="17">
        <v>0</v>
      </c>
      <c r="P11" s="17">
        <v>0</v>
      </c>
      <c r="Q11" s="17">
        <v>-479660.98688441515</v>
      </c>
      <c r="R11" s="1"/>
    </row>
    <row r="12" spans="1:18" ht="15.75" thickBot="1" x14ac:dyDescent="0.3">
      <c r="A12" s="1">
        <v>10</v>
      </c>
      <c r="B12" s="2" t="s">
        <v>51</v>
      </c>
      <c r="C12" s="5">
        <f>C7+C8+C9+C10+C11</f>
        <v>502748.74523076927</v>
      </c>
      <c r="D12" s="5">
        <f t="shared" ref="D12:E12" si="4">D7+D8+D9+D10+D11</f>
        <v>110968.86276923076</v>
      </c>
      <c r="E12" s="5">
        <f t="shared" si="4"/>
        <v>0</v>
      </c>
      <c r="G12" s="1">
        <v>10</v>
      </c>
      <c r="H12" s="2" t="s">
        <v>51</v>
      </c>
      <c r="I12" s="5">
        <f>I7+I8+I9+I10+I11</f>
        <v>1944421.9962174315</v>
      </c>
      <c r="J12" s="5">
        <f>J7+J8+J9+J10+J11</f>
        <v>21716762.316382855</v>
      </c>
      <c r="K12" s="5">
        <f t="shared" ref="K12" si="5">K7+K8+K9+K10+K11</f>
        <v>-2.4958485392853618E-9</v>
      </c>
      <c r="M12" s="1">
        <v>10</v>
      </c>
      <c r="N12" s="2" t="s">
        <v>51</v>
      </c>
      <c r="O12" s="5">
        <f>O7+O8+O9+O10+O11</f>
        <v>0</v>
      </c>
      <c r="P12" s="5">
        <f>P7+P8+P9+P10+P11</f>
        <v>203324.52844562643</v>
      </c>
      <c r="Q12" s="5">
        <f>Q7+Q8+Q9+Q10+Q11</f>
        <v>-331925.52732877363</v>
      </c>
      <c r="R12" s="1"/>
    </row>
    <row r="13" spans="1:18" ht="15.75" thickTop="1" x14ac:dyDescent="0.25">
      <c r="H13" t="s">
        <v>52</v>
      </c>
      <c r="I13" s="22">
        <v>0</v>
      </c>
      <c r="J13" s="22">
        <v>0</v>
      </c>
      <c r="K13" s="22">
        <v>0</v>
      </c>
      <c r="N13" t="s">
        <v>52</v>
      </c>
      <c r="O13" s="22"/>
      <c r="P13" s="22"/>
      <c r="Q13" s="22"/>
    </row>
    <row r="15" spans="1:18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  <c r="N15" s="9" t="s">
        <v>53</v>
      </c>
      <c r="O15" s="10">
        <v>2025</v>
      </c>
      <c r="P15" s="10">
        <v>2026</v>
      </c>
      <c r="Q15" s="10">
        <v>2027</v>
      </c>
    </row>
    <row r="16" spans="1:18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  <c r="N16" s="11" t="s">
        <v>54</v>
      </c>
      <c r="O16" s="16">
        <v>45627</v>
      </c>
      <c r="P16" s="16">
        <v>45992</v>
      </c>
      <c r="Q16" s="16">
        <v>46357</v>
      </c>
    </row>
    <row r="17" spans="2:38" x14ac:dyDescent="0.25">
      <c r="B17" s="11" t="s">
        <v>55</v>
      </c>
      <c r="C17" s="12">
        <v>0</v>
      </c>
      <c r="D17" s="42">
        <v>6000000</v>
      </c>
      <c r="E17" s="42">
        <v>6000000</v>
      </c>
      <c r="H17" s="11" t="s">
        <v>55</v>
      </c>
      <c r="I17" s="12">
        <v>0</v>
      </c>
      <c r="J17" s="12">
        <v>236033380.42999998</v>
      </c>
      <c r="K17" s="12">
        <v>236033380.42999998</v>
      </c>
      <c r="N17" s="11" t="s">
        <v>55</v>
      </c>
      <c r="O17" s="12">
        <v>0</v>
      </c>
      <c r="P17" s="12">
        <v>0</v>
      </c>
      <c r="Q17" s="12">
        <v>1931251</v>
      </c>
    </row>
    <row r="18" spans="2:38" x14ac:dyDescent="0.25">
      <c r="B18" s="11" t="s">
        <v>56</v>
      </c>
      <c r="C18" s="13">
        <v>3.259999999999999E-3</v>
      </c>
      <c r="D18" s="13">
        <v>3.259999999999999E-3</v>
      </c>
      <c r="E18" s="13">
        <v>3.259999999999999E-3</v>
      </c>
      <c r="H18" s="11" t="s">
        <v>56</v>
      </c>
      <c r="I18" s="13">
        <f>C18</f>
        <v>3.259999999999999E-3</v>
      </c>
      <c r="J18" s="13">
        <f t="shared" ref="J18:K18" si="6">D18</f>
        <v>3.259999999999999E-3</v>
      </c>
      <c r="K18" s="13">
        <f t="shared" si="6"/>
        <v>3.259999999999999E-3</v>
      </c>
      <c r="N18" s="11" t="s">
        <v>56</v>
      </c>
      <c r="O18" s="13">
        <f>I18</f>
        <v>3.259999999999999E-3</v>
      </c>
      <c r="P18" s="13">
        <f>J18</f>
        <v>3.259999999999999E-3</v>
      </c>
      <c r="Q18" s="13">
        <f>K18</f>
        <v>3.259999999999999E-3</v>
      </c>
    </row>
    <row r="19" spans="2:38" ht="15.75" thickBot="1" x14ac:dyDescent="0.3">
      <c r="B19" s="11" t="s">
        <v>49</v>
      </c>
      <c r="C19" s="14">
        <f>+C17*C18</f>
        <v>0</v>
      </c>
      <c r="D19" s="15">
        <f>+D17*D18</f>
        <v>19559.999999999993</v>
      </c>
      <c r="E19" s="15">
        <f>+E17*E18</f>
        <v>19559.999999999993</v>
      </c>
      <c r="H19" s="11" t="s">
        <v>49</v>
      </c>
      <c r="I19" s="14">
        <f>+I17*I18</f>
        <v>0</v>
      </c>
      <c r="J19" s="15">
        <f>+J17*J18</f>
        <v>769468.82020179974</v>
      </c>
      <c r="K19" s="15">
        <f>+K17*K18</f>
        <v>769468.82020179974</v>
      </c>
      <c r="N19" s="11" t="s">
        <v>49</v>
      </c>
      <c r="O19" s="15">
        <f>+O17*O18</f>
        <v>0</v>
      </c>
      <c r="P19" s="15">
        <f>+P17*P18</f>
        <v>0</v>
      </c>
      <c r="Q19" s="15">
        <f>+Q17*Q18</f>
        <v>6295.8782599999977</v>
      </c>
    </row>
    <row r="22" spans="2:38" x14ac:dyDescent="0.25">
      <c r="B22" t="s">
        <v>76</v>
      </c>
      <c r="H22" t="s">
        <v>63</v>
      </c>
      <c r="N22" t="s">
        <v>63</v>
      </c>
    </row>
    <row r="23" spans="2:38" x14ac:dyDescent="0.25">
      <c r="C23" s="21">
        <f>100%-I23</f>
        <v>0.21999999999999997</v>
      </c>
      <c r="D23" s="21">
        <f>100%-J23</f>
        <v>0</v>
      </c>
      <c r="E23" s="21">
        <f>100%-K23</f>
        <v>0</v>
      </c>
      <c r="I23" s="21">
        <f>ROUND(I3/(I3+C3),2)</f>
        <v>0.78</v>
      </c>
      <c r="J23" s="21">
        <f>ROUND(J3/(J3+D3),2)</f>
        <v>1</v>
      </c>
      <c r="K23" s="21">
        <f>ROUND(K3/(K3+E3),2)</f>
        <v>1</v>
      </c>
      <c r="O23" s="21">
        <f>ROUND(O3/(O3+I3),2)</f>
        <v>0</v>
      </c>
      <c r="P23" s="21">
        <f>ROUND(P3/(P3+J3),2)</f>
        <v>0.01</v>
      </c>
      <c r="Q23" s="21">
        <f>ROUND(Q3/(Q3+K3),2)</f>
        <v>1</v>
      </c>
    </row>
    <row r="24" spans="2:38" x14ac:dyDescent="0.25">
      <c r="B24" t="s">
        <v>77</v>
      </c>
    </row>
    <row r="25" spans="2:38" x14ac:dyDescent="0.25">
      <c r="B25" t="s">
        <v>61</v>
      </c>
      <c r="C25" s="64">
        <f>C12/1000000</f>
        <v>0.50274874523076929</v>
      </c>
      <c r="D25" s="64">
        <f>D12/1000000</f>
        <v>0.11096886276923076</v>
      </c>
      <c r="E25" s="64">
        <f>E12/1000000</f>
        <v>0</v>
      </c>
      <c r="H25" t="s">
        <v>61</v>
      </c>
      <c r="I25" s="64">
        <f>I12/1000000</f>
        <v>1.9444219962174314</v>
      </c>
      <c r="J25" s="64">
        <f>J12/1000000</f>
        <v>21.716762316382855</v>
      </c>
      <c r="K25" s="64">
        <f>K12/1000000</f>
        <v>-2.4958485392853618E-15</v>
      </c>
      <c r="N25" t="s">
        <v>61</v>
      </c>
      <c r="O25" s="64">
        <f>O12/1000000</f>
        <v>0</v>
      </c>
      <c r="P25" s="64">
        <f>P12/1000000</f>
        <v>0.20332452844562643</v>
      </c>
      <c r="Q25" s="64">
        <f>Q12/1000000</f>
        <v>-0.33192552732877362</v>
      </c>
    </row>
    <row r="29" spans="2:38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>
        <v>46023</v>
      </c>
      <c r="P29" s="45">
        <v>46054</v>
      </c>
      <c r="Q29" s="45">
        <v>46082</v>
      </c>
      <c r="R29" s="45">
        <v>46113</v>
      </c>
      <c r="S29" s="45">
        <v>46143</v>
      </c>
      <c r="T29" s="45">
        <v>46174</v>
      </c>
      <c r="U29" s="45">
        <v>46204</v>
      </c>
      <c r="V29" s="45">
        <v>46235</v>
      </c>
      <c r="W29" s="45">
        <v>46266</v>
      </c>
      <c r="X29" s="45">
        <v>46296</v>
      </c>
      <c r="Y29" s="45">
        <v>46327</v>
      </c>
      <c r="Z29" s="45">
        <v>46357</v>
      </c>
      <c r="AA29" s="45">
        <v>46388</v>
      </c>
      <c r="AB29" s="45">
        <v>46419</v>
      </c>
      <c r="AC29" s="45">
        <v>46447</v>
      </c>
      <c r="AD29" s="45">
        <v>46478</v>
      </c>
      <c r="AE29" s="45">
        <v>46508</v>
      </c>
      <c r="AF29" s="45">
        <v>46539</v>
      </c>
      <c r="AG29" s="45">
        <v>46569</v>
      </c>
      <c r="AH29" s="45">
        <v>46600</v>
      </c>
      <c r="AI29" s="45">
        <v>46631</v>
      </c>
      <c r="AJ29" s="45">
        <v>46661</v>
      </c>
      <c r="AK29" s="45">
        <v>46692</v>
      </c>
      <c r="AL29" s="45">
        <v>46722</v>
      </c>
    </row>
    <row r="30" spans="2:38" x14ac:dyDescent="0.25">
      <c r="J30" s="4"/>
      <c r="K30" s="4"/>
      <c r="L30" s="4"/>
      <c r="N30" s="50" t="s">
        <v>78</v>
      </c>
      <c r="O30" s="17">
        <v>770500</v>
      </c>
      <c r="P30" s="17">
        <v>275000</v>
      </c>
      <c r="Q30" s="17">
        <v>320500</v>
      </c>
      <c r="R30" s="17">
        <v>243751</v>
      </c>
      <c r="S30" s="17">
        <v>123249</v>
      </c>
      <c r="T30" s="17">
        <v>148251</v>
      </c>
      <c r="U30" s="17">
        <v>50000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</row>
    <row r="31" spans="2:38" x14ac:dyDescent="0.25">
      <c r="N31" s="50" t="s">
        <v>79</v>
      </c>
      <c r="O31" s="22">
        <f>O30</f>
        <v>770500</v>
      </c>
      <c r="P31" s="22">
        <f t="shared" ref="P31:AA31" si="7">P30+O31</f>
        <v>1045500</v>
      </c>
      <c r="Q31" s="22">
        <f t="shared" si="7"/>
        <v>1366000</v>
      </c>
      <c r="R31" s="22">
        <f t="shared" si="7"/>
        <v>1609751</v>
      </c>
      <c r="S31" s="22">
        <f t="shared" si="7"/>
        <v>1733000</v>
      </c>
      <c r="T31" s="22">
        <f t="shared" si="7"/>
        <v>1881251</v>
      </c>
      <c r="U31" s="22">
        <f t="shared" si="7"/>
        <v>1931251</v>
      </c>
      <c r="V31" s="22">
        <f t="shared" si="7"/>
        <v>1931251</v>
      </c>
      <c r="W31" s="22">
        <f t="shared" si="7"/>
        <v>1931251</v>
      </c>
      <c r="X31" s="22">
        <f t="shared" si="7"/>
        <v>1931251</v>
      </c>
      <c r="Y31" s="22">
        <f t="shared" si="7"/>
        <v>1931251</v>
      </c>
      <c r="Z31" s="22">
        <f t="shared" si="7"/>
        <v>1931251</v>
      </c>
      <c r="AA31" s="22">
        <f t="shared" si="7"/>
        <v>1931251</v>
      </c>
      <c r="AB31" s="22">
        <f t="shared" ref="AB31" si="8">AB30+AA31</f>
        <v>1931251</v>
      </c>
      <c r="AC31" s="22">
        <f t="shared" ref="AC31" si="9">AC30+AB31</f>
        <v>1931251</v>
      </c>
      <c r="AD31" s="22">
        <f t="shared" ref="AD31" si="10">AD30+AC31</f>
        <v>1931251</v>
      </c>
      <c r="AE31" s="22">
        <f t="shared" ref="AE31" si="11">AE30+AD31</f>
        <v>1931251</v>
      </c>
      <c r="AF31" s="22">
        <f t="shared" ref="AF31" si="12">AF30+AE31</f>
        <v>1931251</v>
      </c>
      <c r="AG31" s="22">
        <f t="shared" ref="AG31" si="13">AG30+AF31</f>
        <v>1931251</v>
      </c>
      <c r="AH31" s="22">
        <f t="shared" ref="AH31" si="14">AH30+AG31</f>
        <v>1931251</v>
      </c>
      <c r="AI31" s="22">
        <f t="shared" ref="AI31" si="15">AI30+AH31</f>
        <v>1931251</v>
      </c>
      <c r="AJ31" s="22">
        <f t="shared" ref="AJ31" si="16">AJ30+AI31</f>
        <v>1931251</v>
      </c>
      <c r="AK31" s="22">
        <f t="shared" ref="AK31" si="17">AK30+AJ31</f>
        <v>1931251</v>
      </c>
      <c r="AL31" s="22">
        <f t="shared" ref="AL31" si="18">AL30+AK31</f>
        <v>1931251</v>
      </c>
    </row>
    <row r="32" spans="2:38" x14ac:dyDescent="0.25">
      <c r="N32" s="50" t="s">
        <v>80</v>
      </c>
      <c r="O32" s="22">
        <f>AVERAGE(0,0,0,0,0,0,0,0,0,0,0,0,O31)</f>
        <v>59269.230769230766</v>
      </c>
      <c r="P32" s="22">
        <f>AVERAGE(0,0,0,0,0,0,0,0,0,0,0,O31,P31)</f>
        <v>139692.30769230769</v>
      </c>
      <c r="Q32" s="22">
        <f>AVERAGE(0,0,0,0,0,0,0,0,0,0,P31,Q31,O31)</f>
        <v>244769.23076923078</v>
      </c>
      <c r="R32" s="22">
        <f>AVERAGE(0,0,0,0,0,0,0,0,0,Q31,R31,P31,O31)</f>
        <v>368596.23076923075</v>
      </c>
      <c r="S32" s="22">
        <f>AVERAGE(0,0,0,0,0,0,0,0,O31,P31,Q31,R31,S31)</f>
        <v>501903.92307692306</v>
      </c>
      <c r="T32" s="22">
        <f>AVERAGE(0,0,0,0,0,0,0,O31,P31,Q31,R31,S31,T31)</f>
        <v>646615.5384615385</v>
      </c>
      <c r="U32" s="22">
        <f>AVERAGE(0,0,0,0,0,0,O31,P31,Q31,R31,S31,T31,U31)</f>
        <v>795173.30769230775</v>
      </c>
      <c r="V32" s="22">
        <f>AVERAGE(0,0,0,0,0,O31,P31,Q31,R31,S31,T31,U31,V31)</f>
        <v>943731.07692307688</v>
      </c>
      <c r="W32" s="22">
        <f>AVERAGE(0,0,0,0,O31,P31,Q31,R31,S31,T31,U31,V31,W31)</f>
        <v>1092288.8461538462</v>
      </c>
      <c r="X32" s="22">
        <f>AVERAGE(0,0,0,O31,P31,Q31,R31,S31,T31,U31,V31,W31,X31)</f>
        <v>1240846.6153846155</v>
      </c>
      <c r="Y32" s="22">
        <f>AVERAGE(0,0,O31,P31,Q31,R31,S31,T31,U31,V31,W31,X31,Y31)</f>
        <v>1389404.3846153845</v>
      </c>
      <c r="Z32" s="46">
        <f>AVERAGE(0,N31:Z31)</f>
        <v>1537962.1538461538</v>
      </c>
      <c r="AA32" s="22">
        <f>AVERAGE(O31:AA31)</f>
        <v>1686519.923076923</v>
      </c>
      <c r="AB32" s="22">
        <f t="shared" ref="AB32:AL32" si="19">AVERAGE(P31:AB31)</f>
        <v>1775808.4615384615</v>
      </c>
      <c r="AC32" s="22">
        <f t="shared" si="19"/>
        <v>1843943.1538461538</v>
      </c>
      <c r="AD32" s="22">
        <f t="shared" si="19"/>
        <v>1887424</v>
      </c>
      <c r="AE32" s="22">
        <f t="shared" si="19"/>
        <v>1912154.7692307692</v>
      </c>
      <c r="AF32" s="22">
        <f t="shared" si="19"/>
        <v>1927404.8461538462</v>
      </c>
      <c r="AG32" s="22">
        <f>AVERAGE(U31:AG31)</f>
        <v>1931251</v>
      </c>
      <c r="AH32" s="22">
        <f t="shared" si="19"/>
        <v>1931251</v>
      </c>
      <c r="AI32" s="22">
        <f t="shared" si="19"/>
        <v>1931251</v>
      </c>
      <c r="AJ32" s="22">
        <f t="shared" si="19"/>
        <v>1931251</v>
      </c>
      <c r="AK32" s="22">
        <f t="shared" si="19"/>
        <v>1931251</v>
      </c>
      <c r="AL32" s="46">
        <f t="shared" si="19"/>
        <v>1931251</v>
      </c>
    </row>
    <row r="33" spans="14:38" x14ac:dyDescent="0.25">
      <c r="N33" s="50" t="s">
        <v>48</v>
      </c>
      <c r="O33" s="47">
        <f>0*$O$34/12</f>
        <v>0</v>
      </c>
      <c r="P33" s="47">
        <f t="shared" ref="P33:AL33" si="20">O31*$O$34/12</f>
        <v>2176.6624999999999</v>
      </c>
      <c r="Q33" s="47">
        <f t="shared" si="20"/>
        <v>2953.5374999999999</v>
      </c>
      <c r="R33" s="47">
        <f t="shared" si="20"/>
        <v>3858.9500000000003</v>
      </c>
      <c r="S33" s="47">
        <f t="shared" si="20"/>
        <v>4547.5465749999994</v>
      </c>
      <c r="T33" s="47">
        <f t="shared" si="20"/>
        <v>4895.7249999999995</v>
      </c>
      <c r="U33" s="47">
        <f t="shared" si="20"/>
        <v>5314.5340750000005</v>
      </c>
      <c r="V33" s="47">
        <f t="shared" si="20"/>
        <v>5455.7840750000005</v>
      </c>
      <c r="W33" s="47">
        <f t="shared" si="20"/>
        <v>5455.7840750000005</v>
      </c>
      <c r="X33" s="47">
        <f t="shared" si="20"/>
        <v>5455.7840750000005</v>
      </c>
      <c r="Y33" s="47">
        <f t="shared" si="20"/>
        <v>5455.7840750000005</v>
      </c>
      <c r="Z33" s="47">
        <f t="shared" si="20"/>
        <v>5455.7840750000005</v>
      </c>
      <c r="AA33" s="47">
        <f t="shared" si="20"/>
        <v>5455.7840750000005</v>
      </c>
      <c r="AB33" s="47">
        <f t="shared" si="20"/>
        <v>5455.7840750000005</v>
      </c>
      <c r="AC33" s="47">
        <f t="shared" si="20"/>
        <v>5455.7840750000005</v>
      </c>
      <c r="AD33" s="47">
        <f t="shared" si="20"/>
        <v>5455.7840750000005</v>
      </c>
      <c r="AE33" s="47">
        <f t="shared" si="20"/>
        <v>5455.7840750000005</v>
      </c>
      <c r="AF33" s="47">
        <f t="shared" si="20"/>
        <v>5455.7840750000005</v>
      </c>
      <c r="AG33" s="47">
        <f t="shared" si="20"/>
        <v>5455.7840750000005</v>
      </c>
      <c r="AH33" s="47">
        <f t="shared" si="20"/>
        <v>5455.7840750000005</v>
      </c>
      <c r="AI33" s="47">
        <f t="shared" si="20"/>
        <v>5455.7840750000005</v>
      </c>
      <c r="AJ33" s="47">
        <f t="shared" si="20"/>
        <v>5455.7840750000005</v>
      </c>
      <c r="AK33" s="47">
        <f t="shared" si="20"/>
        <v>5455.7840750000005</v>
      </c>
      <c r="AL33" s="47">
        <f t="shared" si="20"/>
        <v>5455.7840750000005</v>
      </c>
    </row>
    <row r="34" spans="14:38" x14ac:dyDescent="0.25">
      <c r="N34" s="50" t="s">
        <v>81</v>
      </c>
      <c r="O34" s="51">
        <v>3.39E-2</v>
      </c>
      <c r="Z34" s="46">
        <f>SUM(O33:Z33)</f>
        <v>51025.876025000005</v>
      </c>
      <c r="AL34" s="49">
        <f>SUM(AA33:AL33)</f>
        <v>65469.408900000017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CEB2-3E93-4316-A5F1-A1E27AD3FFC6}">
  <dimension ref="A2:Z34"/>
  <sheetViews>
    <sheetView topLeftCell="L1" zoomScale="70" zoomScaleNormal="70" workbookViewId="0">
      <selection activeCell="K29" sqref="K29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39.85546875" customWidth="1"/>
    <col min="9" max="11" width="14" customWidth="1"/>
    <col min="13" max="13" width="3.7109375" customWidth="1"/>
    <col min="14" max="14" width="39.85546875" customWidth="1"/>
    <col min="15" max="17" width="14" customWidth="1"/>
    <col min="18" max="26" width="10.28515625" customWidth="1"/>
    <col min="27" max="27" width="10.42578125" customWidth="1"/>
  </cols>
  <sheetData>
    <row r="2" spans="1:18" x14ac:dyDescent="0.25">
      <c r="B2" s="3" t="s">
        <v>90</v>
      </c>
      <c r="C2" s="10">
        <v>2025</v>
      </c>
      <c r="D2" s="10">
        <v>2026</v>
      </c>
      <c r="E2" s="10">
        <v>2027</v>
      </c>
      <c r="H2" s="3" t="s">
        <v>91</v>
      </c>
      <c r="I2" s="10">
        <v>2025</v>
      </c>
      <c r="J2" s="10">
        <v>2026</v>
      </c>
      <c r="K2" s="10">
        <v>2027</v>
      </c>
      <c r="N2" s="44" t="s">
        <v>92</v>
      </c>
      <c r="O2" s="10">
        <v>2025</v>
      </c>
      <c r="P2" s="10">
        <v>2026</v>
      </c>
      <c r="Q2" s="10">
        <v>2027</v>
      </c>
    </row>
    <row r="3" spans="1:18" x14ac:dyDescent="0.25">
      <c r="A3" s="1">
        <v>1</v>
      </c>
      <c r="B3" s="2" t="s">
        <v>42</v>
      </c>
      <c r="C3" s="17">
        <v>0</v>
      </c>
      <c r="D3" s="17">
        <v>71693516.609230757</v>
      </c>
      <c r="E3" s="17">
        <v>44902197.880769208</v>
      </c>
      <c r="G3" s="1">
        <v>1</v>
      </c>
      <c r="H3" s="2" t="s">
        <v>42</v>
      </c>
      <c r="I3" s="4">
        <v>0</v>
      </c>
      <c r="J3" s="4">
        <v>8157994.8907692283</v>
      </c>
      <c r="K3" s="4">
        <v>97895938.689230815</v>
      </c>
      <c r="M3" s="1">
        <v>1</v>
      </c>
      <c r="N3" s="2" t="s">
        <v>42</v>
      </c>
      <c r="O3" s="4">
        <v>0</v>
      </c>
      <c r="P3" s="18">
        <v>0</v>
      </c>
      <c r="Q3" s="18">
        <f>Z32-P3-O3</f>
        <v>195384.61538461538</v>
      </c>
      <c r="R3" s="1"/>
    </row>
    <row r="4" spans="1:18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  <c r="M4" s="1">
        <v>2</v>
      </c>
      <c r="N4" s="2" t="s">
        <v>43</v>
      </c>
      <c r="O4" s="19">
        <v>7.3700000000000002E-2</v>
      </c>
      <c r="P4" s="19">
        <v>7.3700000000000002E-2</v>
      </c>
      <c r="Q4" s="19">
        <v>7.3700000000000002E-2</v>
      </c>
      <c r="R4" s="1"/>
    </row>
    <row r="5" spans="1:18" x14ac:dyDescent="0.25">
      <c r="A5" s="1">
        <v>3</v>
      </c>
      <c r="B5" s="2" t="s">
        <v>44</v>
      </c>
      <c r="C5" s="4">
        <f>C3*C4</f>
        <v>0</v>
      </c>
      <c r="D5" s="4">
        <f t="shared" ref="D5:E5" si="0">D3*D4</f>
        <v>5283812.1741003068</v>
      </c>
      <c r="E5" s="4">
        <f t="shared" si="0"/>
        <v>3309291.9838126907</v>
      </c>
      <c r="G5" s="1">
        <v>3</v>
      </c>
      <c r="H5" s="2" t="s">
        <v>44</v>
      </c>
      <c r="I5" s="4">
        <f>I3*I4</f>
        <v>0</v>
      </c>
      <c r="J5" s="4">
        <f t="shared" ref="J5:K5" si="1">J3*J4</f>
        <v>601244.22344969213</v>
      </c>
      <c r="K5" s="4">
        <f t="shared" si="1"/>
        <v>7214930.6813963111</v>
      </c>
      <c r="M5" s="1">
        <v>3</v>
      </c>
      <c r="N5" s="2" t="s">
        <v>44</v>
      </c>
      <c r="O5" s="4">
        <f>O3*O4</f>
        <v>0</v>
      </c>
      <c r="P5" s="4">
        <f>P3*P4</f>
        <v>0</v>
      </c>
      <c r="Q5" s="4">
        <f>Q3*Q4</f>
        <v>14399.846153846154</v>
      </c>
      <c r="R5" s="1"/>
    </row>
    <row r="6" spans="1:18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  <c r="M6" s="1">
        <v>4</v>
      </c>
      <c r="N6" s="2" t="s">
        <v>45</v>
      </c>
      <c r="O6" s="20">
        <v>1.3436399999999999</v>
      </c>
      <c r="P6" s="20">
        <v>1.3436399999999999</v>
      </c>
      <c r="Q6" s="20">
        <v>1.3436399999999999</v>
      </c>
      <c r="R6" s="1"/>
    </row>
    <row r="7" spans="1:18" x14ac:dyDescent="0.25">
      <c r="A7" s="1">
        <v>5</v>
      </c>
      <c r="B7" s="2" t="s">
        <v>46</v>
      </c>
      <c r="C7" s="6">
        <f>C5*C6</f>
        <v>0</v>
      </c>
      <c r="D7" s="6">
        <f t="shared" ref="D7:E7" si="2">D5*D6</f>
        <v>7099541.3896081364</v>
      </c>
      <c r="E7" s="6">
        <f t="shared" si="2"/>
        <v>4446497.0811300837</v>
      </c>
      <c r="G7" s="1">
        <v>5</v>
      </c>
      <c r="H7" s="2" t="s">
        <v>46</v>
      </c>
      <c r="I7" s="6">
        <f>I5*I6</f>
        <v>0</v>
      </c>
      <c r="J7" s="6">
        <f t="shared" ref="J7:K7" si="3">J5*J6</f>
        <v>807855.78839594428</v>
      </c>
      <c r="K7" s="6">
        <f t="shared" si="3"/>
        <v>9694269.4607513398</v>
      </c>
      <c r="M7" s="1">
        <v>5</v>
      </c>
      <c r="N7" s="2" t="s">
        <v>46</v>
      </c>
      <c r="O7" s="6">
        <f>O5*O6</f>
        <v>0</v>
      </c>
      <c r="P7" s="6">
        <f>P5*P6</f>
        <v>0</v>
      </c>
      <c r="Q7" s="6">
        <f>Q5*Q6</f>
        <v>19348.209286153848</v>
      </c>
      <c r="R7" s="1"/>
    </row>
    <row r="8" spans="1:18" x14ac:dyDescent="0.25">
      <c r="A8" s="1">
        <v>6</v>
      </c>
      <c r="B8" s="2" t="s">
        <v>47</v>
      </c>
      <c r="C8" s="7">
        <v>700000</v>
      </c>
      <c r="D8" s="7">
        <v>0</v>
      </c>
      <c r="E8" s="7">
        <v>0</v>
      </c>
      <c r="G8" s="1">
        <v>6</v>
      </c>
      <c r="H8" s="2" t="s">
        <v>47</v>
      </c>
      <c r="I8" s="7">
        <v>0</v>
      </c>
      <c r="J8" s="7">
        <v>814583.33333333326</v>
      </c>
      <c r="K8" s="7">
        <v>1289367.6294666666</v>
      </c>
      <c r="M8" s="1">
        <v>6</v>
      </c>
      <c r="N8" s="2" t="s">
        <v>47</v>
      </c>
      <c r="O8" s="7">
        <v>0</v>
      </c>
      <c r="P8" s="7">
        <v>0</v>
      </c>
      <c r="Q8" s="7">
        <v>0</v>
      </c>
      <c r="R8" s="1"/>
    </row>
    <row r="9" spans="1:18" x14ac:dyDescent="0.25">
      <c r="A9" s="1">
        <v>7</v>
      </c>
      <c r="B9" s="2" t="s">
        <v>48</v>
      </c>
      <c r="C9" s="17">
        <v>0</v>
      </c>
      <c r="D9" s="17">
        <v>2258551.2606252511</v>
      </c>
      <c r="E9" s="17">
        <v>3875434.3039290016</v>
      </c>
      <c r="G9" s="1">
        <v>7</v>
      </c>
      <c r="H9" s="2" t="s">
        <v>48</v>
      </c>
      <c r="I9" s="17">
        <v>0</v>
      </c>
      <c r="J9" s="17">
        <v>0</v>
      </c>
      <c r="K9" s="17">
        <v>851829.69220074592</v>
      </c>
      <c r="M9" s="1">
        <v>7</v>
      </c>
      <c r="N9" s="2" t="s">
        <v>48</v>
      </c>
      <c r="O9" s="17">
        <v>0</v>
      </c>
      <c r="P9" s="17">
        <v>0</v>
      </c>
      <c r="Q9" s="18">
        <f>Z34-P9-O9</f>
        <v>6455.125</v>
      </c>
      <c r="R9" s="1"/>
    </row>
    <row r="10" spans="1:18" x14ac:dyDescent="0.25">
      <c r="A10" s="1">
        <v>8</v>
      </c>
      <c r="B10" s="2" t="s">
        <v>49</v>
      </c>
      <c r="C10" s="18">
        <f>C19</f>
        <v>0</v>
      </c>
      <c r="D10" s="18">
        <f>D19-C10</f>
        <v>0</v>
      </c>
      <c r="E10" s="18">
        <f>E19-D10</f>
        <v>380102.02923739987</v>
      </c>
      <c r="G10" s="1">
        <v>8</v>
      </c>
      <c r="H10" s="2" t="s">
        <v>49</v>
      </c>
      <c r="I10" s="18">
        <f>I19</f>
        <v>0</v>
      </c>
      <c r="J10" s="18">
        <f>J19-I10</f>
        <v>0</v>
      </c>
      <c r="K10" s="18">
        <f>ROUND(K19-J10-I10,0)</f>
        <v>345736</v>
      </c>
      <c r="M10" s="1">
        <v>8</v>
      </c>
      <c r="N10" s="2" t="s">
        <v>49</v>
      </c>
      <c r="O10" s="18">
        <f>O19</f>
        <v>0</v>
      </c>
      <c r="P10" s="18">
        <f>P19-O10</f>
        <v>0</v>
      </c>
      <c r="Q10" s="18">
        <f>ROUND(Q19-P10-O10,0)</f>
        <v>0</v>
      </c>
      <c r="R10" s="1"/>
    </row>
    <row r="11" spans="1:18" x14ac:dyDescent="0.25">
      <c r="A11" s="1">
        <v>9</v>
      </c>
      <c r="B11" s="2" t="s">
        <v>74</v>
      </c>
      <c r="C11" s="17">
        <v>0</v>
      </c>
      <c r="D11" s="17">
        <v>-3174616.8514604708</v>
      </c>
      <c r="E11" s="17">
        <v>-2456440.7204426024</v>
      </c>
      <c r="G11" s="1">
        <v>9</v>
      </c>
      <c r="H11" s="2" t="s">
        <v>50</v>
      </c>
      <c r="I11" s="17">
        <v>0</v>
      </c>
      <c r="J11" s="17">
        <v>-202071.10695840605</v>
      </c>
      <c r="K11" s="17">
        <v>-3733230.715929965</v>
      </c>
      <c r="M11" s="1">
        <v>9</v>
      </c>
      <c r="N11" s="2" t="s">
        <v>50</v>
      </c>
      <c r="O11" s="43">
        <v>0</v>
      </c>
      <c r="P11" s="43">
        <v>0</v>
      </c>
      <c r="Q11" s="43">
        <v>0</v>
      </c>
      <c r="R11" s="1"/>
    </row>
    <row r="12" spans="1:18" x14ac:dyDescent="0.25">
      <c r="A12" s="1">
        <v>10</v>
      </c>
      <c r="B12" s="2" t="s">
        <v>51</v>
      </c>
      <c r="C12" s="5">
        <f>C7+C8+C9+C10+C11</f>
        <v>700000</v>
      </c>
      <c r="D12" s="5">
        <f t="shared" ref="D12:E12" si="4">D7+D8+D9+D10+D11</f>
        <v>6183475.7987729171</v>
      </c>
      <c r="E12" s="5">
        <f t="shared" si="4"/>
        <v>6245592.6938538831</v>
      </c>
      <c r="G12" s="1">
        <v>10</v>
      </c>
      <c r="H12" s="2" t="s">
        <v>51</v>
      </c>
      <c r="I12" s="5">
        <f>I7+I8+I9+I10+I11</f>
        <v>0</v>
      </c>
      <c r="J12" s="5">
        <f>J7+J8+J9+J10+J11</f>
        <v>1420368.0147708715</v>
      </c>
      <c r="K12" s="5">
        <f t="shared" ref="K12" si="5">K7+K8+K9+K10+K11</f>
        <v>8447972.0664887875</v>
      </c>
      <c r="M12" s="1">
        <v>10</v>
      </c>
      <c r="N12" s="2" t="s">
        <v>51</v>
      </c>
      <c r="O12" s="5">
        <f>O7+O8+O9+O10+O11</f>
        <v>0</v>
      </c>
      <c r="P12" s="5">
        <f>P7+P8+P9+P10+P11</f>
        <v>0</v>
      </c>
      <c r="Q12" s="5">
        <f>Q7+Q8+Q9+Q10+Q11</f>
        <v>25803.334286153848</v>
      </c>
      <c r="R12" s="1"/>
    </row>
    <row r="13" spans="1:18" x14ac:dyDescent="0.25">
      <c r="H13" t="s">
        <v>52</v>
      </c>
      <c r="I13" s="22">
        <v>0</v>
      </c>
      <c r="J13" s="22">
        <v>0</v>
      </c>
      <c r="K13" s="22">
        <v>0</v>
      </c>
      <c r="N13" t="s">
        <v>52</v>
      </c>
      <c r="O13" s="22"/>
      <c r="P13" s="22"/>
      <c r="Q13" s="22"/>
    </row>
    <row r="15" spans="1:18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  <c r="N15" s="9" t="s">
        <v>53</v>
      </c>
      <c r="O15" s="10">
        <v>2025</v>
      </c>
      <c r="P15" s="10">
        <v>2026</v>
      </c>
      <c r="Q15" s="10">
        <v>2027</v>
      </c>
    </row>
    <row r="16" spans="1:18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  <c r="N16" s="11" t="s">
        <v>54</v>
      </c>
      <c r="O16" s="16">
        <v>45627</v>
      </c>
      <c r="P16" s="16">
        <v>45992</v>
      </c>
      <c r="Q16" s="16">
        <v>46357</v>
      </c>
    </row>
    <row r="17" spans="2:26" x14ac:dyDescent="0.25">
      <c r="B17" s="11" t="s">
        <v>55</v>
      </c>
      <c r="C17" s="12">
        <v>0</v>
      </c>
      <c r="D17" s="42">
        <v>0</v>
      </c>
      <c r="E17" s="42">
        <v>116595714.48999999</v>
      </c>
      <c r="H17" s="11" t="s">
        <v>55</v>
      </c>
      <c r="I17" s="12">
        <v>0</v>
      </c>
      <c r="J17" s="12">
        <v>0</v>
      </c>
      <c r="K17" s="12">
        <v>106053933.58000003</v>
      </c>
      <c r="N17" s="11" t="s">
        <v>55</v>
      </c>
      <c r="O17" s="12">
        <v>0</v>
      </c>
      <c r="P17" s="12">
        <v>0</v>
      </c>
      <c r="Q17" s="12">
        <v>0</v>
      </c>
    </row>
    <row r="18" spans="2:26" x14ac:dyDescent="0.25">
      <c r="B18" s="11" t="s">
        <v>56</v>
      </c>
      <c r="C18" s="13">
        <v>3.259999999999999E-3</v>
      </c>
      <c r="D18" s="13">
        <v>3.259999999999999E-3</v>
      </c>
      <c r="E18" s="13">
        <v>3.259999999999999E-3</v>
      </c>
      <c r="H18" s="11" t="s">
        <v>56</v>
      </c>
      <c r="I18" s="13">
        <f>C18</f>
        <v>3.259999999999999E-3</v>
      </c>
      <c r="J18" s="13">
        <f t="shared" ref="J18:K18" si="6">D18</f>
        <v>3.259999999999999E-3</v>
      </c>
      <c r="K18" s="13">
        <f t="shared" si="6"/>
        <v>3.259999999999999E-3</v>
      </c>
      <c r="N18" s="11" t="s">
        <v>56</v>
      </c>
      <c r="O18" s="13">
        <f>I18</f>
        <v>3.259999999999999E-3</v>
      </c>
      <c r="P18" s="13">
        <f>J18</f>
        <v>3.259999999999999E-3</v>
      </c>
      <c r="Q18" s="13">
        <f>K18</f>
        <v>3.259999999999999E-3</v>
      </c>
    </row>
    <row r="19" spans="2:26" x14ac:dyDescent="0.25">
      <c r="B19" s="11" t="s">
        <v>49</v>
      </c>
      <c r="C19" s="14">
        <f>+C17*C18</f>
        <v>0</v>
      </c>
      <c r="D19" s="15">
        <f>+D17*D18</f>
        <v>0</v>
      </c>
      <c r="E19" s="15">
        <f>+E17*E18</f>
        <v>380102.02923739987</v>
      </c>
      <c r="H19" s="11" t="s">
        <v>49</v>
      </c>
      <c r="I19" s="14">
        <f>+I17*I18</f>
        <v>0</v>
      </c>
      <c r="J19" s="15">
        <f>+J17*J18</f>
        <v>0</v>
      </c>
      <c r="K19" s="15">
        <f>+K17*K18</f>
        <v>345735.82347080001</v>
      </c>
      <c r="N19" s="11" t="s">
        <v>49</v>
      </c>
      <c r="O19" s="15">
        <f>+O17*O18</f>
        <v>0</v>
      </c>
      <c r="P19" s="15">
        <f>+P17*P18</f>
        <v>0</v>
      </c>
      <c r="Q19" s="15">
        <f>+Q17*Q18</f>
        <v>0</v>
      </c>
    </row>
    <row r="22" spans="2:26" x14ac:dyDescent="0.25">
      <c r="B22" t="s">
        <v>76</v>
      </c>
      <c r="H22" t="s">
        <v>63</v>
      </c>
      <c r="N22" t="s">
        <v>63</v>
      </c>
    </row>
    <row r="23" spans="2:26" x14ac:dyDescent="0.25">
      <c r="C23" s="21">
        <f>100%-I23</f>
        <v>1</v>
      </c>
      <c r="D23" s="21">
        <f>100%-J23</f>
        <v>0.9</v>
      </c>
      <c r="E23" s="21">
        <f>100%-K23</f>
        <v>0.31000000000000005</v>
      </c>
      <c r="I23" s="21">
        <v>0</v>
      </c>
      <c r="J23" s="21">
        <f>ROUND(J3/(J3+D3),2)</f>
        <v>0.1</v>
      </c>
      <c r="K23" s="21">
        <f>ROUND(K3/(K3+E3),2)</f>
        <v>0.69</v>
      </c>
      <c r="O23" s="21">
        <v>0</v>
      </c>
      <c r="P23" s="21">
        <f>ROUND(P3/(P3+J3),2)</f>
        <v>0</v>
      </c>
      <c r="Q23" s="21">
        <f>ROUND(Q3/(Q3+K3),2)</f>
        <v>0</v>
      </c>
    </row>
    <row r="24" spans="2:26" x14ac:dyDescent="0.25">
      <c r="B24" t="s">
        <v>77</v>
      </c>
    </row>
    <row r="25" spans="2:26" x14ac:dyDescent="0.25">
      <c r="B25" t="s">
        <v>61</v>
      </c>
      <c r="C25" s="64">
        <f>C12/1000000</f>
        <v>0.7</v>
      </c>
      <c r="D25" s="64">
        <f>D12/1000000</f>
        <v>6.1834757987729168</v>
      </c>
      <c r="E25" s="64">
        <f>E12/1000000</f>
        <v>6.245592693853883</v>
      </c>
      <c r="H25" t="s">
        <v>61</v>
      </c>
      <c r="I25" s="64">
        <f>I12/1000000</f>
        <v>0</v>
      </c>
      <c r="J25" s="64">
        <f>J12/1000000</f>
        <v>1.4203680147708715</v>
      </c>
      <c r="K25" s="64">
        <f>K12/1000000</f>
        <v>8.4479720664887878</v>
      </c>
      <c r="N25" t="s">
        <v>61</v>
      </c>
      <c r="O25" s="64">
        <f>O12/1000000</f>
        <v>0</v>
      </c>
      <c r="P25" s="64">
        <f>P12/1000000</f>
        <v>0</v>
      </c>
      <c r="Q25" s="64">
        <f>Q12/1000000</f>
        <v>2.5803334286153848E-2</v>
      </c>
    </row>
    <row r="29" spans="2:26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>
        <v>46388</v>
      </c>
      <c r="P29" s="45">
        <v>46419</v>
      </c>
      <c r="Q29" s="45">
        <v>46447</v>
      </c>
      <c r="R29" s="45">
        <v>46478</v>
      </c>
      <c r="S29" s="45">
        <v>46508</v>
      </c>
      <c r="T29" s="45">
        <v>46539</v>
      </c>
      <c r="U29" s="45">
        <v>46569</v>
      </c>
      <c r="V29" s="45">
        <v>46600</v>
      </c>
      <c r="W29" s="45">
        <v>46631</v>
      </c>
      <c r="X29" s="45">
        <v>46661</v>
      </c>
      <c r="Y29" s="45">
        <v>46692</v>
      </c>
      <c r="Z29" s="45">
        <v>46722</v>
      </c>
    </row>
    <row r="30" spans="2:26" x14ac:dyDescent="0.25">
      <c r="J30" s="4"/>
      <c r="K30" s="4"/>
      <c r="L30" s="4"/>
      <c r="N30" s="50" t="s">
        <v>78</v>
      </c>
      <c r="O30" s="17">
        <v>50000</v>
      </c>
      <c r="P30" s="17">
        <v>50000</v>
      </c>
      <c r="Q30" s="17">
        <v>50000</v>
      </c>
      <c r="R30" s="17">
        <v>50000</v>
      </c>
      <c r="S30" s="17">
        <v>55000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</row>
    <row r="31" spans="2:26" x14ac:dyDescent="0.25">
      <c r="N31" s="50" t="s">
        <v>79</v>
      </c>
      <c r="O31" s="22">
        <f>O30</f>
        <v>50000</v>
      </c>
      <c r="P31" s="22">
        <f t="shared" ref="P31:Z31" si="7">P30+O31</f>
        <v>100000</v>
      </c>
      <c r="Q31" s="22">
        <f t="shared" si="7"/>
        <v>150000</v>
      </c>
      <c r="R31" s="22">
        <f t="shared" si="7"/>
        <v>200000</v>
      </c>
      <c r="S31" s="22">
        <f t="shared" si="7"/>
        <v>255000</v>
      </c>
      <c r="T31" s="22">
        <f t="shared" si="7"/>
        <v>255000</v>
      </c>
      <c r="U31" s="22">
        <f t="shared" si="7"/>
        <v>255000</v>
      </c>
      <c r="V31" s="22">
        <f t="shared" si="7"/>
        <v>255000</v>
      </c>
      <c r="W31" s="22">
        <f t="shared" si="7"/>
        <v>255000</v>
      </c>
      <c r="X31" s="22">
        <f t="shared" si="7"/>
        <v>255000</v>
      </c>
      <c r="Y31" s="22">
        <f t="shared" si="7"/>
        <v>255000</v>
      </c>
      <c r="Z31" s="22">
        <f t="shared" si="7"/>
        <v>255000</v>
      </c>
    </row>
    <row r="32" spans="2:26" x14ac:dyDescent="0.25">
      <c r="N32" s="50" t="s">
        <v>80</v>
      </c>
      <c r="O32" s="22">
        <f>AVERAGE(0,0,0,0,0,0,0,0,0,0,0,0,O31)</f>
        <v>3846.1538461538462</v>
      </c>
      <c r="P32" s="22">
        <f>AVERAGE(0,0,0,0,0,0,0,0,0,0,0,O31,P31)</f>
        <v>11538.461538461539</v>
      </c>
      <c r="Q32" s="22">
        <f>AVERAGE(0,0,0,0,0,0,0,0,0,0,P31,Q31,O31)</f>
        <v>23076.923076923078</v>
      </c>
      <c r="R32" s="22">
        <f>AVERAGE(0,0,0,0,0,0,0,0,0,Q31,R31,P31,O31)</f>
        <v>38461.538461538461</v>
      </c>
      <c r="S32" s="22">
        <f>AVERAGE(0,0,0,0,0,0,0,0,O31,P31,Q31,R31,S31)</f>
        <v>58076.923076923078</v>
      </c>
      <c r="T32" s="22">
        <f>AVERAGE(0,0,0,0,0,0,0,O31,P31,Q31,R31,S31,T31)</f>
        <v>77692.307692307688</v>
      </c>
      <c r="U32" s="22">
        <f>AVERAGE(0,0,0,0,0,0,O31,P31,Q31,R31,S31,T31,U31)</f>
        <v>97307.692307692312</v>
      </c>
      <c r="V32" s="22">
        <f>AVERAGE(0,0,0,0,0,O31,P31,Q31,R31,S31,T31,U31,V31)</f>
        <v>116923.07692307692</v>
      </c>
      <c r="W32" s="22">
        <f>AVERAGE(0,0,0,0,O31,P31,Q31,R31,S31,T31,U31,V31,W31)</f>
        <v>136538.46153846153</v>
      </c>
      <c r="X32" s="22">
        <f>AVERAGE(0,0,0,O31,P31,Q31,R31,S31,T31,U31,V31,W31,X31)</f>
        <v>156153.84615384616</v>
      </c>
      <c r="Y32" s="22">
        <f>AVERAGE(0,0,O31,P31,Q31,R31,S31,T31,U31,V31,W31,X31,Y31)</f>
        <v>175769.23076923078</v>
      </c>
      <c r="Z32" s="46">
        <f>AVERAGE(0,N31:Z31)</f>
        <v>195384.61538461538</v>
      </c>
    </row>
    <row r="33" spans="14:26" x14ac:dyDescent="0.25">
      <c r="N33" s="50" t="s">
        <v>48</v>
      </c>
      <c r="O33" s="47">
        <f>0*$O$34/12</f>
        <v>0</v>
      </c>
      <c r="P33" s="47">
        <f t="shared" ref="P33:Z33" si="8">O31*$O$34/12</f>
        <v>141.25</v>
      </c>
      <c r="Q33" s="47">
        <f t="shared" si="8"/>
        <v>282.5</v>
      </c>
      <c r="R33" s="47">
        <f t="shared" si="8"/>
        <v>423.75</v>
      </c>
      <c r="S33" s="47">
        <f t="shared" si="8"/>
        <v>565</v>
      </c>
      <c r="T33" s="47">
        <f t="shared" si="8"/>
        <v>720.375</v>
      </c>
      <c r="U33" s="47">
        <f t="shared" si="8"/>
        <v>720.375</v>
      </c>
      <c r="V33" s="47">
        <f t="shared" si="8"/>
        <v>720.375</v>
      </c>
      <c r="W33" s="47">
        <f t="shared" si="8"/>
        <v>720.375</v>
      </c>
      <c r="X33" s="47">
        <f t="shared" si="8"/>
        <v>720.375</v>
      </c>
      <c r="Y33" s="47">
        <f t="shared" si="8"/>
        <v>720.375</v>
      </c>
      <c r="Z33" s="47">
        <f t="shared" si="8"/>
        <v>720.375</v>
      </c>
    </row>
    <row r="34" spans="14:26" x14ac:dyDescent="0.25">
      <c r="N34" s="50" t="s">
        <v>81</v>
      </c>
      <c r="O34" s="51">
        <v>3.39E-2</v>
      </c>
      <c r="Z34" s="46">
        <f>SUM(O33:Z33)</f>
        <v>6455.125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B95F-33BC-48CA-9D9A-241A791AAFA6}">
  <dimension ref="A2:E25"/>
  <sheetViews>
    <sheetView zoomScale="70" workbookViewId="0">
      <selection activeCell="F25" sqref="F25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93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0</v>
      </c>
      <c r="D3" s="17">
        <v>14987361.914615385</v>
      </c>
      <c r="E3" s="17">
        <v>180598342.97538468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0</v>
      </c>
      <c r="D5" s="4">
        <f t="shared" ref="D5:E5" si="0">D3*D4</f>
        <v>1104568.5731071539</v>
      </c>
      <c r="E5" s="4">
        <f t="shared" si="0"/>
        <v>13310097.877285851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0</v>
      </c>
      <c r="D7" s="6">
        <f t="shared" ref="D7:E7" si="1">D5*D6</f>
        <v>1484142.5175696961</v>
      </c>
      <c r="E7" s="6">
        <f t="shared" si="1"/>
        <v>17883979.91183636</v>
      </c>
    </row>
    <row r="8" spans="1:5" x14ac:dyDescent="0.25">
      <c r="A8" s="1">
        <v>6</v>
      </c>
      <c r="B8" s="2" t="s">
        <v>47</v>
      </c>
      <c r="C8" s="7">
        <v>0</v>
      </c>
      <c r="D8" s="7">
        <v>750000</v>
      </c>
      <c r="E8" s="7">
        <v>1856925.62745</v>
      </c>
    </row>
    <row r="9" spans="1:5" x14ac:dyDescent="0.25">
      <c r="A9" s="1">
        <v>7</v>
      </c>
      <c r="B9" s="2" t="s">
        <v>48</v>
      </c>
      <c r="C9" s="17">
        <v>0</v>
      </c>
      <c r="D9" s="17">
        <v>0</v>
      </c>
      <c r="E9" s="17">
        <v>6536642.734101003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0</v>
      </c>
      <c r="E10" s="18">
        <f>ROUND(E19-D10-C10,0)</f>
        <v>635164</v>
      </c>
    </row>
    <row r="11" spans="1:5" x14ac:dyDescent="0.25">
      <c r="A11" s="1">
        <v>9</v>
      </c>
      <c r="B11" s="2" t="s">
        <v>50</v>
      </c>
      <c r="C11" s="17">
        <v>0</v>
      </c>
      <c r="D11" s="17">
        <v>-483687.15672437905</v>
      </c>
      <c r="E11" s="17">
        <v>-8219368.1859773183</v>
      </c>
    </row>
    <row r="12" spans="1:5" x14ac:dyDescent="0.25">
      <c r="A12" s="1">
        <v>10</v>
      </c>
      <c r="B12" s="2" t="s">
        <v>51</v>
      </c>
      <c r="C12" s="5">
        <f>C7+C8+C9+C10+C11</f>
        <v>0</v>
      </c>
      <c r="D12" s="5">
        <f t="shared" ref="D12:E12" si="2">D7+D8+D9+D10+D11</f>
        <v>1750455.3608453171</v>
      </c>
      <c r="E12" s="5">
        <f t="shared" si="2"/>
        <v>18693344.087410048</v>
      </c>
    </row>
    <row r="13" spans="1:5" x14ac:dyDescent="0.25">
      <c r="B13" t="s">
        <v>52</v>
      </c>
      <c r="C13" s="22">
        <v>0</v>
      </c>
      <c r="D13" s="22">
        <v>0</v>
      </c>
      <c r="E13" s="22">
        <v>0.39794139936566353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0</v>
      </c>
      <c r="E17" s="17">
        <v>194835704.88999999</v>
      </c>
    </row>
    <row r="18" spans="2:5" x14ac:dyDescent="0.25">
      <c r="B18" s="11" t="s">
        <v>56</v>
      </c>
      <c r="C18" s="13">
        <v>3.259999999999999E-3</v>
      </c>
      <c r="D18" s="13">
        <v>3.259999999999999E-3</v>
      </c>
      <c r="E18" s="13">
        <v>3.259999999999999E-3</v>
      </c>
    </row>
    <row r="19" spans="2:5" x14ac:dyDescent="0.25">
      <c r="B19" s="11" t="s">
        <v>49</v>
      </c>
      <c r="C19" s="14">
        <f>+C17*C18</f>
        <v>0</v>
      </c>
      <c r="D19" s="15">
        <f>+D17*D18</f>
        <v>0</v>
      </c>
      <c r="E19" s="15">
        <f>+E17*E18</f>
        <v>635164.39794139971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0</v>
      </c>
      <c r="D25" s="64">
        <f>D12/1000000</f>
        <v>1.7504553608453171</v>
      </c>
      <c r="E25" s="64">
        <f>E12/1000000</f>
        <v>18.693344087410047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49B3-5AE9-453F-B1AA-2724F1298F3D}">
  <dimension ref="A2:L30"/>
  <sheetViews>
    <sheetView workbookViewId="0">
      <selection activeCell="D3" sqref="D3:E3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40.5703125" customWidth="1"/>
    <col min="9" max="11" width="14" customWidth="1"/>
    <col min="12" max="12" width="10.28515625" customWidth="1"/>
  </cols>
  <sheetData>
    <row r="2" spans="1:12" x14ac:dyDescent="0.25">
      <c r="B2" s="3" t="s">
        <v>40</v>
      </c>
      <c r="C2" s="10">
        <v>2025</v>
      </c>
      <c r="D2" s="10">
        <v>2026</v>
      </c>
      <c r="E2" s="10">
        <v>2027</v>
      </c>
      <c r="H2" s="3" t="s">
        <v>41</v>
      </c>
      <c r="I2" s="10">
        <v>2025</v>
      </c>
      <c r="J2" s="10">
        <v>2026</v>
      </c>
      <c r="K2" s="10">
        <v>2027</v>
      </c>
    </row>
    <row r="3" spans="1:12" x14ac:dyDescent="0.25">
      <c r="A3" s="1">
        <v>1</v>
      </c>
      <c r="B3" s="2" t="s">
        <v>42</v>
      </c>
      <c r="C3" s="17">
        <v>0</v>
      </c>
      <c r="D3" s="17">
        <v>7064910.5307692308</v>
      </c>
      <c r="E3" s="17">
        <v>17214792.93923077</v>
      </c>
      <c r="G3" s="1">
        <v>1</v>
      </c>
      <c r="H3" s="2" t="s">
        <v>42</v>
      </c>
      <c r="I3" s="17">
        <v>0</v>
      </c>
      <c r="J3" s="17">
        <v>1022291.9730769232</v>
      </c>
      <c r="K3" s="17">
        <v>12267503.676923079</v>
      </c>
      <c r="L3" s="1"/>
    </row>
    <row r="4" spans="1:12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  <c r="L4" s="1"/>
    </row>
    <row r="5" spans="1:12" x14ac:dyDescent="0.25">
      <c r="A5" s="1">
        <v>3</v>
      </c>
      <c r="B5" s="2" t="s">
        <v>44</v>
      </c>
      <c r="C5" s="4">
        <f>C3*C4</f>
        <v>0</v>
      </c>
      <c r="D5" s="4">
        <f t="shared" ref="D5:E5" si="0">D3*D4</f>
        <v>520683.9061176923</v>
      </c>
      <c r="E5" s="4">
        <f t="shared" si="0"/>
        <v>1268730.2396213077</v>
      </c>
      <c r="G5" s="1">
        <v>3</v>
      </c>
      <c r="H5" s="2" t="s">
        <v>44</v>
      </c>
      <c r="I5" s="4">
        <f>I3*I4</f>
        <v>0</v>
      </c>
      <c r="J5" s="4">
        <f>J3*J4</f>
        <v>75342.918415769236</v>
      </c>
      <c r="K5" s="4">
        <f>K3*K4</f>
        <v>904115.02098923095</v>
      </c>
      <c r="L5" s="1"/>
    </row>
    <row r="6" spans="1:12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  <c r="L6" s="1"/>
    </row>
    <row r="7" spans="1:12" x14ac:dyDescent="0.25">
      <c r="A7" s="1">
        <v>5</v>
      </c>
      <c r="B7" s="2" t="s">
        <v>46</v>
      </c>
      <c r="C7" s="6">
        <f>C5*C6</f>
        <v>0</v>
      </c>
      <c r="D7" s="6">
        <f t="shared" ref="D7:E7" si="1">D5*D6</f>
        <v>699611.72361597605</v>
      </c>
      <c r="E7" s="6">
        <f t="shared" si="1"/>
        <v>1704716.6991647738</v>
      </c>
      <c r="G7" s="1">
        <v>5</v>
      </c>
      <c r="H7" s="2" t="s">
        <v>46</v>
      </c>
      <c r="I7" s="6">
        <f>I5*I6</f>
        <v>0</v>
      </c>
      <c r="J7" s="6">
        <f>J5*J6</f>
        <v>101233.75890016418</v>
      </c>
      <c r="K7" s="6">
        <f>K5*K6</f>
        <v>1214805.1068019702</v>
      </c>
      <c r="L7" s="1"/>
    </row>
    <row r="8" spans="1:12" x14ac:dyDescent="0.25">
      <c r="A8" s="1">
        <v>6</v>
      </c>
      <c r="B8" s="2" t="s">
        <v>47</v>
      </c>
      <c r="C8" s="69">
        <f>C21</f>
        <v>0</v>
      </c>
      <c r="D8" s="69">
        <f>D21-C8</f>
        <v>0</v>
      </c>
      <c r="E8" s="69">
        <f>E21-D8-C8</f>
        <v>0</v>
      </c>
      <c r="G8" s="1">
        <v>6</v>
      </c>
      <c r="H8" s="2" t="s">
        <v>47</v>
      </c>
      <c r="I8" s="69">
        <f>I23</f>
        <v>194911.44</v>
      </c>
      <c r="J8" s="69">
        <f>J23-I8</f>
        <v>155476.24</v>
      </c>
      <c r="K8" s="69">
        <f>K23-J8-I8</f>
        <v>59021.320000000007</v>
      </c>
      <c r="L8" s="1"/>
    </row>
    <row r="9" spans="1:12" x14ac:dyDescent="0.25">
      <c r="A9" s="1">
        <v>7</v>
      </c>
      <c r="B9" s="2" t="s">
        <v>48</v>
      </c>
      <c r="C9" s="17">
        <v>0</v>
      </c>
      <c r="D9" s="17">
        <v>377233.07831750007</v>
      </c>
      <c r="E9" s="17">
        <v>1249507.0541725005</v>
      </c>
      <c r="G9" s="1">
        <v>7</v>
      </c>
      <c r="H9" s="2" t="s">
        <v>48</v>
      </c>
      <c r="I9" s="17">
        <v>0</v>
      </c>
      <c r="J9" s="17">
        <v>0</v>
      </c>
      <c r="K9" s="17">
        <v>773266.30004300002</v>
      </c>
      <c r="L9" s="1"/>
    </row>
    <row r="10" spans="1:12" x14ac:dyDescent="0.25">
      <c r="A10" s="1">
        <v>8</v>
      </c>
      <c r="B10" s="2" t="s">
        <v>49</v>
      </c>
      <c r="C10" s="18">
        <f>C19</f>
        <v>0</v>
      </c>
      <c r="D10" s="18">
        <f>D19-C10</f>
        <v>0</v>
      </c>
      <c r="E10" s="18">
        <f>ROUND(E19-D10-C10,0)</f>
        <v>217668</v>
      </c>
      <c r="G10" s="1">
        <v>8</v>
      </c>
      <c r="H10" s="2" t="s">
        <v>49</v>
      </c>
      <c r="I10" s="18">
        <f>I19</f>
        <v>0</v>
      </c>
      <c r="J10" s="18">
        <f>J19-I10</f>
        <v>0</v>
      </c>
      <c r="K10" s="18">
        <f>ROUND(K19-J10-I10,0)</f>
        <v>119143</v>
      </c>
      <c r="L10" s="1"/>
    </row>
    <row r="11" spans="1:12" x14ac:dyDescent="0.25">
      <c r="A11" s="1">
        <v>9</v>
      </c>
      <c r="B11" s="2" t="s">
        <v>50</v>
      </c>
      <c r="C11" s="17"/>
      <c r="D11" s="17"/>
      <c r="E11" s="17"/>
      <c r="G11" s="1">
        <v>9</v>
      </c>
      <c r="H11" s="2" t="s">
        <v>50</v>
      </c>
      <c r="I11" s="43"/>
      <c r="J11" s="43"/>
      <c r="K11" s="43"/>
      <c r="L11" s="1"/>
    </row>
    <row r="12" spans="1:12" ht="15.75" thickBot="1" x14ac:dyDescent="0.3">
      <c r="A12" s="1">
        <v>10</v>
      </c>
      <c r="B12" s="2" t="s">
        <v>51</v>
      </c>
      <c r="C12" s="5">
        <f>C7+C8+C9+C10+C11</f>
        <v>0</v>
      </c>
      <c r="D12" s="5">
        <f>D7+D8+D9+D10+D11</f>
        <v>1076844.8019334762</v>
      </c>
      <c r="E12" s="5">
        <f t="shared" ref="E12" si="2">E7+E8+E9+E10+E11</f>
        <v>3171891.7533372743</v>
      </c>
      <c r="G12" s="1">
        <v>10</v>
      </c>
      <c r="H12" s="2" t="s">
        <v>51</v>
      </c>
      <c r="I12" s="5">
        <f>I7+I8+I9+I10+I11</f>
        <v>194911.44</v>
      </c>
      <c r="J12" s="5">
        <f>J7+J8+J9+J10+J11</f>
        <v>256709.99890016415</v>
      </c>
      <c r="K12" s="5">
        <f>K7+K8+K9+K10+K11</f>
        <v>2166235.7268449701</v>
      </c>
      <c r="L12" s="1"/>
    </row>
    <row r="13" spans="1:12" ht="15.75" thickTop="1" x14ac:dyDescent="0.25">
      <c r="B13" t="s">
        <v>52</v>
      </c>
      <c r="C13" s="12">
        <v>0</v>
      </c>
      <c r="D13" s="12">
        <v>0</v>
      </c>
      <c r="E13" s="12">
        <v>0</v>
      </c>
      <c r="H13" t="s">
        <v>52</v>
      </c>
      <c r="I13" s="22"/>
      <c r="J13" s="22"/>
      <c r="K13" s="22"/>
    </row>
    <row r="15" spans="1:12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</row>
    <row r="16" spans="1:12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</row>
    <row r="17" spans="1:11" x14ac:dyDescent="0.25">
      <c r="B17" s="11" t="s">
        <v>55</v>
      </c>
      <c r="C17" s="12">
        <v>0</v>
      </c>
      <c r="D17" s="12">
        <v>0</v>
      </c>
      <c r="E17" s="12">
        <v>24279703.469999999</v>
      </c>
      <c r="H17" s="11" t="s">
        <v>55</v>
      </c>
      <c r="I17" s="12">
        <v>0</v>
      </c>
      <c r="J17" s="12">
        <v>0</v>
      </c>
      <c r="K17" s="12">
        <v>13289795.65</v>
      </c>
    </row>
    <row r="18" spans="1:11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  <c r="H18" s="11" t="s">
        <v>56</v>
      </c>
      <c r="I18" s="13">
        <f>C18</f>
        <v>8.9650000000000007E-3</v>
      </c>
      <c r="J18" s="13">
        <f>D18</f>
        <v>8.9650000000000007E-3</v>
      </c>
      <c r="K18" s="13">
        <f>E18</f>
        <v>8.9650000000000007E-3</v>
      </c>
    </row>
    <row r="19" spans="1:11" ht="15.75" thickBot="1" x14ac:dyDescent="0.3">
      <c r="B19" s="11" t="s">
        <v>49</v>
      </c>
      <c r="C19" s="14">
        <f>+C17*C18</f>
        <v>0</v>
      </c>
      <c r="D19" s="15">
        <f>+D17*D18</f>
        <v>0</v>
      </c>
      <c r="E19" s="15">
        <f>+E17*E18</f>
        <v>217667.54160855</v>
      </c>
      <c r="H19" s="11" t="s">
        <v>49</v>
      </c>
      <c r="I19" s="15">
        <f>+I17*I18</f>
        <v>0</v>
      </c>
      <c r="J19" s="15">
        <f>+J17*J18</f>
        <v>0</v>
      </c>
      <c r="K19" s="15">
        <f>+K17*K18</f>
        <v>119143.01800225001</v>
      </c>
    </row>
    <row r="21" spans="1:11" x14ac:dyDescent="0.25">
      <c r="B21" t="s">
        <v>57</v>
      </c>
      <c r="C21" s="67">
        <v>0</v>
      </c>
      <c r="D21" s="67">
        <v>0</v>
      </c>
      <c r="E21" s="67">
        <v>0</v>
      </c>
      <c r="H21" t="s">
        <v>58</v>
      </c>
      <c r="I21" s="67">
        <v>192953.5</v>
      </c>
      <c r="J21" s="67">
        <v>345670</v>
      </c>
      <c r="K21" s="67">
        <v>409409</v>
      </c>
    </row>
    <row r="22" spans="1:11" x14ac:dyDescent="0.25">
      <c r="H22" t="s">
        <v>59</v>
      </c>
      <c r="I22" s="67">
        <v>1957.94</v>
      </c>
      <c r="J22" s="67">
        <v>4717.68</v>
      </c>
      <c r="K22" s="67">
        <v>0</v>
      </c>
    </row>
    <row r="23" spans="1:11" x14ac:dyDescent="0.25">
      <c r="A23" s="45"/>
      <c r="B23" s="45"/>
      <c r="C23" s="45"/>
      <c r="D23" s="45"/>
      <c r="E23" s="45"/>
      <c r="F23" s="45"/>
      <c r="G23" s="45"/>
      <c r="H23" t="s">
        <v>60</v>
      </c>
      <c r="I23" s="68">
        <f>SUM(I21:I22)</f>
        <v>194911.44</v>
      </c>
      <c r="J23" s="68">
        <f t="shared" ref="J23:K23" si="3">SUM(J21:J22)</f>
        <v>350387.68</v>
      </c>
      <c r="K23" s="68">
        <f t="shared" si="3"/>
        <v>409409</v>
      </c>
    </row>
    <row r="25" spans="1:11" x14ac:dyDescent="0.25">
      <c r="B25" t="s">
        <v>61</v>
      </c>
      <c r="C25" s="22">
        <f>C12/1000000</f>
        <v>0</v>
      </c>
      <c r="D25" s="64">
        <f>D12/1000000</f>
        <v>1.0768448019334762</v>
      </c>
      <c r="E25" s="64">
        <f>E12/1000000</f>
        <v>3.1718917533372744</v>
      </c>
      <c r="H25" t="s">
        <v>61</v>
      </c>
      <c r="I25" s="64">
        <f t="shared" ref="I25:K25" si="4">I12/1000000</f>
        <v>0.19491143999999999</v>
      </c>
      <c r="J25" s="64">
        <f t="shared" si="4"/>
        <v>0.25670999890016416</v>
      </c>
      <c r="K25" s="64">
        <f t="shared" si="4"/>
        <v>2.1662357268449703</v>
      </c>
    </row>
    <row r="30" spans="1:11" x14ac:dyDescent="0.25">
      <c r="D30" s="4"/>
      <c r="E30" s="4"/>
      <c r="F30" s="4"/>
      <c r="I30" s="67"/>
      <c r="J30" s="67"/>
      <c r="K30" s="6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FCDC-1561-4EFE-809A-B77FF39D9237}">
  <dimension ref="A2:E25"/>
  <sheetViews>
    <sheetView workbookViewId="0">
      <selection activeCell="C25" sqref="C25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62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49535275.655384623</v>
      </c>
      <c r="D3" s="17">
        <v>30959547.284615375</v>
      </c>
      <c r="E3" s="17">
        <v>0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3650749.8158018468</v>
      </c>
      <c r="D5" s="4">
        <f t="shared" ref="D5:E5" si="0">D3*D4</f>
        <v>2281718.634876153</v>
      </c>
      <c r="E5" s="4">
        <f t="shared" si="0"/>
        <v>0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4905293.4825039934</v>
      </c>
      <c r="D7" s="6">
        <f t="shared" ref="D7:E7" si="1">D5*D6</f>
        <v>3065808.4265649943</v>
      </c>
      <c r="E7" s="6">
        <f t="shared" si="1"/>
        <v>0</v>
      </c>
    </row>
    <row r="8" spans="1:5" x14ac:dyDescent="0.25">
      <c r="A8" s="1">
        <v>6</v>
      </c>
      <c r="B8" s="2" t="s">
        <v>47</v>
      </c>
      <c r="C8" s="7">
        <v>-1857114.0000000002</v>
      </c>
      <c r="D8" s="7">
        <v>-37142.279999999795</v>
      </c>
      <c r="E8" s="7">
        <v>0</v>
      </c>
    </row>
    <row r="9" spans="1:5" x14ac:dyDescent="0.25">
      <c r="A9" s="1">
        <v>7</v>
      </c>
      <c r="B9" s="2" t="s">
        <v>48</v>
      </c>
      <c r="C9" s="17">
        <v>2009687.4127353341</v>
      </c>
      <c r="D9" s="17">
        <v>1435491.0090966662</v>
      </c>
      <c r="E9" s="17">
        <v>0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721636.08765710017</v>
      </c>
      <c r="E10" s="18">
        <f>ROUND(E19-D10-C10,0)</f>
        <v>0</v>
      </c>
    </row>
    <row r="11" spans="1:5" x14ac:dyDescent="0.25">
      <c r="A11" s="1">
        <v>9</v>
      </c>
      <c r="B11" s="2" t="s">
        <v>50</v>
      </c>
      <c r="C11" s="8"/>
      <c r="D11" s="8"/>
      <c r="E11" s="8"/>
    </row>
    <row r="12" spans="1:5" x14ac:dyDescent="0.25">
      <c r="A12" s="1">
        <v>10</v>
      </c>
      <c r="B12" s="2" t="s">
        <v>51</v>
      </c>
      <c r="C12" s="5">
        <f>C7+C8+C9+C10+C11</f>
        <v>5057866.8952393271</v>
      </c>
      <c r="D12" s="5">
        <f t="shared" ref="D12:E12" si="2">D7+D8+D9+D10+D11</f>
        <v>5185793.2433187617</v>
      </c>
      <c r="E12" s="5">
        <f t="shared" si="2"/>
        <v>0</v>
      </c>
    </row>
    <row r="13" spans="1:5" x14ac:dyDescent="0.25">
      <c r="B13" t="s">
        <v>52</v>
      </c>
      <c r="C13" s="22">
        <v>0</v>
      </c>
      <c r="D13" s="22">
        <v>0</v>
      </c>
      <c r="E13" s="22">
        <v>0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80494822.940000013</v>
      </c>
      <c r="E17" s="17">
        <v>80494822.940000013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0</v>
      </c>
      <c r="D19" s="15">
        <f>+D17*D18</f>
        <v>721636.08765710017</v>
      </c>
      <c r="E19" s="15">
        <f>+E17*E18</f>
        <v>721636.08765710017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5.0578668952393269</v>
      </c>
      <c r="D25" s="64">
        <f>D12/1000000</f>
        <v>5.1857932433187619</v>
      </c>
      <c r="E25" s="64">
        <f>E12/1000000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5949-6AAE-40CC-AEDF-F39328DBB498}">
  <dimension ref="A2:E25"/>
  <sheetViews>
    <sheetView workbookViewId="0">
      <selection activeCell="C25" sqref="C25:E25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64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41633591.583076924</v>
      </c>
      <c r="D3" s="17">
        <v>11295010.946923062</v>
      </c>
      <c r="E3" s="17">
        <v>0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3068395.6996727693</v>
      </c>
      <c r="D5" s="4">
        <f t="shared" ref="D5:E5" si="0">D3*D4</f>
        <v>832442.30678822973</v>
      </c>
      <c r="E5" s="4">
        <f t="shared" si="0"/>
        <v>0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4122819.1979083195</v>
      </c>
      <c r="D7" s="6">
        <f t="shared" ref="D7:E7" si="1">D5*D6</f>
        <v>1118502.7810929369</v>
      </c>
      <c r="E7" s="6">
        <f t="shared" si="1"/>
        <v>0</v>
      </c>
    </row>
    <row r="8" spans="1:5" x14ac:dyDescent="0.25">
      <c r="A8" s="1">
        <v>6</v>
      </c>
      <c r="B8" s="2" t="s">
        <v>47</v>
      </c>
      <c r="C8" s="7">
        <v>633333.33333333337</v>
      </c>
      <c r="D8" s="7">
        <v>81999.999999999767</v>
      </c>
      <c r="E8" s="7">
        <v>0</v>
      </c>
    </row>
    <row r="9" spans="1:5" x14ac:dyDescent="0.25">
      <c r="A9" s="1">
        <v>7</v>
      </c>
      <c r="B9" s="2" t="s">
        <v>48</v>
      </c>
      <c r="C9" s="17">
        <v>4145979.8724791668</v>
      </c>
      <c r="D9" s="17">
        <v>1248519.1980058327</v>
      </c>
      <c r="E9" s="17">
        <v>0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474504.92168144998</v>
      </c>
      <c r="E10" s="18">
        <f>ROUND(E19-D10-C10,0)</f>
        <v>0</v>
      </c>
    </row>
    <row r="11" spans="1:5" x14ac:dyDescent="0.25">
      <c r="A11" s="1">
        <v>9</v>
      </c>
      <c r="B11" s="2" t="s">
        <v>50</v>
      </c>
      <c r="C11" s="17">
        <v>-1703366.0189999999</v>
      </c>
      <c r="D11" s="17">
        <v>-340673.20380000002</v>
      </c>
      <c r="E11" s="17">
        <v>0</v>
      </c>
    </row>
    <row r="12" spans="1:5" x14ac:dyDescent="0.25">
      <c r="A12" s="1">
        <v>10</v>
      </c>
      <c r="B12" s="2" t="s">
        <v>51</v>
      </c>
      <c r="C12" s="5">
        <f>C7+C8+C9+C10+C11</f>
        <v>7198766.3847208191</v>
      </c>
      <c r="D12" s="5">
        <f t="shared" ref="D12:E12" si="2">D7+D8+D9+D10+D11</f>
        <v>2582853.6969802193</v>
      </c>
      <c r="E12" s="5">
        <f t="shared" si="2"/>
        <v>0</v>
      </c>
    </row>
    <row r="13" spans="1:5" x14ac:dyDescent="0.25">
      <c r="B13" t="s">
        <v>52</v>
      </c>
      <c r="C13" s="22">
        <v>0</v>
      </c>
      <c r="D13" s="22">
        <v>0</v>
      </c>
      <c r="E13" s="22">
        <v>0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52928602.529999994</v>
      </c>
      <c r="E17" s="17">
        <v>52928602.529999994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0</v>
      </c>
      <c r="D19" s="15">
        <f>+D17*D18</f>
        <v>474504.92168144998</v>
      </c>
      <c r="E19" s="15">
        <f>+E17*E18</f>
        <v>474504.92168144998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7.1987663847208188</v>
      </c>
      <c r="D25" s="64">
        <f>D12/1000000</f>
        <v>2.5828536969802194</v>
      </c>
      <c r="E25" s="64">
        <f>E12/1000000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4A77-4422-4195-997E-D9BE693075FC}">
  <dimension ref="A2:E25"/>
  <sheetViews>
    <sheetView workbookViewId="0">
      <selection activeCell="C3" sqref="C3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65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38907026.274615377</v>
      </c>
      <c r="D3" s="17">
        <v>18575859.295384623</v>
      </c>
      <c r="E3" s="17">
        <v>0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2867447.8364391532</v>
      </c>
      <c r="D5" s="4">
        <f t="shared" ref="D5:E5" si="0">D3*D4</f>
        <v>1369040.8300698467</v>
      </c>
      <c r="E5" s="4">
        <f t="shared" si="0"/>
        <v>0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3852817.6109531038</v>
      </c>
      <c r="D7" s="6">
        <f t="shared" ref="D7:E7" si="1">D5*D6</f>
        <v>1839498.0209150487</v>
      </c>
      <c r="E7" s="6">
        <f t="shared" si="1"/>
        <v>0</v>
      </c>
    </row>
    <row r="8" spans="1:5" x14ac:dyDescent="0.25">
      <c r="A8" s="1">
        <v>6</v>
      </c>
      <c r="B8" s="2" t="s">
        <v>47</v>
      </c>
      <c r="C8" s="7">
        <v>760000</v>
      </c>
      <c r="D8" s="7">
        <v>98399.999999999884</v>
      </c>
      <c r="E8" s="7">
        <v>0</v>
      </c>
    </row>
    <row r="9" spans="1:5" x14ac:dyDescent="0.25">
      <c r="A9" s="1">
        <v>7</v>
      </c>
      <c r="B9" s="2" t="s">
        <v>48</v>
      </c>
      <c r="C9" s="17">
        <v>3815044.6265109992</v>
      </c>
      <c r="D9" s="17">
        <v>2067048.5301960008</v>
      </c>
      <c r="E9" s="17">
        <v>0</v>
      </c>
    </row>
    <row r="10" spans="1:5" x14ac:dyDescent="0.25">
      <c r="A10" s="1">
        <v>8</v>
      </c>
      <c r="B10" s="2" t="s">
        <v>49</v>
      </c>
      <c r="C10" s="18">
        <f>C19</f>
        <v>2490.59453115</v>
      </c>
      <c r="D10" s="18">
        <f>D19-C10</f>
        <v>512843.47460390005</v>
      </c>
      <c r="E10" s="18">
        <f>ROUND(E19-D10-C10,0)</f>
        <v>0</v>
      </c>
    </row>
    <row r="11" spans="1:5" x14ac:dyDescent="0.25">
      <c r="A11" s="1">
        <v>9</v>
      </c>
      <c r="B11" s="2" t="s">
        <v>50</v>
      </c>
      <c r="C11" s="17">
        <v>-1756110.4566048288</v>
      </c>
      <c r="D11" s="17">
        <v>-439027.61415120703</v>
      </c>
      <c r="E11" s="17">
        <v>0</v>
      </c>
    </row>
    <row r="12" spans="1:5" x14ac:dyDescent="0.25">
      <c r="A12" s="1">
        <v>10</v>
      </c>
      <c r="B12" s="2" t="s">
        <v>51</v>
      </c>
      <c r="C12" s="5">
        <f>C7+C8+C9+C10+C11</f>
        <v>6674242.3753904253</v>
      </c>
      <c r="D12" s="5">
        <f t="shared" ref="D12:E12" si="2">D7+D8+D9+D10+D11</f>
        <v>4078762.4115637429</v>
      </c>
      <c r="E12" s="5">
        <f t="shared" si="2"/>
        <v>0</v>
      </c>
    </row>
    <row r="13" spans="1:5" x14ac:dyDescent="0.25">
      <c r="B13" t="s">
        <v>52</v>
      </c>
      <c r="C13" s="22">
        <v>0</v>
      </c>
      <c r="D13" s="22">
        <v>0</v>
      </c>
      <c r="E13" s="22">
        <v>0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277813.11</v>
      </c>
      <c r="D17" s="17">
        <v>57482885.57</v>
      </c>
      <c r="E17" s="17">
        <v>57482885.57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2490.59453115</v>
      </c>
      <c r="D19" s="15">
        <f>+D17*D18</f>
        <v>515334.06913505006</v>
      </c>
      <c r="E19" s="15">
        <f>+E17*E18</f>
        <v>515334.06913505006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6.674242375390425</v>
      </c>
      <c r="D25" s="64">
        <f>D12/1000000</f>
        <v>4.0787624115637433</v>
      </c>
      <c r="E25" s="64">
        <f>E12/1000000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F10D-4960-439E-86A1-4DEA3904D1CE}">
  <dimension ref="A2:E25"/>
  <sheetViews>
    <sheetView workbookViewId="0">
      <selection activeCell="H21" sqref="H21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66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20819332.47846153</v>
      </c>
      <c r="D3" s="17">
        <v>11688818.20153847</v>
      </c>
      <c r="E3" s="17">
        <v>0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1534384.8036626149</v>
      </c>
      <c r="D5" s="4">
        <f t="shared" ref="D5:E5" si="0">D3*D4</f>
        <v>861465.90145338525</v>
      </c>
      <c r="E5" s="4">
        <f t="shared" si="0"/>
        <v>0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2061660.7975932357</v>
      </c>
      <c r="D7" s="6">
        <f t="shared" ref="D7:E7" si="1">D5*D6</f>
        <v>1157500.0438288264</v>
      </c>
      <c r="E7" s="6">
        <f t="shared" si="1"/>
        <v>0</v>
      </c>
    </row>
    <row r="8" spans="1:5" x14ac:dyDescent="0.25">
      <c r="A8" s="1">
        <v>6</v>
      </c>
      <c r="B8" s="2" t="s">
        <v>47</v>
      </c>
      <c r="C8" s="7">
        <v>285000</v>
      </c>
      <c r="D8" s="7">
        <v>36899.999999999942</v>
      </c>
      <c r="E8" s="7">
        <v>0</v>
      </c>
    </row>
    <row r="9" spans="1:5" x14ac:dyDescent="0.25">
      <c r="A9" s="1">
        <v>7</v>
      </c>
      <c r="B9" s="2" t="s">
        <v>48</v>
      </c>
      <c r="C9" s="17">
        <v>1971780.9297399998</v>
      </c>
      <c r="D9" s="17">
        <v>1259803.3136200004</v>
      </c>
      <c r="E9" s="17">
        <v>0</v>
      </c>
    </row>
    <row r="10" spans="1:5" x14ac:dyDescent="0.25">
      <c r="A10" s="1">
        <v>8</v>
      </c>
      <c r="B10" s="2" t="s">
        <v>49</v>
      </c>
      <c r="C10" s="18">
        <f>C19</f>
        <v>0</v>
      </c>
      <c r="D10" s="18">
        <f>D19-C10</f>
        <v>291435.57084619999</v>
      </c>
      <c r="E10" s="18">
        <f>ROUND(E19-D10-C10,0)</f>
        <v>0</v>
      </c>
    </row>
    <row r="11" spans="1:5" x14ac:dyDescent="0.25">
      <c r="A11" s="1">
        <v>9</v>
      </c>
      <c r="B11" s="2" t="s">
        <v>50</v>
      </c>
      <c r="C11" s="17">
        <v>-833936.43300568801</v>
      </c>
      <c r="D11" s="17">
        <v>-416968.21650284389</v>
      </c>
      <c r="E11" s="17">
        <v>0</v>
      </c>
    </row>
    <row r="12" spans="1:5" x14ac:dyDescent="0.25">
      <c r="A12" s="1">
        <v>10</v>
      </c>
      <c r="B12" s="2" t="s">
        <v>51</v>
      </c>
      <c r="C12" s="5">
        <f>C7+C8+C9+C10+C11</f>
        <v>3484505.2943275478</v>
      </c>
      <c r="D12" s="5">
        <f t="shared" ref="D12:E12" si="2">D7+D8+D9+D10+D11</f>
        <v>2328670.7117921826</v>
      </c>
      <c r="E12" s="5">
        <f t="shared" si="2"/>
        <v>0</v>
      </c>
    </row>
    <row r="13" spans="1:5" x14ac:dyDescent="0.25">
      <c r="B13" t="s">
        <v>52</v>
      </c>
      <c r="C13" s="22">
        <v>0</v>
      </c>
      <c r="D13" s="22">
        <v>0</v>
      </c>
      <c r="E13" s="22">
        <v>0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0</v>
      </c>
      <c r="D17" s="17">
        <v>32508150.679999996</v>
      </c>
      <c r="E17" s="17">
        <v>32508150.679999996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0</v>
      </c>
      <c r="D19" s="15">
        <f>+D17*D18</f>
        <v>291435.57084619999</v>
      </c>
      <c r="E19" s="15">
        <f>+E17*E18</f>
        <v>291435.57084619999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3.4845052943275476</v>
      </c>
      <c r="D25" s="64">
        <f>D12/1000000</f>
        <v>2.3286707117921828</v>
      </c>
      <c r="E25" s="64">
        <f>E12/1000000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24E7-CB96-4935-97D7-CC4E16E47415}">
  <dimension ref="A2:E25"/>
  <sheetViews>
    <sheetView workbookViewId="0">
      <selection activeCell="H26" sqref="H26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</cols>
  <sheetData>
    <row r="2" spans="1:5" x14ac:dyDescent="0.25">
      <c r="B2" s="3" t="s">
        <v>67</v>
      </c>
      <c r="C2" s="10">
        <v>2025</v>
      </c>
      <c r="D2" s="10">
        <v>2026</v>
      </c>
      <c r="E2" s="10">
        <v>2027</v>
      </c>
    </row>
    <row r="3" spans="1:5" x14ac:dyDescent="0.25">
      <c r="A3" s="1">
        <v>1</v>
      </c>
      <c r="B3" s="2" t="s">
        <v>42</v>
      </c>
      <c r="C3" s="17">
        <v>129563703.93846153</v>
      </c>
      <c r="D3" s="17">
        <v>70262089.791538432</v>
      </c>
      <c r="E3" s="17">
        <v>0</v>
      </c>
    </row>
    <row r="4" spans="1:5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</row>
    <row r="5" spans="1:5" x14ac:dyDescent="0.25">
      <c r="A5" s="1">
        <v>3</v>
      </c>
      <c r="B5" s="2" t="s">
        <v>44</v>
      </c>
      <c r="C5" s="4">
        <f>C3*C4</f>
        <v>9548844.9802646153</v>
      </c>
      <c r="D5" s="4">
        <f t="shared" ref="D5:E5" si="0">D3*D4</f>
        <v>5178316.017636383</v>
      </c>
      <c r="E5" s="4">
        <f t="shared" si="0"/>
        <v>0</v>
      </c>
    </row>
    <row r="6" spans="1:5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</row>
    <row r="7" spans="1:5" x14ac:dyDescent="0.25">
      <c r="A7" s="1">
        <v>5</v>
      </c>
      <c r="B7" s="2" t="s">
        <v>46</v>
      </c>
      <c r="C7" s="6">
        <f>C5*C6</f>
        <v>12830210.069282748</v>
      </c>
      <c r="D7" s="6">
        <f t="shared" ref="D7:E7" si="1">D5*D6</f>
        <v>6957792.5339369494</v>
      </c>
      <c r="E7" s="6">
        <f t="shared" si="1"/>
        <v>0</v>
      </c>
    </row>
    <row r="8" spans="1:5" x14ac:dyDescent="0.25">
      <c r="A8" s="1">
        <v>6</v>
      </c>
      <c r="B8" s="2" t="s">
        <v>47</v>
      </c>
      <c r="C8" s="7">
        <v>4323756.3600000003</v>
      </c>
      <c r="D8" s="7">
        <v>986280.87999999989</v>
      </c>
      <c r="E8" s="7">
        <v>0</v>
      </c>
    </row>
    <row r="9" spans="1:5" x14ac:dyDescent="0.25">
      <c r="A9" s="1">
        <v>7</v>
      </c>
      <c r="B9" s="2" t="s">
        <v>48</v>
      </c>
      <c r="C9" s="17">
        <v>2003946.4575308333</v>
      </c>
      <c r="D9" s="17">
        <v>1223208.8092191652</v>
      </c>
      <c r="E9" s="17">
        <v>0</v>
      </c>
    </row>
    <row r="10" spans="1:5" x14ac:dyDescent="0.25">
      <c r="A10" s="1">
        <v>8</v>
      </c>
      <c r="B10" s="2" t="s">
        <v>49</v>
      </c>
      <c r="C10" s="18">
        <f>C19</f>
        <v>171377.3555296</v>
      </c>
      <c r="D10" s="18">
        <f>D19-C10</f>
        <v>1620060.88525985</v>
      </c>
      <c r="E10" s="18">
        <f>ROUND(E19-D10-C10,0)</f>
        <v>0</v>
      </c>
    </row>
    <row r="11" spans="1:5" x14ac:dyDescent="0.25">
      <c r="A11" s="1">
        <v>9</v>
      </c>
      <c r="B11" s="2" t="s">
        <v>50</v>
      </c>
      <c r="C11" s="8"/>
      <c r="D11" s="8"/>
      <c r="E11" s="8"/>
    </row>
    <row r="12" spans="1:5" x14ac:dyDescent="0.25">
      <c r="A12" s="1">
        <v>10</v>
      </c>
      <c r="B12" s="2" t="s">
        <v>51</v>
      </c>
      <c r="C12" s="5">
        <f>C7+C8+C9+C10+C11</f>
        <v>19329290.24234318</v>
      </c>
      <c r="D12" s="5">
        <f t="shared" ref="D12:E12" si="2">D7+D8+D9+D10+D11</f>
        <v>10787343.108415965</v>
      </c>
      <c r="E12" s="5">
        <f t="shared" si="2"/>
        <v>0</v>
      </c>
    </row>
    <row r="13" spans="1:5" x14ac:dyDescent="0.25">
      <c r="B13" t="s">
        <v>52</v>
      </c>
      <c r="C13" s="22">
        <v>0</v>
      </c>
      <c r="D13" s="22">
        <v>0</v>
      </c>
      <c r="E13" s="22">
        <v>0</v>
      </c>
    </row>
    <row r="15" spans="1:5" x14ac:dyDescent="0.25">
      <c r="B15" s="9" t="s">
        <v>53</v>
      </c>
      <c r="C15" s="10">
        <v>2025</v>
      </c>
      <c r="D15" s="10">
        <v>2026</v>
      </c>
      <c r="E15" s="10">
        <v>2027</v>
      </c>
    </row>
    <row r="16" spans="1:5" x14ac:dyDescent="0.25">
      <c r="B16" s="11" t="s">
        <v>54</v>
      </c>
      <c r="C16" s="16">
        <v>45627</v>
      </c>
      <c r="D16" s="16">
        <v>45992</v>
      </c>
      <c r="E16" s="16">
        <v>46357</v>
      </c>
    </row>
    <row r="17" spans="2:5" x14ac:dyDescent="0.25">
      <c r="B17" s="11" t="s">
        <v>55</v>
      </c>
      <c r="C17" s="17">
        <v>19116269.439999998</v>
      </c>
      <c r="D17" s="17">
        <v>199825793.72999999</v>
      </c>
      <c r="E17" s="17">
        <v>199825793.72999999</v>
      </c>
    </row>
    <row r="18" spans="2:5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</row>
    <row r="19" spans="2:5" x14ac:dyDescent="0.25">
      <c r="B19" s="11" t="s">
        <v>49</v>
      </c>
      <c r="C19" s="14">
        <f>+C17*C18</f>
        <v>171377.3555296</v>
      </c>
      <c r="D19" s="15">
        <f>+D17*D18</f>
        <v>1791438.24078945</v>
      </c>
      <c r="E19" s="15">
        <f>+E17*E18</f>
        <v>1791438.24078945</v>
      </c>
    </row>
    <row r="22" spans="2:5" x14ac:dyDescent="0.25">
      <c r="B22" t="s">
        <v>63</v>
      </c>
    </row>
    <row r="23" spans="2:5" x14ac:dyDescent="0.25">
      <c r="C23" s="21">
        <v>1</v>
      </c>
      <c r="D23" s="21">
        <v>1</v>
      </c>
    </row>
    <row r="25" spans="2:5" x14ac:dyDescent="0.25">
      <c r="B25" t="s">
        <v>61</v>
      </c>
      <c r="C25" s="64">
        <f>C12/1000000</f>
        <v>19.32929024234318</v>
      </c>
      <c r="D25" s="64">
        <f>D12/1000000</f>
        <v>10.787343108415964</v>
      </c>
      <c r="E25" s="64">
        <f>E12/1000000</f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4852-2812-49F3-ACAC-4D247942F4EE}">
  <dimension ref="A2:K25"/>
  <sheetViews>
    <sheetView topLeftCell="E21" workbookViewId="0">
      <selection activeCell="E31" sqref="E31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39.85546875" customWidth="1"/>
    <col min="9" max="11" width="14" customWidth="1"/>
  </cols>
  <sheetData>
    <row r="2" spans="1:11" x14ac:dyDescent="0.25">
      <c r="B2" s="3" t="s">
        <v>68</v>
      </c>
      <c r="C2" s="10">
        <v>2025</v>
      </c>
      <c r="D2" s="10">
        <v>2026</v>
      </c>
      <c r="E2" s="10">
        <v>2027</v>
      </c>
      <c r="H2" s="3" t="s">
        <v>69</v>
      </c>
      <c r="I2" s="10">
        <v>2025</v>
      </c>
      <c r="J2" s="10">
        <v>2026</v>
      </c>
      <c r="K2" s="10">
        <v>2027</v>
      </c>
    </row>
    <row r="3" spans="1:11" x14ac:dyDescent="0.25">
      <c r="A3" s="1">
        <v>1</v>
      </c>
      <c r="B3" s="2" t="s">
        <v>42</v>
      </c>
      <c r="C3" s="4">
        <v>173887403.61230773</v>
      </c>
      <c r="D3" s="4">
        <v>149362381.1376923</v>
      </c>
      <c r="E3" s="4">
        <v>0</v>
      </c>
      <c r="G3" s="1">
        <v>1</v>
      </c>
      <c r="H3" s="2" t="s">
        <v>42</v>
      </c>
      <c r="I3" s="17">
        <v>7956261.4430769235</v>
      </c>
      <c r="J3" s="17">
        <v>26520871.476923078</v>
      </c>
      <c r="K3" s="17">
        <v>0</v>
      </c>
    </row>
    <row r="4" spans="1:11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</row>
    <row r="5" spans="1:11" x14ac:dyDescent="0.25">
      <c r="A5" s="1">
        <v>3</v>
      </c>
      <c r="B5" s="2" t="s">
        <v>44</v>
      </c>
      <c r="C5" s="4">
        <f>C3*C4</f>
        <v>12815501.64622708</v>
      </c>
      <c r="D5" s="4">
        <f t="shared" ref="D5:E5" si="0">D3*D4</f>
        <v>11008007.489847923</v>
      </c>
      <c r="E5" s="4">
        <f t="shared" si="0"/>
        <v>0</v>
      </c>
      <c r="G5" s="1">
        <v>3</v>
      </c>
      <c r="H5" s="2" t="s">
        <v>44</v>
      </c>
      <c r="I5" s="4">
        <f>I3*I4</f>
        <v>586376.46835476928</v>
      </c>
      <c r="J5" s="4">
        <f t="shared" ref="J5" si="1">J3*J4</f>
        <v>1954588.2278492309</v>
      </c>
      <c r="K5" s="4">
        <f t="shared" ref="K5" si="2">K3*K4</f>
        <v>0</v>
      </c>
    </row>
    <row r="6" spans="1:11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</row>
    <row r="7" spans="1:11" x14ac:dyDescent="0.25">
      <c r="A7" s="1">
        <v>5</v>
      </c>
      <c r="B7" s="2" t="s">
        <v>46</v>
      </c>
      <c r="C7" s="6">
        <f>C5*C6</f>
        <v>17219420.631936554</v>
      </c>
      <c r="D7" s="6">
        <f t="shared" ref="D7:E7" si="3">D5*D6</f>
        <v>14790799.183659263</v>
      </c>
      <c r="E7" s="6">
        <f t="shared" si="3"/>
        <v>0</v>
      </c>
      <c r="G7" s="1">
        <v>5</v>
      </c>
      <c r="H7" s="2" t="s">
        <v>46</v>
      </c>
      <c r="I7" s="6">
        <f>I5*I6</f>
        <v>787878.87794020213</v>
      </c>
      <c r="J7" s="6">
        <f t="shared" ref="J7" si="4">J5*J6</f>
        <v>2626262.9264673404</v>
      </c>
      <c r="K7" s="6">
        <f t="shared" ref="K7" si="5">K5*K6</f>
        <v>0</v>
      </c>
    </row>
    <row r="8" spans="1:11" x14ac:dyDescent="0.25">
      <c r="A8" s="1">
        <v>6</v>
      </c>
      <c r="B8" s="2" t="s">
        <v>47</v>
      </c>
      <c r="C8" s="7">
        <v>2655360</v>
      </c>
      <c r="D8" s="7">
        <v>906100</v>
      </c>
      <c r="E8" s="7"/>
      <c r="G8" s="1">
        <v>6</v>
      </c>
      <c r="H8" s="2" t="s">
        <v>47</v>
      </c>
      <c r="I8" s="7">
        <v>110640.0000000001</v>
      </c>
      <c r="J8" s="7">
        <v>159900.00000000003</v>
      </c>
      <c r="K8" s="7"/>
    </row>
    <row r="9" spans="1:11" x14ac:dyDescent="0.25">
      <c r="A9" s="1">
        <v>7</v>
      </c>
      <c r="B9" s="2" t="s">
        <v>48</v>
      </c>
      <c r="C9" s="17">
        <v>2858121.0803895001</v>
      </c>
      <c r="D9" s="17">
        <v>2605816.6474195025</v>
      </c>
      <c r="E9" s="4"/>
      <c r="G9" s="1">
        <v>7</v>
      </c>
      <c r="H9" s="2" t="s">
        <v>48</v>
      </c>
      <c r="I9" s="17">
        <v>391181.49261416664</v>
      </c>
      <c r="J9" s="17">
        <v>2730081.9202858326</v>
      </c>
      <c r="K9" s="4"/>
    </row>
    <row r="10" spans="1:11" x14ac:dyDescent="0.25">
      <c r="A10" s="1">
        <v>8</v>
      </c>
      <c r="B10" s="2" t="s">
        <v>49</v>
      </c>
      <c r="C10" s="18">
        <f>C19</f>
        <v>236.4515164</v>
      </c>
      <c r="D10" s="18">
        <f>D19-C10</f>
        <v>2897697.86876735</v>
      </c>
      <c r="E10" s="18">
        <f>ROUND(E19-D10-C10,0)</f>
        <v>0</v>
      </c>
      <c r="G10" s="1">
        <v>8</v>
      </c>
      <c r="H10" s="2" t="s">
        <v>49</v>
      </c>
      <c r="I10" s="18">
        <f>I19</f>
        <v>0</v>
      </c>
      <c r="J10" s="18">
        <f>J19-I10</f>
        <v>309087.49662780005</v>
      </c>
      <c r="K10" s="18">
        <f>K19-J10</f>
        <v>0</v>
      </c>
    </row>
    <row r="11" spans="1:11" x14ac:dyDescent="0.25">
      <c r="A11" s="1">
        <v>9</v>
      </c>
      <c r="B11" s="2" t="s">
        <v>50</v>
      </c>
      <c r="C11" s="8"/>
      <c r="D11" s="8"/>
      <c r="E11" s="8"/>
      <c r="G11" s="1">
        <v>9</v>
      </c>
      <c r="H11" s="2" t="s">
        <v>50</v>
      </c>
      <c r="I11" s="8"/>
      <c r="J11" s="8"/>
      <c r="K11" s="8"/>
    </row>
    <row r="12" spans="1:11" ht="15.75" thickBot="1" x14ac:dyDescent="0.3">
      <c r="A12" s="1">
        <v>10</v>
      </c>
      <c r="B12" s="2" t="s">
        <v>51</v>
      </c>
      <c r="C12" s="5">
        <f>C7+C8+C9+C10+C11</f>
        <v>22733138.163842455</v>
      </c>
      <c r="D12" s="5">
        <f t="shared" ref="D12:E12" si="6">D7+D8+D9+D10+D11</f>
        <v>21200413.699846115</v>
      </c>
      <c r="E12" s="5">
        <f t="shared" si="6"/>
        <v>0</v>
      </c>
      <c r="G12" s="1">
        <v>10</v>
      </c>
      <c r="H12" s="2" t="s">
        <v>51</v>
      </c>
      <c r="I12" s="5">
        <f>I7+I8+I9+I10+I11</f>
        <v>1289700.3705543689</v>
      </c>
      <c r="J12" s="5">
        <f t="shared" ref="J12" si="7">J7+J8+J9+J10+J11</f>
        <v>5825332.3433809727</v>
      </c>
      <c r="K12" s="5">
        <f t="shared" ref="K12" si="8">K7+K8+K9+K10+K11</f>
        <v>0</v>
      </c>
    </row>
    <row r="13" spans="1:11" ht="15.75" thickTop="1" x14ac:dyDescent="0.25">
      <c r="B13" t="s">
        <v>52</v>
      </c>
      <c r="C13" s="22">
        <v>0</v>
      </c>
      <c r="D13" s="22">
        <v>0</v>
      </c>
      <c r="E13" s="22">
        <v>0</v>
      </c>
    </row>
    <row r="15" spans="1:11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</row>
    <row r="16" spans="1:11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</row>
    <row r="17" spans="2:11" x14ac:dyDescent="0.25">
      <c r="B17" s="11" t="s">
        <v>55</v>
      </c>
      <c r="C17" s="12">
        <v>26374.959999999999</v>
      </c>
      <c r="D17" s="12">
        <v>323249784.75</v>
      </c>
      <c r="E17" s="12">
        <v>323249784.75</v>
      </c>
      <c r="H17" s="11" t="s">
        <v>55</v>
      </c>
      <c r="I17" s="12">
        <v>0</v>
      </c>
      <c r="J17" s="12">
        <v>34477132.920000002</v>
      </c>
      <c r="K17" s="12">
        <v>34477132.920000002</v>
      </c>
    </row>
    <row r="18" spans="2:11" x14ac:dyDescent="0.25">
      <c r="B18" s="11" t="s">
        <v>56</v>
      </c>
      <c r="C18" s="13">
        <v>8.9650000000000007E-3</v>
      </c>
      <c r="D18" s="13">
        <v>8.9650000000000007E-3</v>
      </c>
      <c r="E18" s="13">
        <v>8.9650000000000007E-3</v>
      </c>
      <c r="H18" s="11" t="s">
        <v>56</v>
      </c>
      <c r="I18" s="13">
        <v>8.9650000000000007E-3</v>
      </c>
      <c r="J18" s="13">
        <v>8.9650000000000007E-3</v>
      </c>
      <c r="K18" s="13">
        <v>8.9650000000000007E-3</v>
      </c>
    </row>
    <row r="19" spans="2:11" x14ac:dyDescent="0.25">
      <c r="B19" s="11" t="s">
        <v>49</v>
      </c>
      <c r="C19" s="14">
        <f>+C17*C18</f>
        <v>236.4515164</v>
      </c>
      <c r="D19" s="15">
        <f>+D17*D18</f>
        <v>2897934.3202837501</v>
      </c>
      <c r="E19" s="15">
        <f>+E17*E18</f>
        <v>2897934.3202837501</v>
      </c>
      <c r="H19" s="11" t="s">
        <v>49</v>
      </c>
      <c r="I19" s="14">
        <f>+I17*I18</f>
        <v>0</v>
      </c>
      <c r="J19" s="15">
        <f>+J17*J18</f>
        <v>309087.49662780005</v>
      </c>
      <c r="K19" s="15">
        <f>+K17*K18</f>
        <v>309087.49662780005</v>
      </c>
    </row>
    <row r="22" spans="2:11" x14ac:dyDescent="0.25">
      <c r="B22" t="s">
        <v>63</v>
      </c>
      <c r="H22" t="s">
        <v>63</v>
      </c>
    </row>
    <row r="23" spans="2:11" x14ac:dyDescent="0.25">
      <c r="C23" s="21">
        <f>ROUND(C3/(C3+I3),2)</f>
        <v>0.96</v>
      </c>
      <c r="D23" s="21">
        <f>ROUND(D3/(D3+J3),2)</f>
        <v>0.85</v>
      </c>
      <c r="I23" s="21">
        <f>100%-C23</f>
        <v>4.0000000000000036E-2</v>
      </c>
      <c r="J23" s="21">
        <f>100%-D23</f>
        <v>0.15000000000000002</v>
      </c>
    </row>
    <row r="25" spans="2:11" x14ac:dyDescent="0.25">
      <c r="B25" t="s">
        <v>61</v>
      </c>
      <c r="C25" s="64">
        <f>C12/1000000</f>
        <v>22.733138163842455</v>
      </c>
      <c r="D25" s="64">
        <f>D12/1000000</f>
        <v>21.200413699846116</v>
      </c>
      <c r="E25" s="64">
        <f>E12/1000000</f>
        <v>0</v>
      </c>
      <c r="H25" t="s">
        <v>61</v>
      </c>
      <c r="I25" s="64">
        <f t="shared" ref="I25:K25" si="9">I12/1000000</f>
        <v>1.289700370554369</v>
      </c>
      <c r="J25" s="64">
        <f t="shared" si="9"/>
        <v>5.8253323433809729</v>
      </c>
      <c r="K25" s="64">
        <f t="shared" si="9"/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BF64-F9E1-42D9-BF39-8569EA894A4F}">
  <dimension ref="A2:AR34"/>
  <sheetViews>
    <sheetView topLeftCell="AH17" workbookViewId="0">
      <selection activeCell="P21" sqref="P21"/>
    </sheetView>
  </sheetViews>
  <sheetFormatPr defaultRowHeight="15" x14ac:dyDescent="0.25"/>
  <cols>
    <col min="1" max="1" width="3.7109375" customWidth="1"/>
    <col min="2" max="2" width="39.85546875" customWidth="1"/>
    <col min="3" max="5" width="14" customWidth="1"/>
    <col min="7" max="7" width="3.7109375" customWidth="1"/>
    <col min="8" max="8" width="39.85546875" customWidth="1"/>
    <col min="9" max="11" width="14" customWidth="1"/>
    <col min="12" max="12" width="10.28515625" customWidth="1"/>
    <col min="13" max="13" width="3.7109375" customWidth="1"/>
    <col min="14" max="14" width="39.85546875" customWidth="1"/>
    <col min="15" max="17" width="14" customWidth="1"/>
    <col min="19" max="19" width="3.7109375" customWidth="1"/>
    <col min="20" max="20" width="42" customWidth="1"/>
    <col min="21" max="23" width="14" customWidth="1"/>
    <col min="24" max="28" width="10.28515625" customWidth="1"/>
    <col min="29" max="39" width="10.42578125" customWidth="1"/>
  </cols>
  <sheetData>
    <row r="2" spans="1:24" x14ac:dyDescent="0.25">
      <c r="B2" s="3" t="s">
        <v>70</v>
      </c>
      <c r="C2" s="10">
        <v>2025</v>
      </c>
      <c r="D2" s="10">
        <v>2026</v>
      </c>
      <c r="E2" s="10">
        <v>2027</v>
      </c>
      <c r="H2" s="44" t="s">
        <v>71</v>
      </c>
      <c r="I2" s="10">
        <v>2025</v>
      </c>
      <c r="J2" s="10">
        <v>2026</v>
      </c>
      <c r="K2" s="10">
        <v>2027</v>
      </c>
      <c r="N2" s="3" t="s">
        <v>72</v>
      </c>
      <c r="O2" s="10">
        <v>2025</v>
      </c>
      <c r="P2" s="10">
        <v>2026</v>
      </c>
      <c r="Q2" s="10">
        <v>2027</v>
      </c>
      <c r="T2" s="44" t="s">
        <v>73</v>
      </c>
      <c r="U2" s="10">
        <v>2025</v>
      </c>
      <c r="V2" s="10">
        <v>2026</v>
      </c>
      <c r="W2" s="10">
        <v>2027</v>
      </c>
    </row>
    <row r="3" spans="1:24" x14ac:dyDescent="0.25">
      <c r="A3" s="1">
        <v>1</v>
      </c>
      <c r="B3" s="2" t="s">
        <v>42</v>
      </c>
      <c r="C3" s="18">
        <v>609804.93000000715</v>
      </c>
      <c r="D3" s="18">
        <v>-2.9802322387695313E-8</v>
      </c>
      <c r="E3" s="18">
        <v>-2.2351741790771484E-8</v>
      </c>
      <c r="G3" s="1">
        <v>1</v>
      </c>
      <c r="H3" s="2" t="s">
        <v>42</v>
      </c>
      <c r="I3" s="17">
        <v>76182878.893846139</v>
      </c>
      <c r="J3" s="17">
        <v>37166532.306153864</v>
      </c>
      <c r="K3" s="17">
        <v>5103</v>
      </c>
      <c r="L3" s="1"/>
      <c r="M3" s="1">
        <v>1</v>
      </c>
      <c r="N3" s="2" t="s">
        <v>42</v>
      </c>
      <c r="O3" s="17">
        <v>0</v>
      </c>
      <c r="P3" s="17">
        <v>31739884.840769216</v>
      </c>
      <c r="Q3" s="17">
        <v>27604949.949230753</v>
      </c>
      <c r="S3" s="1">
        <v>1</v>
      </c>
      <c r="T3" s="2" t="s">
        <v>42</v>
      </c>
      <c r="U3" s="17">
        <v>0</v>
      </c>
      <c r="V3" s="17">
        <v>0</v>
      </c>
      <c r="W3" s="17">
        <f>AF32-V3-U3</f>
        <v>13851</v>
      </c>
      <c r="X3" s="1"/>
    </row>
    <row r="4" spans="1:24" x14ac:dyDescent="0.25">
      <c r="A4" s="1">
        <v>2</v>
      </c>
      <c r="B4" s="2" t="s">
        <v>43</v>
      </c>
      <c r="C4" s="19">
        <v>7.3700000000000002E-2</v>
      </c>
      <c r="D4" s="19">
        <v>7.3700000000000002E-2</v>
      </c>
      <c r="E4" s="19">
        <v>7.3700000000000002E-2</v>
      </c>
      <c r="G4" s="1">
        <v>2</v>
      </c>
      <c r="H4" s="2" t="s">
        <v>43</v>
      </c>
      <c r="I4" s="19">
        <v>7.3700000000000002E-2</v>
      </c>
      <c r="J4" s="19">
        <v>7.3700000000000002E-2</v>
      </c>
      <c r="K4" s="19">
        <v>7.3700000000000002E-2</v>
      </c>
      <c r="L4" s="1"/>
      <c r="M4" s="1">
        <v>2</v>
      </c>
      <c r="N4" s="2" t="s">
        <v>43</v>
      </c>
      <c r="O4" s="19">
        <v>7.3700000000000002E-2</v>
      </c>
      <c r="P4" s="19">
        <v>7.3700000000000002E-2</v>
      </c>
      <c r="Q4" s="19">
        <v>7.3700000000000002E-2</v>
      </c>
      <c r="S4" s="1">
        <v>2</v>
      </c>
      <c r="T4" s="2" t="s">
        <v>43</v>
      </c>
      <c r="U4" s="19">
        <v>7.3700000000000002E-2</v>
      </c>
      <c r="V4" s="19">
        <v>7.3700000000000002E-2</v>
      </c>
      <c r="W4" s="19">
        <v>7.3700000000000002E-2</v>
      </c>
      <c r="X4" s="1"/>
    </row>
    <row r="5" spans="1:24" x14ac:dyDescent="0.25">
      <c r="A5" s="1">
        <v>3</v>
      </c>
      <c r="B5" s="2" t="s">
        <v>44</v>
      </c>
      <c r="C5" s="4">
        <f>C3*C4</f>
        <v>44942.62334100053</v>
      </c>
      <c r="D5" s="4">
        <f t="shared" ref="D5:E5" si="0">D3*D4</f>
        <v>-2.1964311599731446E-9</v>
      </c>
      <c r="E5" s="4">
        <f t="shared" si="0"/>
        <v>-1.6473233699798585E-9</v>
      </c>
      <c r="G5" s="1">
        <v>3</v>
      </c>
      <c r="H5" s="2" t="s">
        <v>44</v>
      </c>
      <c r="I5" s="4">
        <f>I3*I4</f>
        <v>5614678.1744764606</v>
      </c>
      <c r="J5" s="4">
        <f>J3*J4</f>
        <v>2739173.43096354</v>
      </c>
      <c r="K5" s="4">
        <f>K3*K4</f>
        <v>376.09109999999998</v>
      </c>
      <c r="L5" s="1"/>
      <c r="M5" s="1">
        <v>3</v>
      </c>
      <c r="N5" s="2" t="s">
        <v>44</v>
      </c>
      <c r="O5" s="4">
        <f>O3*O4</f>
        <v>0</v>
      </c>
      <c r="P5" s="4">
        <f t="shared" ref="P5:Q5" si="1">P3*P4</f>
        <v>2339229.5127646914</v>
      </c>
      <c r="Q5" s="4">
        <f t="shared" si="1"/>
        <v>2034484.8112583065</v>
      </c>
      <c r="S5" s="1">
        <v>3</v>
      </c>
      <c r="T5" s="2" t="s">
        <v>44</v>
      </c>
      <c r="U5" s="4">
        <f>U3*U4</f>
        <v>0</v>
      </c>
      <c r="V5" s="4">
        <f>V3*V4</f>
        <v>0</v>
      </c>
      <c r="W5" s="4">
        <f>W3*W4</f>
        <v>1020.8187</v>
      </c>
      <c r="X5" s="1"/>
    </row>
    <row r="6" spans="1:24" x14ac:dyDescent="0.25">
      <c r="A6" s="1">
        <v>4</v>
      </c>
      <c r="B6" s="2" t="s">
        <v>45</v>
      </c>
      <c r="C6" s="20">
        <v>1.3436399999999999</v>
      </c>
      <c r="D6" s="20">
        <v>1.3436399999999999</v>
      </c>
      <c r="E6" s="20">
        <v>1.3436399999999999</v>
      </c>
      <c r="G6" s="1">
        <v>4</v>
      </c>
      <c r="H6" s="2" t="s">
        <v>45</v>
      </c>
      <c r="I6" s="20">
        <v>1.3436399999999999</v>
      </c>
      <c r="J6" s="20">
        <v>1.3436399999999999</v>
      </c>
      <c r="K6" s="20">
        <v>1.3436399999999999</v>
      </c>
      <c r="L6" s="1"/>
      <c r="M6" s="1">
        <v>4</v>
      </c>
      <c r="N6" s="2" t="s">
        <v>45</v>
      </c>
      <c r="O6" s="20">
        <v>1.3436399999999999</v>
      </c>
      <c r="P6" s="20">
        <v>1.3436399999999999</v>
      </c>
      <c r="Q6" s="20">
        <v>1.3436399999999999</v>
      </c>
      <c r="S6" s="1">
        <v>4</v>
      </c>
      <c r="T6" s="2" t="s">
        <v>45</v>
      </c>
      <c r="U6" s="20">
        <v>1.3436399999999999</v>
      </c>
      <c r="V6" s="20">
        <v>1.3436399999999999</v>
      </c>
      <c r="W6" s="20">
        <v>1.3436399999999999</v>
      </c>
      <c r="X6" s="1"/>
    </row>
    <row r="7" spans="1:24" x14ac:dyDescent="0.25">
      <c r="A7" s="1">
        <v>5</v>
      </c>
      <c r="B7" s="2" t="s">
        <v>46</v>
      </c>
      <c r="C7" s="6">
        <f>C5*C6</f>
        <v>60386.706425901946</v>
      </c>
      <c r="D7" s="6">
        <f t="shared" ref="D7:E7" si="2">D5*D6</f>
        <v>-2.9512127637863159E-9</v>
      </c>
      <c r="E7" s="6">
        <f t="shared" si="2"/>
        <v>-2.2134095728397372E-9</v>
      </c>
      <c r="G7" s="1">
        <v>5</v>
      </c>
      <c r="H7" s="2" t="s">
        <v>46</v>
      </c>
      <c r="I7" s="6">
        <f>I5*I6</f>
        <v>7544106.1823535515</v>
      </c>
      <c r="J7" s="6">
        <f>J5*J6</f>
        <v>3680462.9887798508</v>
      </c>
      <c r="K7" s="6">
        <f>K5*K6</f>
        <v>505.33104560399994</v>
      </c>
      <c r="L7" s="1"/>
      <c r="M7" s="1">
        <v>5</v>
      </c>
      <c r="N7" s="2" t="s">
        <v>46</v>
      </c>
      <c r="O7" s="6">
        <f>O5*O6</f>
        <v>0</v>
      </c>
      <c r="P7" s="6">
        <f t="shared" ref="P7:Q7" si="3">P5*P6</f>
        <v>3143082.3425311497</v>
      </c>
      <c r="Q7" s="6">
        <f t="shared" si="3"/>
        <v>2733615.1717991107</v>
      </c>
      <c r="S7" s="1">
        <v>5</v>
      </c>
      <c r="T7" s="2" t="s">
        <v>46</v>
      </c>
      <c r="U7" s="6">
        <f>U5*U6</f>
        <v>0</v>
      </c>
      <c r="V7" s="6">
        <f>V5*V6</f>
        <v>0</v>
      </c>
      <c r="W7" s="6">
        <f>W5*W6</f>
        <v>1371.612838068</v>
      </c>
      <c r="X7" s="1"/>
    </row>
    <row r="8" spans="1:24" x14ac:dyDescent="0.25">
      <c r="A8" s="1">
        <v>6</v>
      </c>
      <c r="B8" s="2" t="s">
        <v>47</v>
      </c>
      <c r="C8" s="7">
        <v>-7503.1600000000326</v>
      </c>
      <c r="D8" s="7">
        <v>0</v>
      </c>
      <c r="E8" s="7">
        <v>0</v>
      </c>
      <c r="G8" s="1">
        <v>6</v>
      </c>
      <c r="H8" s="2" t="s">
        <v>47</v>
      </c>
      <c r="I8" s="7">
        <v>7503.1600000000326</v>
      </c>
      <c r="J8" s="7">
        <v>663561</v>
      </c>
      <c r="K8" s="7">
        <v>31105</v>
      </c>
      <c r="L8" s="1"/>
      <c r="M8" s="1">
        <v>6</v>
      </c>
      <c r="N8" s="2" t="s">
        <v>47</v>
      </c>
      <c r="O8" s="7">
        <v>750316</v>
      </c>
      <c r="P8" s="7">
        <v>0</v>
      </c>
      <c r="Q8" s="7">
        <v>0</v>
      </c>
      <c r="S8" s="1">
        <v>6</v>
      </c>
      <c r="T8" s="2" t="s">
        <v>47</v>
      </c>
      <c r="U8" s="7">
        <v>0</v>
      </c>
      <c r="V8" s="7">
        <v>0</v>
      </c>
      <c r="W8" s="7">
        <v>0</v>
      </c>
      <c r="X8" s="1"/>
    </row>
    <row r="9" spans="1:24" x14ac:dyDescent="0.25">
      <c r="A9" s="1">
        <v>7</v>
      </c>
      <c r="B9" s="2" t="s">
        <v>48</v>
      </c>
      <c r="C9" s="17">
        <v>20208.437838000013</v>
      </c>
      <c r="D9" s="17">
        <v>0</v>
      </c>
      <c r="E9" s="17">
        <v>-279.25559999930152</v>
      </c>
      <c r="G9" s="1">
        <v>7</v>
      </c>
      <c r="H9" s="2" t="s">
        <v>48</v>
      </c>
      <c r="I9" s="17">
        <v>1540541.3918333333</v>
      </c>
      <c r="J9" s="17">
        <v>847620.75358466944</v>
      </c>
      <c r="K9" s="17">
        <v>114.98760000010952</v>
      </c>
      <c r="L9" s="1"/>
      <c r="M9" s="1">
        <v>7</v>
      </c>
      <c r="N9" s="2" t="s">
        <v>48</v>
      </c>
      <c r="O9" s="17">
        <v>0</v>
      </c>
      <c r="P9" s="17">
        <v>612317.0163759999</v>
      </c>
      <c r="Q9" s="17">
        <v>622343.64805599977</v>
      </c>
      <c r="S9" s="1">
        <v>7</v>
      </c>
      <c r="T9" s="2" t="s">
        <v>48</v>
      </c>
      <c r="U9" s="17">
        <v>0</v>
      </c>
      <c r="V9" s="17">
        <v>0</v>
      </c>
      <c r="W9" s="17">
        <f>AF34-V9-U9</f>
        <v>279.25560000000002</v>
      </c>
      <c r="X9" s="1"/>
    </row>
    <row r="10" spans="1:24" x14ac:dyDescent="0.25">
      <c r="A10" s="1">
        <v>8</v>
      </c>
      <c r="B10" s="2" t="s">
        <v>49</v>
      </c>
      <c r="C10" s="18">
        <f>C19</f>
        <v>5466.9011974500008</v>
      </c>
      <c r="D10" s="18">
        <f>D19-C10</f>
        <v>6.3664629124104977E-11</v>
      </c>
      <c r="E10" s="18">
        <f>ROUND(E19-D10-C10,0)</f>
        <v>-170</v>
      </c>
      <c r="G10" s="1">
        <v>8</v>
      </c>
      <c r="H10" s="2" t="s">
        <v>49</v>
      </c>
      <c r="I10" s="18">
        <f>I19</f>
        <v>0</v>
      </c>
      <c r="J10" s="18">
        <f>J19-I10</f>
        <v>1016053.2971930001</v>
      </c>
      <c r="K10" s="18">
        <f>ROUND(K19-J10-I10,0)</f>
        <v>170</v>
      </c>
      <c r="L10" s="1"/>
      <c r="M10" s="1">
        <v>8</v>
      </c>
      <c r="N10" s="2" t="s">
        <v>49</v>
      </c>
      <c r="O10" s="18">
        <f>O19</f>
        <v>0</v>
      </c>
      <c r="P10" s="18">
        <f>P19-O10</f>
        <v>0</v>
      </c>
      <c r="Q10" s="18">
        <f>Q19-P10</f>
        <v>532150.61810734984</v>
      </c>
      <c r="S10" s="1">
        <v>8</v>
      </c>
      <c r="T10" s="2" t="s">
        <v>49</v>
      </c>
      <c r="U10" s="18">
        <f>U19</f>
        <v>0</v>
      </c>
      <c r="V10" s="18">
        <f>V19-U10</f>
        <v>0</v>
      </c>
      <c r="W10" s="18">
        <f>ROUND(W19-V10-U10,0)</f>
        <v>170</v>
      </c>
      <c r="X10" s="1"/>
    </row>
    <row r="11" spans="1:24" x14ac:dyDescent="0.25">
      <c r="A11" s="1">
        <v>9</v>
      </c>
      <c r="B11" s="2" t="s">
        <v>50</v>
      </c>
      <c r="C11" s="17"/>
      <c r="D11" s="17"/>
      <c r="E11" s="17"/>
      <c r="G11" s="1">
        <v>9</v>
      </c>
      <c r="H11" s="2" t="s">
        <v>50</v>
      </c>
      <c r="I11" s="43"/>
      <c r="J11" s="43"/>
      <c r="K11" s="43"/>
      <c r="L11" s="1"/>
      <c r="M11" s="1">
        <v>9</v>
      </c>
      <c r="N11" s="2" t="s">
        <v>74</v>
      </c>
      <c r="O11" s="17"/>
      <c r="P11" s="17"/>
      <c r="Q11" s="17"/>
      <c r="S11" s="1">
        <v>9</v>
      </c>
      <c r="T11" s="2" t="s">
        <v>50</v>
      </c>
      <c r="U11" s="17"/>
      <c r="V11" s="17"/>
      <c r="W11" s="17"/>
      <c r="X11" s="1"/>
    </row>
    <row r="12" spans="1:24" x14ac:dyDescent="0.25">
      <c r="A12" s="1">
        <v>10</v>
      </c>
      <c r="B12" s="2" t="s">
        <v>51</v>
      </c>
      <c r="C12" s="5">
        <f>C7+C8+C9+C10+C11</f>
        <v>78558.885461351922</v>
      </c>
      <c r="D12" s="5">
        <f>D7+D8+D9+D10+D11</f>
        <v>-2.887548134662211E-9</v>
      </c>
      <c r="E12" s="5">
        <f t="shared" ref="E12" si="4">E7+E8+E9+E10+E11</f>
        <v>-449.25560000151495</v>
      </c>
      <c r="G12" s="1">
        <v>10</v>
      </c>
      <c r="H12" s="2" t="s">
        <v>51</v>
      </c>
      <c r="I12" s="5">
        <f>I7+I8+I9+I10+I11</f>
        <v>9092150.734186884</v>
      </c>
      <c r="J12" s="5">
        <f>J7+J8+J9+J10+J11</f>
        <v>6207698.0395575203</v>
      </c>
      <c r="K12" s="5">
        <f>K7+K8+K9+K10+K11</f>
        <v>31895.318645604111</v>
      </c>
      <c r="L12" s="1"/>
      <c r="M12" s="1">
        <v>10</v>
      </c>
      <c r="N12" s="2" t="s">
        <v>51</v>
      </c>
      <c r="O12" s="5">
        <f>O7+O8+O9+O10+O11</f>
        <v>750316</v>
      </c>
      <c r="P12" s="5">
        <f t="shared" ref="P12:Q12" si="5">P7+P8+P9+P10+P11</f>
        <v>3755399.3589071496</v>
      </c>
      <c r="Q12" s="5">
        <f t="shared" si="5"/>
        <v>3888109.4379624603</v>
      </c>
      <c r="S12" s="1">
        <v>10</v>
      </c>
      <c r="T12" s="2" t="s">
        <v>51</v>
      </c>
      <c r="U12" s="5">
        <f>U7+U8+U9+U10+U11</f>
        <v>0</v>
      </c>
      <c r="V12" s="5">
        <f>V7+V8+V9+V10+V11</f>
        <v>0</v>
      </c>
      <c r="W12" s="5">
        <f>W7+W8+W9+W10+W11</f>
        <v>1820.8684380679999</v>
      </c>
      <c r="X12" s="1"/>
    </row>
    <row r="13" spans="1:24" x14ac:dyDescent="0.25">
      <c r="B13" t="s">
        <v>52</v>
      </c>
      <c r="C13" s="22">
        <v>0</v>
      </c>
      <c r="D13" s="22">
        <v>0</v>
      </c>
      <c r="E13" s="22">
        <v>0</v>
      </c>
      <c r="H13" t="s">
        <v>52</v>
      </c>
      <c r="I13" s="22"/>
      <c r="J13" s="22"/>
      <c r="K13" s="22"/>
      <c r="T13" t="s">
        <v>52</v>
      </c>
    </row>
    <row r="15" spans="1:24" x14ac:dyDescent="0.25">
      <c r="B15" s="9" t="s">
        <v>53</v>
      </c>
      <c r="C15" s="10">
        <v>2025</v>
      </c>
      <c r="D15" s="10">
        <v>2026</v>
      </c>
      <c r="E15" s="10">
        <v>2027</v>
      </c>
      <c r="H15" s="9" t="s">
        <v>53</v>
      </c>
      <c r="I15" s="10">
        <v>2025</v>
      </c>
      <c r="J15" s="10">
        <v>2026</v>
      </c>
      <c r="K15" s="10">
        <v>2027</v>
      </c>
      <c r="N15" s="9" t="s">
        <v>53</v>
      </c>
      <c r="O15" s="10">
        <v>2025</v>
      </c>
      <c r="P15" s="10">
        <v>2026</v>
      </c>
      <c r="Q15" s="10">
        <v>2027</v>
      </c>
      <c r="T15" s="9" t="s">
        <v>53</v>
      </c>
      <c r="U15" s="10">
        <v>2025</v>
      </c>
      <c r="V15" s="10">
        <v>2026</v>
      </c>
      <c r="W15" s="10">
        <v>2027</v>
      </c>
    </row>
    <row r="16" spans="1:24" x14ac:dyDescent="0.25">
      <c r="B16" s="11" t="s">
        <v>54</v>
      </c>
      <c r="C16" s="16">
        <v>45627</v>
      </c>
      <c r="D16" s="16">
        <v>45992</v>
      </c>
      <c r="E16" s="16">
        <v>46357</v>
      </c>
      <c r="H16" s="11" t="s">
        <v>54</v>
      </c>
      <c r="I16" s="16">
        <v>45627</v>
      </c>
      <c r="J16" s="16">
        <v>45992</v>
      </c>
      <c r="K16" s="16">
        <v>46357</v>
      </c>
      <c r="N16" s="11" t="s">
        <v>54</v>
      </c>
      <c r="O16" s="16">
        <v>45627</v>
      </c>
      <c r="P16" s="16">
        <v>45992</v>
      </c>
      <c r="Q16" s="16">
        <v>46357</v>
      </c>
      <c r="T16" s="11" t="s">
        <v>54</v>
      </c>
      <c r="U16" s="16">
        <v>45627</v>
      </c>
      <c r="V16" s="16">
        <v>45992</v>
      </c>
      <c r="W16" s="16">
        <v>46357</v>
      </c>
    </row>
    <row r="17" spans="1:44" x14ac:dyDescent="0.25">
      <c r="B17" s="11" t="s">
        <v>55</v>
      </c>
      <c r="C17" s="12">
        <v>609804.93000000005</v>
      </c>
      <c r="D17" s="12">
        <v>609804.93000000715</v>
      </c>
      <c r="E17" s="12">
        <v>590850.92999996245</v>
      </c>
      <c r="H17" s="11" t="s">
        <v>55</v>
      </c>
      <c r="I17" s="42">
        <v>0</v>
      </c>
      <c r="J17" s="42">
        <v>113335560.2</v>
      </c>
      <c r="K17" s="42">
        <v>113354514.2</v>
      </c>
      <c r="N17" s="11" t="s">
        <v>55</v>
      </c>
      <c r="O17" s="42">
        <v>0</v>
      </c>
      <c r="P17" s="42">
        <v>0</v>
      </c>
      <c r="Q17" s="42">
        <v>59358685.789999984</v>
      </c>
      <c r="T17" s="11" t="s">
        <v>55</v>
      </c>
      <c r="U17" s="12">
        <v>0</v>
      </c>
      <c r="V17" s="42">
        <v>0</v>
      </c>
      <c r="W17" s="42">
        <f>AF31</f>
        <v>18954</v>
      </c>
    </row>
    <row r="18" spans="1:44" x14ac:dyDescent="0.25">
      <c r="B18" s="11" t="s">
        <v>56</v>
      </c>
      <c r="C18" s="13">
        <f>O18</f>
        <v>8.9650000000000007E-3</v>
      </c>
      <c r="D18" s="13">
        <f>P18</f>
        <v>8.9650000000000007E-3</v>
      </c>
      <c r="E18" s="13">
        <f>Q18</f>
        <v>8.9650000000000007E-3</v>
      </c>
      <c r="H18" s="11" t="s">
        <v>56</v>
      </c>
      <c r="I18" s="13">
        <f>C18</f>
        <v>8.9650000000000007E-3</v>
      </c>
      <c r="J18" s="13">
        <f>D18</f>
        <v>8.9650000000000007E-3</v>
      </c>
      <c r="K18" s="13">
        <f>E18</f>
        <v>8.9650000000000007E-3</v>
      </c>
      <c r="N18" s="11" t="s">
        <v>56</v>
      </c>
      <c r="O18" s="53">
        <v>8.9650000000000007E-3</v>
      </c>
      <c r="P18" s="53">
        <v>8.9650000000000007E-3</v>
      </c>
      <c r="Q18" s="53">
        <v>8.9650000000000007E-3</v>
      </c>
      <c r="T18" s="11" t="s">
        <v>56</v>
      </c>
      <c r="U18" s="13">
        <f>O18</f>
        <v>8.9650000000000007E-3</v>
      </c>
      <c r="V18" s="13">
        <f>P18</f>
        <v>8.9650000000000007E-3</v>
      </c>
      <c r="W18" s="13">
        <f>Q18</f>
        <v>8.9650000000000007E-3</v>
      </c>
    </row>
    <row r="19" spans="1:44" x14ac:dyDescent="0.25">
      <c r="B19" s="11" t="s">
        <v>49</v>
      </c>
      <c r="C19" s="14">
        <f>+C17*C18</f>
        <v>5466.9011974500008</v>
      </c>
      <c r="D19" s="15">
        <f>+D17*D18</f>
        <v>5466.9011974500645</v>
      </c>
      <c r="E19" s="15">
        <f>+E17*E18</f>
        <v>5296.9785874496638</v>
      </c>
      <c r="H19" s="11" t="s">
        <v>49</v>
      </c>
      <c r="I19" s="15">
        <f>+I17*I18</f>
        <v>0</v>
      </c>
      <c r="J19" s="15">
        <f>+J17*J18</f>
        <v>1016053.2971930001</v>
      </c>
      <c r="K19" s="15">
        <f>+K17*K18</f>
        <v>1016223.2198030001</v>
      </c>
      <c r="N19" s="11" t="s">
        <v>49</v>
      </c>
      <c r="O19" s="14">
        <f>+O17*O18</f>
        <v>0</v>
      </c>
      <c r="P19" s="15">
        <f>+P17*P18</f>
        <v>0</v>
      </c>
      <c r="Q19" s="15">
        <f>+Q17*Q18</f>
        <v>532150.61810734984</v>
      </c>
      <c r="T19" s="11" t="s">
        <v>49</v>
      </c>
      <c r="U19" s="14">
        <f>+U17*U18</f>
        <v>0</v>
      </c>
      <c r="V19" s="15">
        <f>+V17*V18</f>
        <v>0</v>
      </c>
      <c r="W19" s="15">
        <f>+W17*W18</f>
        <v>169.92261000000002</v>
      </c>
    </row>
    <row r="20" spans="1:44" x14ac:dyDescent="0.25">
      <c r="O20" t="s">
        <v>75</v>
      </c>
    </row>
    <row r="22" spans="1:44" x14ac:dyDescent="0.25">
      <c r="B22" t="s">
        <v>63</v>
      </c>
      <c r="H22" t="s">
        <v>63</v>
      </c>
      <c r="N22" t="s">
        <v>76</v>
      </c>
      <c r="T22" t="s">
        <v>63</v>
      </c>
    </row>
    <row r="23" spans="1:44" x14ac:dyDescent="0.25">
      <c r="C23" s="21">
        <f>100%-I23-O23</f>
        <v>1.0000000000000009E-2</v>
      </c>
      <c r="D23" s="21">
        <f t="shared" ref="D23:E23" si="6">100%-J23-P23</f>
        <v>0</v>
      </c>
      <c r="E23" s="21">
        <f t="shared" si="6"/>
        <v>0</v>
      </c>
      <c r="I23" s="21">
        <f>ROUND(I3/($I$3+$C$3+$O$3),2)</f>
        <v>0.99</v>
      </c>
      <c r="J23" s="21">
        <f>ROUND(J3/($J$3+$D$3+$P$3),2)</f>
        <v>0.54</v>
      </c>
      <c r="K23" s="21">
        <f>ROUND(K3/($K$3+$E$3+$Q$3),2)</f>
        <v>0</v>
      </c>
      <c r="O23" s="21">
        <f>ROUND(O3/($I$3+$C$3+$O$3),2)</f>
        <v>0</v>
      </c>
      <c r="P23" s="21">
        <f>ROUND(P3/($J$3+$D$3+$P$3),2)</f>
        <v>0.46</v>
      </c>
      <c r="Q23" s="21">
        <f>ROUND(Q3/($K$3+$E$3+$Q$3),2)</f>
        <v>1</v>
      </c>
      <c r="U23" s="21">
        <v>0</v>
      </c>
      <c r="V23" s="21">
        <f>ROUND(V3/(V3+P3),2)</f>
        <v>0</v>
      </c>
      <c r="W23" s="21">
        <f>ROUND(W3/(W3+Q3),2)</f>
        <v>0</v>
      </c>
    </row>
    <row r="24" spans="1:44" x14ac:dyDescent="0.25">
      <c r="N24" t="s">
        <v>77</v>
      </c>
    </row>
    <row r="25" spans="1:44" x14ac:dyDescent="0.25">
      <c r="B25" t="s">
        <v>61</v>
      </c>
      <c r="C25" s="64">
        <f>C12/1000000</f>
        <v>7.8558885461351924E-2</v>
      </c>
      <c r="D25" s="64">
        <f>D12/1000000</f>
        <v>-2.887548134662211E-15</v>
      </c>
      <c r="E25" s="64">
        <f>E12/1000000</f>
        <v>-4.4925560000151496E-4</v>
      </c>
      <c r="H25" t="s">
        <v>61</v>
      </c>
      <c r="I25" s="64">
        <f>I12/1000000</f>
        <v>9.0921507341868839</v>
      </c>
      <c r="J25" s="64">
        <f>J12/1000000</f>
        <v>6.2076980395575205</v>
      </c>
      <c r="K25" s="64">
        <f>K12/1000000</f>
        <v>3.1895318645604111E-2</v>
      </c>
      <c r="N25" t="s">
        <v>61</v>
      </c>
      <c r="O25">
        <f>ROUND(O12/1000000,1)</f>
        <v>0.8</v>
      </c>
      <c r="P25">
        <f>ROUND(P12/1000000,1)</f>
        <v>3.8</v>
      </c>
      <c r="Q25">
        <f>ROUND(Q12/1000000,1)</f>
        <v>3.9</v>
      </c>
      <c r="T25" t="s">
        <v>61</v>
      </c>
      <c r="U25">
        <f>ROUND(U12/1000000,1)</f>
        <v>0</v>
      </c>
      <c r="V25">
        <f>ROUND(V12/1000000,1)</f>
        <v>0</v>
      </c>
      <c r="W25">
        <f>ROUND(W12/1000000,1)</f>
        <v>0</v>
      </c>
    </row>
    <row r="29" spans="1:44" x14ac:dyDescent="0.25">
      <c r="A29" s="45"/>
      <c r="B29" s="45"/>
      <c r="C29" s="45"/>
      <c r="D29" s="45"/>
      <c r="E29" s="45"/>
      <c r="F29" s="45"/>
      <c r="G29" s="45"/>
      <c r="O29" s="45"/>
      <c r="P29" s="45"/>
      <c r="Q29" s="45"/>
      <c r="R29" s="45"/>
      <c r="U29" s="45">
        <v>46023</v>
      </c>
      <c r="V29" s="45">
        <v>46054</v>
      </c>
      <c r="W29" s="45">
        <v>46082</v>
      </c>
      <c r="X29" s="45">
        <v>46113</v>
      </c>
      <c r="Y29" s="45">
        <v>46143</v>
      </c>
      <c r="Z29" s="45">
        <v>46174</v>
      </c>
      <c r="AA29" s="45">
        <v>46204</v>
      </c>
      <c r="AB29" s="45">
        <v>46235</v>
      </c>
      <c r="AC29" s="45">
        <v>46266</v>
      </c>
      <c r="AD29" s="45">
        <v>46296</v>
      </c>
      <c r="AE29" s="45">
        <v>46327</v>
      </c>
      <c r="AF29" s="45">
        <v>46357</v>
      </c>
      <c r="AG29" s="45">
        <v>46388</v>
      </c>
      <c r="AH29" s="45">
        <v>46419</v>
      </c>
      <c r="AI29" s="45">
        <v>46447</v>
      </c>
      <c r="AJ29" s="45">
        <v>46478</v>
      </c>
      <c r="AK29" s="45">
        <v>46508</v>
      </c>
      <c r="AL29" s="45">
        <v>46539</v>
      </c>
      <c r="AM29" s="45">
        <v>46569</v>
      </c>
      <c r="AN29" s="45">
        <v>46600</v>
      </c>
      <c r="AO29" s="45">
        <v>46631</v>
      </c>
      <c r="AP29" s="45">
        <v>46661</v>
      </c>
      <c r="AQ29" s="45">
        <v>46692</v>
      </c>
      <c r="AR29" s="45">
        <v>46722</v>
      </c>
    </row>
    <row r="30" spans="1:44" x14ac:dyDescent="0.25">
      <c r="D30" s="4"/>
      <c r="E30" s="4"/>
      <c r="F30" s="4"/>
      <c r="T30" t="s">
        <v>78</v>
      </c>
      <c r="U30" s="17">
        <v>3159</v>
      </c>
      <c r="V30" s="17">
        <v>3159</v>
      </c>
      <c r="W30" s="17">
        <v>3159</v>
      </c>
      <c r="X30" s="17">
        <v>3159</v>
      </c>
      <c r="Y30" s="17">
        <v>3159</v>
      </c>
      <c r="Z30" s="17">
        <v>3159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</row>
    <row r="31" spans="1:44" x14ac:dyDescent="0.25">
      <c r="T31" t="s">
        <v>79</v>
      </c>
      <c r="U31" s="22">
        <f>U30</f>
        <v>3159</v>
      </c>
      <c r="V31" s="22">
        <f>V30+U31</f>
        <v>6318</v>
      </c>
      <c r="W31" s="22">
        <f>W30+V31</f>
        <v>9477</v>
      </c>
      <c r="X31" s="22">
        <f>X30+W31</f>
        <v>12636</v>
      </c>
      <c r="Y31" s="22">
        <f>Y30+X31</f>
        <v>15795</v>
      </c>
      <c r="Z31" s="22">
        <f t="shared" ref="Z31:AR31" si="7">Z30+Y31</f>
        <v>18954</v>
      </c>
      <c r="AA31" s="22">
        <f t="shared" si="7"/>
        <v>18954</v>
      </c>
      <c r="AB31" s="22">
        <f t="shared" si="7"/>
        <v>18954</v>
      </c>
      <c r="AC31" s="22">
        <f t="shared" si="7"/>
        <v>18954</v>
      </c>
      <c r="AD31" s="22">
        <f t="shared" si="7"/>
        <v>18954</v>
      </c>
      <c r="AE31" s="22">
        <f t="shared" si="7"/>
        <v>18954</v>
      </c>
      <c r="AF31" s="22">
        <f t="shared" si="7"/>
        <v>18954</v>
      </c>
      <c r="AG31" s="22">
        <f t="shared" si="7"/>
        <v>18954</v>
      </c>
      <c r="AH31" s="22">
        <f t="shared" si="7"/>
        <v>18954</v>
      </c>
      <c r="AI31" s="22">
        <f t="shared" si="7"/>
        <v>18954</v>
      </c>
      <c r="AJ31" s="22">
        <f t="shared" si="7"/>
        <v>18954</v>
      </c>
      <c r="AK31" s="22">
        <f t="shared" si="7"/>
        <v>18954</v>
      </c>
      <c r="AL31" s="22">
        <f t="shared" si="7"/>
        <v>18954</v>
      </c>
      <c r="AM31" s="22">
        <f t="shared" si="7"/>
        <v>18954</v>
      </c>
      <c r="AN31" s="22">
        <f t="shared" si="7"/>
        <v>18954</v>
      </c>
      <c r="AO31" s="22">
        <f t="shared" si="7"/>
        <v>18954</v>
      </c>
      <c r="AP31" s="22">
        <f t="shared" si="7"/>
        <v>18954</v>
      </c>
      <c r="AQ31" s="22">
        <f t="shared" si="7"/>
        <v>18954</v>
      </c>
      <c r="AR31" s="22">
        <f t="shared" si="7"/>
        <v>18954</v>
      </c>
    </row>
    <row r="32" spans="1:44" x14ac:dyDescent="0.25">
      <c r="T32" t="s">
        <v>80</v>
      </c>
      <c r="U32">
        <f>AVERAGE(0,0,0,0,0,0,0,0,0,0,0,0,U31)</f>
        <v>243</v>
      </c>
      <c r="V32">
        <f>AVERAGE(0,0,0,0,0,0,0,0,0,0,0,U31,V31)</f>
        <v>729</v>
      </c>
      <c r="W32">
        <f>AVERAGE(0,0,0,0,0,0,0,0,0,0,V31,W31,U31)</f>
        <v>1458</v>
      </c>
      <c r="X32" s="22">
        <f>AVERAGE(0,0,0,0,0,0,0,0,0,W31,X31,V31,U31)</f>
        <v>2430</v>
      </c>
      <c r="Y32" s="22">
        <f>AVERAGE(0,0,0,0,0,0,0,0,U31,V31,W31,X31,Y31)</f>
        <v>3645</v>
      </c>
      <c r="Z32" s="22">
        <f>AVERAGE(0,0,0,0,0,0,0,U31,V31,W31,X31,Y31,Z31)</f>
        <v>5103</v>
      </c>
      <c r="AA32" s="22">
        <f>AVERAGE(0,0,0,0,0,0,U31,V31,W31,X31,Y31,Z31,AA31)</f>
        <v>6561</v>
      </c>
      <c r="AB32" s="22">
        <f>AVERAGE(0,0,0,0,0,U31,V31,W31,X31,Y31,Z31,AA31,AB31)</f>
        <v>8019</v>
      </c>
      <c r="AC32" s="22">
        <f>AVERAGE(0,0,0,0,U31,V31,W31,X31,Y31,Z31,AA31,AB31,AC31)</f>
        <v>9477</v>
      </c>
      <c r="AD32" s="22">
        <f>AVERAGE(0,0,0,U31,V31,W31,X31,Y31,Z31,AA31,AB31,AC31,AD31)</f>
        <v>10935</v>
      </c>
      <c r="AE32" s="22">
        <f>AVERAGE(0,0,U31,V31,W31,X31,Y31,Z31,AA31,AB31,AC31,AD31,AE31)</f>
        <v>12393</v>
      </c>
      <c r="AF32" s="46">
        <f>AVERAGE(0,T31:AF31)</f>
        <v>13851</v>
      </c>
      <c r="AG32" s="22">
        <f>AVERAGE(U31:AG31)</f>
        <v>15309</v>
      </c>
      <c r="AH32" s="22">
        <f>AVERAGE(V31:AH31)</f>
        <v>16524</v>
      </c>
      <c r="AI32" s="22">
        <f>AVERAGE(W31:AI31)</f>
        <v>17496</v>
      </c>
      <c r="AJ32" s="22">
        <f>AVERAGE(X31:AJ31)</f>
        <v>18225</v>
      </c>
      <c r="AK32" s="22">
        <f t="shared" ref="AK32:AR32" si="8">AVERAGE(Y31:AK31)</f>
        <v>18711</v>
      </c>
      <c r="AL32" s="22">
        <f t="shared" si="8"/>
        <v>18954</v>
      </c>
      <c r="AM32" s="22">
        <f>AVERAGE(AA31:AM31)</f>
        <v>18954</v>
      </c>
      <c r="AN32" s="22">
        <f t="shared" si="8"/>
        <v>18954</v>
      </c>
      <c r="AO32" s="22">
        <f t="shared" si="8"/>
        <v>18954</v>
      </c>
      <c r="AP32" s="22">
        <f t="shared" si="8"/>
        <v>18954</v>
      </c>
      <c r="AQ32" s="22">
        <f t="shared" si="8"/>
        <v>18954</v>
      </c>
      <c r="AR32" s="46">
        <f t="shared" si="8"/>
        <v>18954</v>
      </c>
    </row>
    <row r="33" spans="20:44" x14ac:dyDescent="0.25">
      <c r="T33" t="s">
        <v>48</v>
      </c>
      <c r="U33">
        <f>0*$U$34/12</f>
        <v>0</v>
      </c>
      <c r="V33" s="56">
        <f>U31*$U$34/12</f>
        <v>5.4756</v>
      </c>
      <c r="W33" s="56">
        <f t="shared" ref="W33:AR33" si="9">V31*$U$34/12</f>
        <v>10.9512</v>
      </c>
      <c r="X33" s="56">
        <f t="shared" si="9"/>
        <v>16.4268</v>
      </c>
      <c r="Y33" s="56">
        <f t="shared" si="9"/>
        <v>21.9024</v>
      </c>
      <c r="Z33" s="56">
        <f t="shared" si="9"/>
        <v>27.378</v>
      </c>
      <c r="AA33" s="56">
        <f t="shared" si="9"/>
        <v>32.8536</v>
      </c>
      <c r="AB33" s="56">
        <f t="shared" si="9"/>
        <v>32.8536</v>
      </c>
      <c r="AC33" s="56">
        <f t="shared" si="9"/>
        <v>32.8536</v>
      </c>
      <c r="AD33" s="56">
        <f t="shared" si="9"/>
        <v>32.8536</v>
      </c>
      <c r="AE33" s="56">
        <f t="shared" si="9"/>
        <v>32.8536</v>
      </c>
      <c r="AF33" s="56">
        <f t="shared" si="9"/>
        <v>32.8536</v>
      </c>
      <c r="AG33" s="56">
        <f t="shared" si="9"/>
        <v>32.8536</v>
      </c>
      <c r="AH33" s="56">
        <f t="shared" si="9"/>
        <v>32.8536</v>
      </c>
      <c r="AI33" s="56">
        <f t="shared" si="9"/>
        <v>32.8536</v>
      </c>
      <c r="AJ33" s="56">
        <f t="shared" si="9"/>
        <v>32.8536</v>
      </c>
      <c r="AK33" s="56">
        <f t="shared" si="9"/>
        <v>32.8536</v>
      </c>
      <c r="AL33" s="56">
        <f t="shared" si="9"/>
        <v>32.8536</v>
      </c>
      <c r="AM33" s="56">
        <f t="shared" si="9"/>
        <v>32.8536</v>
      </c>
      <c r="AN33" s="56">
        <f t="shared" si="9"/>
        <v>32.8536</v>
      </c>
      <c r="AO33" s="56">
        <f t="shared" si="9"/>
        <v>32.8536</v>
      </c>
      <c r="AP33" s="56">
        <f t="shared" si="9"/>
        <v>32.8536</v>
      </c>
      <c r="AQ33" s="56">
        <f t="shared" si="9"/>
        <v>32.8536</v>
      </c>
      <c r="AR33" s="56">
        <f t="shared" si="9"/>
        <v>32.8536</v>
      </c>
    </row>
    <row r="34" spans="20:44" x14ac:dyDescent="0.25">
      <c r="T34" t="s">
        <v>81</v>
      </c>
      <c r="U34" s="55">
        <v>2.0799999999999999E-2</v>
      </c>
      <c r="AF34" s="46">
        <f>SUM(U33:AF33)</f>
        <v>279.25560000000002</v>
      </c>
      <c r="AR34" s="49">
        <f>SUM(AG33:AR33)</f>
        <v>394.24320000000012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83913-C85C-4AEE-AD06-005DC91E0088}"/>
</file>

<file path=customXml/itemProps2.xml><?xml version="1.0" encoding="utf-8"?>
<ds:datastoreItem xmlns:ds="http://schemas.openxmlformats.org/officeDocument/2006/customXml" ds:itemID="{4B524B17-3B7B-4BA1-849A-A455E2DE64DA}"/>
</file>

<file path=customXml/itemProps3.xml><?xml version="1.0" encoding="utf-8"?>
<ds:datastoreItem xmlns:ds="http://schemas.openxmlformats.org/officeDocument/2006/customXml" ds:itemID="{EF488ECF-F489-496D-B927-C4D190890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Chart</vt:lpstr>
      <vt:lpstr>GRR - Other</vt:lpstr>
      <vt:lpstr>PK 1</vt:lpstr>
      <vt:lpstr>Energy Storage - W</vt:lpstr>
      <vt:lpstr>Energy Storage - LM</vt:lpstr>
      <vt:lpstr>Energy Storage - M</vt:lpstr>
      <vt:lpstr>HQ</vt:lpstr>
      <vt:lpstr>BOC</vt:lpstr>
      <vt:lpstr>S Tampa Resilience</vt:lpstr>
      <vt:lpstr>PK Fuel</vt:lpstr>
      <vt:lpstr>GRR - Grid Comm</vt:lpstr>
      <vt:lpstr>GRR - Wk Mgmt</vt:lpstr>
      <vt:lpstr>Solar - CM &amp; FFD</vt:lpstr>
      <vt:lpstr>Solar - Big Four &amp; Farmland</vt:lpstr>
      <vt:lpstr>Solar - B &amp; W</vt:lpstr>
      <vt:lpstr>Chart!Print_Area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2024-04-15T16:52:03Z</dcterms:created>
  <dcterms:modified xsi:type="dcterms:W3CDTF">2024-04-15T16:52:06Z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2024-04-15T16:52:04Z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a2c3bcbd-c4c7-47f3-ba42-a2acb07e1f87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