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18720" yWindow="2730" windowWidth="32040" windowHeight="15375"/>
  </bookViews>
  <sheets>
    <sheet name="SCHH-3" sheetId="1" r:id="rId1"/>
  </sheets>
  <definedNames>
    <definedName name="_Regression_Int" localSheetId="0" hidden="1">1</definedName>
    <definedName name="Page_1">'SCHH-3'!$A$1:$L$57</definedName>
    <definedName name="Page_2">'SCHH-3'!$A$61:$L$116</definedName>
    <definedName name="Page_3">'SCHH-3'!$A$121:$L$177</definedName>
    <definedName name="Page_4">'SCHH-3'!$A$181:$L$235</definedName>
    <definedName name="Page_5">'SCHH-3'!$A$240:$L$299</definedName>
    <definedName name="_xlnm.Print_Area" localSheetId="0">'SCHH-3'!$A$1:$L$299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44" i="1" l="1"/>
  <c r="A185" i="1"/>
  <c r="A125" i="1"/>
  <c r="A65" i="1"/>
  <c r="F204" i="1" l="1"/>
  <c r="D277" i="1" l="1"/>
  <c r="D276" i="1"/>
  <c r="A251" i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7" i="1" s="1"/>
  <c r="A269" i="1" s="1"/>
  <c r="A270" i="1" s="1"/>
  <c r="A271" i="1" s="1"/>
  <c r="A272" i="1" s="1"/>
  <c r="A273" i="1" s="1"/>
  <c r="A274" i="1" s="1"/>
  <c r="A275" i="1" s="1"/>
  <c r="A276" i="1" s="1"/>
  <c r="A277" i="1" s="1"/>
  <c r="A279" i="1" s="1"/>
  <c r="A192" i="1"/>
  <c r="A193" i="1" s="1"/>
  <c r="A194" i="1" s="1"/>
  <c r="A195" i="1" s="1"/>
  <c r="A196" i="1" s="1"/>
  <c r="A197" i="1" s="1"/>
  <c r="A198" i="1" s="1"/>
  <c r="A200" i="1" s="1"/>
  <c r="A201" i="1" s="1"/>
  <c r="A132" i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60" i="1" s="1"/>
  <c r="A161" i="1" s="1"/>
  <c r="A162" i="1" s="1"/>
  <c r="A163" i="1" s="1"/>
  <c r="A164" i="1" s="1"/>
  <c r="A165" i="1" s="1"/>
  <c r="A166" i="1" s="1"/>
  <c r="A168" i="1" s="1"/>
  <c r="A169" i="1" s="1"/>
  <c r="A170" i="1" s="1"/>
  <c r="A171" i="1" s="1"/>
  <c r="A173" i="1" s="1"/>
  <c r="A73" i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90" i="1" s="1"/>
  <c r="A91" i="1" s="1"/>
  <c r="A92" i="1" s="1"/>
  <c r="A93" i="1" s="1"/>
  <c r="A94" i="1" s="1"/>
  <c r="A95" i="1" s="1"/>
  <c r="A96" i="1" s="1"/>
  <c r="A99" i="1" s="1"/>
  <c r="A101" i="1" s="1"/>
  <c r="A103" i="1" s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202" i="1" l="1"/>
  <c r="A203" i="1" s="1"/>
  <c r="A204" i="1" s="1"/>
  <c r="A206" i="1" s="1"/>
  <c r="A208" i="1" s="1"/>
  <c r="A210" i="1" s="1"/>
  <c r="A215" i="1" s="1"/>
  <c r="A217" i="1" s="1"/>
  <c r="A280" i="1"/>
  <c r="A281" i="1" s="1"/>
  <c r="A282" i="1" s="1"/>
  <c r="A283" i="1" s="1"/>
  <c r="A284" i="1" s="1"/>
  <c r="A285" i="1" s="1"/>
  <c r="A286" i="1" s="1"/>
  <c r="A287" i="1" s="1"/>
  <c r="A288" i="1" s="1"/>
  <c r="A289" i="1" s="1"/>
  <c r="C204" i="1" l="1"/>
  <c r="F287" i="1" l="1"/>
  <c r="D287" i="1"/>
  <c r="C287" i="1" l="1"/>
  <c r="E132" i="1" l="1"/>
  <c r="E287" i="1" s="1"/>
  <c r="D195" i="1" l="1"/>
  <c r="D193" i="1"/>
  <c r="E147" i="1" l="1"/>
  <c r="E139" i="1"/>
  <c r="E138" i="1"/>
  <c r="E137" i="1"/>
  <c r="E133" i="1" l="1"/>
  <c r="E289" i="1" l="1"/>
  <c r="E288" i="1"/>
  <c r="H289" i="1"/>
  <c r="F289" i="1"/>
  <c r="H288" i="1"/>
  <c r="F288" i="1"/>
  <c r="H260" i="1"/>
  <c r="F260" i="1"/>
  <c r="E260" i="1"/>
  <c r="D256" i="1"/>
  <c r="C260" i="1"/>
  <c r="F30" i="1" l="1"/>
  <c r="A32" i="1"/>
  <c r="A34" i="1" s="1"/>
  <c r="A36" i="1" s="1"/>
  <c r="A38" i="1" s="1"/>
  <c r="A40" i="1" s="1"/>
  <c r="K244" i="1"/>
  <c r="K243" i="1"/>
  <c r="K185" i="1"/>
  <c r="K184" i="1"/>
  <c r="K125" i="1"/>
  <c r="K124" i="1"/>
  <c r="K65" i="1"/>
  <c r="K64" i="1"/>
  <c r="D161" i="1" l="1"/>
  <c r="E194" i="1"/>
  <c r="E258" i="1" s="1"/>
  <c r="E86" i="1"/>
  <c r="D27" i="1"/>
  <c r="D168" i="1"/>
  <c r="D206" i="1"/>
  <c r="J90" i="1"/>
  <c r="F40" i="1"/>
  <c r="F88" i="1"/>
  <c r="F96" i="1" s="1"/>
  <c r="F158" i="1"/>
  <c r="F166" i="1"/>
  <c r="E166" i="1"/>
  <c r="F273" i="1"/>
  <c r="D273" i="1"/>
  <c r="F275" i="1"/>
  <c r="D275" i="1"/>
  <c r="F284" i="1"/>
  <c r="F285" i="1"/>
  <c r="F286" i="1"/>
  <c r="F282" i="1"/>
  <c r="H281" i="1"/>
  <c r="H280" i="1"/>
  <c r="F280" i="1"/>
  <c r="F281" i="1"/>
  <c r="D257" i="1"/>
  <c r="D255" i="1"/>
  <c r="D164" i="1" l="1"/>
  <c r="D288" i="1" s="1"/>
  <c r="C288" i="1"/>
  <c r="D260" i="1"/>
  <c r="C258" i="1"/>
  <c r="D163" i="1" l="1"/>
  <c r="D169" i="1" l="1"/>
  <c r="D289" i="1" s="1"/>
  <c r="C289" i="1"/>
  <c r="C285" i="1"/>
  <c r="C284" i="1"/>
  <c r="C282" i="1"/>
  <c r="C283" i="1"/>
  <c r="C281" i="1"/>
  <c r="C286" i="1"/>
  <c r="C280" i="1"/>
  <c r="F261" i="1"/>
  <c r="D162" i="1" l="1"/>
  <c r="D166" i="1" s="1"/>
  <c r="C166" i="1"/>
  <c r="D29" i="1" l="1"/>
  <c r="E29" i="1"/>
  <c r="D286" i="1" l="1"/>
  <c r="D95" i="1" l="1"/>
  <c r="E95" i="1"/>
  <c r="E36" i="1" l="1"/>
  <c r="E38" i="1" l="1"/>
  <c r="D38" i="1"/>
  <c r="E34" i="1"/>
  <c r="H201" i="1"/>
  <c r="C261" i="1"/>
  <c r="H204" i="1" l="1"/>
  <c r="H215" i="1" s="1"/>
  <c r="H264" i="1" s="1"/>
  <c r="H259" i="1" l="1"/>
  <c r="E193" i="1" l="1"/>
  <c r="E255" i="1" s="1"/>
  <c r="C255" i="1"/>
  <c r="E195" i="1"/>
  <c r="E257" i="1" s="1"/>
  <c r="C257" i="1"/>
  <c r="E196" i="1"/>
  <c r="E254" i="1" s="1"/>
  <c r="C254" i="1"/>
  <c r="E149" i="1"/>
  <c r="C158" i="1"/>
  <c r="C173" i="1" s="1"/>
  <c r="C252" i="1" s="1"/>
  <c r="C253" i="1" l="1"/>
  <c r="C198" i="1"/>
  <c r="E71" i="1" l="1"/>
  <c r="E93" i="1" l="1"/>
  <c r="E92" i="1"/>
  <c r="E12" i="1"/>
  <c r="E18" i="1"/>
  <c r="E14" i="1"/>
  <c r="E77" i="1" l="1"/>
  <c r="E15" i="1"/>
  <c r="C276" i="1"/>
  <c r="C88" i="1"/>
  <c r="C96" i="1" s="1"/>
  <c r="E20" i="1"/>
  <c r="C277" i="1"/>
  <c r="E73" i="1"/>
  <c r="E85" i="1"/>
  <c r="E272" i="1" s="1"/>
  <c r="D143" i="1"/>
  <c r="E22" i="1"/>
  <c r="D154" i="1"/>
  <c r="C274" i="1"/>
  <c r="D23" i="1"/>
  <c r="D82" i="1" s="1"/>
  <c r="D274" i="1" s="1"/>
  <c r="E32" i="1"/>
  <c r="D32" i="1"/>
  <c r="D170" i="1" s="1"/>
  <c r="D91" i="1"/>
  <c r="E91" i="1"/>
  <c r="E145" i="1"/>
  <c r="D24" i="1"/>
  <c r="C270" i="1"/>
  <c r="E144" i="1"/>
  <c r="E282" i="1" s="1"/>
  <c r="C271" i="1"/>
  <c r="D25" i="1"/>
  <c r="D84" i="1" s="1"/>
  <c r="D271" i="1" s="1"/>
  <c r="E17" i="1"/>
  <c r="C30" i="1"/>
  <c r="C40" i="1" s="1"/>
  <c r="E153" i="1"/>
  <c r="E283" i="1" s="1"/>
  <c r="E142" i="1"/>
  <c r="E281" i="1" s="1"/>
  <c r="D26" i="1"/>
  <c r="C272" i="1"/>
  <c r="C273" i="1"/>
  <c r="E19" i="1"/>
  <c r="E78" i="1" s="1"/>
  <c r="E273" i="1" s="1"/>
  <c r="D141" i="1"/>
  <c r="E21" i="1"/>
  <c r="D151" i="1"/>
  <c r="C275" i="1"/>
  <c r="F210" i="1"/>
  <c r="C262" i="1"/>
  <c r="E79" i="1" l="1"/>
  <c r="D90" i="1"/>
  <c r="C99" i="1"/>
  <c r="C103" i="1" s="1"/>
  <c r="C265" i="1" s="1"/>
  <c r="E74" i="1"/>
  <c r="E90" i="1"/>
  <c r="D145" i="1"/>
  <c r="D156" i="1"/>
  <c r="D144" i="1"/>
  <c r="D282" i="1" s="1"/>
  <c r="D28" i="1"/>
  <c r="D30" i="1" s="1"/>
  <c r="D40" i="1" s="1"/>
  <c r="E76" i="1"/>
  <c r="D83" i="1"/>
  <c r="D270" i="1" s="1"/>
  <c r="E28" i="1"/>
  <c r="E30" i="1" s="1"/>
  <c r="E40" i="1" s="1"/>
  <c r="E81" i="1"/>
  <c r="E154" i="1"/>
  <c r="E143" i="1"/>
  <c r="E80" i="1"/>
  <c r="E275" i="1" s="1"/>
  <c r="E151" i="1"/>
  <c r="E141" i="1"/>
  <c r="E152" i="1"/>
  <c r="D153" i="1"/>
  <c r="D283" i="1" s="1"/>
  <c r="D142" i="1"/>
  <c r="D281" i="1" s="1"/>
  <c r="E170" i="1"/>
  <c r="E140" i="1"/>
  <c r="E150" i="1"/>
  <c r="D155" i="1"/>
  <c r="D140" i="1"/>
  <c r="D85" i="1"/>
  <c r="D272" i="1" s="1"/>
  <c r="C259" i="1"/>
  <c r="C215" i="1"/>
  <c r="F262" i="1"/>
  <c r="E277" i="1" l="1"/>
  <c r="C264" i="1"/>
  <c r="E276" i="1"/>
  <c r="E285" i="1"/>
  <c r="E136" i="1"/>
  <c r="D280" i="1"/>
  <c r="E155" i="1"/>
  <c r="E280" i="1" s="1"/>
  <c r="D157" i="1"/>
  <c r="D148" i="1" s="1"/>
  <c r="D87" i="1"/>
  <c r="D88" i="1" s="1"/>
  <c r="D96" i="1" s="1"/>
  <c r="D99" i="1" s="1"/>
  <c r="E156" i="1"/>
  <c r="E284" i="1" s="1"/>
  <c r="D284" i="1"/>
  <c r="D285" i="1"/>
  <c r="D136" i="1"/>
  <c r="E157" i="1"/>
  <c r="E87" i="1"/>
  <c r="E88" i="1" s="1"/>
  <c r="E96" i="1" s="1"/>
  <c r="E99" i="1" s="1"/>
  <c r="E286" i="1"/>
  <c r="E148" i="1" l="1"/>
  <c r="E146" i="1" s="1"/>
  <c r="E158" i="1" s="1"/>
  <c r="E171" i="1" s="1"/>
  <c r="F171" i="1" s="1"/>
  <c r="F173" i="1" s="1"/>
  <c r="E192" i="1"/>
  <c r="E203" i="1"/>
  <c r="D192" i="1"/>
  <c r="D203" i="1"/>
  <c r="D146" i="1"/>
  <c r="D158" i="1" s="1"/>
  <c r="D171" i="1" s="1"/>
  <c r="D173" i="1" s="1"/>
  <c r="D202" i="1" s="1"/>
  <c r="D204" i="1" l="1"/>
  <c r="D259" i="1" s="1"/>
  <c r="D253" i="1"/>
  <c r="D101" i="1"/>
  <c r="D252" i="1"/>
  <c r="E173" i="1"/>
  <c r="E202" i="1" s="1"/>
  <c r="E204" i="1" s="1"/>
  <c r="E259" i="1" s="1"/>
  <c r="F252" i="1"/>
  <c r="F101" i="1"/>
  <c r="F103" i="1" s="1"/>
  <c r="F265" i="1" s="1"/>
  <c r="F215" i="1"/>
  <c r="F264" i="1" s="1"/>
  <c r="E253" i="1"/>
  <c r="E198" i="1"/>
  <c r="D194" i="1" l="1"/>
  <c r="D103" i="1"/>
  <c r="E252" i="1"/>
  <c r="E101" i="1"/>
  <c r="E103" i="1" s="1"/>
  <c r="D254" i="1" l="1"/>
  <c r="D265" i="1"/>
  <c r="D208" i="1"/>
  <c r="D258" i="1"/>
  <c r="E208" i="1"/>
  <c r="E265" i="1"/>
  <c r="D261" i="1" l="1"/>
  <c r="D210" i="1"/>
  <c r="D262" i="1" s="1"/>
  <c r="D198" i="1"/>
  <c r="E261" i="1"/>
  <c r="E210" i="1"/>
  <c r="E262" i="1" s="1"/>
  <c r="E215" i="1" l="1"/>
  <c r="E264" i="1" s="1"/>
  <c r="D215" i="1"/>
  <c r="D264" i="1" s="1"/>
  <c r="C263" i="1" l="1"/>
  <c r="D217" i="1" l="1"/>
  <c r="D263" i="1" s="1"/>
</calcChain>
</file>

<file path=xl/sharedStrings.xml><?xml version="1.0" encoding="utf-8"?>
<sst xmlns="http://schemas.openxmlformats.org/spreadsheetml/2006/main" count="321" uniqueCount="202">
  <si>
    <t>SCHEDULE H-3</t>
  </si>
  <si>
    <t>PAGE 5 OF 5</t>
  </si>
  <si>
    <t>FLORIDA PUBLIC SERVICE COMMISSION</t>
  </si>
  <si>
    <t>TYPE OF DATA SHOWN:</t>
  </si>
  <si>
    <t>TOTAL</t>
  </si>
  <si>
    <t>CUSTOMER</t>
  </si>
  <si>
    <t>CAPACITY</t>
  </si>
  <si>
    <t>COMMODITY</t>
  </si>
  <si>
    <t>CLASSIFIER</t>
  </si>
  <si>
    <t>LOCAL STORAGE PLANT</t>
  </si>
  <si>
    <t>100% capacity</t>
  </si>
  <si>
    <t>INTANGIBLE PLANT:</t>
  </si>
  <si>
    <t>PRODUCTION PLANT</t>
  </si>
  <si>
    <t>DISTRIBUTION PLANT:</t>
  </si>
  <si>
    <t xml:space="preserve">   374 Land and Land Rights</t>
  </si>
  <si>
    <t xml:space="preserve">   375 Structures and Improvements</t>
  </si>
  <si>
    <t xml:space="preserve">   376 Mains</t>
  </si>
  <si>
    <t xml:space="preserve">   377 Comp.Sta.Eq.</t>
  </si>
  <si>
    <t xml:space="preserve">   378 Meas.&amp; Reg.Sta.Eq.-Gen</t>
  </si>
  <si>
    <t xml:space="preserve">   379 Meas.&amp; Reg.Sta.Eq.-CG</t>
  </si>
  <si>
    <t xml:space="preserve">   380 Services</t>
  </si>
  <si>
    <t>100% customer</t>
  </si>
  <si>
    <t xml:space="preserve">   381-382 Meters</t>
  </si>
  <si>
    <t xml:space="preserve">   383-384 House Regulators</t>
  </si>
  <si>
    <t xml:space="preserve">   385 Industrial Meas.&amp; Reg.Eq.</t>
  </si>
  <si>
    <t xml:space="preserve">   386 Property on Customer Premises</t>
  </si>
  <si>
    <t xml:space="preserve">   387 Other Equipment</t>
  </si>
  <si>
    <t xml:space="preserve">       Total Distribution Plant</t>
  </si>
  <si>
    <t>GENERAL PLANT:</t>
  </si>
  <si>
    <t>PLANT ACQUISITIONS:</t>
  </si>
  <si>
    <t>GAS PLANT FOR FUTURE USE:</t>
  </si>
  <si>
    <t>CWIP:</t>
  </si>
  <si>
    <t>TOTAL PLANT</t>
  </si>
  <si>
    <t>SUPPORTING SCHEDULES:  G-1 p.1, G-1 p.4, G-1 p.10</t>
  </si>
  <si>
    <t>RECAP SCHEDULES:  H-3 p.1</t>
  </si>
  <si>
    <t>PAGE 4 OF 5</t>
  </si>
  <si>
    <t>LOCAL STORAGE PLANT:</t>
  </si>
  <si>
    <t xml:space="preserve">   377 Compressor Sta. Eq.</t>
  </si>
  <si>
    <t xml:space="preserve">   378 Meas.&amp; Reg.Sta. Eq.-Gen</t>
  </si>
  <si>
    <t xml:space="preserve">   379 Meas.&amp; Reg.Sta. Eq.-CG</t>
  </si>
  <si>
    <t xml:space="preserve">   385 Indust.Meas.&amp; Reg.Sta.Eq.</t>
  </si>
  <si>
    <t xml:space="preserve">       Total A.D. on Dist. Plant</t>
  </si>
  <si>
    <t>TOTAL ACCUMULATED DEPRECIATION</t>
  </si>
  <si>
    <t>NET PLANT (Plant less Accum.Dep.)</t>
  </si>
  <si>
    <t>plus:WORKING CAPITAL</t>
  </si>
  <si>
    <t>equals:TOTAL RATE BASE</t>
  </si>
  <si>
    <t>SUPPORTING SCHEDULES:  G-1 p.1, G-1 p.4, G-1 p.12</t>
  </si>
  <si>
    <t>PAGE 2 OF 5</t>
  </si>
  <si>
    <t>OPERATIONS AND MAINTENANCE EXPENSES</t>
  </si>
  <si>
    <t>DISTRIBUTION:</t>
  </si>
  <si>
    <t xml:space="preserve">   870 Operation Supervision &amp; Eng.</t>
  </si>
  <si>
    <t xml:space="preserve">   871 Dist.Load Dispatch</t>
  </si>
  <si>
    <t xml:space="preserve">   872 Compr.Sta.Lab. &amp; Ex.</t>
  </si>
  <si>
    <t xml:space="preserve">   873 Compr.Sta.Fuel &amp; Power</t>
  </si>
  <si>
    <t xml:space="preserve">   874 Mains and Services</t>
  </si>
  <si>
    <t xml:space="preserve">   875 Meas.&amp; Reg. Sta.Eq.-Gen</t>
  </si>
  <si>
    <t xml:space="preserve">   876 Meas.&amp; Reg. Sta.Eq.-Ind.</t>
  </si>
  <si>
    <t xml:space="preserve">   877 Meas.&amp; Reg. Sta.Eq.-CG</t>
  </si>
  <si>
    <t xml:space="preserve">   878 Meter and House Reg.</t>
  </si>
  <si>
    <t xml:space="preserve">   879 Customer Instal.</t>
  </si>
  <si>
    <t xml:space="preserve">   880 Other Expenses</t>
  </si>
  <si>
    <t xml:space="preserve">   881 Rents</t>
  </si>
  <si>
    <t xml:space="preserve">   885 Maintenance Supervision</t>
  </si>
  <si>
    <t xml:space="preserve">   886 Maint. of Struct. and Improv.</t>
  </si>
  <si>
    <t xml:space="preserve">   887 Maintenance of Mains</t>
  </si>
  <si>
    <t xml:space="preserve">   888 Maint. of Comp.Sta.Eq.</t>
  </si>
  <si>
    <t xml:space="preserve">   889 Maint. of Meas.&amp; Reg. Sta.Eq.-Gen</t>
  </si>
  <si>
    <t xml:space="preserve">   890 Maint. of Meas.&amp; Reg. Sta.Eq.-Ind.</t>
  </si>
  <si>
    <t xml:space="preserve">   891 Maint. of Meas.&amp; Reg.Sta.Eq.-CG</t>
  </si>
  <si>
    <t xml:space="preserve">   892 Maintenance of Services</t>
  </si>
  <si>
    <t xml:space="preserve">   893 Maint. of Meters and House Reg.</t>
  </si>
  <si>
    <t xml:space="preserve">   894 Maint. of Other Equipment</t>
  </si>
  <si>
    <t xml:space="preserve">       Total Distribution Expenses</t>
  </si>
  <si>
    <t>CUSTOMER ACCOUNTS:</t>
  </si>
  <si>
    <t xml:space="preserve">   901 Supervision</t>
  </si>
  <si>
    <t xml:space="preserve">   902 Meter-Reading Expense</t>
  </si>
  <si>
    <t xml:space="preserve">   903 Records  and Collection Exp.</t>
  </si>
  <si>
    <t xml:space="preserve">   904 Uncollectible Accounts</t>
  </si>
  <si>
    <t xml:space="preserve">   905 Misc. Expenses</t>
  </si>
  <si>
    <t xml:space="preserve">       Total Customer Accounts</t>
  </si>
  <si>
    <t>O&amp;M excl. A&amp;G</t>
  </si>
  <si>
    <t>TOTAL O&amp;M EXPENSE</t>
  </si>
  <si>
    <t>SUPPORTING SCHEDULES:  G- 2 p.10-19</t>
  </si>
  <si>
    <t>PAGE 3 OF 5</t>
  </si>
  <si>
    <t>COST OF SERVICE STUDY</t>
  </si>
  <si>
    <t>DEPRECIATION AND AMORTIZATION EXPENSE:</t>
  </si>
  <si>
    <t xml:space="preserve"> CUSTOMER</t>
  </si>
  <si>
    <t>REVENUE</t>
  </si>
  <si>
    <t xml:space="preserve">   Depreciation Expense</t>
  </si>
  <si>
    <t>net plant</t>
  </si>
  <si>
    <t xml:space="preserve">   Total Deprec. and Amort. Expense</t>
  </si>
  <si>
    <t>TAXES OTHER THAN INCOME TAXES:</t>
  </si>
  <si>
    <t xml:space="preserve">   Revenue Related</t>
  </si>
  <si>
    <t>100% revenue</t>
  </si>
  <si>
    <t xml:space="preserve">   Other</t>
  </si>
  <si>
    <t xml:space="preserve">   Total Taxes other than Income Taxes</t>
  </si>
  <si>
    <t>INCOME TAXES</t>
  </si>
  <si>
    <t>TOTAL OVERALL COST OF SERVICE</t>
  </si>
  <si>
    <t>SUPPORTING SCHEDULES:  E-1 p.3, G-2 p.1, G-2 p.23</t>
  </si>
  <si>
    <t>PAGE 1 OF 5</t>
  </si>
  <si>
    <t>SUMMARY:</t>
  </si>
  <si>
    <t>ATTRITION</t>
  </si>
  <si>
    <t>O&amp;M</t>
  </si>
  <si>
    <t>DEP.</t>
  </si>
  <si>
    <t>AMORTIZATION OF OTHER GAS PLANT</t>
  </si>
  <si>
    <t>AMORTIZATION OF LIMITED TERM INVESTMENT</t>
  </si>
  <si>
    <t>AMORTIZATION OF ACQUISITION ADJUSTMENT</t>
  </si>
  <si>
    <t>AMORTIZATION OF CONVERSION COSTS</t>
  </si>
  <si>
    <t>TOTAL TAXES OTHER THAN INCOME</t>
  </si>
  <si>
    <t>RETURN</t>
  </si>
  <si>
    <t>REVENUES CREDITED TO COST OF SERVICE</t>
  </si>
  <si>
    <t>TOTAL COST</t>
  </si>
  <si>
    <t>RATE BASE</t>
  </si>
  <si>
    <t xml:space="preserve">   RATE BASE ITEMS(PLANT-ACC.DEP):</t>
  </si>
  <si>
    <t>381-382 METERS</t>
  </si>
  <si>
    <t>383-384 HOUSE REGULATORS</t>
  </si>
  <si>
    <t>385 INDUSTRIAL MEAS.&amp; REG.EQ.</t>
  </si>
  <si>
    <t>376 MAINS</t>
  </si>
  <si>
    <t>380 SERVICES</t>
  </si>
  <si>
    <t>378 MEAS.&amp; REG.STA.EQ.-GEN.</t>
  </si>
  <si>
    <t>876 MEAS.&amp; REG.STA.EQ.IND.</t>
  </si>
  <si>
    <t>878 METER &amp; HOUSE REG.</t>
  </si>
  <si>
    <t>890 MAINT.OF MEAS.&amp; REG.STA.EQ.-IND.</t>
  </si>
  <si>
    <t>893 MAINT.OF METERS AND HOUSE REG.</t>
  </si>
  <si>
    <t>874 MAINS AND SERVICES</t>
  </si>
  <si>
    <t>887 MAINT. OF MAINS</t>
  </si>
  <si>
    <t>SUPPORTING SCHEDULES;  H-3 p.2-4</t>
  </si>
  <si>
    <t>RECAP SCHEDULES:  H-2 p.6</t>
  </si>
  <si>
    <t>892 MAINT. OF SERVICES</t>
  </si>
  <si>
    <t>LINE NO.</t>
  </si>
  <si>
    <t>COMPANY:  PEOPLES GAS SYSTEM</t>
  </si>
  <si>
    <t>RWIP:</t>
  </si>
  <si>
    <t>AMORT. ACQ. ADJUSTMENT</t>
  </si>
  <si>
    <t>AMORT. OTHER UTILITY PLANT</t>
  </si>
  <si>
    <t>CUST. ADV. FOR CONSTRUCITON</t>
  </si>
  <si>
    <t>KNOWN DIRECT &amp; SPECIAL ASSIGNMENTS:</t>
  </si>
  <si>
    <t>50% customer 50% capacity</t>
  </si>
  <si>
    <t>COST OF SERVICE</t>
  </si>
  <si>
    <t>EXPLANATION:  PROVIDE A FULLY ALLOCATED EMBEDDED</t>
  </si>
  <si>
    <t>CLASSIFICATION OF RATE BASE - PLANT</t>
  </si>
  <si>
    <t>SCHEDULE I: PAGE 1 OF 2</t>
  </si>
  <si>
    <t>CLASSIFICATION OF RATE BASE</t>
  </si>
  <si>
    <t>ACCUMULATED DEPRECIATION</t>
  </si>
  <si>
    <t>SCHEDULE I: PAGE 2 OF 2</t>
  </si>
  <si>
    <t>CLASSIFICATION OF EXPENSES AND</t>
  </si>
  <si>
    <t>DERIVATION OF COST OF SERVICE BY COST CLASSIFICATION</t>
  </si>
  <si>
    <t>SCHEDULE H: PAGE 1 OF 2</t>
  </si>
  <si>
    <t>CLASSIFICATION OF EXPENSES AND DERIVATION</t>
  </si>
  <si>
    <t>OF COST OF SERVICE BY COST CLASSIFICATION</t>
  </si>
  <si>
    <t>SCHEDULE H: PAGE 2 OF 2</t>
  </si>
  <si>
    <t>(SUMMARY)</t>
  </si>
  <si>
    <t>AMORTIZATION OF ENVIRONMENTAL</t>
  </si>
  <si>
    <t xml:space="preserve">   907-910  Customer Serv.&amp; Info. Exp.</t>
  </si>
  <si>
    <t xml:space="preserve">   911-916  Sales Expense</t>
  </si>
  <si>
    <t xml:space="preserve">   932        Maint. Of General Plant</t>
  </si>
  <si>
    <t xml:space="preserve">   920-931  Administration &amp; General</t>
  </si>
  <si>
    <t xml:space="preserve">   Amort. Of Environmental</t>
  </si>
  <si>
    <t xml:space="preserve">   Amort. Of Conversion Costs</t>
  </si>
  <si>
    <t xml:space="preserve">   Amort. Of Acquisition Adj.</t>
  </si>
  <si>
    <t xml:space="preserve">   Amort. Of Lease Improvements/Other</t>
  </si>
  <si>
    <t>50% customer, 50% capacity</t>
  </si>
  <si>
    <t>RETURN (REQUIRED NOI)</t>
  </si>
  <si>
    <t>WITNESS:  D. YARDLEY</t>
  </si>
  <si>
    <t xml:space="preserve">   106 Other Not Yet Classified</t>
  </si>
  <si>
    <t>Accts 374-386</t>
  </si>
  <si>
    <t>Related Plant Account</t>
  </si>
  <si>
    <t>Distribution Plant</t>
  </si>
  <si>
    <t>Accts 871-879</t>
  </si>
  <si>
    <t>Accts 376, 380</t>
  </si>
  <si>
    <t>Acct 378</t>
  </si>
  <si>
    <t>Acct 385</t>
  </si>
  <si>
    <t>Acct 379</t>
  </si>
  <si>
    <t>Accts 381-384</t>
  </si>
  <si>
    <t>100% Customer</t>
  </si>
  <si>
    <t>Accts 870-879, 881-894</t>
  </si>
  <si>
    <t>Acct 375</t>
  </si>
  <si>
    <t>Acct 376</t>
  </si>
  <si>
    <t>Accts 886-894</t>
  </si>
  <si>
    <t>Acct 377</t>
  </si>
  <si>
    <t>Acct 380</t>
  </si>
  <si>
    <t>Accts 381-383</t>
  </si>
  <si>
    <t>Accts 885-894</t>
  </si>
  <si>
    <t>General Plant</t>
  </si>
  <si>
    <t>Net Plant</t>
  </si>
  <si>
    <t>Intangible plant</t>
  </si>
  <si>
    <t>Rate Base</t>
  </si>
  <si>
    <t>Return</t>
  </si>
  <si>
    <t>GAIN ON SALE OF PROPERTY</t>
  </si>
  <si>
    <t>REVENUE CREDIT TO COS</t>
  </si>
  <si>
    <t>904 UNCOLLECTIBLE ACCOUNTS</t>
  </si>
  <si>
    <t>911-916 SALES EXPENSE</t>
  </si>
  <si>
    <t>O&amp;M Expense</t>
  </si>
  <si>
    <t>336 PURIFICATION EQUIPMENT (RNG)</t>
  </si>
  <si>
    <t>PURIFICATION EQUIPMENT (RNG)</t>
  </si>
  <si>
    <t xml:space="preserve">  740-848  LOCAL STORAGE PLANT:</t>
  </si>
  <si>
    <t xml:space="preserve">  413  GAS PLANT LEASED TO OTHERS</t>
  </si>
  <si>
    <t>413 GAS PLANT LEASED TO OTHERS</t>
  </si>
  <si>
    <t>DOCKET NO.:   20200051-GU</t>
  </si>
  <si>
    <t>377 COMPRESSOR STAT. EQUIPMENT</t>
  </si>
  <si>
    <t xml:space="preserve">   O&amp;M - Related</t>
  </si>
  <si>
    <t>PROJECTED TEST YEAR:    12/31/21</t>
  </si>
  <si>
    <t xml:space="preserve">  O&amp;M 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</si>
</sst>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_)"/>
    <numFmt numFmtId="165" formatCode="_(* #,##0_);_(* \(#,##0\);_(* &quot;-&quot;??_);_(@_)"/>
  </numFmts>
  <fonts count="6" x14ac:knownFonts="1">
    <font>
      <sz val="12"/>
      <name val="Helv"/>
    </font>
    <font>
      <sz val="10"/>
      <name val="Arial"/>
      <family val="2"/>
    </font>
    <font>
      <sz val="12"/>
      <name val="Arial"/>
      <family val="2"/>
    </font>
    <font>
      <sz val="12"/>
      <color indexed="12"/>
      <name val="Arial"/>
      <family val="2"/>
    </font>
    <font>
      <i/>
      <sz val="12"/>
      <name val="Arial"/>
      <family val="2"/>
    </font>
    <font>
      <i/>
      <sz val="12"/>
      <name val="Helv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43" fontId="1" fillId="0" borderId="0" applyFont="0" applyFill="0" applyBorder="0" applyAlignment="0" applyProtection="0"/>
  </cellStyleXfs>
  <cellXfs count="56">
    <xf numFmtId="164" fontId="0" fillId="0" borderId="0" xfId="0"/>
    <xf numFmtId="164" fontId="2" fillId="0" borderId="0" xfId="0" applyFont="1"/>
    <xf numFmtId="165" fontId="3" fillId="0" borderId="0" xfId="1" applyNumberFormat="1" applyFont="1" applyProtection="1">
      <protection locked="0"/>
    </xf>
    <xf numFmtId="164" fontId="2" fillId="0" borderId="1" xfId="0" applyFont="1" applyBorder="1"/>
    <xf numFmtId="164" fontId="2" fillId="0" borderId="0" xfId="0" applyFont="1" applyBorder="1"/>
    <xf numFmtId="164" fontId="2" fillId="0" borderId="0" xfId="0" applyFont="1" applyAlignment="1" applyProtection="1">
      <alignment horizontal="left"/>
    </xf>
    <xf numFmtId="164" fontId="2" fillId="0" borderId="0" xfId="0" quotePrefix="1" applyFont="1" applyAlignment="1" applyProtection="1">
      <alignment horizontal="left"/>
    </xf>
    <xf numFmtId="164" fontId="2" fillId="0" borderId="0" xfId="0" applyFont="1" applyAlignment="1">
      <alignment horizontal="center"/>
    </xf>
    <xf numFmtId="164" fontId="3" fillId="0" borderId="0" xfId="0" applyFont="1" applyFill="1" applyAlignment="1" applyProtection="1">
      <alignment horizontal="left"/>
      <protection locked="0"/>
    </xf>
    <xf numFmtId="165" fontId="2" fillId="0" borderId="0" xfId="1" applyNumberFormat="1" applyFont="1"/>
    <xf numFmtId="164" fontId="3" fillId="0" borderId="0" xfId="0" applyFont="1" applyAlignment="1" applyProtection="1">
      <alignment horizontal="left"/>
      <protection locked="0"/>
    </xf>
    <xf numFmtId="164" fontId="2" fillId="0" borderId="0" xfId="0" applyFont="1" applyFill="1"/>
    <xf numFmtId="165" fontId="2" fillId="0" borderId="0" xfId="1" applyNumberFormat="1" applyFont="1" applyFill="1"/>
    <xf numFmtId="165" fontId="2" fillId="0" borderId="2" xfId="1" applyNumberFormat="1" applyFont="1" applyBorder="1" applyProtection="1"/>
    <xf numFmtId="164" fontId="3" fillId="0" borderId="0" xfId="0" applyFont="1" applyProtection="1">
      <protection locked="0"/>
    </xf>
    <xf numFmtId="164" fontId="2" fillId="0" borderId="1" xfId="0" applyFont="1" applyBorder="1" applyAlignment="1" applyProtection="1">
      <alignment horizontal="left"/>
    </xf>
    <xf numFmtId="164" fontId="2" fillId="0" borderId="1" xfId="0" quotePrefix="1" applyFont="1" applyBorder="1" applyAlignment="1" applyProtection="1">
      <alignment horizontal="left"/>
    </xf>
    <xf numFmtId="165" fontId="2" fillId="0" borderId="0" xfId="1" applyNumberFormat="1" applyFont="1" applyProtection="1"/>
    <xf numFmtId="164" fontId="2" fillId="0" borderId="1" xfId="0" applyFont="1" applyBorder="1" applyAlignment="1" applyProtection="1">
      <alignment horizontal="fill"/>
    </xf>
    <xf numFmtId="164" fontId="2" fillId="0" borderId="0" xfId="0" applyFont="1" applyBorder="1" applyAlignment="1" applyProtection="1">
      <alignment horizontal="left"/>
    </xf>
    <xf numFmtId="164" fontId="2" fillId="0" borderId="0" xfId="0" applyFont="1" applyAlignment="1" applyProtection="1">
      <alignment horizontal="center"/>
    </xf>
    <xf numFmtId="164" fontId="2" fillId="0" borderId="1" xfId="0" applyFont="1" applyBorder="1" applyAlignment="1">
      <alignment horizontal="center"/>
    </xf>
    <xf numFmtId="164" fontId="2" fillId="0" borderId="1" xfId="0" applyFont="1" applyBorder="1" applyAlignment="1" applyProtection="1">
      <alignment horizontal="center"/>
    </xf>
    <xf numFmtId="165" fontId="2" fillId="0" borderId="3" xfId="1" applyNumberFormat="1" applyFont="1" applyFill="1" applyBorder="1" applyProtection="1"/>
    <xf numFmtId="165" fontId="2" fillId="0" borderId="3" xfId="1" applyNumberFormat="1" applyFont="1" applyBorder="1" applyProtection="1"/>
    <xf numFmtId="164" fontId="2" fillId="0" borderId="0" xfId="0" applyFont="1" applyAlignment="1" applyProtection="1">
      <alignment horizontal="left"/>
      <protection locked="0"/>
    </xf>
    <xf numFmtId="165" fontId="2" fillId="0" borderId="0" xfId="1" applyNumberFormat="1" applyFont="1" applyProtection="1">
      <protection locked="0"/>
    </xf>
    <xf numFmtId="165" fontId="2" fillId="0" borderId="0" xfId="1" applyNumberFormat="1" applyFont="1" applyFill="1" applyProtection="1">
      <protection locked="0"/>
    </xf>
    <xf numFmtId="164" fontId="0" fillId="0" borderId="0" xfId="0" applyFill="1"/>
    <xf numFmtId="164" fontId="2" fillId="0" borderId="0" xfId="0" applyFont="1" applyFill="1" applyAlignment="1">
      <alignment horizontal="center"/>
    </xf>
    <xf numFmtId="164" fontId="2" fillId="0" borderId="0" xfId="0" applyFont="1" applyFill="1" applyAlignment="1" applyProtection="1">
      <alignment horizontal="left"/>
      <protection locked="0"/>
    </xf>
    <xf numFmtId="164" fontId="2" fillId="0" borderId="0" xfId="0" quotePrefix="1" applyFont="1" applyFill="1" applyAlignment="1" applyProtection="1">
      <alignment horizontal="left"/>
      <protection locked="0"/>
    </xf>
    <xf numFmtId="165" fontId="2" fillId="0" borderId="0" xfId="1" applyNumberFormat="1" applyFont="1" applyFill="1" applyAlignment="1" applyProtection="1">
      <alignment horizontal="right"/>
      <protection locked="0"/>
    </xf>
    <xf numFmtId="165" fontId="2" fillId="0" borderId="0" xfId="1" applyNumberFormat="1" applyFont="1" applyAlignment="1" applyProtection="1">
      <alignment horizontal="right"/>
      <protection locked="0"/>
    </xf>
    <xf numFmtId="164" fontId="2" fillId="0" borderId="0" xfId="0" applyFont="1" applyProtection="1">
      <protection locked="0"/>
    </xf>
    <xf numFmtId="164" fontId="0" fillId="0" borderId="0" xfId="0" applyFont="1"/>
    <xf numFmtId="164" fontId="0" fillId="0" borderId="1" xfId="0" applyFont="1" applyBorder="1"/>
    <xf numFmtId="165" fontId="2" fillId="0" borderId="0" xfId="1" quotePrefix="1" applyNumberFormat="1" applyFont="1" applyAlignment="1" applyProtection="1">
      <alignment horizontal="right"/>
      <protection locked="0"/>
    </xf>
    <xf numFmtId="165" fontId="2" fillId="0" borderId="1" xfId="1" applyNumberFormat="1" applyFont="1" applyFill="1" applyBorder="1"/>
    <xf numFmtId="165" fontId="2" fillId="0" borderId="1" xfId="1" applyNumberFormat="1" applyFont="1" applyFill="1" applyBorder="1" applyProtection="1">
      <protection locked="0"/>
    </xf>
    <xf numFmtId="164" fontId="2" fillId="0" borderId="0" xfId="0" quotePrefix="1" applyFont="1" applyAlignment="1" applyProtection="1">
      <alignment horizontal="left"/>
      <protection locked="0"/>
    </xf>
    <xf numFmtId="164" fontId="2" fillId="0" borderId="0" xfId="0" applyFont="1" applyAlignment="1" applyProtection="1">
      <alignment horizontal="right"/>
      <protection locked="0"/>
    </xf>
    <xf numFmtId="165" fontId="2" fillId="0" borderId="3" xfId="1" applyNumberFormat="1" applyFont="1" applyBorder="1" applyProtection="1">
      <protection locked="0"/>
    </xf>
    <xf numFmtId="164" fontId="4" fillId="0" borderId="0" xfId="0" applyFont="1"/>
    <xf numFmtId="165" fontId="5" fillId="0" borderId="0" xfId="1" applyNumberFormat="1" applyFont="1"/>
    <xf numFmtId="165" fontId="2" fillId="0" borderId="3" xfId="1" applyNumberFormat="1" applyFont="1" applyFill="1" applyBorder="1" applyProtection="1">
      <protection locked="0"/>
    </xf>
    <xf numFmtId="165" fontId="2" fillId="0" borderId="0" xfId="1" applyNumberFormat="1" applyFont="1" applyAlignment="1" applyProtection="1">
      <alignment horizontal="left"/>
      <protection locked="0"/>
    </xf>
    <xf numFmtId="164" fontId="2" fillId="0" borderId="1" xfId="0" applyFont="1" applyBorder="1" applyAlignment="1">
      <alignment horizontal="left"/>
    </xf>
    <xf numFmtId="164" fontId="2" fillId="0" borderId="1" xfId="0" applyFont="1" applyBorder="1" applyAlignment="1" applyProtection="1">
      <alignment horizontal="right"/>
      <protection locked="0"/>
    </xf>
    <xf numFmtId="164" fontId="2" fillId="0" borderId="1" xfId="0" applyFont="1" applyBorder="1" applyAlignment="1" applyProtection="1">
      <alignment horizontal="left"/>
      <protection locked="0"/>
    </xf>
    <xf numFmtId="164" fontId="2" fillId="0" borderId="1" xfId="0" applyFont="1" applyBorder="1" applyAlignment="1" applyProtection="1">
      <alignment horizontal="center"/>
      <protection locked="0"/>
    </xf>
    <xf numFmtId="164" fontId="3" fillId="0" borderId="1" xfId="0" applyFont="1" applyBorder="1" applyAlignment="1" applyProtection="1">
      <alignment horizontal="left"/>
      <protection locked="0"/>
    </xf>
    <xf numFmtId="164" fontId="2" fillId="0" borderId="3" xfId="0" applyFont="1" applyBorder="1" applyAlignment="1" applyProtection="1">
      <alignment horizontal="left"/>
      <protection locked="0"/>
    </xf>
    <xf numFmtId="164" fontId="2" fillId="0" borderId="1" xfId="0" quotePrefix="1" applyFont="1" applyBorder="1" applyAlignment="1" applyProtection="1">
      <alignment horizontal="left"/>
      <protection locked="0"/>
    </xf>
    <xf numFmtId="164" fontId="2" fillId="0" borderId="1" xfId="0" applyFont="1" applyFill="1" applyBorder="1" applyAlignment="1" applyProtection="1">
      <alignment horizontal="left"/>
      <protection locked="0"/>
    </xf>
    <xf numFmtId="164" fontId="2" fillId="0" borderId="3" xfId="0" applyFont="1" applyFill="1" applyBorder="1" applyAlignment="1" applyProtection="1">
      <alignment horizontal="left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">
    <pageSetUpPr fitToPage="1"/>
  </sheetPr>
  <dimension ref="A1:O1170"/>
  <sheetViews>
    <sheetView tabSelected="1" view="pageBreakPreview" topLeftCell="A43" zoomScale="60" zoomScaleNormal="100" workbookViewId="0">
      <selection activeCell="B12" sqref="B12"/>
    </sheetView>
  </sheetViews>
  <sheetFormatPr defaultColWidth="15.77734375" defaultRowHeight="15.75" x14ac:dyDescent="0.25"/>
  <cols>
    <col min="1" max="1" width="10.6640625" customWidth="1"/>
    <col min="2" max="2" width="44.21875" customWidth="1"/>
    <col min="3" max="3" width="20.77734375" customWidth="1"/>
    <col min="4" max="6" width="16.77734375" customWidth="1"/>
    <col min="7" max="7" width="2.77734375" customWidth="1"/>
    <col min="8" max="8" width="14.77734375" customWidth="1"/>
    <col min="9" max="9" width="2.77734375" customWidth="1"/>
    <col min="10" max="10" width="21.109375" customWidth="1"/>
    <col min="11" max="11" width="16.44140625" bestFit="1" customWidth="1"/>
    <col min="12" max="12" width="17.88671875" customWidth="1"/>
  </cols>
  <sheetData>
    <row r="1" spans="1:15" x14ac:dyDescent="0.25">
      <c r="A1" s="15" t="s">
        <v>0</v>
      </c>
      <c r="B1" s="15"/>
      <c r="C1" s="3"/>
      <c r="D1" s="3"/>
      <c r="E1" s="22" t="s">
        <v>137</v>
      </c>
      <c r="F1" s="15"/>
      <c r="G1" s="3"/>
      <c r="H1" s="3"/>
      <c r="I1" s="3"/>
      <c r="J1" s="3"/>
      <c r="K1" s="15" t="s">
        <v>99</v>
      </c>
      <c r="L1" s="3"/>
    </row>
    <row r="2" spans="1:15" x14ac:dyDescent="0.25">
      <c r="A2" s="5"/>
      <c r="B2" s="5"/>
      <c r="C2" s="1"/>
      <c r="D2" s="1"/>
      <c r="E2" s="7"/>
      <c r="F2" s="1"/>
      <c r="G2" s="1"/>
      <c r="H2" s="1"/>
      <c r="I2" s="1"/>
      <c r="J2" s="1"/>
      <c r="K2" s="5"/>
      <c r="L2" s="1"/>
    </row>
    <row r="3" spans="1:15" x14ac:dyDescent="0.25">
      <c r="A3" s="5" t="s">
        <v>2</v>
      </c>
      <c r="B3" s="5"/>
      <c r="C3" s="1"/>
      <c r="D3" s="5"/>
      <c r="E3" s="20" t="s">
        <v>138</v>
      </c>
      <c r="F3" s="1"/>
      <c r="G3" s="1"/>
      <c r="H3" s="1"/>
      <c r="I3" s="1"/>
      <c r="J3" s="1"/>
      <c r="K3" s="5" t="s">
        <v>3</v>
      </c>
      <c r="L3" s="1"/>
      <c r="N3" s="11"/>
      <c r="O3" s="28"/>
    </row>
    <row r="4" spans="1:15" x14ac:dyDescent="0.25">
      <c r="A4" s="6" t="s">
        <v>130</v>
      </c>
      <c r="B4" s="6"/>
      <c r="C4" s="1"/>
      <c r="D4" s="1"/>
      <c r="E4" s="20" t="s">
        <v>84</v>
      </c>
      <c r="F4" s="5"/>
      <c r="G4" s="1"/>
      <c r="H4" s="1"/>
      <c r="I4" s="1"/>
      <c r="J4" s="1"/>
      <c r="K4" s="6" t="s">
        <v>200</v>
      </c>
      <c r="L4" s="1"/>
    </row>
    <row r="5" spans="1:15" x14ac:dyDescent="0.25">
      <c r="A5" s="6" t="s">
        <v>197</v>
      </c>
      <c r="B5" s="6"/>
      <c r="C5" s="1"/>
      <c r="D5" s="1"/>
      <c r="E5" s="7"/>
      <c r="F5" s="1"/>
      <c r="G5" s="1"/>
      <c r="H5" s="1"/>
      <c r="I5" s="1"/>
      <c r="J5" s="1"/>
      <c r="K5" s="6" t="s">
        <v>162</v>
      </c>
      <c r="L5" s="1"/>
    </row>
    <row r="6" spans="1:15" x14ac:dyDescent="0.25">
      <c r="A6" s="3"/>
      <c r="B6" s="3"/>
      <c r="C6" s="3"/>
      <c r="D6" s="3"/>
      <c r="E6" s="21"/>
      <c r="F6" s="3"/>
      <c r="G6" s="3"/>
      <c r="H6" s="3"/>
      <c r="I6" s="3"/>
      <c r="J6" s="3"/>
      <c r="K6" s="3"/>
      <c r="L6" s="3"/>
    </row>
    <row r="7" spans="1:15" x14ac:dyDescent="0.25">
      <c r="A7" s="1"/>
      <c r="B7" s="1"/>
      <c r="C7" s="1"/>
      <c r="D7" s="1"/>
      <c r="E7" s="20" t="s">
        <v>139</v>
      </c>
      <c r="F7" s="5"/>
      <c r="G7" s="1"/>
      <c r="H7" s="1"/>
      <c r="I7" s="1"/>
      <c r="J7" s="1"/>
      <c r="K7" s="1"/>
      <c r="L7" s="1"/>
      <c r="M7" s="1"/>
    </row>
    <row r="8" spans="1:15" x14ac:dyDescent="0.25">
      <c r="A8" s="1"/>
      <c r="B8" s="1"/>
      <c r="C8" s="1"/>
      <c r="D8" s="1"/>
      <c r="E8" s="20" t="s">
        <v>140</v>
      </c>
      <c r="F8" s="5"/>
      <c r="G8" s="1"/>
      <c r="H8" s="1"/>
      <c r="I8" s="1"/>
      <c r="K8" s="1"/>
      <c r="L8" s="1"/>
      <c r="M8" s="1"/>
    </row>
    <row r="9" spans="1:15" x14ac:dyDescent="0.25">
      <c r="A9" s="1"/>
      <c r="B9" s="5"/>
      <c r="C9" s="1"/>
      <c r="D9" s="1"/>
      <c r="E9" s="1"/>
      <c r="F9" s="1"/>
      <c r="G9" s="1"/>
      <c r="H9" s="1"/>
      <c r="I9" s="1"/>
      <c r="J9" s="5"/>
      <c r="K9" s="1"/>
      <c r="L9" s="1"/>
      <c r="M9" s="1"/>
    </row>
    <row r="10" spans="1:15" s="36" customFormat="1" x14ac:dyDescent="0.25">
      <c r="A10" s="47" t="s">
        <v>129</v>
      </c>
      <c r="B10" s="3"/>
      <c r="C10" s="50" t="s">
        <v>4</v>
      </c>
      <c r="D10" s="50" t="s">
        <v>5</v>
      </c>
      <c r="E10" s="50" t="s">
        <v>6</v>
      </c>
      <c r="F10" s="50" t="s">
        <v>7</v>
      </c>
      <c r="G10" s="21"/>
      <c r="H10" s="21"/>
      <c r="I10" s="21"/>
      <c r="J10" s="50" t="s">
        <v>8</v>
      </c>
      <c r="K10" s="3"/>
      <c r="L10" s="3"/>
      <c r="M10" s="3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5" x14ac:dyDescent="0.25">
      <c r="A12" s="7">
        <v>1</v>
      </c>
      <c r="B12" s="54" t="s">
        <v>9</v>
      </c>
      <c r="C12" s="27">
        <v>11432497.775796805</v>
      </c>
      <c r="D12" s="9"/>
      <c r="E12" s="27">
        <f>+C12</f>
        <v>11432497.775796805</v>
      </c>
      <c r="F12" s="12"/>
      <c r="G12" s="11"/>
      <c r="H12" s="11"/>
      <c r="I12" s="11"/>
      <c r="J12" s="30" t="s">
        <v>10</v>
      </c>
      <c r="K12" s="1"/>
      <c r="L12" s="1"/>
      <c r="M12" s="1"/>
    </row>
    <row r="13" spans="1:15" x14ac:dyDescent="0.25">
      <c r="A13" s="7"/>
      <c r="B13" s="11"/>
      <c r="C13" s="12"/>
      <c r="D13" s="9"/>
      <c r="E13" s="9"/>
      <c r="F13" s="9"/>
      <c r="G13" s="1"/>
      <c r="H13" s="1"/>
      <c r="I13" s="1"/>
      <c r="J13" s="1"/>
      <c r="K13" s="1"/>
      <c r="L13" s="1"/>
      <c r="M13" s="1"/>
    </row>
    <row r="14" spans="1:15" x14ac:dyDescent="0.25">
      <c r="A14" s="7">
        <f>A12+1</f>
        <v>2</v>
      </c>
      <c r="B14" s="30" t="s">
        <v>11</v>
      </c>
      <c r="C14" s="27">
        <v>52834976.792077757</v>
      </c>
      <c r="D14" s="9"/>
      <c r="E14" s="26">
        <f>C14</f>
        <v>52834976.792077757</v>
      </c>
      <c r="F14" s="9"/>
      <c r="G14" s="1"/>
      <c r="H14" s="1"/>
      <c r="I14" s="1"/>
      <c r="J14" s="25" t="s">
        <v>10</v>
      </c>
      <c r="K14" s="1"/>
      <c r="L14" s="1"/>
      <c r="M14" s="1"/>
    </row>
    <row r="15" spans="1:15" s="28" customFormat="1" x14ac:dyDescent="0.25">
      <c r="A15" s="29">
        <f>A14+1</f>
        <v>3</v>
      </c>
      <c r="B15" s="30" t="s">
        <v>192</v>
      </c>
      <c r="C15" s="27">
        <v>15701355.278438615</v>
      </c>
      <c r="D15" s="12"/>
      <c r="E15" s="27">
        <f>C15</f>
        <v>15701355.278438615</v>
      </c>
      <c r="F15" s="12"/>
      <c r="G15" s="11"/>
      <c r="H15" s="11"/>
      <c r="I15" s="11"/>
      <c r="J15" s="30" t="s">
        <v>10</v>
      </c>
      <c r="K15" s="11"/>
      <c r="L15" s="11"/>
      <c r="M15" s="11"/>
    </row>
    <row r="16" spans="1:15" x14ac:dyDescent="0.25">
      <c r="A16" s="7">
        <f t="shared" ref="A16:A30" si="0">A15+1</f>
        <v>4</v>
      </c>
      <c r="B16" s="30" t="s">
        <v>13</v>
      </c>
      <c r="C16" s="12"/>
      <c r="D16" s="9"/>
      <c r="E16" s="9"/>
      <c r="F16" s="9"/>
      <c r="G16" s="1"/>
      <c r="H16" s="1"/>
      <c r="I16" s="1"/>
      <c r="J16" s="1"/>
      <c r="K16" s="1"/>
      <c r="L16" s="1"/>
      <c r="M16" s="1"/>
    </row>
    <row r="17" spans="1:13" x14ac:dyDescent="0.25">
      <c r="A17" s="7">
        <f t="shared" si="0"/>
        <v>5</v>
      </c>
      <c r="B17" s="30" t="s">
        <v>14</v>
      </c>
      <c r="C17" s="27">
        <v>19686895.383899994</v>
      </c>
      <c r="D17" s="9"/>
      <c r="E17" s="26">
        <f t="shared" ref="E17:E22" si="1">C17</f>
        <v>19686895.383899994</v>
      </c>
      <c r="F17" s="9"/>
      <c r="G17" s="1"/>
      <c r="H17" s="1"/>
      <c r="I17" s="1"/>
      <c r="J17" s="25" t="s">
        <v>10</v>
      </c>
      <c r="K17" s="1"/>
      <c r="L17" s="1"/>
      <c r="M17" s="1"/>
    </row>
    <row r="18" spans="1:13" x14ac:dyDescent="0.25">
      <c r="A18" s="7">
        <f t="shared" si="0"/>
        <v>6</v>
      </c>
      <c r="B18" s="30" t="s">
        <v>15</v>
      </c>
      <c r="C18" s="27">
        <v>25961325.894074861</v>
      </c>
      <c r="D18" s="9"/>
      <c r="E18" s="26">
        <f t="shared" si="1"/>
        <v>25961325.894074861</v>
      </c>
      <c r="F18" s="9"/>
      <c r="G18" s="1"/>
      <c r="H18" s="1"/>
      <c r="I18" s="1"/>
      <c r="J18" s="25" t="s">
        <v>10</v>
      </c>
      <c r="K18" s="1"/>
      <c r="L18" s="1"/>
      <c r="M18" s="1"/>
    </row>
    <row r="19" spans="1:13" x14ac:dyDescent="0.25">
      <c r="A19" s="7">
        <f t="shared" si="0"/>
        <v>7</v>
      </c>
      <c r="B19" s="30" t="s">
        <v>16</v>
      </c>
      <c r="C19" s="27">
        <v>1233587432.3703182</v>
      </c>
      <c r="D19" s="9"/>
      <c r="E19" s="26">
        <f t="shared" si="1"/>
        <v>1233587432.3703182</v>
      </c>
      <c r="F19" s="9"/>
      <c r="G19" s="1"/>
      <c r="H19" s="1"/>
      <c r="I19" s="1"/>
      <c r="J19" s="25" t="s">
        <v>10</v>
      </c>
      <c r="K19" s="1"/>
      <c r="L19" s="1"/>
      <c r="M19" s="1"/>
    </row>
    <row r="20" spans="1:13" s="28" customFormat="1" x14ac:dyDescent="0.25">
      <c r="A20" s="29">
        <f t="shared" si="0"/>
        <v>8</v>
      </c>
      <c r="B20" s="30" t="s">
        <v>17</v>
      </c>
      <c r="C20" s="27">
        <v>17079961.055929452</v>
      </c>
      <c r="D20" s="12"/>
      <c r="E20" s="27">
        <f>C20</f>
        <v>17079961.055929452</v>
      </c>
      <c r="F20" s="12"/>
      <c r="G20" s="11"/>
      <c r="H20" s="11"/>
      <c r="I20" s="11"/>
      <c r="J20" s="30" t="s">
        <v>10</v>
      </c>
      <c r="K20" s="11"/>
      <c r="L20" s="11"/>
      <c r="M20" s="11"/>
    </row>
    <row r="21" spans="1:13" x14ac:dyDescent="0.25">
      <c r="A21" s="7">
        <f t="shared" si="0"/>
        <v>9</v>
      </c>
      <c r="B21" s="30" t="s">
        <v>18</v>
      </c>
      <c r="C21" s="27">
        <v>18885293.069999997</v>
      </c>
      <c r="D21" s="9"/>
      <c r="E21" s="26">
        <f t="shared" si="1"/>
        <v>18885293.069999997</v>
      </c>
      <c r="F21" s="9"/>
      <c r="G21" s="1"/>
      <c r="H21" s="1"/>
      <c r="I21" s="1"/>
      <c r="J21" s="25" t="s">
        <v>10</v>
      </c>
      <c r="K21" s="1"/>
      <c r="L21" s="1"/>
      <c r="M21" s="1"/>
    </row>
    <row r="22" spans="1:13" x14ac:dyDescent="0.25">
      <c r="A22" s="7">
        <f t="shared" si="0"/>
        <v>10</v>
      </c>
      <c r="B22" s="31" t="s">
        <v>19</v>
      </c>
      <c r="C22" s="27">
        <v>98144406.887648657</v>
      </c>
      <c r="D22" s="9"/>
      <c r="E22" s="26">
        <f t="shared" si="1"/>
        <v>98144406.887648657</v>
      </c>
      <c r="F22" s="9"/>
      <c r="G22" s="1"/>
      <c r="H22" s="1"/>
      <c r="I22" s="1"/>
      <c r="J22" s="25" t="s">
        <v>10</v>
      </c>
      <c r="K22" s="1"/>
      <c r="L22" s="1"/>
      <c r="M22" s="1"/>
    </row>
    <row r="23" spans="1:13" x14ac:dyDescent="0.25">
      <c r="A23" s="7">
        <f t="shared" si="0"/>
        <v>11</v>
      </c>
      <c r="B23" s="30" t="s">
        <v>20</v>
      </c>
      <c r="C23" s="27">
        <v>477639467.62355065</v>
      </c>
      <c r="D23" s="26">
        <f>C23</f>
        <v>477639467.62355065</v>
      </c>
      <c r="E23" s="9"/>
      <c r="F23" s="9"/>
      <c r="G23" s="1"/>
      <c r="H23" s="1"/>
      <c r="I23" s="1"/>
      <c r="J23" s="25" t="s">
        <v>21</v>
      </c>
      <c r="K23" s="1"/>
      <c r="L23" s="1"/>
      <c r="M23" s="1"/>
    </row>
    <row r="24" spans="1:13" x14ac:dyDescent="0.25">
      <c r="A24" s="7">
        <f t="shared" si="0"/>
        <v>12</v>
      </c>
      <c r="B24" s="30" t="s">
        <v>22</v>
      </c>
      <c r="C24" s="27">
        <v>157711883.13056615</v>
      </c>
      <c r="D24" s="26">
        <f>C24</f>
        <v>157711883.13056615</v>
      </c>
      <c r="E24" s="9"/>
      <c r="F24" s="9"/>
      <c r="G24" s="1"/>
      <c r="H24" s="1"/>
      <c r="I24" s="1"/>
      <c r="J24" s="25" t="s">
        <v>21</v>
      </c>
      <c r="K24" s="1"/>
      <c r="L24" s="1"/>
      <c r="M24" s="1"/>
    </row>
    <row r="25" spans="1:13" x14ac:dyDescent="0.25">
      <c r="A25" s="7">
        <f t="shared" si="0"/>
        <v>13</v>
      </c>
      <c r="B25" s="30" t="s">
        <v>23</v>
      </c>
      <c r="C25" s="27">
        <v>43667729.882984616</v>
      </c>
      <c r="D25" s="26">
        <f>C25</f>
        <v>43667729.882984616</v>
      </c>
      <c r="E25" s="9"/>
      <c r="F25" s="9"/>
      <c r="G25" s="1"/>
      <c r="H25" s="1"/>
      <c r="I25" s="1"/>
      <c r="J25" s="25" t="s">
        <v>21</v>
      </c>
      <c r="K25" s="1"/>
      <c r="L25" s="1"/>
      <c r="M25" s="1"/>
    </row>
    <row r="26" spans="1:13" x14ac:dyDescent="0.25">
      <c r="A26" s="7">
        <f t="shared" si="0"/>
        <v>14</v>
      </c>
      <c r="B26" s="30" t="s">
        <v>24</v>
      </c>
      <c r="C26" s="27">
        <v>12194964.560000001</v>
      </c>
      <c r="D26" s="26">
        <f>C26</f>
        <v>12194964.560000001</v>
      </c>
      <c r="E26" s="26">
        <v>0</v>
      </c>
      <c r="F26" s="9"/>
      <c r="G26" s="1"/>
      <c r="H26" s="1"/>
      <c r="I26" s="1"/>
      <c r="J26" s="25" t="s">
        <v>21</v>
      </c>
      <c r="K26" s="1"/>
      <c r="L26" s="1"/>
      <c r="M26" s="1"/>
    </row>
    <row r="27" spans="1:13" x14ac:dyDescent="0.25">
      <c r="A27" s="7">
        <f t="shared" si="0"/>
        <v>15</v>
      </c>
      <c r="B27" s="30" t="s">
        <v>25</v>
      </c>
      <c r="C27" s="27">
        <v>0</v>
      </c>
      <c r="D27" s="26">
        <f>C27</f>
        <v>0</v>
      </c>
      <c r="E27" s="26"/>
      <c r="F27" s="26"/>
      <c r="G27" s="1"/>
      <c r="H27" s="1"/>
      <c r="I27" s="1"/>
      <c r="J27" s="25"/>
      <c r="K27" s="1"/>
      <c r="L27" s="1"/>
      <c r="M27" s="1"/>
    </row>
    <row r="28" spans="1:13" x14ac:dyDescent="0.25">
      <c r="A28" s="7">
        <f t="shared" si="0"/>
        <v>16</v>
      </c>
      <c r="B28" s="30" t="s">
        <v>26</v>
      </c>
      <c r="C28" s="27">
        <v>9624237.75</v>
      </c>
      <c r="D28" s="26">
        <f>C28*SUM(D17:D27)/(SUM(D17:D27)+SUM(E17:E27)+SUM(F17:F27))</f>
        <v>3160950.6645428762</v>
      </c>
      <c r="E28" s="26">
        <f>C28*SUM(E17:E27)/(SUM(D17:D27)+SUM(E17:E27)+SUM(F17:F27))</f>
        <v>6463287.0854571229</v>
      </c>
      <c r="F28" s="26"/>
      <c r="G28" s="1"/>
      <c r="H28" s="1"/>
      <c r="I28" s="1"/>
      <c r="J28" s="25" t="s">
        <v>164</v>
      </c>
      <c r="K28" s="1"/>
      <c r="L28" s="1"/>
      <c r="M28" s="1"/>
    </row>
    <row r="29" spans="1:13" x14ac:dyDescent="0.25">
      <c r="A29" s="7">
        <f t="shared" si="0"/>
        <v>17</v>
      </c>
      <c r="B29" s="30" t="s">
        <v>163</v>
      </c>
      <c r="C29" s="27">
        <v>0</v>
      </c>
      <c r="D29" s="26">
        <f>C29*0.5</f>
        <v>0</v>
      </c>
      <c r="E29" s="26">
        <f>C29*0.5</f>
        <v>0</v>
      </c>
      <c r="F29" s="26"/>
      <c r="G29" s="1"/>
      <c r="H29" s="1"/>
      <c r="I29" s="1"/>
      <c r="J29" s="25" t="s">
        <v>160</v>
      </c>
      <c r="K29" s="1"/>
      <c r="L29" s="1"/>
      <c r="M29" s="1"/>
    </row>
    <row r="30" spans="1:13" x14ac:dyDescent="0.25">
      <c r="A30" s="7">
        <f t="shared" si="0"/>
        <v>18</v>
      </c>
      <c r="B30" s="30" t="s">
        <v>27</v>
      </c>
      <c r="C30" s="23">
        <f>SUM(C17:C29)</f>
        <v>2114183597.6089723</v>
      </c>
      <c r="D30" s="23">
        <f>SUM(D17:D29)</f>
        <v>694374995.86164427</v>
      </c>
      <c r="E30" s="23">
        <f>SUM(E17:E29)</f>
        <v>1419808601.747328</v>
      </c>
      <c r="F30" s="23">
        <f>SUM(F17:F29)</f>
        <v>0</v>
      </c>
      <c r="G30" s="1"/>
      <c r="H30" s="1"/>
      <c r="I30" s="1"/>
      <c r="J30" s="1"/>
      <c r="M30" s="1"/>
    </row>
    <row r="31" spans="1:13" x14ac:dyDescent="0.25">
      <c r="A31" s="7"/>
      <c r="B31" s="11"/>
      <c r="C31" s="12"/>
      <c r="D31" s="12"/>
      <c r="E31" s="12"/>
      <c r="F31" s="9"/>
      <c r="G31" s="1"/>
      <c r="H31" s="1"/>
      <c r="I31" s="1"/>
      <c r="J31" s="1"/>
      <c r="K31" s="1"/>
      <c r="L31" s="1"/>
      <c r="M31" s="1"/>
    </row>
    <row r="32" spans="1:13" x14ac:dyDescent="0.25">
      <c r="A32" s="7">
        <f>+A30+1</f>
        <v>19</v>
      </c>
      <c r="B32" s="30" t="s">
        <v>28</v>
      </c>
      <c r="C32" s="27">
        <v>70774159.108172521</v>
      </c>
      <c r="D32" s="26">
        <f>C32*0.5</f>
        <v>35387079.55408626</v>
      </c>
      <c r="E32" s="26">
        <f>C32*0.5</f>
        <v>35387079.55408626</v>
      </c>
      <c r="F32" s="9"/>
      <c r="G32" s="1"/>
      <c r="H32" s="1"/>
      <c r="I32" s="1"/>
      <c r="J32" s="25" t="s">
        <v>160</v>
      </c>
      <c r="K32" s="1"/>
      <c r="L32" s="1"/>
      <c r="M32" s="1"/>
    </row>
    <row r="33" spans="1:13" x14ac:dyDescent="0.25">
      <c r="A33" s="7"/>
      <c r="B33" s="11"/>
      <c r="C33" s="12"/>
      <c r="D33" s="12"/>
      <c r="E33" s="12"/>
      <c r="F33" s="9"/>
      <c r="G33" s="1"/>
      <c r="H33" s="1"/>
      <c r="I33" s="1"/>
      <c r="J33" s="1"/>
      <c r="K33" s="1"/>
      <c r="L33" s="1"/>
      <c r="M33" s="1"/>
    </row>
    <row r="34" spans="1:13" x14ac:dyDescent="0.25">
      <c r="A34" s="7">
        <f>+A32+1</f>
        <v>20</v>
      </c>
      <c r="B34" s="30" t="s">
        <v>29</v>
      </c>
      <c r="C34" s="27">
        <v>2084900</v>
      </c>
      <c r="D34" s="9"/>
      <c r="E34" s="26">
        <f>C34</f>
        <v>2084900</v>
      </c>
      <c r="F34" s="9"/>
      <c r="G34" s="1"/>
      <c r="H34" s="1"/>
      <c r="I34" s="1"/>
      <c r="J34" s="25" t="s">
        <v>10</v>
      </c>
      <c r="K34" s="1"/>
      <c r="L34" s="1"/>
      <c r="M34" s="1"/>
    </row>
    <row r="35" spans="1:13" x14ac:dyDescent="0.25">
      <c r="A35" s="7"/>
      <c r="B35" s="11"/>
      <c r="C35" s="12"/>
      <c r="D35" s="12"/>
      <c r="E35" s="12"/>
      <c r="F35" s="9"/>
      <c r="G35" s="1"/>
      <c r="H35" s="1"/>
      <c r="I35" s="1"/>
      <c r="J35" s="1"/>
      <c r="K35" s="1"/>
      <c r="L35" s="1"/>
      <c r="M35" s="1"/>
    </row>
    <row r="36" spans="1:13" x14ac:dyDescent="0.25">
      <c r="A36" s="7">
        <f>+A34+1</f>
        <v>21</v>
      </c>
      <c r="B36" s="30" t="s">
        <v>30</v>
      </c>
      <c r="C36" s="27">
        <v>0</v>
      </c>
      <c r="D36" s="9"/>
      <c r="E36" s="26">
        <f>C36</f>
        <v>0</v>
      </c>
      <c r="F36" s="9"/>
      <c r="G36" s="1"/>
      <c r="H36" s="1"/>
      <c r="I36" s="1"/>
      <c r="J36" s="25"/>
      <c r="K36" s="1"/>
      <c r="L36" s="1"/>
      <c r="M36" s="1"/>
    </row>
    <row r="37" spans="1:13" x14ac:dyDescent="0.25">
      <c r="A37" s="7"/>
      <c r="B37" s="11"/>
      <c r="C37" s="12"/>
      <c r="D37" s="12"/>
      <c r="E37" s="12"/>
      <c r="F37" s="9"/>
      <c r="G37" s="1"/>
      <c r="H37" s="1"/>
      <c r="I37" s="1"/>
      <c r="J37" s="1"/>
      <c r="K37" s="1"/>
      <c r="L37" s="1"/>
      <c r="M37" s="1"/>
    </row>
    <row r="38" spans="1:13" x14ac:dyDescent="0.25">
      <c r="A38" s="7">
        <f>+A36+1</f>
        <v>22</v>
      </c>
      <c r="B38" s="30" t="s">
        <v>31</v>
      </c>
      <c r="C38" s="27">
        <v>154563081.08920023</v>
      </c>
      <c r="D38" s="26">
        <f>C38*0.5</f>
        <v>77281540.544600114</v>
      </c>
      <c r="E38" s="26">
        <f>C38*0.5</f>
        <v>77281540.544600114</v>
      </c>
      <c r="F38" s="26"/>
      <c r="G38" s="1"/>
      <c r="H38" s="1"/>
      <c r="I38" s="1"/>
      <c r="J38" s="25" t="s">
        <v>160</v>
      </c>
      <c r="K38" s="1"/>
      <c r="L38" s="1"/>
      <c r="M38" s="1"/>
    </row>
    <row r="39" spans="1:13" x14ac:dyDescent="0.25">
      <c r="A39" s="7"/>
      <c r="B39" s="11"/>
      <c r="C39" s="32"/>
      <c r="D39" s="32"/>
      <c r="E39" s="32"/>
      <c r="F39" s="33"/>
      <c r="G39" s="1"/>
      <c r="H39" s="1"/>
      <c r="I39" s="1"/>
      <c r="J39" s="1"/>
      <c r="K39" s="2"/>
      <c r="L39" s="1"/>
      <c r="M39" s="1"/>
    </row>
    <row r="40" spans="1:13" ht="16.5" thickBot="1" x14ac:dyDescent="0.3">
      <c r="A40" s="7">
        <f>+A38+1</f>
        <v>23</v>
      </c>
      <c r="B40" s="25" t="s">
        <v>32</v>
      </c>
      <c r="C40" s="13">
        <f>C12+C14+C15+C30+C32+C34+C36+C38</f>
        <v>2421574567.652658</v>
      </c>
      <c r="D40" s="13">
        <f>D12+D14+D15+D30+D32+D34+D36+D38</f>
        <v>807043615.96033061</v>
      </c>
      <c r="E40" s="13">
        <f>E12+E14+E15+E30+E32+E34+E36+E38</f>
        <v>1614530951.6923275</v>
      </c>
      <c r="F40" s="13">
        <f>F12+F14+F15+F30+F32+F34+F36+F38</f>
        <v>0</v>
      </c>
      <c r="G40" s="1"/>
      <c r="H40" s="1"/>
      <c r="I40" s="1"/>
      <c r="J40" s="34"/>
      <c r="M40" s="1"/>
    </row>
    <row r="41" spans="1:13" ht="16.5" thickTop="1" x14ac:dyDescent="0.25">
      <c r="A41" s="1"/>
      <c r="B41" s="1"/>
      <c r="C41" s="33"/>
      <c r="D41" s="33"/>
      <c r="E41" s="33"/>
      <c r="F41" s="33"/>
      <c r="G41" s="1"/>
      <c r="H41" s="1"/>
      <c r="I41" s="1"/>
      <c r="J41" s="1"/>
      <c r="K41" s="1"/>
      <c r="L41" s="1"/>
      <c r="M41" s="1"/>
    </row>
    <row r="42" spans="1:13" x14ac:dyDescent="0.25">
      <c r="A42" s="1"/>
      <c r="B42" s="1"/>
      <c r="C42" s="35"/>
      <c r="D42" s="35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x14ac:dyDescent="0.25">
      <c r="A56" s="3"/>
      <c r="B56" s="15"/>
      <c r="C56" s="3"/>
      <c r="D56" s="3"/>
      <c r="E56" s="3"/>
      <c r="F56" s="3"/>
      <c r="G56" s="3"/>
      <c r="H56" s="3"/>
      <c r="I56" s="15"/>
      <c r="J56" s="15"/>
      <c r="K56" s="3"/>
      <c r="L56" s="3"/>
      <c r="M56" s="3"/>
    </row>
    <row r="57" spans="1:13" x14ac:dyDescent="0.25">
      <c r="A57" s="1"/>
      <c r="B57" s="5" t="s">
        <v>33</v>
      </c>
      <c r="C57" s="1"/>
      <c r="D57" s="1"/>
      <c r="E57" s="1"/>
      <c r="F57" s="1"/>
      <c r="G57" s="1"/>
      <c r="H57" s="1"/>
      <c r="I57" s="1"/>
      <c r="J57" s="1"/>
      <c r="K57" s="5" t="s">
        <v>34</v>
      </c>
      <c r="L57" s="1"/>
    </row>
    <row r="58" spans="1:13" x14ac:dyDescent="0.25">
      <c r="A58" s="1"/>
      <c r="B58" s="1"/>
      <c r="C58" s="9"/>
      <c r="D58" s="1"/>
      <c r="E58" s="1"/>
      <c r="F58" s="1"/>
      <c r="G58" s="1"/>
      <c r="H58" s="1"/>
      <c r="I58" s="1"/>
      <c r="J58" s="1"/>
      <c r="K58" s="1"/>
      <c r="L58" s="1"/>
    </row>
    <row r="59" spans="1:13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3" x14ac:dyDescent="0.25">
      <c r="A61" s="15" t="s">
        <v>0</v>
      </c>
      <c r="B61" s="15"/>
      <c r="C61" s="3"/>
      <c r="D61" s="3"/>
      <c r="E61" s="22" t="s">
        <v>137</v>
      </c>
      <c r="F61" s="36"/>
      <c r="G61" s="3"/>
      <c r="H61" s="3"/>
      <c r="I61" s="3"/>
      <c r="J61" s="3"/>
      <c r="K61" s="15" t="s">
        <v>47</v>
      </c>
      <c r="L61" s="3"/>
    </row>
    <row r="62" spans="1:13" x14ac:dyDescent="0.25">
      <c r="A62" s="5"/>
      <c r="B62" s="5"/>
      <c r="C62" s="1"/>
      <c r="D62" s="1"/>
      <c r="E62" s="7"/>
      <c r="F62" s="35"/>
      <c r="G62" s="1"/>
      <c r="H62" s="1"/>
      <c r="I62" s="1"/>
      <c r="J62" s="5"/>
      <c r="K62" s="1"/>
      <c r="L62" s="1"/>
    </row>
    <row r="63" spans="1:13" x14ac:dyDescent="0.25">
      <c r="A63" s="5" t="s">
        <v>2</v>
      </c>
      <c r="B63" s="5"/>
      <c r="C63" s="1"/>
      <c r="D63" s="5"/>
      <c r="E63" s="20" t="s">
        <v>138</v>
      </c>
      <c r="F63" s="35"/>
      <c r="G63" s="1"/>
      <c r="H63" s="1"/>
      <c r="I63" s="1"/>
      <c r="J63" s="1"/>
      <c r="K63" s="5" t="s">
        <v>3</v>
      </c>
      <c r="L63" s="1"/>
    </row>
    <row r="64" spans="1:13" x14ac:dyDescent="0.25">
      <c r="A64" s="6" t="s">
        <v>130</v>
      </c>
      <c r="B64" s="6"/>
      <c r="C64" s="1"/>
      <c r="D64" s="1"/>
      <c r="E64" s="20" t="s">
        <v>84</v>
      </c>
      <c r="F64" s="35"/>
      <c r="G64" s="1"/>
      <c r="H64" s="1"/>
      <c r="I64" s="1"/>
      <c r="J64" s="1"/>
      <c r="K64" s="6" t="str">
        <f>+$K$4</f>
        <v>PROJECTED TEST YEAR:    12/31/21</v>
      </c>
      <c r="L64" s="1"/>
    </row>
    <row r="65" spans="1:13" x14ac:dyDescent="0.25">
      <c r="A65" s="16" t="str">
        <f>+$A$5</f>
        <v>DOCKET NO.:   20200051-GU</v>
      </c>
      <c r="B65" s="16"/>
      <c r="C65" s="3"/>
      <c r="D65" s="3"/>
      <c r="E65" s="21"/>
      <c r="F65" s="36"/>
      <c r="G65" s="3"/>
      <c r="H65" s="3"/>
      <c r="I65" s="3"/>
      <c r="J65" s="3"/>
      <c r="K65" s="16" t="str">
        <f>+$K$5</f>
        <v>WITNESS:  D. YARDLEY</v>
      </c>
      <c r="L65" s="3"/>
    </row>
    <row r="66" spans="1:13" x14ac:dyDescent="0.25">
      <c r="A66" s="1"/>
      <c r="B66" s="1"/>
      <c r="C66" s="1"/>
      <c r="D66" s="1"/>
      <c r="E66" s="20" t="s">
        <v>141</v>
      </c>
      <c r="F66" s="35"/>
      <c r="G66" s="1"/>
      <c r="H66" s="1"/>
      <c r="I66" s="1"/>
      <c r="J66" s="1"/>
      <c r="K66" s="1"/>
      <c r="L66" s="1"/>
    </row>
    <row r="67" spans="1:13" x14ac:dyDescent="0.25">
      <c r="A67" s="1"/>
      <c r="B67" s="1"/>
      <c r="C67" s="1"/>
      <c r="D67" s="1"/>
      <c r="E67" s="20" t="s">
        <v>142</v>
      </c>
      <c r="F67" s="35"/>
      <c r="G67" s="1"/>
      <c r="H67" s="1"/>
      <c r="I67" s="1"/>
      <c r="J67" s="1"/>
      <c r="K67" s="1"/>
      <c r="L67" s="1"/>
      <c r="M67" s="1"/>
    </row>
    <row r="68" spans="1:13" x14ac:dyDescent="0.25">
      <c r="A68" s="1"/>
      <c r="B68" s="1"/>
      <c r="C68" s="1"/>
      <c r="D68" s="1"/>
      <c r="E68" s="20" t="s">
        <v>143</v>
      </c>
      <c r="F68" s="35"/>
      <c r="G68" s="1"/>
      <c r="H68" s="1"/>
      <c r="I68" s="1"/>
      <c r="J68" s="1"/>
      <c r="K68" s="1"/>
      <c r="L68" s="1"/>
      <c r="M68" s="1"/>
    </row>
    <row r="69" spans="1:13" x14ac:dyDescent="0.25">
      <c r="A69" s="1"/>
      <c r="B69" s="5"/>
      <c r="C69" s="1"/>
      <c r="D69" s="1"/>
      <c r="E69" s="1"/>
      <c r="F69" s="1"/>
      <c r="G69" s="1"/>
      <c r="H69" s="1"/>
      <c r="I69" s="1"/>
      <c r="J69" s="5"/>
      <c r="K69" s="1"/>
      <c r="L69" s="1"/>
      <c r="M69" s="1"/>
    </row>
    <row r="70" spans="1:13" s="36" customFormat="1" x14ac:dyDescent="0.25">
      <c r="A70" s="47" t="s">
        <v>129</v>
      </c>
      <c r="B70" s="3"/>
      <c r="C70" s="50" t="s">
        <v>4</v>
      </c>
      <c r="D70" s="50" t="s">
        <v>5</v>
      </c>
      <c r="E70" s="50" t="s">
        <v>6</v>
      </c>
      <c r="F70" s="50" t="s">
        <v>7</v>
      </c>
      <c r="G70" s="21"/>
      <c r="H70" s="21"/>
      <c r="I70" s="21"/>
      <c r="J70" s="50" t="s">
        <v>8</v>
      </c>
      <c r="K70" s="3"/>
      <c r="L70" s="3"/>
      <c r="M70" s="3"/>
    </row>
    <row r="71" spans="1:13" x14ac:dyDescent="0.25">
      <c r="A71" s="7">
        <v>1</v>
      </c>
      <c r="B71" s="55" t="s">
        <v>36</v>
      </c>
      <c r="C71" s="27">
        <v>-99784.149512581047</v>
      </c>
      <c r="D71" s="37"/>
      <c r="E71" s="37">
        <f>C71</f>
        <v>-99784.149512581047</v>
      </c>
      <c r="F71" s="37"/>
      <c r="G71" s="1"/>
      <c r="H71" s="1"/>
      <c r="I71" s="1"/>
      <c r="J71" s="25" t="s">
        <v>165</v>
      </c>
      <c r="K71" s="1"/>
      <c r="L71" s="1"/>
      <c r="M71" s="1"/>
    </row>
    <row r="72" spans="1:13" x14ac:dyDescent="0.25">
      <c r="A72" s="7"/>
      <c r="B72" s="11"/>
      <c r="C72" s="12"/>
      <c r="D72" s="9"/>
      <c r="E72" s="9"/>
      <c r="F72" s="9"/>
      <c r="G72" s="1"/>
      <c r="H72" s="1"/>
      <c r="I72" s="1"/>
      <c r="J72" s="1"/>
      <c r="K72" s="1"/>
      <c r="L72" s="1"/>
      <c r="M72" s="1"/>
    </row>
    <row r="73" spans="1:13" x14ac:dyDescent="0.25">
      <c r="A73" s="7">
        <f>A71+1</f>
        <v>2</v>
      </c>
      <c r="B73" s="30" t="s">
        <v>11</v>
      </c>
      <c r="C73" s="27">
        <v>-20342069.651508734</v>
      </c>
      <c r="D73" s="26"/>
      <c r="E73" s="26">
        <f>IF(C73=0,0,C73*(E14/C14))</f>
        <v>-20342069.651508734</v>
      </c>
      <c r="F73" s="26"/>
      <c r="G73" s="1"/>
      <c r="H73" s="1"/>
      <c r="I73" s="1"/>
      <c r="J73" s="25" t="s">
        <v>165</v>
      </c>
      <c r="K73" s="1"/>
      <c r="L73" s="1"/>
      <c r="M73" s="1"/>
    </row>
    <row r="74" spans="1:13" x14ac:dyDescent="0.25">
      <c r="A74" s="7">
        <f>A73+1</f>
        <v>3</v>
      </c>
      <c r="B74" s="30" t="s">
        <v>193</v>
      </c>
      <c r="C74" s="27">
        <v>-135076.32957383787</v>
      </c>
      <c r="D74" s="9"/>
      <c r="E74" s="26">
        <f>IF(C74=0,0,C74*(E15/C15))</f>
        <v>-135076.32957383787</v>
      </c>
      <c r="F74" s="9"/>
      <c r="G74" s="1"/>
      <c r="H74" s="1"/>
      <c r="I74" s="1"/>
      <c r="J74" s="25" t="s">
        <v>165</v>
      </c>
      <c r="K74" s="1"/>
      <c r="L74" s="1"/>
      <c r="M74" s="1"/>
    </row>
    <row r="75" spans="1:13" x14ac:dyDescent="0.25">
      <c r="A75" s="7">
        <f t="shared" ref="A75:A88" si="2">A74+1</f>
        <v>4</v>
      </c>
      <c r="B75" s="30" t="s">
        <v>13</v>
      </c>
      <c r="C75" s="12"/>
      <c r="D75" s="9"/>
      <c r="E75" s="9"/>
      <c r="F75" s="9"/>
      <c r="G75" s="1"/>
      <c r="H75" s="1"/>
      <c r="I75" s="1"/>
      <c r="J75" s="25"/>
      <c r="K75" s="1"/>
      <c r="L75" s="1"/>
      <c r="M75" s="1"/>
    </row>
    <row r="76" spans="1:13" x14ac:dyDescent="0.25">
      <c r="A76" s="7">
        <f t="shared" si="2"/>
        <v>5</v>
      </c>
      <c r="B76" s="31" t="s">
        <v>14</v>
      </c>
      <c r="C76" s="12">
        <v>59820.321799999991</v>
      </c>
      <c r="D76" s="9"/>
      <c r="E76" s="26">
        <f>IF(C76=0,0,C76*(E17/C17))</f>
        <v>59820.321799999991</v>
      </c>
      <c r="F76" s="9"/>
      <c r="G76" s="1"/>
      <c r="H76" s="1"/>
      <c r="I76" s="1"/>
      <c r="J76" s="25" t="s">
        <v>165</v>
      </c>
      <c r="K76" s="1"/>
      <c r="L76" s="1"/>
      <c r="M76" s="1"/>
    </row>
    <row r="77" spans="1:13" x14ac:dyDescent="0.25">
      <c r="A77" s="7">
        <f t="shared" si="2"/>
        <v>6</v>
      </c>
      <c r="B77" s="30" t="s">
        <v>15</v>
      </c>
      <c r="C77" s="12">
        <v>-7069225.9977834485</v>
      </c>
      <c r="D77" s="26"/>
      <c r="E77" s="26">
        <f>IF(C77=0,0,C77*(E18/C18))</f>
        <v>-7069225.9977834485</v>
      </c>
      <c r="F77" s="26"/>
      <c r="G77" s="1"/>
      <c r="H77" s="1"/>
      <c r="I77" s="1"/>
      <c r="J77" s="25" t="s">
        <v>165</v>
      </c>
      <c r="K77" s="1"/>
      <c r="L77" s="1"/>
      <c r="M77" s="1"/>
    </row>
    <row r="78" spans="1:13" x14ac:dyDescent="0.25">
      <c r="A78" s="7">
        <f t="shared" si="2"/>
        <v>7</v>
      </c>
      <c r="B78" s="30" t="s">
        <v>16</v>
      </c>
      <c r="C78" s="12">
        <v>-407952211.12306809</v>
      </c>
      <c r="D78" s="26"/>
      <c r="E78" s="26">
        <f>IF(C78=0,0,C78*(E19/C19))</f>
        <v>-407952211.12306809</v>
      </c>
      <c r="F78" s="26"/>
      <c r="G78" s="1"/>
      <c r="H78" s="1"/>
      <c r="I78" s="1"/>
      <c r="J78" s="25" t="s">
        <v>165</v>
      </c>
      <c r="K78" s="1"/>
      <c r="L78" s="1"/>
      <c r="M78" s="1"/>
    </row>
    <row r="79" spans="1:13" x14ac:dyDescent="0.25">
      <c r="A79" s="7">
        <f t="shared" si="2"/>
        <v>8</v>
      </c>
      <c r="B79" s="30" t="s">
        <v>37</v>
      </c>
      <c r="C79" s="12">
        <v>-254113.01533124948</v>
      </c>
      <c r="D79" s="26"/>
      <c r="E79" s="26">
        <f>IF(C79=0,0,C79*(E20/C20))</f>
        <v>-254113.01533124948</v>
      </c>
      <c r="F79" s="26"/>
      <c r="G79" s="1"/>
      <c r="H79" s="1"/>
      <c r="I79" s="1"/>
      <c r="J79" s="25" t="s">
        <v>165</v>
      </c>
      <c r="K79" s="1"/>
      <c r="L79" s="1"/>
      <c r="M79" s="1"/>
    </row>
    <row r="80" spans="1:13" x14ac:dyDescent="0.25">
      <c r="A80" s="7">
        <f t="shared" si="2"/>
        <v>9</v>
      </c>
      <c r="B80" s="30" t="s">
        <v>38</v>
      </c>
      <c r="C80" s="12">
        <v>-4575382.2677550009</v>
      </c>
      <c r="D80" s="26"/>
      <c r="E80" s="26">
        <f>IF(C80=0,0,C80*E21/C21)</f>
        <v>-4575382.2677550009</v>
      </c>
      <c r="F80" s="26"/>
      <c r="G80" s="1"/>
      <c r="H80" s="1"/>
      <c r="I80" s="1"/>
      <c r="J80" s="25" t="s">
        <v>165</v>
      </c>
      <c r="K80" s="1"/>
      <c r="L80" s="1"/>
      <c r="M80" s="1"/>
    </row>
    <row r="81" spans="1:13" x14ac:dyDescent="0.25">
      <c r="A81" s="7">
        <f t="shared" si="2"/>
        <v>10</v>
      </c>
      <c r="B81" s="30" t="s">
        <v>39</v>
      </c>
      <c r="C81" s="12">
        <v>-13682741.869372759</v>
      </c>
      <c r="D81" s="26"/>
      <c r="E81" s="26">
        <f>IF(C81=0,0,C81*(E22/C22))</f>
        <v>-13682741.869372759</v>
      </c>
      <c r="F81" s="26"/>
      <c r="G81" s="1"/>
      <c r="H81" s="1"/>
      <c r="I81" s="1"/>
      <c r="J81" s="25" t="s">
        <v>165</v>
      </c>
      <c r="K81" s="1"/>
      <c r="L81" s="1"/>
      <c r="M81" s="1"/>
    </row>
    <row r="82" spans="1:13" x14ac:dyDescent="0.25">
      <c r="A82" s="7">
        <f t="shared" si="2"/>
        <v>11</v>
      </c>
      <c r="B82" s="30" t="s">
        <v>20</v>
      </c>
      <c r="C82" s="12">
        <v>-228246097.25878251</v>
      </c>
      <c r="D82" s="26">
        <f>IF(C82=0,0,C82*(D23/C23))</f>
        <v>-228246097.25878251</v>
      </c>
      <c r="E82" s="26"/>
      <c r="F82" s="26"/>
      <c r="G82" s="1"/>
      <c r="H82" s="1"/>
      <c r="I82" s="1"/>
      <c r="J82" s="25" t="s">
        <v>165</v>
      </c>
      <c r="K82" s="1"/>
      <c r="L82" s="1"/>
      <c r="M82" s="1"/>
    </row>
    <row r="83" spans="1:13" x14ac:dyDescent="0.25">
      <c r="A83" s="7">
        <f t="shared" si="2"/>
        <v>12</v>
      </c>
      <c r="B83" s="30" t="s">
        <v>22</v>
      </c>
      <c r="C83" s="12">
        <v>-65781674.115014978</v>
      </c>
      <c r="D83" s="26">
        <f>IF(C83=0,0,C83*(D24/C24))</f>
        <v>-65781674.115014978</v>
      </c>
      <c r="E83" s="26"/>
      <c r="F83" s="26"/>
      <c r="G83" s="1"/>
      <c r="H83" s="1"/>
      <c r="I83" s="1"/>
      <c r="J83" s="25" t="s">
        <v>165</v>
      </c>
      <c r="K83" s="1"/>
      <c r="L83" s="1"/>
      <c r="M83" s="1"/>
    </row>
    <row r="84" spans="1:13" x14ac:dyDescent="0.25">
      <c r="A84" s="7">
        <f t="shared" si="2"/>
        <v>13</v>
      </c>
      <c r="B84" s="30" t="s">
        <v>23</v>
      </c>
      <c r="C84" s="12">
        <v>-22957715.542153809</v>
      </c>
      <c r="D84" s="26">
        <f>IF(C84=0,0,C84*(D25/C25))</f>
        <v>-22957715.542153809</v>
      </c>
      <c r="E84" s="26"/>
      <c r="F84" s="26"/>
      <c r="G84" s="1"/>
      <c r="H84" s="1"/>
      <c r="I84" s="1"/>
      <c r="J84" s="25" t="s">
        <v>165</v>
      </c>
      <c r="K84" s="1"/>
      <c r="L84" s="1"/>
      <c r="M84" s="1"/>
    </row>
    <row r="85" spans="1:13" x14ac:dyDescent="0.25">
      <c r="A85" s="7">
        <f t="shared" si="2"/>
        <v>14</v>
      </c>
      <c r="B85" s="30" t="s">
        <v>40</v>
      </c>
      <c r="C85" s="12">
        <v>-7082375.5738000069</v>
      </c>
      <c r="D85" s="26">
        <f>IF(C85=0,0,C85*(D26/C26))</f>
        <v>-7082375.5738000069</v>
      </c>
      <c r="E85" s="26">
        <f>IF(C85=0,0,C85*(E26/C26))</f>
        <v>0</v>
      </c>
      <c r="F85" s="26"/>
      <c r="G85" s="1"/>
      <c r="H85" s="1"/>
      <c r="I85" s="1"/>
      <c r="J85" s="25" t="s">
        <v>165</v>
      </c>
      <c r="K85" s="1"/>
      <c r="L85" s="1"/>
      <c r="M85" s="1"/>
    </row>
    <row r="86" spans="1:13" x14ac:dyDescent="0.25">
      <c r="A86" s="7">
        <f t="shared" si="2"/>
        <v>15</v>
      </c>
      <c r="B86" s="30" t="s">
        <v>25</v>
      </c>
      <c r="C86" s="12">
        <v>0</v>
      </c>
      <c r="D86" s="26"/>
      <c r="E86" s="26">
        <f>C86</f>
        <v>0</v>
      </c>
      <c r="F86" s="26"/>
      <c r="G86" s="1"/>
      <c r="H86" s="1"/>
      <c r="I86" s="1"/>
      <c r="J86" s="25" t="s">
        <v>165</v>
      </c>
      <c r="K86" s="1"/>
      <c r="L86" s="1"/>
      <c r="M86" s="1"/>
    </row>
    <row r="87" spans="1:13" x14ac:dyDescent="0.25">
      <c r="A87" s="7">
        <f t="shared" si="2"/>
        <v>16</v>
      </c>
      <c r="B87" s="30" t="s">
        <v>26</v>
      </c>
      <c r="C87" s="38">
        <v>-4788861.2845000019</v>
      </c>
      <c r="D87" s="26">
        <f>IF(C87=0,0,C87*(D28/C28))</f>
        <v>-1572836.691367473</v>
      </c>
      <c r="E87" s="26">
        <f>IF(C87=0,0,C87*(E28/C28))</f>
        <v>-3216024.5931325285</v>
      </c>
      <c r="F87" s="26"/>
      <c r="G87" s="1"/>
      <c r="H87" s="1"/>
      <c r="I87" s="1"/>
      <c r="J87" s="25" t="s">
        <v>165</v>
      </c>
      <c r="K87" s="1"/>
      <c r="L87" s="1"/>
      <c r="M87" s="1"/>
    </row>
    <row r="88" spans="1:13" x14ac:dyDescent="0.25">
      <c r="A88" s="7">
        <f t="shared" si="2"/>
        <v>17</v>
      </c>
      <c r="B88" s="30" t="s">
        <v>41</v>
      </c>
      <c r="C88" s="23">
        <f>SUM(C76:C87)</f>
        <v>-762330577.72576189</v>
      </c>
      <c r="D88" s="23">
        <f>SUM(D76:D87)</f>
        <v>-325640699.18111879</v>
      </c>
      <c r="E88" s="23">
        <f>SUM(E76:E87)</f>
        <v>-436689878.5446431</v>
      </c>
      <c r="F88" s="23">
        <f>SUM(F76:F87)</f>
        <v>0</v>
      </c>
      <c r="G88" s="1"/>
      <c r="H88" s="1"/>
      <c r="I88" s="1"/>
      <c r="J88" s="34"/>
      <c r="K88" s="1"/>
      <c r="L88" s="10"/>
      <c r="M88" s="1"/>
    </row>
    <row r="89" spans="1:13" x14ac:dyDescent="0.25">
      <c r="A89" s="7"/>
      <c r="B89" s="11"/>
      <c r="C89" s="12"/>
      <c r="D89" s="12"/>
      <c r="E89" s="12"/>
      <c r="F89" s="9"/>
      <c r="G89" s="1"/>
      <c r="H89" s="1"/>
      <c r="I89" s="1"/>
      <c r="J89" s="1"/>
      <c r="K89" s="1"/>
      <c r="L89" s="1"/>
      <c r="M89" s="1"/>
    </row>
    <row r="90" spans="1:13" x14ac:dyDescent="0.25">
      <c r="A90" s="7">
        <f>A88+1</f>
        <v>18</v>
      </c>
      <c r="B90" s="54" t="s">
        <v>28</v>
      </c>
      <c r="C90" s="27">
        <v>-33360999.40910621</v>
      </c>
      <c r="D90" s="26">
        <f>IF(C90=0,0,C90*(D32/C32))</f>
        <v>-16680499.704553105</v>
      </c>
      <c r="E90" s="26">
        <f>IF(C90=0,0,C90*(E32/C32))</f>
        <v>-16680499.704553105</v>
      </c>
      <c r="F90" s="26"/>
      <c r="G90" s="1"/>
      <c r="H90" s="1"/>
      <c r="I90" s="1"/>
      <c r="J90" s="25" t="str">
        <f>+J32</f>
        <v>50% customer, 50% capacity</v>
      </c>
      <c r="K90" s="1"/>
      <c r="L90" s="1"/>
      <c r="M90" s="1"/>
    </row>
    <row r="91" spans="1:13" x14ac:dyDescent="0.25">
      <c r="A91" s="7">
        <f>A90+1</f>
        <v>19</v>
      </c>
      <c r="B91" s="11" t="s">
        <v>131</v>
      </c>
      <c r="C91" s="27">
        <v>0</v>
      </c>
      <c r="D91" s="26">
        <f>IF(C91=0,0,C91*(D30/C30))</f>
        <v>0</v>
      </c>
      <c r="E91" s="26">
        <f>IF(C91=0,0,C91*(E30/C30))</f>
        <v>0</v>
      </c>
      <c r="F91" s="9"/>
      <c r="G91" s="1"/>
      <c r="H91" s="1"/>
      <c r="I91" s="1"/>
      <c r="J91" s="1" t="s">
        <v>166</v>
      </c>
      <c r="K91" s="1"/>
      <c r="L91" s="1"/>
      <c r="M91" s="1"/>
    </row>
    <row r="92" spans="1:13" x14ac:dyDescent="0.25">
      <c r="A92" s="7">
        <f t="shared" ref="A92:A96" si="3">A91+1</f>
        <v>20</v>
      </c>
      <c r="B92" s="31" t="s">
        <v>132</v>
      </c>
      <c r="C92" s="27">
        <v>-2148582</v>
      </c>
      <c r="D92" s="26"/>
      <c r="E92" s="26">
        <f>C92</f>
        <v>-2148582</v>
      </c>
      <c r="F92" s="26"/>
      <c r="G92" s="1"/>
      <c r="H92" s="1"/>
      <c r="I92" s="1"/>
      <c r="J92" s="25" t="s">
        <v>10</v>
      </c>
      <c r="K92" s="1"/>
      <c r="L92" s="1"/>
      <c r="M92" s="1"/>
    </row>
    <row r="93" spans="1:13" x14ac:dyDescent="0.25">
      <c r="A93" s="7">
        <f t="shared" si="3"/>
        <v>21</v>
      </c>
      <c r="B93" s="11" t="s">
        <v>133</v>
      </c>
      <c r="C93" s="27">
        <v>-955891.35472500091</v>
      </c>
      <c r="D93" s="9"/>
      <c r="E93" s="9">
        <f>+C93</f>
        <v>-955891.35472500091</v>
      </c>
      <c r="F93" s="9"/>
      <c r="G93" s="1"/>
      <c r="H93" s="1"/>
      <c r="I93" s="1"/>
      <c r="J93" s="30" t="s">
        <v>10</v>
      </c>
      <c r="K93" s="1"/>
      <c r="L93" s="1"/>
      <c r="M93" s="1"/>
    </row>
    <row r="94" spans="1:13" x14ac:dyDescent="0.25">
      <c r="A94" s="7">
        <f t="shared" si="3"/>
        <v>22</v>
      </c>
      <c r="B94" s="30" t="s">
        <v>12</v>
      </c>
      <c r="C94" s="27">
        <v>0</v>
      </c>
      <c r="D94" s="26"/>
      <c r="E94" s="26"/>
      <c r="F94" s="26"/>
      <c r="G94" s="1"/>
      <c r="H94" s="1"/>
      <c r="I94" s="1"/>
      <c r="J94" s="1"/>
      <c r="K94" s="1"/>
      <c r="L94" s="1"/>
      <c r="M94" s="1"/>
    </row>
    <row r="95" spans="1:13" x14ac:dyDescent="0.25">
      <c r="A95" s="7">
        <f t="shared" si="3"/>
        <v>23</v>
      </c>
      <c r="B95" s="11" t="s">
        <v>134</v>
      </c>
      <c r="C95" s="39">
        <v>-11423076.923076924</v>
      </c>
      <c r="D95" s="33">
        <f>C95/2</f>
        <v>-5711538.461538462</v>
      </c>
      <c r="E95" s="33">
        <f>C95/2</f>
        <v>-5711538.461538462</v>
      </c>
      <c r="F95" s="33"/>
      <c r="G95" s="1"/>
      <c r="H95" s="1"/>
      <c r="I95" s="1"/>
      <c r="J95" s="40" t="s">
        <v>136</v>
      </c>
      <c r="K95" s="1"/>
      <c r="L95" s="1"/>
      <c r="M95" s="1"/>
    </row>
    <row r="96" spans="1:13" ht="16.5" thickBot="1" x14ac:dyDescent="0.3">
      <c r="A96" s="7">
        <f t="shared" si="3"/>
        <v>24</v>
      </c>
      <c r="B96" s="25" t="s">
        <v>42</v>
      </c>
      <c r="C96" s="13">
        <f>C71+C73+C88+C90+C91+C92+C93+C94+C95+C74</f>
        <v>-830796057.54326522</v>
      </c>
      <c r="D96" s="13">
        <f t="shared" ref="D96:F96" si="4">D71+D73+D88+D90+D91+D92+D93+D94+D95+D74</f>
        <v>-348032737.34721035</v>
      </c>
      <c r="E96" s="13">
        <f t="shared" si="4"/>
        <v>-482763320.19605482</v>
      </c>
      <c r="F96" s="13">
        <f t="shared" si="4"/>
        <v>0</v>
      </c>
      <c r="G96" s="1"/>
      <c r="H96" s="1"/>
      <c r="I96" s="1"/>
      <c r="J96" s="35"/>
      <c r="L96" s="10"/>
      <c r="M96" s="1"/>
    </row>
    <row r="97" spans="1:13" ht="16.5" thickTop="1" x14ac:dyDescent="0.25">
      <c r="A97" s="7"/>
      <c r="B97" s="1"/>
      <c r="C97" s="33"/>
      <c r="D97" s="33"/>
      <c r="E97" s="33"/>
      <c r="F97" s="33"/>
      <c r="G97" s="1"/>
      <c r="H97" s="1"/>
      <c r="I97" s="1"/>
      <c r="J97" s="35"/>
      <c r="L97" s="1"/>
      <c r="M97" s="1"/>
    </row>
    <row r="98" spans="1:13" x14ac:dyDescent="0.25">
      <c r="A98" s="7"/>
      <c r="B98" s="1"/>
      <c r="C98" s="9"/>
      <c r="D98" s="9"/>
      <c r="E98" s="9"/>
      <c r="F98" s="9"/>
      <c r="G98" s="1"/>
      <c r="H98" s="1"/>
      <c r="I98" s="1"/>
      <c r="J98" s="35"/>
      <c r="L98" s="1"/>
      <c r="M98" s="1"/>
    </row>
    <row r="99" spans="1:13" x14ac:dyDescent="0.25">
      <c r="A99" s="7">
        <f>A96+1</f>
        <v>25</v>
      </c>
      <c r="B99" s="25" t="s">
        <v>43</v>
      </c>
      <c r="C99" s="17">
        <f>C40+C96</f>
        <v>1590778510.1093926</v>
      </c>
      <c r="D99" s="17">
        <f>D40+D96</f>
        <v>459010878.61312026</v>
      </c>
      <c r="E99" s="17">
        <f>E40+E96</f>
        <v>1131767631.4962726</v>
      </c>
      <c r="F99" s="17"/>
      <c r="G99" s="1"/>
      <c r="H99" s="1"/>
      <c r="I99" s="1"/>
      <c r="J99" s="35"/>
      <c r="L99" s="10"/>
      <c r="M99" s="1"/>
    </row>
    <row r="100" spans="1:13" x14ac:dyDescent="0.25">
      <c r="A100" s="7"/>
      <c r="B100" s="1"/>
      <c r="C100" s="9"/>
      <c r="D100" s="9"/>
      <c r="E100" s="9"/>
      <c r="F100" s="9"/>
      <c r="G100" s="1"/>
      <c r="H100" s="1"/>
      <c r="I100" s="1"/>
      <c r="J100" s="1"/>
      <c r="K100" s="1"/>
      <c r="L100" s="1"/>
      <c r="M100" s="1"/>
    </row>
    <row r="101" spans="1:13" x14ac:dyDescent="0.25">
      <c r="A101" s="7">
        <f>A99+1</f>
        <v>26</v>
      </c>
      <c r="B101" s="30" t="s">
        <v>44</v>
      </c>
      <c r="C101" s="27">
        <v>-12053000.952672392</v>
      </c>
      <c r="D101" s="26">
        <f>IF(C101=0,0,C101*(D173/C173))</f>
        <v>-7094008.3675893703</v>
      </c>
      <c r="E101" s="26">
        <f>IF(C101=0,0,C101*(E173/C173))</f>
        <v>-4958992.5850830218</v>
      </c>
      <c r="F101" s="26">
        <f>IF(C101=0,0,C101*(F173/C173))</f>
        <v>0</v>
      </c>
      <c r="G101" s="1"/>
      <c r="H101" s="1"/>
      <c r="I101" s="1"/>
      <c r="J101" s="25" t="s">
        <v>191</v>
      </c>
      <c r="K101" s="14"/>
      <c r="L101" s="10"/>
      <c r="M101" s="1"/>
    </row>
    <row r="102" spans="1:13" x14ac:dyDescent="0.25">
      <c r="A102" s="7"/>
      <c r="B102" s="1"/>
      <c r="C102" s="9"/>
      <c r="D102" s="9"/>
      <c r="E102" s="9"/>
      <c r="F102" s="9"/>
      <c r="G102" s="1"/>
      <c r="H102" s="1"/>
      <c r="I102" s="1"/>
      <c r="J102" s="1"/>
      <c r="K102" s="1"/>
      <c r="L102" s="1"/>
      <c r="M102" s="1"/>
    </row>
    <row r="103" spans="1:13" ht="16.5" thickBot="1" x14ac:dyDescent="0.3">
      <c r="A103" s="7">
        <f>A101+1</f>
        <v>27</v>
      </c>
      <c r="B103" s="25" t="s">
        <v>45</v>
      </c>
      <c r="C103" s="13">
        <f>C99+C101</f>
        <v>1578725509.1567202</v>
      </c>
      <c r="D103" s="13">
        <f>D99+D101</f>
        <v>451916870.2455309</v>
      </c>
      <c r="E103" s="13">
        <f>E99+E101</f>
        <v>1126808638.9111896</v>
      </c>
      <c r="F103" s="13">
        <f>F99+F101</f>
        <v>0</v>
      </c>
      <c r="G103" s="1"/>
      <c r="H103" s="1"/>
      <c r="I103" s="1"/>
      <c r="J103" s="35"/>
      <c r="L103" s="10"/>
      <c r="M103" s="1"/>
    </row>
    <row r="104" spans="1:13" ht="16.5" thickTop="1" x14ac:dyDescent="0.25">
      <c r="A104" s="7"/>
      <c r="B104" s="1"/>
      <c r="C104" s="41"/>
      <c r="D104" s="41"/>
      <c r="E104" s="41"/>
      <c r="F104" s="41"/>
      <c r="G104" s="1"/>
      <c r="H104" s="1"/>
      <c r="I104" s="1"/>
      <c r="J104" s="1"/>
      <c r="K104" s="1"/>
      <c r="L104" s="1"/>
      <c r="M104" s="1"/>
    </row>
    <row r="105" spans="1:13" x14ac:dyDescent="0.25">
      <c r="A105" s="1"/>
      <c r="B105" s="1"/>
      <c r="C105" s="35"/>
      <c r="D105" s="35"/>
      <c r="E105" s="1"/>
      <c r="F105" s="1"/>
      <c r="G105" s="1"/>
      <c r="H105" s="1"/>
      <c r="I105" s="1"/>
      <c r="J105" s="1"/>
      <c r="K105" s="1"/>
      <c r="L105" s="1"/>
      <c r="M105" s="1"/>
    </row>
    <row r="106" spans="1:13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1:13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1:13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1:13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1:13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13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13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1:13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1:13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1:13" x14ac:dyDescent="0.25">
      <c r="A115" s="3"/>
      <c r="B115" s="15"/>
      <c r="C115" s="3"/>
      <c r="D115" s="3"/>
      <c r="E115" s="3"/>
      <c r="F115" s="3"/>
      <c r="G115" s="3"/>
      <c r="H115" s="3"/>
      <c r="I115" s="3"/>
      <c r="J115" s="15"/>
      <c r="K115" s="3"/>
      <c r="L115" s="3"/>
      <c r="M115" s="3"/>
    </row>
    <row r="116" spans="1:13" x14ac:dyDescent="0.25">
      <c r="A116" s="1"/>
      <c r="B116" s="5" t="s">
        <v>46</v>
      </c>
      <c r="C116" s="1"/>
      <c r="D116" s="1"/>
      <c r="E116" s="1"/>
      <c r="F116" s="1"/>
      <c r="G116" s="1"/>
      <c r="H116" s="1"/>
      <c r="I116" s="1"/>
      <c r="J116" s="1"/>
      <c r="K116" s="5" t="s">
        <v>34</v>
      </c>
      <c r="L116" s="1"/>
    </row>
    <row r="117" spans="1:13" x14ac:dyDescent="0.25">
      <c r="A117" s="1"/>
      <c r="B117" s="1"/>
      <c r="C117" s="9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1:13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1:13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 x14ac:dyDescent="0.25">
      <c r="A121" s="15" t="s">
        <v>0</v>
      </c>
      <c r="B121" s="15"/>
      <c r="C121" s="3"/>
      <c r="D121" s="3"/>
      <c r="E121" s="22" t="s">
        <v>137</v>
      </c>
      <c r="F121" s="36"/>
      <c r="G121" s="3"/>
      <c r="H121" s="3"/>
      <c r="I121" s="3"/>
      <c r="J121" s="3"/>
      <c r="K121" s="15" t="s">
        <v>83</v>
      </c>
      <c r="L121" s="3"/>
    </row>
    <row r="122" spans="1:13" x14ac:dyDescent="0.25">
      <c r="A122" s="5"/>
      <c r="B122" s="5"/>
      <c r="C122" s="1"/>
      <c r="D122" s="1"/>
      <c r="E122" s="7"/>
      <c r="F122" s="35"/>
      <c r="G122" s="1"/>
      <c r="H122" s="1"/>
      <c r="I122" s="1"/>
      <c r="J122" s="5"/>
      <c r="K122" s="1"/>
      <c r="L122" s="1"/>
    </row>
    <row r="123" spans="1:13" x14ac:dyDescent="0.25">
      <c r="A123" s="5" t="s">
        <v>2</v>
      </c>
      <c r="B123" s="5"/>
      <c r="C123" s="1"/>
      <c r="D123" s="1"/>
      <c r="E123" s="20" t="s">
        <v>138</v>
      </c>
      <c r="F123" s="35"/>
      <c r="G123" s="1"/>
      <c r="H123" s="1"/>
      <c r="I123" s="1"/>
      <c r="J123" s="1"/>
      <c r="K123" s="5" t="s">
        <v>3</v>
      </c>
      <c r="L123" s="1"/>
    </row>
    <row r="124" spans="1:13" x14ac:dyDescent="0.25">
      <c r="A124" s="6" t="s">
        <v>130</v>
      </c>
      <c r="B124" s="6"/>
      <c r="C124" s="1"/>
      <c r="D124" s="1"/>
      <c r="E124" s="20" t="s">
        <v>84</v>
      </c>
      <c r="F124" s="35"/>
      <c r="G124" s="1"/>
      <c r="H124" s="1"/>
      <c r="I124" s="1"/>
      <c r="J124" s="1"/>
      <c r="K124" s="6" t="str">
        <f>+$K$4</f>
        <v>PROJECTED TEST YEAR:    12/31/21</v>
      </c>
      <c r="L124" s="1"/>
    </row>
    <row r="125" spans="1:13" x14ac:dyDescent="0.25">
      <c r="A125" s="16" t="str">
        <f>+$A$5</f>
        <v>DOCKET NO.:   20200051-GU</v>
      </c>
      <c r="B125" s="16"/>
      <c r="C125" s="3"/>
      <c r="D125" s="3"/>
      <c r="E125" s="21"/>
      <c r="F125" s="36"/>
      <c r="G125" s="3"/>
      <c r="H125" s="3"/>
      <c r="I125" s="3"/>
      <c r="J125" s="3"/>
      <c r="K125" s="16" t="str">
        <f>+$K$5</f>
        <v>WITNESS:  D. YARDLEY</v>
      </c>
      <c r="L125" s="3"/>
    </row>
    <row r="126" spans="1:13" x14ac:dyDescent="0.25">
      <c r="A126" s="1"/>
      <c r="B126" s="1"/>
      <c r="C126" s="1"/>
      <c r="D126" s="1"/>
      <c r="E126" s="20" t="s">
        <v>144</v>
      </c>
      <c r="F126" s="35"/>
      <c r="G126" s="1"/>
      <c r="H126" s="1"/>
      <c r="I126" s="1"/>
      <c r="J126" s="1"/>
      <c r="K126" s="1"/>
      <c r="L126" s="1"/>
      <c r="M126" s="1"/>
    </row>
    <row r="127" spans="1:13" x14ac:dyDescent="0.25">
      <c r="A127" s="1"/>
      <c r="B127" s="1"/>
      <c r="C127" s="1"/>
      <c r="D127" s="1"/>
      <c r="E127" s="20" t="s">
        <v>145</v>
      </c>
      <c r="F127" s="35"/>
      <c r="G127" s="1"/>
      <c r="H127" s="1"/>
      <c r="I127" s="1"/>
      <c r="J127" s="1"/>
      <c r="K127" s="1"/>
      <c r="L127" s="1"/>
      <c r="M127" s="1"/>
    </row>
    <row r="128" spans="1:13" x14ac:dyDescent="0.25">
      <c r="A128" s="1"/>
      <c r="B128" s="1"/>
      <c r="C128" s="1"/>
      <c r="D128" s="1"/>
      <c r="E128" s="20" t="s">
        <v>146</v>
      </c>
      <c r="F128" s="35"/>
      <c r="G128" s="1"/>
      <c r="H128" s="1"/>
      <c r="I128" s="1"/>
      <c r="J128" s="1"/>
      <c r="K128" s="1"/>
      <c r="L128" s="1"/>
      <c r="M128" s="1"/>
    </row>
    <row r="129" spans="1:13" x14ac:dyDescent="0.25">
      <c r="A129" s="1"/>
      <c r="B129" s="1"/>
      <c r="C129" s="1"/>
      <c r="D129" s="1"/>
      <c r="E129" s="5"/>
      <c r="F129" s="1"/>
      <c r="G129" s="1"/>
      <c r="H129" s="1"/>
      <c r="I129" s="1"/>
      <c r="J129" s="1"/>
      <c r="K129" s="1"/>
      <c r="L129" s="1"/>
      <c r="M129" s="1"/>
    </row>
    <row r="130" spans="1:13" s="36" customFormat="1" x14ac:dyDescent="0.25">
      <c r="A130" s="47" t="s">
        <v>129</v>
      </c>
      <c r="B130" s="15"/>
      <c r="C130" s="50" t="s">
        <v>4</v>
      </c>
      <c r="D130" s="50" t="s">
        <v>5</v>
      </c>
      <c r="E130" s="50" t="s">
        <v>6</v>
      </c>
      <c r="F130" s="50" t="s">
        <v>7</v>
      </c>
      <c r="G130" s="21"/>
      <c r="H130" s="21"/>
      <c r="I130" s="21"/>
      <c r="J130" s="50" t="s">
        <v>8</v>
      </c>
      <c r="K130" s="3"/>
      <c r="L130" s="18"/>
      <c r="M130" s="15"/>
    </row>
    <row r="131" spans="1:13" x14ac:dyDescent="0.25">
      <c r="A131" s="7">
        <v>1</v>
      </c>
      <c r="B131" s="52" t="s">
        <v>48</v>
      </c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1:13" s="28" customFormat="1" x14ac:dyDescent="0.25">
      <c r="A132" s="29">
        <f>A131+1</f>
        <v>2</v>
      </c>
      <c r="B132" s="25" t="s">
        <v>195</v>
      </c>
      <c r="C132" s="27">
        <v>1033485.2360002</v>
      </c>
      <c r="D132" s="12"/>
      <c r="E132" s="27">
        <f>+C132</f>
        <v>1033485.2360002</v>
      </c>
      <c r="F132" s="11"/>
      <c r="G132" s="11"/>
      <c r="H132" s="11"/>
      <c r="I132" s="11"/>
      <c r="J132" s="30" t="s">
        <v>10</v>
      </c>
      <c r="K132" s="11"/>
      <c r="L132" s="11"/>
      <c r="M132" s="11"/>
    </row>
    <row r="133" spans="1:13" x14ac:dyDescent="0.25">
      <c r="A133" s="7">
        <f t="shared" ref="A133:A158" si="5">A132+1</f>
        <v>3</v>
      </c>
      <c r="B133" s="25" t="s">
        <v>194</v>
      </c>
      <c r="C133" s="26">
        <v>25000</v>
      </c>
      <c r="D133" s="26"/>
      <c r="E133" s="26">
        <f>C133</f>
        <v>25000</v>
      </c>
      <c r="F133" s="26"/>
      <c r="G133" s="1"/>
      <c r="H133" s="1"/>
      <c r="I133" s="1"/>
      <c r="J133" s="30" t="s">
        <v>10</v>
      </c>
      <c r="K133" s="1"/>
      <c r="L133" s="1"/>
      <c r="M133" s="1"/>
    </row>
    <row r="134" spans="1:13" x14ac:dyDescent="0.25">
      <c r="A134" s="7">
        <f t="shared" si="5"/>
        <v>4</v>
      </c>
      <c r="B134" s="25" t="s">
        <v>12</v>
      </c>
      <c r="C134" s="26"/>
      <c r="D134" s="9"/>
      <c r="E134" s="26"/>
      <c r="F134" s="9"/>
      <c r="G134" s="1"/>
      <c r="H134" s="1"/>
      <c r="I134" s="1"/>
      <c r="J134" s="25"/>
      <c r="K134" s="1"/>
      <c r="L134" s="1"/>
      <c r="M134" s="1"/>
    </row>
    <row r="135" spans="1:13" x14ac:dyDescent="0.25">
      <c r="A135" s="7">
        <f t="shared" si="5"/>
        <v>5</v>
      </c>
      <c r="B135" s="49" t="s">
        <v>49</v>
      </c>
      <c r="C135" s="9"/>
      <c r="D135" s="9"/>
      <c r="E135" s="9"/>
      <c r="F135" s="9"/>
      <c r="G135" s="1"/>
      <c r="H135" s="1"/>
      <c r="I135" s="1"/>
      <c r="J135" s="1"/>
      <c r="K135" s="1"/>
      <c r="L135" s="1"/>
      <c r="M135" s="1"/>
    </row>
    <row r="136" spans="1:13" x14ac:dyDescent="0.25">
      <c r="A136" s="7">
        <f t="shared" si="5"/>
        <v>6</v>
      </c>
      <c r="B136" s="30" t="s">
        <v>50</v>
      </c>
      <c r="C136" s="27">
        <v>1583230.5700091538</v>
      </c>
      <c r="D136" s="26">
        <f>IF($C136=0,0,C136*SUM(D137:D145)/SUM($C137:$C145))</f>
        <v>887907.02074293455</v>
      </c>
      <c r="E136" s="26">
        <f>IF($C136=0,0,C136*SUM(E137:E145)/SUM($C137:$C145))</f>
        <v>695323.54926621937</v>
      </c>
      <c r="F136" s="26"/>
      <c r="G136" s="1"/>
      <c r="H136" s="1"/>
      <c r="I136" s="1"/>
      <c r="J136" s="25" t="s">
        <v>167</v>
      </c>
      <c r="K136" s="1"/>
      <c r="L136" s="1"/>
      <c r="M136" s="1"/>
    </row>
    <row r="137" spans="1:13" x14ac:dyDescent="0.25">
      <c r="A137" s="7">
        <f t="shared" si="5"/>
        <v>7</v>
      </c>
      <c r="B137" s="30" t="s">
        <v>51</v>
      </c>
      <c r="C137" s="27">
        <v>481137.3261725218</v>
      </c>
      <c r="D137" s="26"/>
      <c r="E137" s="26">
        <f>C137</f>
        <v>481137.3261725218</v>
      </c>
      <c r="F137" s="9"/>
      <c r="G137" s="1"/>
      <c r="H137" s="1"/>
      <c r="I137" s="1"/>
      <c r="J137" s="25" t="s">
        <v>10</v>
      </c>
      <c r="K137" s="1"/>
      <c r="L137" s="1"/>
      <c r="M137" s="1"/>
    </row>
    <row r="138" spans="1:13" x14ac:dyDescent="0.25">
      <c r="A138" s="7">
        <f t="shared" si="5"/>
        <v>8</v>
      </c>
      <c r="B138" s="30" t="s">
        <v>52</v>
      </c>
      <c r="C138" s="27">
        <v>21579.791815439996</v>
      </c>
      <c r="D138" s="26"/>
      <c r="E138" s="26">
        <f>C138</f>
        <v>21579.791815439996</v>
      </c>
      <c r="F138" s="26"/>
      <c r="G138" s="1"/>
      <c r="H138" s="1"/>
      <c r="I138" s="1"/>
      <c r="J138" s="25" t="s">
        <v>10</v>
      </c>
      <c r="K138" s="1"/>
      <c r="L138" s="1"/>
      <c r="M138" s="1"/>
    </row>
    <row r="139" spans="1:13" x14ac:dyDescent="0.25">
      <c r="A139" s="7">
        <f t="shared" si="5"/>
        <v>9</v>
      </c>
      <c r="B139" s="30" t="s">
        <v>53</v>
      </c>
      <c r="C139" s="27">
        <v>7706.5563674379009</v>
      </c>
      <c r="D139" s="9"/>
      <c r="E139" s="26">
        <f>+C139</f>
        <v>7706.5563674379009</v>
      </c>
      <c r="F139" s="26"/>
      <c r="G139" s="1"/>
      <c r="H139" s="1"/>
      <c r="I139" s="1"/>
      <c r="J139" s="30" t="s">
        <v>10</v>
      </c>
      <c r="K139" s="1"/>
      <c r="L139" s="1"/>
      <c r="M139" s="1"/>
    </row>
    <row r="140" spans="1:13" x14ac:dyDescent="0.25">
      <c r="A140" s="7">
        <f t="shared" si="5"/>
        <v>10</v>
      </c>
      <c r="B140" s="30" t="s">
        <v>54</v>
      </c>
      <c r="C140" s="27">
        <v>11223717.881678171</v>
      </c>
      <c r="D140" s="26">
        <f>IF($C140=0,0,C140*(D19+D23)/($C19+C23))</f>
        <v>3132776.0414360566</v>
      </c>
      <c r="E140" s="26">
        <f>IF($C140=0,0,C140*(E19+E23)/($C19+C23))</f>
        <v>8090941.8402421148</v>
      </c>
      <c r="F140" s="26"/>
      <c r="G140" s="1"/>
      <c r="H140" s="1"/>
      <c r="I140" s="1"/>
      <c r="J140" s="25" t="s">
        <v>168</v>
      </c>
      <c r="K140" s="1"/>
      <c r="L140" s="1"/>
      <c r="M140" s="1"/>
    </row>
    <row r="141" spans="1:13" x14ac:dyDescent="0.25">
      <c r="A141" s="7">
        <f t="shared" si="5"/>
        <v>11</v>
      </c>
      <c r="B141" s="30" t="s">
        <v>55</v>
      </c>
      <c r="C141" s="27">
        <v>44565.306014654809</v>
      </c>
      <c r="D141" s="26">
        <f>IF($C141=0,0,C141*(D21)/($C21))</f>
        <v>0</v>
      </c>
      <c r="E141" s="26">
        <f>IF($C141=0,0,C141*(E21)/($C21))</f>
        <v>44565.306014654809</v>
      </c>
      <c r="F141" s="26"/>
      <c r="G141" s="1"/>
      <c r="H141" s="1"/>
      <c r="I141" s="1"/>
      <c r="J141" s="25" t="s">
        <v>169</v>
      </c>
      <c r="K141" s="1"/>
      <c r="L141" s="1"/>
      <c r="M141" s="1"/>
    </row>
    <row r="142" spans="1:13" x14ac:dyDescent="0.25">
      <c r="A142" s="7">
        <f t="shared" si="5"/>
        <v>12</v>
      </c>
      <c r="B142" s="30" t="s">
        <v>56</v>
      </c>
      <c r="C142" s="27">
        <v>2263.4919682800005</v>
      </c>
      <c r="D142" s="26">
        <f>IF($C142=0,0,C142*(D26)/($C26))</f>
        <v>2263.4919682800005</v>
      </c>
      <c r="E142" s="26">
        <f>IF($C142=0,0,C142*(E26)/($C26))</f>
        <v>0</v>
      </c>
      <c r="F142" s="26"/>
      <c r="G142" s="1"/>
      <c r="H142" s="1"/>
      <c r="I142" s="1"/>
      <c r="J142" s="25" t="s">
        <v>170</v>
      </c>
      <c r="K142" s="1"/>
      <c r="L142" s="1"/>
      <c r="M142" s="1"/>
    </row>
    <row r="143" spans="1:13" x14ac:dyDescent="0.25">
      <c r="A143" s="7">
        <f t="shared" si="5"/>
        <v>13</v>
      </c>
      <c r="B143" s="30" t="s">
        <v>57</v>
      </c>
      <c r="C143" s="27">
        <v>91984.792321471497</v>
      </c>
      <c r="D143" s="26">
        <f>IF($C143=0,0,$C143*(D22/$C22))</f>
        <v>0</v>
      </c>
      <c r="E143" s="26">
        <f>IF($C143=0,0,$C143*(E22/$C22))</f>
        <v>91984.792321471497</v>
      </c>
      <c r="F143" s="26"/>
      <c r="G143" s="1"/>
      <c r="H143" s="1"/>
      <c r="I143" s="1"/>
      <c r="J143" s="25" t="s">
        <v>171</v>
      </c>
      <c r="K143" s="1"/>
      <c r="L143" s="1"/>
      <c r="M143" s="1"/>
    </row>
    <row r="144" spans="1:13" x14ac:dyDescent="0.25">
      <c r="A144" s="7">
        <f t="shared" si="5"/>
        <v>14</v>
      </c>
      <c r="B144" s="30" t="s">
        <v>58</v>
      </c>
      <c r="C144" s="27">
        <v>5457690.8179655354</v>
      </c>
      <c r="D144" s="26">
        <f>IF($C144=0,0,C144*(D24+D25)/($C24+C25))</f>
        <v>5457690.8179655354</v>
      </c>
      <c r="E144" s="26">
        <f>IF($C144=0,0,C144*(E24+E25)/($C24+C25))</f>
        <v>0</v>
      </c>
      <c r="F144" s="26"/>
      <c r="G144" s="1"/>
      <c r="H144" s="1"/>
      <c r="I144" s="1"/>
      <c r="J144" s="25" t="s">
        <v>172</v>
      </c>
      <c r="K144" s="1"/>
      <c r="L144" s="1"/>
      <c r="M144" s="1"/>
    </row>
    <row r="145" spans="1:13" x14ac:dyDescent="0.25">
      <c r="A145" s="7">
        <f t="shared" si="5"/>
        <v>15</v>
      </c>
      <c r="B145" s="30" t="s">
        <v>59</v>
      </c>
      <c r="C145" s="27">
        <v>2565322.079862528</v>
      </c>
      <c r="D145" s="26">
        <f>IF($C$145=0,0,$C145*(D24+D25)/($C24+$C25))</f>
        <v>2565322.079862528</v>
      </c>
      <c r="E145" s="26">
        <f>IF($C$145=0,0,$C145*(E24+E25)/($C24+$C25))</f>
        <v>0</v>
      </c>
      <c r="F145" s="26"/>
      <c r="G145" s="1"/>
      <c r="H145" s="1"/>
      <c r="I145" s="1"/>
      <c r="J145" s="25" t="s">
        <v>173</v>
      </c>
      <c r="K145" s="1"/>
      <c r="L145" s="1"/>
      <c r="M145" s="1"/>
    </row>
    <row r="146" spans="1:13" x14ac:dyDescent="0.25">
      <c r="A146" s="7">
        <f t="shared" si="5"/>
        <v>16</v>
      </c>
      <c r="B146" s="30" t="s">
        <v>60</v>
      </c>
      <c r="C146" s="27">
        <v>4401864.3274113648</v>
      </c>
      <c r="D146" s="26">
        <f>IF($C146=0,0,C146*(SUM(D136:D145)+SUM(D147:D157))/(SUM($C136:$C145)+SUM($C147:$C157)))</f>
        <v>2002619.8628147393</v>
      </c>
      <c r="E146" s="26">
        <f>IF($C146=0,0,C146*(SUM(E136:E145)+SUM(E147:E157))/(SUM($C136:$C145)+SUM($C147:$C157)))</f>
        <v>2399244.4645966259</v>
      </c>
      <c r="F146" s="26"/>
      <c r="G146" s="1"/>
      <c r="H146" s="1"/>
      <c r="I146" s="1"/>
      <c r="J146" s="25" t="s">
        <v>174</v>
      </c>
      <c r="K146" s="1"/>
      <c r="L146" s="1"/>
      <c r="M146" s="1"/>
    </row>
    <row r="147" spans="1:13" x14ac:dyDescent="0.25">
      <c r="A147" s="7">
        <f t="shared" si="5"/>
        <v>17</v>
      </c>
      <c r="B147" s="30" t="s">
        <v>61</v>
      </c>
      <c r="C147" s="27">
        <v>239464.18524332001</v>
      </c>
      <c r="D147" s="9"/>
      <c r="E147" s="26">
        <f>C147</f>
        <v>239464.18524332001</v>
      </c>
      <c r="F147" s="9"/>
      <c r="G147" s="1"/>
      <c r="H147" s="1"/>
      <c r="I147" s="1"/>
      <c r="J147" s="25" t="s">
        <v>10</v>
      </c>
      <c r="K147" s="1"/>
      <c r="L147" s="1"/>
      <c r="M147" s="1"/>
    </row>
    <row r="148" spans="1:13" x14ac:dyDescent="0.25">
      <c r="A148" s="7">
        <f t="shared" si="5"/>
        <v>18</v>
      </c>
      <c r="B148" s="30" t="s">
        <v>62</v>
      </c>
      <c r="C148" s="27">
        <v>36579.968309251904</v>
      </c>
      <c r="D148" s="26">
        <f>IF($C148=0,0,C148*(SUM(D149:D157)/(SUM($C149:$C157))))</f>
        <v>9976.7931904933484</v>
      </c>
      <c r="E148" s="26">
        <f>IF($C148=0,0,C148*(SUM(E149:E157)/(SUM($C149:$C157))))</f>
        <v>26603.175118758565</v>
      </c>
      <c r="F148" s="26"/>
      <c r="G148" s="1"/>
      <c r="H148" s="1"/>
      <c r="I148" s="1"/>
      <c r="J148" s="25" t="s">
        <v>177</v>
      </c>
      <c r="K148" s="1"/>
      <c r="L148" s="1"/>
      <c r="M148" s="1"/>
    </row>
    <row r="149" spans="1:13" x14ac:dyDescent="0.25">
      <c r="A149" s="7">
        <f t="shared" si="5"/>
        <v>19</v>
      </c>
      <c r="B149" s="30" t="s">
        <v>63</v>
      </c>
      <c r="C149" s="27">
        <v>224651.83652285335</v>
      </c>
      <c r="D149" s="26"/>
      <c r="E149" s="26">
        <f>C149</f>
        <v>224651.83652285335</v>
      </c>
      <c r="F149" s="26"/>
      <c r="G149" s="1"/>
      <c r="H149" s="1"/>
      <c r="I149" s="1"/>
      <c r="J149" s="25" t="s">
        <v>175</v>
      </c>
      <c r="K149" s="1"/>
      <c r="L149" s="1"/>
      <c r="M149" s="1"/>
    </row>
    <row r="150" spans="1:13" x14ac:dyDescent="0.25">
      <c r="A150" s="7">
        <f t="shared" si="5"/>
        <v>20</v>
      </c>
      <c r="B150" s="30" t="s">
        <v>64</v>
      </c>
      <c r="C150" s="27">
        <v>5685874.2183256578</v>
      </c>
      <c r="D150" s="26"/>
      <c r="E150" s="26">
        <f>IF($C150=0,0,C150*(E19/$C19))</f>
        <v>5685874.2183256578</v>
      </c>
      <c r="F150" s="26"/>
      <c r="G150" s="1"/>
      <c r="H150" s="1"/>
      <c r="I150" s="1"/>
      <c r="J150" s="25" t="s">
        <v>176</v>
      </c>
      <c r="K150" s="1"/>
      <c r="L150" s="1"/>
      <c r="M150" s="1"/>
    </row>
    <row r="151" spans="1:13" x14ac:dyDescent="0.25">
      <c r="A151" s="7">
        <f t="shared" si="5"/>
        <v>21</v>
      </c>
      <c r="B151" s="30" t="s">
        <v>65</v>
      </c>
      <c r="C151" s="27">
        <v>99392.951611886907</v>
      </c>
      <c r="D151" s="26">
        <f>IF($C151=0,0,C151*(D21)/($C21))</f>
        <v>0</v>
      </c>
      <c r="E151" s="26">
        <f>IF($C151=0,0,C151*(E21)/($C21))</f>
        <v>99392.951611886907</v>
      </c>
      <c r="F151" s="26"/>
      <c r="G151" s="1"/>
      <c r="H151" s="1"/>
      <c r="I151" s="1"/>
      <c r="J151" s="25" t="s">
        <v>178</v>
      </c>
      <c r="K151" s="1"/>
      <c r="L151" s="1"/>
      <c r="M151" s="1"/>
    </row>
    <row r="152" spans="1:13" x14ac:dyDescent="0.25">
      <c r="A152" s="7">
        <f t="shared" si="5"/>
        <v>22</v>
      </c>
      <c r="B152" s="30" t="s">
        <v>66</v>
      </c>
      <c r="C152" s="27">
        <v>725616.46997541562</v>
      </c>
      <c r="D152" s="26"/>
      <c r="E152" s="26">
        <f>IF($C152=0,0,C152*E21/$C21)</f>
        <v>725616.46997541562</v>
      </c>
      <c r="F152" s="26"/>
      <c r="G152" s="1"/>
      <c r="H152" s="1"/>
      <c r="I152" s="1"/>
      <c r="J152" s="25" t="s">
        <v>169</v>
      </c>
      <c r="K152" s="1"/>
      <c r="L152" s="1"/>
      <c r="M152" s="1"/>
    </row>
    <row r="153" spans="1:13" x14ac:dyDescent="0.25">
      <c r="A153" s="7">
        <f t="shared" si="5"/>
        <v>23</v>
      </c>
      <c r="B153" s="30" t="s">
        <v>67</v>
      </c>
      <c r="C153" s="27">
        <v>684179.94636468007</v>
      </c>
      <c r="D153" s="26">
        <f>IF($C153=0,0,C153*(D26/$C26))</f>
        <v>684179.94636468007</v>
      </c>
      <c r="E153" s="26">
        <f>IF($C153=0,0,C153*(E26/$C26))</f>
        <v>0</v>
      </c>
      <c r="F153" s="26"/>
      <c r="G153" s="1"/>
      <c r="H153" s="1"/>
      <c r="I153" s="1"/>
      <c r="J153" s="25" t="s">
        <v>170</v>
      </c>
      <c r="K153" s="1"/>
      <c r="L153" s="1"/>
      <c r="M153" s="1"/>
    </row>
    <row r="154" spans="1:13" x14ac:dyDescent="0.25">
      <c r="A154" s="7">
        <f t="shared" si="5"/>
        <v>24</v>
      </c>
      <c r="B154" s="30" t="s">
        <v>68</v>
      </c>
      <c r="C154" s="27">
        <v>1823151.1991936527</v>
      </c>
      <c r="D154" s="26">
        <f>IF($C154=0,0,$C154*(D22/$C22))</f>
        <v>0</v>
      </c>
      <c r="E154" s="26">
        <f>IF($C154=0,0,$C154*(E22/$C22))</f>
        <v>1823151.1991936527</v>
      </c>
      <c r="F154" s="26"/>
      <c r="G154" s="1"/>
      <c r="H154" s="1"/>
      <c r="I154" s="1"/>
      <c r="J154" s="25" t="s">
        <v>171</v>
      </c>
      <c r="K154" s="1"/>
      <c r="L154" s="1"/>
      <c r="M154" s="1"/>
    </row>
    <row r="155" spans="1:13" x14ac:dyDescent="0.25">
      <c r="A155" s="7">
        <f t="shared" si="5"/>
        <v>25</v>
      </c>
      <c r="B155" s="30" t="s">
        <v>69</v>
      </c>
      <c r="C155" s="27">
        <v>1754850.302407525</v>
      </c>
      <c r="D155" s="26">
        <f>IF($C155=0,0,C155*(D23/$C23))</f>
        <v>1754850.302407525</v>
      </c>
      <c r="E155" s="26">
        <f>IF($C155=0,0,D155*(E23/D23))</f>
        <v>0</v>
      </c>
      <c r="F155" s="26"/>
      <c r="G155" s="1"/>
      <c r="H155" s="1"/>
      <c r="I155" s="1"/>
      <c r="J155" s="25" t="s">
        <v>179</v>
      </c>
      <c r="K155" s="1"/>
      <c r="L155" s="1"/>
      <c r="M155" s="1"/>
    </row>
    <row r="156" spans="1:13" x14ac:dyDescent="0.25">
      <c r="A156" s="7">
        <f t="shared" si="5"/>
        <v>26</v>
      </c>
      <c r="B156" s="30" t="s">
        <v>70</v>
      </c>
      <c r="C156" s="27">
        <v>764241.73808214604</v>
      </c>
      <c r="D156" s="26">
        <f>IF($C156=0,0,C156*(D24+D25)/($C24+C25))</f>
        <v>764241.73808214616</v>
      </c>
      <c r="E156" s="26">
        <f>IF($C156=0,0,D156*(E24+E25)/($C24+D25))</f>
        <v>0</v>
      </c>
      <c r="F156" s="26"/>
      <c r="G156" s="1"/>
      <c r="H156" s="1"/>
      <c r="I156" s="1"/>
      <c r="J156" s="25" t="s">
        <v>180</v>
      </c>
      <c r="K156" s="1"/>
      <c r="L156" s="1"/>
      <c r="M156" s="1"/>
    </row>
    <row r="157" spans="1:13" x14ac:dyDescent="0.25">
      <c r="A157" s="7">
        <f t="shared" si="5"/>
        <v>27</v>
      </c>
      <c r="B157" s="30" t="s">
        <v>71</v>
      </c>
      <c r="C157" s="27">
        <v>83950.682601040826</v>
      </c>
      <c r="D157" s="26">
        <f>IF($C157=0,0,C157*(D28)/($C28))</f>
        <v>27572.465773363514</v>
      </c>
      <c r="E157" s="26">
        <f>IF($C157=0,0,C157*(E28)/($C28))</f>
        <v>56378.216827677301</v>
      </c>
      <c r="F157" s="26"/>
      <c r="G157" s="1"/>
      <c r="H157" s="1"/>
      <c r="I157" s="1"/>
      <c r="J157" s="25" t="s">
        <v>181</v>
      </c>
      <c r="K157" s="1"/>
      <c r="L157" s="1"/>
      <c r="M157" s="1"/>
    </row>
    <row r="158" spans="1:13" x14ac:dyDescent="0.25">
      <c r="A158" s="7">
        <f t="shared" si="5"/>
        <v>28</v>
      </c>
      <c r="B158" s="25" t="s">
        <v>72</v>
      </c>
      <c r="C158" s="23">
        <f>SUM(C136:C157)</f>
        <v>38003016.440223999</v>
      </c>
      <c r="D158" s="24">
        <f>SUM(D136:D157)</f>
        <v>17289400.560608283</v>
      </c>
      <c r="E158" s="24">
        <f>SUM(E136:E157)</f>
        <v>20713615.879615705</v>
      </c>
      <c r="F158" s="24">
        <f>SUM(F136:F157)</f>
        <v>0</v>
      </c>
      <c r="G158" s="1"/>
      <c r="H158" s="1"/>
      <c r="I158" s="1"/>
      <c r="J158" s="35"/>
      <c r="L158" s="1"/>
      <c r="M158" s="1"/>
    </row>
    <row r="159" spans="1:13" x14ac:dyDescent="0.25">
      <c r="A159" s="7"/>
      <c r="B159" s="1"/>
      <c r="C159" s="11"/>
      <c r="D159" s="1"/>
      <c r="E159" s="1"/>
      <c r="F159" s="1"/>
      <c r="G159" s="1"/>
      <c r="H159" s="1"/>
      <c r="I159" s="1"/>
      <c r="J159" s="9"/>
      <c r="K159" s="1"/>
      <c r="L159" s="1"/>
      <c r="M159" s="1"/>
    </row>
    <row r="160" spans="1:13" x14ac:dyDescent="0.25">
      <c r="A160" s="7">
        <f>A158+1</f>
        <v>29</v>
      </c>
      <c r="B160" s="49" t="s">
        <v>73</v>
      </c>
      <c r="C160" s="1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1:13" x14ac:dyDescent="0.25">
      <c r="A161" s="7">
        <f>A160+1</f>
        <v>30</v>
      </c>
      <c r="B161" s="30" t="s">
        <v>74</v>
      </c>
      <c r="C161" s="27">
        <v>0</v>
      </c>
      <c r="D161" s="26">
        <f>C161</f>
        <v>0</v>
      </c>
      <c r="E161" s="9"/>
      <c r="F161" s="9"/>
      <c r="G161" s="1"/>
      <c r="H161" s="1"/>
      <c r="I161" s="1"/>
      <c r="J161" s="25"/>
      <c r="K161" s="1"/>
      <c r="L161" s="1"/>
      <c r="M161" s="1"/>
    </row>
    <row r="162" spans="1:13" x14ac:dyDescent="0.25">
      <c r="A162" s="7">
        <f t="shared" ref="A162:A166" si="6">A161+1</f>
        <v>31</v>
      </c>
      <c r="B162" s="30" t="s">
        <v>75</v>
      </c>
      <c r="C162" s="27">
        <v>1310831.0604841281</v>
      </c>
      <c r="D162" s="26">
        <f>C162</f>
        <v>1310831.0604841281</v>
      </c>
      <c r="E162" s="9"/>
      <c r="F162" s="9"/>
      <c r="G162" s="1"/>
      <c r="H162" s="1"/>
      <c r="I162" s="1"/>
      <c r="J162" s="25" t="s">
        <v>21</v>
      </c>
      <c r="K162" s="1"/>
      <c r="L162" s="1"/>
      <c r="M162" s="1"/>
    </row>
    <row r="163" spans="1:13" x14ac:dyDescent="0.25">
      <c r="A163" s="7">
        <f t="shared" si="6"/>
        <v>32</v>
      </c>
      <c r="B163" s="30" t="s">
        <v>76</v>
      </c>
      <c r="C163" s="27">
        <v>13669380.782217111</v>
      </c>
      <c r="D163" s="26">
        <f>C163</f>
        <v>13669380.782217111</v>
      </c>
      <c r="E163" s="9"/>
      <c r="F163" s="9"/>
      <c r="G163" s="1"/>
      <c r="H163" s="1"/>
      <c r="I163" s="1"/>
      <c r="J163" s="25" t="s">
        <v>21</v>
      </c>
      <c r="K163" s="1"/>
      <c r="L163" s="1"/>
      <c r="M163" s="1"/>
    </row>
    <row r="164" spans="1:13" x14ac:dyDescent="0.25">
      <c r="A164" s="7">
        <f t="shared" si="6"/>
        <v>33</v>
      </c>
      <c r="B164" s="30" t="s">
        <v>77</v>
      </c>
      <c r="C164" s="27">
        <v>1604870.00236</v>
      </c>
      <c r="D164" s="9">
        <f>+C164</f>
        <v>1604870.00236</v>
      </c>
      <c r="E164" s="9"/>
      <c r="F164" s="26"/>
      <c r="G164" s="1"/>
      <c r="H164" s="1"/>
      <c r="I164" s="1"/>
      <c r="J164" s="25" t="s">
        <v>21</v>
      </c>
      <c r="K164" s="1"/>
      <c r="L164" s="1"/>
      <c r="M164" s="1"/>
    </row>
    <row r="165" spans="1:13" x14ac:dyDescent="0.25">
      <c r="A165" s="7">
        <f t="shared" si="6"/>
        <v>34</v>
      </c>
      <c r="B165" s="30" t="s">
        <v>78</v>
      </c>
      <c r="C165" s="27">
        <v>0</v>
      </c>
      <c r="D165" s="26"/>
      <c r="E165" s="9"/>
      <c r="F165" s="9"/>
      <c r="G165" s="1"/>
      <c r="H165" s="1"/>
      <c r="I165" s="1"/>
      <c r="J165" s="25" t="s">
        <v>21</v>
      </c>
      <c r="K165" s="1"/>
      <c r="L165" s="1"/>
      <c r="M165" s="1"/>
    </row>
    <row r="166" spans="1:13" x14ac:dyDescent="0.25">
      <c r="A166" s="7">
        <f t="shared" si="6"/>
        <v>35</v>
      </c>
      <c r="B166" s="25" t="s">
        <v>79</v>
      </c>
      <c r="C166" s="23">
        <f>SUM(C161:C165)</f>
        <v>16585081.845061239</v>
      </c>
      <c r="D166" s="42">
        <f>SUM(D161:D165)</f>
        <v>16585081.845061239</v>
      </c>
      <c r="E166" s="42">
        <f>SUM(E161:E165)</f>
        <v>0</v>
      </c>
      <c r="F166" s="42">
        <f>SUM(F161:F165)</f>
        <v>0</v>
      </c>
      <c r="G166" s="1"/>
      <c r="H166" s="1"/>
      <c r="I166" s="1"/>
      <c r="J166" s="35"/>
      <c r="L166" s="1"/>
      <c r="M166" s="1"/>
    </row>
    <row r="167" spans="1:13" x14ac:dyDescent="0.25">
      <c r="A167" s="7"/>
      <c r="B167" s="1"/>
      <c r="C167" s="1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1:13" x14ac:dyDescent="0.25">
      <c r="A168" s="7">
        <f>A166+1</f>
        <v>36</v>
      </c>
      <c r="B168" s="30" t="s">
        <v>152</v>
      </c>
      <c r="C168" s="27">
        <v>0</v>
      </c>
      <c r="D168" s="26">
        <f>C168</f>
        <v>0</v>
      </c>
      <c r="E168" s="9"/>
      <c r="F168" s="9"/>
      <c r="G168" s="1"/>
      <c r="H168" s="1"/>
      <c r="I168" s="1"/>
      <c r="J168" s="25"/>
      <c r="K168" s="1"/>
      <c r="L168" s="1"/>
      <c r="M168" s="1"/>
    </row>
    <row r="169" spans="1:13" x14ac:dyDescent="0.25">
      <c r="A169" s="7">
        <f>A168+1</f>
        <v>37</v>
      </c>
      <c r="B169" s="30" t="s">
        <v>153</v>
      </c>
      <c r="C169" s="27">
        <v>9333759.7957344595</v>
      </c>
      <c r="D169" s="26">
        <f>C169</f>
        <v>9333759.7957344595</v>
      </c>
      <c r="E169" s="9"/>
      <c r="F169" s="9"/>
      <c r="G169" s="1"/>
      <c r="H169" s="1"/>
      <c r="I169" s="1"/>
      <c r="J169" s="25" t="s">
        <v>21</v>
      </c>
      <c r="K169" s="1"/>
      <c r="L169" s="1"/>
      <c r="M169" s="1"/>
    </row>
    <row r="170" spans="1:13" x14ac:dyDescent="0.25">
      <c r="A170" s="7">
        <f t="shared" ref="A170:A171" si="7">A169+1</f>
        <v>38</v>
      </c>
      <c r="B170" s="30" t="s">
        <v>154</v>
      </c>
      <c r="C170" s="27">
        <v>56055704.28503187</v>
      </c>
      <c r="D170" s="26">
        <f>IF(C170=0,0,C170*D32/C32)</f>
        <v>28027852.142515935</v>
      </c>
      <c r="E170" s="26">
        <f>IF(C170=0,0,C170*E32/C32)</f>
        <v>28027852.142515935</v>
      </c>
      <c r="F170" s="26"/>
      <c r="G170" s="1"/>
      <c r="H170" s="1"/>
      <c r="I170" s="1"/>
      <c r="J170" s="25" t="s">
        <v>182</v>
      </c>
      <c r="K170" s="1"/>
      <c r="L170" s="1"/>
      <c r="M170" s="1"/>
    </row>
    <row r="171" spans="1:13" x14ac:dyDescent="0.25">
      <c r="A171" s="7">
        <f t="shared" si="7"/>
        <v>39</v>
      </c>
      <c r="B171" s="30" t="s">
        <v>155</v>
      </c>
      <c r="C171" s="27">
        <v>361532.56708596001</v>
      </c>
      <c r="D171" s="26">
        <f>IF(C171=0,0,C171*(D133+D158+D166+D168+D169+D170)/(C133+C158+C166+C168+C169+C170))</f>
        <v>214613.48449190112</v>
      </c>
      <c r="E171" s="26">
        <f>IF(C171=0,0,C171*(E133+E158+E166+E168+E169+E170)/(C133+C158+C166+C168+C169+C170))</f>
        <v>146919.08259405888</v>
      </c>
      <c r="F171" s="26">
        <f>IF(E171=0,0,E171*(F133+F158+F166+F168+F169+F170)/(E133+E158+E166+E168+E169+E170))</f>
        <v>0</v>
      </c>
      <c r="G171" s="1"/>
      <c r="H171" s="34"/>
      <c r="I171" s="1"/>
      <c r="J171" s="25" t="s">
        <v>80</v>
      </c>
      <c r="K171" s="1"/>
      <c r="L171" s="1"/>
      <c r="M171" s="1"/>
    </row>
    <row r="172" spans="1:13" x14ac:dyDescent="0.25">
      <c r="A172" s="7"/>
      <c r="B172" s="1"/>
      <c r="C172" s="32"/>
      <c r="D172" s="33"/>
      <c r="E172" s="33"/>
      <c r="F172" s="33"/>
      <c r="G172" s="1"/>
      <c r="H172" s="1"/>
      <c r="I172" s="1"/>
      <c r="J172" s="1"/>
      <c r="K172" s="1"/>
      <c r="L172" s="1"/>
      <c r="M172" s="1"/>
    </row>
    <row r="173" spans="1:13" ht="16.5" thickBot="1" x14ac:dyDescent="0.3">
      <c r="A173" s="7">
        <f>A171+1</f>
        <v>40</v>
      </c>
      <c r="B173" s="25" t="s">
        <v>81</v>
      </c>
      <c r="C173" s="13">
        <f>C133+C134+C158+C166+C168+C169+C170+C171+C132</f>
        <v>121397580.16913772</v>
      </c>
      <c r="D173" s="13">
        <f t="shared" ref="D173:F173" si="8">D133+D134+D158+D166+D168+D169+D170+D171+D132</f>
        <v>71450707.828411818</v>
      </c>
      <c r="E173" s="13">
        <f t="shared" si="8"/>
        <v>49946872.340725899</v>
      </c>
      <c r="F173" s="13">
        <f t="shared" si="8"/>
        <v>0</v>
      </c>
      <c r="G173" s="1"/>
      <c r="H173" s="1"/>
      <c r="I173" s="1"/>
      <c r="J173" s="35"/>
      <c r="L173" s="1"/>
      <c r="M173" s="1"/>
    </row>
    <row r="174" spans="1:13" ht="16.5" thickTop="1" x14ac:dyDescent="0.25">
      <c r="A174" s="1"/>
      <c r="B174" s="35"/>
      <c r="C174" s="35"/>
      <c r="D174" s="35"/>
      <c r="E174" s="41"/>
      <c r="F174" s="41"/>
      <c r="G174" s="1"/>
      <c r="H174" s="1"/>
      <c r="I174" s="1"/>
      <c r="J174" s="1"/>
      <c r="K174" s="1"/>
      <c r="L174" s="1"/>
      <c r="M174" s="1"/>
    </row>
    <row r="175" spans="1:13" x14ac:dyDescent="0.25">
      <c r="A175" s="1"/>
      <c r="B175" s="43"/>
      <c r="C175" s="44"/>
      <c r="D175" s="35"/>
      <c r="E175" s="1"/>
      <c r="F175" s="1"/>
      <c r="G175" s="1"/>
      <c r="H175" s="1"/>
      <c r="I175" s="1"/>
      <c r="J175" s="1"/>
      <c r="K175" s="1"/>
      <c r="L175" s="1"/>
      <c r="M175" s="1"/>
    </row>
    <row r="176" spans="1:13" x14ac:dyDescent="0.25">
      <c r="A176" s="3"/>
      <c r="B176" s="15"/>
      <c r="C176" s="3"/>
      <c r="D176" s="3"/>
      <c r="E176" s="3"/>
      <c r="F176" s="3"/>
      <c r="G176" s="3"/>
      <c r="H176" s="3"/>
      <c r="I176" s="3"/>
      <c r="J176" s="15"/>
      <c r="K176" s="3"/>
      <c r="L176" s="18"/>
      <c r="M176" s="15"/>
    </row>
    <row r="177" spans="1:13" x14ac:dyDescent="0.25">
      <c r="A177" s="1"/>
      <c r="B177" s="5" t="s">
        <v>82</v>
      </c>
      <c r="C177" s="1"/>
      <c r="D177" s="1"/>
      <c r="E177" s="1"/>
      <c r="F177" s="1"/>
      <c r="G177" s="1"/>
      <c r="H177" s="1"/>
      <c r="I177" s="1"/>
      <c r="J177" s="1"/>
      <c r="K177" s="5" t="s">
        <v>34</v>
      </c>
      <c r="L177" s="1"/>
    </row>
    <row r="178" spans="1:13" x14ac:dyDescent="0.25">
      <c r="A178" s="1"/>
      <c r="B178" s="1"/>
      <c r="C178" s="33"/>
      <c r="D178" s="25"/>
      <c r="E178" s="1"/>
      <c r="F178" s="1"/>
      <c r="G178" s="1"/>
      <c r="H178" s="1"/>
      <c r="I178" s="1"/>
      <c r="J178" s="1"/>
      <c r="K178" s="1"/>
      <c r="L178" s="1"/>
    </row>
    <row r="179" spans="1:13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3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3" x14ac:dyDescent="0.25">
      <c r="A181" s="15" t="s">
        <v>0</v>
      </c>
      <c r="B181" s="15"/>
      <c r="C181" s="3"/>
      <c r="D181" s="3"/>
      <c r="E181" s="22" t="s">
        <v>137</v>
      </c>
      <c r="F181" s="15"/>
      <c r="G181" s="3"/>
      <c r="H181" s="3"/>
      <c r="I181" s="3"/>
      <c r="J181" s="3"/>
      <c r="K181" s="15" t="s">
        <v>35</v>
      </c>
      <c r="L181" s="3"/>
    </row>
    <row r="182" spans="1:13" x14ac:dyDescent="0.25">
      <c r="A182" s="5"/>
      <c r="B182" s="5"/>
      <c r="C182" s="1"/>
      <c r="D182" s="1"/>
      <c r="E182" s="7"/>
      <c r="F182" s="1"/>
      <c r="G182" s="1"/>
      <c r="H182" s="1"/>
      <c r="I182" s="5"/>
      <c r="J182" s="5"/>
      <c r="K182" s="1"/>
      <c r="L182" s="1"/>
    </row>
    <row r="183" spans="1:13" x14ac:dyDescent="0.25">
      <c r="A183" s="5" t="s">
        <v>2</v>
      </c>
      <c r="B183" s="5"/>
      <c r="C183" s="1"/>
      <c r="D183" s="1"/>
      <c r="E183" s="20" t="s">
        <v>138</v>
      </c>
      <c r="F183" s="1"/>
      <c r="G183" s="1"/>
      <c r="H183" s="1"/>
      <c r="I183" s="1"/>
      <c r="J183" s="1"/>
      <c r="K183" s="5" t="s">
        <v>3</v>
      </c>
      <c r="L183" s="1"/>
    </row>
    <row r="184" spans="1:13" x14ac:dyDescent="0.25">
      <c r="A184" s="6" t="s">
        <v>130</v>
      </c>
      <c r="B184" s="6"/>
      <c r="C184" s="1"/>
      <c r="D184" s="1"/>
      <c r="E184" s="20" t="s">
        <v>84</v>
      </c>
      <c r="F184" s="5"/>
      <c r="G184" s="1"/>
      <c r="H184" s="1"/>
      <c r="I184" s="1"/>
      <c r="J184" s="1"/>
      <c r="K184" s="6" t="str">
        <f>+$K$4</f>
        <v>PROJECTED TEST YEAR:    12/31/21</v>
      </c>
      <c r="L184" s="1"/>
    </row>
    <row r="185" spans="1:13" x14ac:dyDescent="0.25">
      <c r="A185" s="16" t="str">
        <f>+$A$5</f>
        <v>DOCKET NO.:   20200051-GU</v>
      </c>
      <c r="B185" s="16"/>
      <c r="C185" s="3"/>
      <c r="D185" s="3"/>
      <c r="E185" s="21"/>
      <c r="F185" s="3"/>
      <c r="G185" s="3"/>
      <c r="H185" s="3"/>
      <c r="I185" s="3"/>
      <c r="J185" s="3"/>
      <c r="K185" s="16" t="str">
        <f>+$K$5</f>
        <v>WITNESS:  D. YARDLEY</v>
      </c>
      <c r="L185" s="3"/>
    </row>
    <row r="186" spans="1:13" x14ac:dyDescent="0.25">
      <c r="A186" s="1"/>
      <c r="B186" s="1"/>
      <c r="C186" s="1"/>
      <c r="D186" s="1"/>
      <c r="E186" s="20" t="s">
        <v>147</v>
      </c>
      <c r="F186" s="1"/>
      <c r="G186" s="1"/>
      <c r="H186" s="1"/>
      <c r="I186" s="1"/>
      <c r="J186" s="1"/>
      <c r="K186" s="1"/>
      <c r="L186" s="1"/>
      <c r="M186" s="1"/>
    </row>
    <row r="187" spans="1:13" x14ac:dyDescent="0.25">
      <c r="A187" s="1"/>
      <c r="B187" s="1"/>
      <c r="C187" s="1"/>
      <c r="D187" s="1"/>
      <c r="E187" s="20" t="s">
        <v>148</v>
      </c>
      <c r="F187" s="1"/>
      <c r="G187" s="1"/>
      <c r="H187" s="1"/>
      <c r="I187" s="1"/>
      <c r="J187" s="1"/>
      <c r="K187" s="1"/>
      <c r="L187" s="1"/>
      <c r="M187" s="1"/>
    </row>
    <row r="188" spans="1:13" x14ac:dyDescent="0.25">
      <c r="A188" s="1"/>
      <c r="B188" s="1"/>
      <c r="C188" s="1"/>
      <c r="D188" s="1"/>
      <c r="E188" s="20" t="s">
        <v>149</v>
      </c>
      <c r="F188" s="1"/>
      <c r="G188" s="1"/>
      <c r="H188" s="1"/>
      <c r="I188" s="1"/>
      <c r="J188" s="1"/>
      <c r="K188" s="1"/>
      <c r="L188" s="1"/>
      <c r="M188" s="1"/>
    </row>
    <row r="189" spans="1:13" x14ac:dyDescent="0.25">
      <c r="A189" s="1"/>
      <c r="B189" s="5"/>
      <c r="C189" s="1"/>
      <c r="D189" s="1"/>
      <c r="E189" s="1"/>
      <c r="F189" s="1"/>
      <c r="G189" s="1"/>
      <c r="H189" s="1"/>
      <c r="I189" s="1"/>
      <c r="J189" s="5"/>
      <c r="K189" s="1"/>
      <c r="L189" s="1"/>
      <c r="M189" s="1"/>
    </row>
    <row r="190" spans="1:13" s="36" customFormat="1" x14ac:dyDescent="0.25">
      <c r="A190" s="47" t="s">
        <v>129</v>
      </c>
      <c r="B190" s="3"/>
      <c r="C190" s="48" t="s">
        <v>4</v>
      </c>
      <c r="D190" s="48" t="s">
        <v>86</v>
      </c>
      <c r="E190" s="48" t="s">
        <v>6</v>
      </c>
      <c r="F190" s="48" t="s">
        <v>7</v>
      </c>
      <c r="G190" s="3"/>
      <c r="H190" s="48" t="s">
        <v>87</v>
      </c>
      <c r="I190" s="3"/>
      <c r="J190" s="3" t="s">
        <v>8</v>
      </c>
      <c r="K190" s="51"/>
      <c r="L190" s="3"/>
      <c r="M190" s="3"/>
    </row>
    <row r="191" spans="1:13" x14ac:dyDescent="0.25">
      <c r="A191" s="7">
        <v>1</v>
      </c>
      <c r="B191" s="52" t="s">
        <v>85</v>
      </c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1:13" x14ac:dyDescent="0.25">
      <c r="A192" s="7">
        <f>A191+1</f>
        <v>2</v>
      </c>
      <c r="B192" s="30" t="s">
        <v>88</v>
      </c>
      <c r="C192" s="27">
        <v>52929996.344444513</v>
      </c>
      <c r="D192" s="26">
        <f>C192*(D99/C99)</f>
        <v>15272675.594154211</v>
      </c>
      <c r="E192" s="26">
        <f>C192*(E99/C99)</f>
        <v>37657320.750290304</v>
      </c>
      <c r="F192" s="26"/>
      <c r="G192" s="9"/>
      <c r="H192" s="9"/>
      <c r="I192" s="9"/>
      <c r="J192" s="25" t="s">
        <v>183</v>
      </c>
      <c r="K192" s="10"/>
      <c r="L192" s="1"/>
      <c r="M192" s="1"/>
    </row>
    <row r="193" spans="1:13" x14ac:dyDescent="0.25">
      <c r="A193" s="7">
        <f t="shared" ref="A193:A198" si="9">A192+1</f>
        <v>3</v>
      </c>
      <c r="B193" s="31" t="s">
        <v>156</v>
      </c>
      <c r="C193" s="27">
        <v>999999.99999999988</v>
      </c>
      <c r="D193" s="26">
        <f>IF(D100=0,0,(C193*(D100/C100)))</f>
        <v>0</v>
      </c>
      <c r="E193" s="26">
        <f>C193</f>
        <v>999999.99999999988</v>
      </c>
      <c r="F193" s="9"/>
      <c r="G193" s="9"/>
      <c r="H193" s="9"/>
      <c r="I193" s="9"/>
      <c r="J193" s="25" t="s">
        <v>10</v>
      </c>
      <c r="K193" s="10"/>
      <c r="L193" s="1"/>
      <c r="M193" s="1"/>
    </row>
    <row r="194" spans="1:13" x14ac:dyDescent="0.25">
      <c r="A194" s="7">
        <f t="shared" si="9"/>
        <v>4</v>
      </c>
      <c r="B194" s="30" t="s">
        <v>157</v>
      </c>
      <c r="C194" s="27">
        <v>0</v>
      </c>
      <c r="D194" s="26">
        <f t="shared" ref="D194:D195" si="10">IF(D101=0,0,(C194*(D101/C101)))</f>
        <v>0</v>
      </c>
      <c r="E194" s="26">
        <f>C194</f>
        <v>0</v>
      </c>
      <c r="F194" s="9"/>
      <c r="G194" s="9"/>
      <c r="H194" s="9"/>
      <c r="I194" s="9"/>
      <c r="J194" s="25" t="s">
        <v>10</v>
      </c>
      <c r="K194" s="10"/>
      <c r="L194" s="1"/>
      <c r="M194" s="1"/>
    </row>
    <row r="195" spans="1:13" x14ac:dyDescent="0.25">
      <c r="A195" s="7">
        <f t="shared" si="9"/>
        <v>5</v>
      </c>
      <c r="B195" s="25" t="s">
        <v>158</v>
      </c>
      <c r="C195" s="27">
        <v>149145.84000000003</v>
      </c>
      <c r="D195" s="26">
        <f t="shared" si="10"/>
        <v>0</v>
      </c>
      <c r="E195" s="26">
        <f>C195</f>
        <v>149145.84000000003</v>
      </c>
      <c r="F195" s="26"/>
      <c r="G195" s="9"/>
      <c r="H195" s="9"/>
      <c r="I195" s="9"/>
      <c r="J195" s="25" t="s">
        <v>184</v>
      </c>
      <c r="K195" s="10"/>
      <c r="L195" s="1"/>
      <c r="M195" s="1"/>
    </row>
    <row r="196" spans="1:13" x14ac:dyDescent="0.25">
      <c r="A196" s="7">
        <f t="shared" si="9"/>
        <v>6</v>
      </c>
      <c r="B196" s="25" t="s">
        <v>159</v>
      </c>
      <c r="C196" s="27">
        <v>3536792.3353702561</v>
      </c>
      <c r="D196" s="26">
        <v>0</v>
      </c>
      <c r="E196" s="26">
        <f>+C196</f>
        <v>3536792.3353702561</v>
      </c>
      <c r="F196" s="26"/>
      <c r="G196" s="9"/>
      <c r="H196" s="9"/>
      <c r="I196" s="9"/>
      <c r="J196" s="25" t="s">
        <v>10</v>
      </c>
      <c r="K196" s="10"/>
      <c r="L196" s="1"/>
      <c r="M196" s="1"/>
    </row>
    <row r="197" spans="1:13" x14ac:dyDescent="0.25">
      <c r="A197" s="7">
        <f t="shared" si="9"/>
        <v>7</v>
      </c>
      <c r="B197" s="25"/>
      <c r="C197" s="26"/>
      <c r="D197" s="9"/>
      <c r="E197" s="9"/>
      <c r="F197" s="26"/>
      <c r="G197" s="9"/>
      <c r="H197" s="9"/>
      <c r="I197" s="9"/>
      <c r="J197" s="9"/>
      <c r="K197" s="10"/>
      <c r="L197" s="1"/>
      <c r="M197" s="1"/>
    </row>
    <row r="198" spans="1:13" x14ac:dyDescent="0.25">
      <c r="A198" s="7">
        <f t="shared" si="9"/>
        <v>8</v>
      </c>
      <c r="B198" s="25" t="s">
        <v>90</v>
      </c>
      <c r="C198" s="24">
        <f>SUM(C192:C197)</f>
        <v>57615934.519814774</v>
      </c>
      <c r="D198" s="24">
        <f>SUM(D192:D197)</f>
        <v>15272675.594154211</v>
      </c>
      <c r="E198" s="24">
        <f>SUM(E192:E197)</f>
        <v>42343258.925660565</v>
      </c>
      <c r="F198" s="24"/>
      <c r="G198" s="9"/>
      <c r="H198" s="42"/>
      <c r="I198" s="9"/>
      <c r="J198" s="9"/>
      <c r="M198" s="1"/>
    </row>
    <row r="199" spans="1:13" x14ac:dyDescent="0.25">
      <c r="A199" s="7"/>
      <c r="B199" s="1"/>
      <c r="C199" s="9"/>
      <c r="D199" s="9"/>
      <c r="E199" s="9"/>
      <c r="F199" s="9"/>
      <c r="G199" s="9"/>
      <c r="H199" s="9"/>
      <c r="I199" s="9"/>
      <c r="J199" s="9"/>
      <c r="K199" s="1"/>
      <c r="L199" s="1"/>
      <c r="M199" s="1"/>
    </row>
    <row r="200" spans="1:13" x14ac:dyDescent="0.25">
      <c r="A200" s="7">
        <f>A198+1</f>
        <v>9</v>
      </c>
      <c r="B200" s="49" t="s">
        <v>91</v>
      </c>
      <c r="C200" s="9"/>
      <c r="D200" s="9"/>
      <c r="E200" s="9"/>
      <c r="F200" s="9"/>
      <c r="G200" s="9"/>
      <c r="H200" s="9"/>
      <c r="I200" s="9"/>
      <c r="J200" s="9"/>
      <c r="K200" s="1"/>
      <c r="L200" s="1"/>
      <c r="M200" s="1"/>
    </row>
    <row r="201" spans="1:13" x14ac:dyDescent="0.25">
      <c r="A201" s="7">
        <f>A200+1</f>
        <v>10</v>
      </c>
      <c r="B201" s="30" t="s">
        <v>92</v>
      </c>
      <c r="C201" s="27">
        <v>2474659.3806721</v>
      </c>
      <c r="D201" s="12"/>
      <c r="E201" s="9"/>
      <c r="F201" s="9"/>
      <c r="G201" s="9"/>
      <c r="H201" s="26">
        <f>C201</f>
        <v>2474659.3806721</v>
      </c>
      <c r="I201" s="9"/>
      <c r="J201" s="25" t="s">
        <v>93</v>
      </c>
      <c r="K201" s="10"/>
      <c r="L201" s="1"/>
      <c r="M201" s="1"/>
    </row>
    <row r="202" spans="1:13" x14ac:dyDescent="0.25">
      <c r="A202" s="7">
        <f t="shared" ref="A202:A204" si="11">A201+1</f>
        <v>11</v>
      </c>
      <c r="B202" s="30" t="s">
        <v>199</v>
      </c>
      <c r="C202" s="27">
        <v>2455158</v>
      </c>
      <c r="D202" s="27">
        <f>$C202*(D173/$C173)</f>
        <v>1445026.96582732</v>
      </c>
      <c r="E202" s="27">
        <f>$C202*(E173/$C173)</f>
        <v>1010131.03417268</v>
      </c>
      <c r="F202" s="9"/>
      <c r="G202" s="9"/>
      <c r="H202" s="26"/>
      <c r="I202" s="9"/>
      <c r="J202" s="25" t="s">
        <v>102</v>
      </c>
      <c r="K202" s="10"/>
      <c r="L202" s="1"/>
      <c r="M202" s="1"/>
    </row>
    <row r="203" spans="1:13" x14ac:dyDescent="0.25">
      <c r="A203" s="7">
        <f t="shared" si="11"/>
        <v>12</v>
      </c>
      <c r="B203" s="30" t="s">
        <v>94</v>
      </c>
      <c r="C203" s="27">
        <v>16601223.744208299</v>
      </c>
      <c r="D203" s="27">
        <f>C203*(D99/C99)</f>
        <v>4790196.9057641048</v>
      </c>
      <c r="E203" s="26">
        <f>C203*(E99/C99)</f>
        <v>11811026.838444196</v>
      </c>
      <c r="F203" s="26"/>
      <c r="G203" s="9"/>
      <c r="H203" s="9"/>
      <c r="I203" s="9"/>
      <c r="J203" s="25" t="s">
        <v>89</v>
      </c>
      <c r="K203" s="10"/>
      <c r="L203" s="1"/>
      <c r="M203" s="1"/>
    </row>
    <row r="204" spans="1:13" x14ac:dyDescent="0.25">
      <c r="A204" s="7">
        <f t="shared" si="11"/>
        <v>13</v>
      </c>
      <c r="B204" s="30" t="s">
        <v>95</v>
      </c>
      <c r="C204" s="45">
        <f>C201+C203+C202</f>
        <v>21531041.1248804</v>
      </c>
      <c r="D204" s="45">
        <f t="shared" ref="D204:H204" si="12">D201+D203+D202</f>
        <v>6235223.8715914246</v>
      </c>
      <c r="E204" s="45">
        <f t="shared" si="12"/>
        <v>12821157.872616876</v>
      </c>
      <c r="F204" s="45">
        <f t="shared" si="12"/>
        <v>0</v>
      </c>
      <c r="G204" s="45"/>
      <c r="H204" s="45">
        <f t="shared" si="12"/>
        <v>2474659.3806721</v>
      </c>
      <c r="I204" s="9"/>
      <c r="J204" s="9"/>
      <c r="M204" s="1"/>
    </row>
    <row r="205" spans="1:13" x14ac:dyDescent="0.25">
      <c r="A205" s="7"/>
      <c r="B205" s="11"/>
      <c r="C205" s="12"/>
      <c r="D205" s="27"/>
      <c r="E205" s="9"/>
      <c r="F205" s="9"/>
      <c r="G205" s="9"/>
      <c r="H205" s="9"/>
      <c r="I205" s="9"/>
      <c r="J205" s="9"/>
      <c r="K205" s="1"/>
      <c r="L205" s="1"/>
      <c r="M205" s="1"/>
    </row>
    <row r="206" spans="1:13" x14ac:dyDescent="0.25">
      <c r="A206" s="7">
        <f>A204+1</f>
        <v>14</v>
      </c>
      <c r="B206" s="25" t="s">
        <v>187</v>
      </c>
      <c r="C206" s="26">
        <v>0</v>
      </c>
      <c r="D206" s="27">
        <f>C206</f>
        <v>0</v>
      </c>
      <c r="E206" s="12"/>
      <c r="F206" s="12"/>
      <c r="G206" s="12"/>
      <c r="H206" s="12"/>
      <c r="I206" s="12"/>
      <c r="J206" s="25" t="s">
        <v>21</v>
      </c>
      <c r="K206" s="8"/>
      <c r="L206" s="11"/>
      <c r="M206" s="11"/>
    </row>
    <row r="207" spans="1:13" x14ac:dyDescent="0.25">
      <c r="A207" s="7"/>
      <c r="B207" s="11"/>
      <c r="C207" s="12"/>
      <c r="D207" s="9"/>
      <c r="E207" s="9"/>
      <c r="F207" s="9"/>
      <c r="G207" s="9"/>
      <c r="H207" s="9"/>
      <c r="I207" s="9"/>
      <c r="J207" s="1"/>
      <c r="K207" s="1"/>
      <c r="L207" s="1"/>
      <c r="M207" s="1"/>
    </row>
    <row r="208" spans="1:13" x14ac:dyDescent="0.25">
      <c r="A208" s="7">
        <f>A206+1</f>
        <v>15</v>
      </c>
      <c r="B208" s="30" t="s">
        <v>161</v>
      </c>
      <c r="C208" s="27">
        <v>104638261</v>
      </c>
      <c r="D208" s="26">
        <f>C208*D103/C103</f>
        <v>29953145.841238663</v>
      </c>
      <c r="E208" s="26">
        <f>C208*E103/C103</f>
        <v>74685115.158761367</v>
      </c>
      <c r="F208" s="26"/>
      <c r="G208" s="9"/>
      <c r="H208" s="9"/>
      <c r="I208" s="9"/>
      <c r="J208" s="25" t="s">
        <v>185</v>
      </c>
      <c r="K208" s="10"/>
      <c r="L208" s="1"/>
      <c r="M208" s="1"/>
    </row>
    <row r="209" spans="1:13" x14ac:dyDescent="0.25">
      <c r="A209" s="7"/>
      <c r="B209" s="11"/>
      <c r="C209" s="12"/>
      <c r="D209" s="9"/>
      <c r="E209" s="9"/>
      <c r="F209" s="9"/>
      <c r="G209" s="9"/>
      <c r="H209" s="9"/>
      <c r="I209" s="9"/>
      <c r="J209" s="1"/>
      <c r="K209" s="1"/>
      <c r="L209" s="1"/>
      <c r="M209" s="1"/>
    </row>
    <row r="210" spans="1:13" x14ac:dyDescent="0.25">
      <c r="A210" s="7">
        <f>A208+1</f>
        <v>16</v>
      </c>
      <c r="B210" s="30" t="s">
        <v>96</v>
      </c>
      <c r="C210" s="27">
        <v>25497142.344745815</v>
      </c>
      <c r="D210" s="26">
        <f>IF($C208=0,0,($C210*D208/$C208))</f>
        <v>7298665.095236944</v>
      </c>
      <c r="E210" s="26">
        <f t="shared" ref="E210:F210" si="13">IF($C208=0,0,($C210*E208/$C208))</f>
        <v>18198477.249508876</v>
      </c>
      <c r="F210" s="26">
        <f t="shared" si="13"/>
        <v>0</v>
      </c>
      <c r="G210" s="9"/>
      <c r="H210" s="26"/>
      <c r="I210" s="9"/>
      <c r="J210" s="25" t="s">
        <v>186</v>
      </c>
      <c r="K210" s="10"/>
      <c r="L210" s="1"/>
      <c r="M210" s="1"/>
    </row>
    <row r="211" spans="1:13" x14ac:dyDescent="0.25">
      <c r="A211" s="7"/>
      <c r="B211" s="11"/>
      <c r="C211" s="12"/>
      <c r="D211" s="9"/>
      <c r="E211" s="9"/>
      <c r="F211" s="9"/>
      <c r="G211" s="9"/>
      <c r="H211" s="9"/>
      <c r="I211" s="9"/>
      <c r="J211" s="9"/>
      <c r="K211" s="1"/>
      <c r="L211" s="1"/>
      <c r="M211" s="1"/>
    </row>
    <row r="212" spans="1:13" x14ac:dyDescent="0.25">
      <c r="A212" s="7"/>
      <c r="B212" s="30"/>
      <c r="C212" s="27"/>
      <c r="D212" s="26"/>
      <c r="E212" s="26"/>
      <c r="F212" s="26"/>
      <c r="G212" s="9"/>
      <c r="H212" s="26"/>
      <c r="I212" s="9"/>
      <c r="J212" s="9"/>
      <c r="K212" s="10"/>
      <c r="L212" s="1"/>
      <c r="M212" s="1"/>
    </row>
    <row r="213" spans="1:13" x14ac:dyDescent="0.25">
      <c r="A213" s="7"/>
      <c r="B213" s="1"/>
      <c r="C213" s="9"/>
      <c r="D213" s="9"/>
      <c r="E213" s="9"/>
      <c r="F213" s="9"/>
      <c r="G213" s="9"/>
      <c r="H213" s="9"/>
      <c r="I213" s="9"/>
      <c r="J213" s="9"/>
      <c r="K213" s="1"/>
      <c r="L213" s="1"/>
      <c r="M213" s="1"/>
    </row>
    <row r="214" spans="1:13" x14ac:dyDescent="0.25">
      <c r="A214" s="7"/>
      <c r="B214" s="1"/>
      <c r="C214" s="9"/>
      <c r="D214" s="9"/>
      <c r="E214" s="9"/>
      <c r="F214" s="9"/>
      <c r="G214" s="9"/>
      <c r="H214" s="9"/>
      <c r="I214" s="9"/>
      <c r="J214" s="9"/>
      <c r="K214" s="1"/>
      <c r="L214" s="1"/>
      <c r="M214" s="1"/>
    </row>
    <row r="215" spans="1:13" ht="16.5" thickBot="1" x14ac:dyDescent="0.3">
      <c r="A215" s="7">
        <f>A210+1</f>
        <v>17</v>
      </c>
      <c r="B215" s="25" t="s">
        <v>97</v>
      </c>
      <c r="C215" s="13">
        <f>C173+C198+C204+C206+C208+C210+C212</f>
        <v>330679959.15857869</v>
      </c>
      <c r="D215" s="13">
        <f t="shared" ref="D215:H215" si="14">D173+D198+D204+D206+D208+D210+D212</f>
        <v>130210418.23063305</v>
      </c>
      <c r="E215" s="13">
        <f t="shared" si="14"/>
        <v>197994881.54727361</v>
      </c>
      <c r="F215" s="13">
        <f t="shared" si="14"/>
        <v>0</v>
      </c>
      <c r="G215" s="13"/>
      <c r="H215" s="13">
        <f t="shared" si="14"/>
        <v>2474659.3806721</v>
      </c>
      <c r="I215" s="9"/>
      <c r="J215" s="9"/>
      <c r="M215" s="1"/>
    </row>
    <row r="216" spans="1:13" ht="16.5" thickTop="1" x14ac:dyDescent="0.25">
      <c r="A216" s="1"/>
      <c r="B216" s="1"/>
      <c r="C216" s="33"/>
      <c r="D216" s="33"/>
      <c r="E216" s="33"/>
      <c r="F216" s="33"/>
      <c r="G216" s="46"/>
      <c r="H216" s="46"/>
      <c r="I216" s="9"/>
      <c r="J216" s="9"/>
      <c r="K216" s="1"/>
      <c r="L216" s="1"/>
      <c r="M216" s="1"/>
    </row>
    <row r="217" spans="1:13" x14ac:dyDescent="0.25">
      <c r="A217" s="7">
        <f>A215+1</f>
        <v>18</v>
      </c>
      <c r="B217" s="25" t="s">
        <v>188</v>
      </c>
      <c r="C217" s="27">
        <v>-14495546.867221706</v>
      </c>
      <c r="D217" s="26">
        <f>C217</f>
        <v>-14495546.867221706</v>
      </c>
      <c r="E217" s="9">
        <v>0</v>
      </c>
      <c r="F217" s="9">
        <v>0</v>
      </c>
      <c r="G217" s="9"/>
      <c r="H217" s="9">
        <v>0</v>
      </c>
      <c r="I217" s="35"/>
      <c r="J217" s="25" t="s">
        <v>21</v>
      </c>
      <c r="K217" s="1"/>
      <c r="L217" s="1"/>
      <c r="M217" s="1"/>
    </row>
    <row r="218" spans="1:13" x14ac:dyDescent="0.25">
      <c r="A218" s="1"/>
      <c r="B218" s="1"/>
      <c r="C218" s="9"/>
      <c r="D218" s="9"/>
      <c r="E218" s="9"/>
      <c r="F218" s="9"/>
      <c r="G218" s="9"/>
      <c r="H218" s="9"/>
      <c r="I218" s="9"/>
      <c r="J218" s="9"/>
      <c r="K218" s="1"/>
      <c r="L218" s="1"/>
      <c r="M218" s="1"/>
    </row>
    <row r="219" spans="1:13" x14ac:dyDescent="0.25">
      <c r="A219" s="1"/>
      <c r="B219" s="1"/>
      <c r="C219" s="9"/>
      <c r="D219" s="9"/>
      <c r="E219" s="9"/>
      <c r="F219" s="9"/>
      <c r="G219" s="9"/>
      <c r="H219" s="9"/>
      <c r="I219" s="9"/>
      <c r="J219" s="9"/>
      <c r="K219" s="1"/>
      <c r="L219" s="1"/>
      <c r="M219" s="1"/>
    </row>
    <row r="220" spans="1:13" x14ac:dyDescent="0.25">
      <c r="A220" s="1"/>
      <c r="B220" s="1"/>
      <c r="C220" s="9"/>
      <c r="D220" s="9"/>
      <c r="E220" s="9"/>
      <c r="F220" s="9"/>
      <c r="G220" s="9"/>
      <c r="H220" s="9"/>
      <c r="I220" s="9"/>
      <c r="J220" s="9"/>
      <c r="K220" s="1"/>
      <c r="L220" s="1"/>
      <c r="M220" s="1"/>
    </row>
    <row r="221" spans="1:13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1:13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1:13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1:13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1:13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1:13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1:13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1:13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1:13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1:13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1:13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1:13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1:13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1:13" x14ac:dyDescent="0.25">
      <c r="A234" s="3"/>
      <c r="B234" s="15"/>
      <c r="C234" s="3"/>
      <c r="D234" s="3"/>
      <c r="E234" s="3"/>
      <c r="F234" s="3"/>
      <c r="G234" s="3"/>
      <c r="H234" s="3"/>
      <c r="I234" s="3"/>
      <c r="J234" s="15"/>
      <c r="K234" s="3"/>
      <c r="L234" s="3"/>
      <c r="M234" s="3"/>
    </row>
    <row r="235" spans="1:13" x14ac:dyDescent="0.25">
      <c r="A235" s="1"/>
      <c r="B235" s="5" t="s">
        <v>98</v>
      </c>
      <c r="C235" s="1"/>
      <c r="D235" s="1"/>
      <c r="E235" s="1"/>
      <c r="F235" s="1"/>
      <c r="G235" s="1"/>
      <c r="H235" s="1"/>
      <c r="I235" s="1"/>
      <c r="J235" s="1"/>
      <c r="K235" s="5" t="s">
        <v>34</v>
      </c>
      <c r="L235" s="1"/>
      <c r="M235" s="5"/>
    </row>
    <row r="236" spans="1:13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1:13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1:13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1:13" x14ac:dyDescent="0.25">
      <c r="A239" s="1"/>
      <c r="B239" s="1"/>
      <c r="C239" s="1"/>
      <c r="D239" s="1"/>
      <c r="E239" s="7"/>
      <c r="F239" s="1"/>
      <c r="G239" s="1"/>
      <c r="H239" s="1"/>
      <c r="I239" s="1"/>
      <c r="J239" s="1"/>
      <c r="K239" s="1"/>
      <c r="L239" s="1"/>
      <c r="M239" s="1"/>
    </row>
    <row r="240" spans="1:13" x14ac:dyDescent="0.25">
      <c r="A240" s="15" t="s">
        <v>0</v>
      </c>
      <c r="B240" s="15"/>
      <c r="C240" s="3"/>
      <c r="D240" s="3"/>
      <c r="E240" s="22" t="s">
        <v>137</v>
      </c>
      <c r="F240" s="36"/>
      <c r="G240" s="3"/>
      <c r="H240" s="3"/>
      <c r="I240" s="3"/>
      <c r="J240" s="3"/>
      <c r="K240" s="15" t="s">
        <v>1</v>
      </c>
      <c r="L240" s="3"/>
    </row>
    <row r="241" spans="1:13" x14ac:dyDescent="0.25">
      <c r="A241" s="5"/>
      <c r="B241" s="5"/>
      <c r="C241" s="1"/>
      <c r="D241" s="1"/>
      <c r="E241" s="7"/>
      <c r="F241" s="35"/>
      <c r="G241" s="1"/>
      <c r="H241" s="1"/>
      <c r="I241" s="1"/>
      <c r="J241" s="5"/>
      <c r="K241" s="5"/>
      <c r="L241" s="1"/>
    </row>
    <row r="242" spans="1:13" x14ac:dyDescent="0.25">
      <c r="A242" s="5" t="s">
        <v>2</v>
      </c>
      <c r="B242" s="5"/>
      <c r="C242" s="1"/>
      <c r="D242" s="1"/>
      <c r="E242" s="20" t="s">
        <v>138</v>
      </c>
      <c r="F242" s="1"/>
      <c r="G242" s="1"/>
      <c r="H242" s="1"/>
      <c r="I242" s="1"/>
      <c r="J242" s="1"/>
      <c r="K242" s="5" t="s">
        <v>3</v>
      </c>
      <c r="L242" s="1"/>
    </row>
    <row r="243" spans="1:13" x14ac:dyDescent="0.25">
      <c r="A243" s="6" t="s">
        <v>130</v>
      </c>
      <c r="B243" s="6"/>
      <c r="C243" s="1"/>
      <c r="D243" s="1"/>
      <c r="E243" s="20" t="s">
        <v>84</v>
      </c>
      <c r="F243" s="5"/>
      <c r="G243" s="1"/>
      <c r="H243" s="1"/>
      <c r="I243" s="1"/>
      <c r="J243" s="1"/>
      <c r="K243" s="6" t="str">
        <f>+$K$4</f>
        <v>PROJECTED TEST YEAR:    12/31/21</v>
      </c>
      <c r="L243" s="1"/>
    </row>
    <row r="244" spans="1:13" x14ac:dyDescent="0.25">
      <c r="A244" s="16" t="str">
        <f>+$A$5</f>
        <v>DOCKET NO.:   20200051-GU</v>
      </c>
      <c r="B244" s="16"/>
      <c r="C244" s="3"/>
      <c r="D244" s="3"/>
      <c r="E244" s="22" t="s">
        <v>150</v>
      </c>
      <c r="F244" s="15"/>
      <c r="G244" s="3"/>
      <c r="H244" s="3"/>
      <c r="I244" s="3"/>
      <c r="J244" s="3"/>
      <c r="K244" s="16" t="str">
        <f>+$K$5</f>
        <v>WITNESS:  D. YARDLEY</v>
      </c>
      <c r="L244" s="3"/>
    </row>
    <row r="245" spans="1:13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1:13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1:13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1:13" x14ac:dyDescent="0.25">
      <c r="A248" s="1"/>
      <c r="B248" s="5"/>
      <c r="C248" s="1"/>
      <c r="D248" s="1"/>
      <c r="E248" s="1"/>
      <c r="F248" s="1"/>
      <c r="G248" s="1"/>
      <c r="H248" s="1"/>
      <c r="I248" s="1"/>
      <c r="J248" s="5"/>
      <c r="K248" s="1"/>
      <c r="L248" s="1"/>
      <c r="M248" s="1"/>
    </row>
    <row r="249" spans="1:13" s="36" customFormat="1" x14ac:dyDescent="0.25">
      <c r="A249" s="47" t="s">
        <v>129</v>
      </c>
      <c r="B249" s="3"/>
      <c r="C249" s="50" t="s">
        <v>4</v>
      </c>
      <c r="D249" s="50" t="s">
        <v>86</v>
      </c>
      <c r="E249" s="50" t="s">
        <v>6</v>
      </c>
      <c r="F249" s="50" t="s">
        <v>7</v>
      </c>
      <c r="G249" s="21"/>
      <c r="H249" s="50" t="s">
        <v>87</v>
      </c>
      <c r="I249" s="3"/>
      <c r="J249" s="3"/>
      <c r="K249" s="51"/>
      <c r="L249" s="3"/>
      <c r="M249" s="3"/>
    </row>
    <row r="250" spans="1:13" x14ac:dyDescent="0.25">
      <c r="A250" s="7">
        <v>1</v>
      </c>
      <c r="B250" s="52" t="s">
        <v>100</v>
      </c>
      <c r="C250" s="9"/>
      <c r="D250" s="9"/>
      <c r="E250" s="9"/>
      <c r="F250" s="9"/>
      <c r="G250" s="9"/>
      <c r="H250" s="9"/>
      <c r="I250" s="1"/>
      <c r="J250" s="1"/>
      <c r="K250" s="1"/>
      <c r="L250" s="1"/>
      <c r="M250" s="1"/>
    </row>
    <row r="251" spans="1:13" x14ac:dyDescent="0.25">
      <c r="A251" s="7">
        <f>A250+1</f>
        <v>2</v>
      </c>
      <c r="B251" s="25" t="s">
        <v>101</v>
      </c>
      <c r="C251" s="26">
        <v>0</v>
      </c>
      <c r="D251" s="26">
        <v>0</v>
      </c>
      <c r="E251" s="26">
        <v>0</v>
      </c>
      <c r="F251" s="26">
        <v>0</v>
      </c>
      <c r="G251" s="9"/>
      <c r="H251" s="26">
        <v>0</v>
      </c>
      <c r="I251" s="1"/>
      <c r="J251" s="1"/>
      <c r="K251" s="1"/>
      <c r="L251" s="1"/>
      <c r="M251" s="1"/>
    </row>
    <row r="252" spans="1:13" x14ac:dyDescent="0.25">
      <c r="A252" s="7">
        <f t="shared" ref="A252:A265" si="15">A251+1</f>
        <v>3</v>
      </c>
      <c r="B252" s="25" t="s">
        <v>102</v>
      </c>
      <c r="C252" s="26">
        <f>C173</f>
        <v>121397580.16913772</v>
      </c>
      <c r="D252" s="26">
        <f>D173</f>
        <v>71450707.828411818</v>
      </c>
      <c r="E252" s="26">
        <f>E173</f>
        <v>49946872.340725899</v>
      </c>
      <c r="F252" s="26">
        <f>F173</f>
        <v>0</v>
      </c>
      <c r="G252" s="9"/>
      <c r="H252" s="26"/>
      <c r="I252" s="1"/>
      <c r="J252" s="9"/>
      <c r="K252" s="1"/>
      <c r="L252" s="1"/>
      <c r="M252" s="1"/>
    </row>
    <row r="253" spans="1:13" x14ac:dyDescent="0.25">
      <c r="A253" s="7">
        <f t="shared" si="15"/>
        <v>4</v>
      </c>
      <c r="B253" s="25" t="s">
        <v>103</v>
      </c>
      <c r="C253" s="26">
        <f>C192</f>
        <v>52929996.344444513</v>
      </c>
      <c r="D253" s="26">
        <f>D192</f>
        <v>15272675.594154211</v>
      </c>
      <c r="E253" s="26">
        <f>E192</f>
        <v>37657320.750290304</v>
      </c>
      <c r="F253" s="26"/>
      <c r="G253" s="9"/>
      <c r="H253" s="26"/>
      <c r="I253" s="1"/>
      <c r="J253" s="9"/>
      <c r="K253" s="1"/>
      <c r="L253" s="1"/>
      <c r="M253" s="1"/>
    </row>
    <row r="254" spans="1:13" x14ac:dyDescent="0.25">
      <c r="A254" s="7">
        <f t="shared" si="15"/>
        <v>5</v>
      </c>
      <c r="B254" s="25" t="s">
        <v>104</v>
      </c>
      <c r="C254" s="26">
        <f>+C196-C256</f>
        <v>3536792.3353702561</v>
      </c>
      <c r="D254" s="26">
        <f>D196-D256</f>
        <v>0</v>
      </c>
      <c r="E254" s="26">
        <f>E196-E256</f>
        <v>3536792.3353702561</v>
      </c>
      <c r="F254" s="26"/>
      <c r="G254" s="9"/>
      <c r="H254" s="26"/>
      <c r="I254" s="1"/>
      <c r="J254" s="9"/>
      <c r="K254" s="1"/>
      <c r="L254" s="1"/>
      <c r="M254" s="1"/>
    </row>
    <row r="255" spans="1:13" x14ac:dyDescent="0.25">
      <c r="A255" s="7">
        <f t="shared" si="15"/>
        <v>6</v>
      </c>
      <c r="B255" s="25" t="s">
        <v>151</v>
      </c>
      <c r="C255" s="26">
        <f>+C193</f>
        <v>999999.99999999988</v>
      </c>
      <c r="D255" s="26">
        <f>+D193</f>
        <v>0</v>
      </c>
      <c r="E255" s="26">
        <f>+E193</f>
        <v>999999.99999999988</v>
      </c>
      <c r="F255" s="26"/>
      <c r="G255" s="9"/>
      <c r="H255" s="26"/>
      <c r="I255" s="1"/>
      <c r="J255" s="9"/>
      <c r="K255" s="1"/>
      <c r="L255" s="1"/>
      <c r="M255" s="1"/>
    </row>
    <row r="256" spans="1:13" x14ac:dyDescent="0.25">
      <c r="A256" s="7">
        <f t="shared" si="15"/>
        <v>7</v>
      </c>
      <c r="B256" s="25" t="s">
        <v>105</v>
      </c>
      <c r="C256" s="27">
        <v>0</v>
      </c>
      <c r="D256" s="26">
        <f>+D195</f>
        <v>0</v>
      </c>
      <c r="E256" s="26">
        <v>0</v>
      </c>
      <c r="F256" s="26"/>
      <c r="G256" s="9"/>
      <c r="H256" s="26"/>
      <c r="I256" s="1"/>
      <c r="J256" s="9"/>
      <c r="K256" s="1"/>
      <c r="L256" s="1"/>
      <c r="M256" s="1"/>
    </row>
    <row r="257" spans="1:13" x14ac:dyDescent="0.25">
      <c r="A257" s="7">
        <f t="shared" si="15"/>
        <v>8</v>
      </c>
      <c r="B257" s="25" t="s">
        <v>106</v>
      </c>
      <c r="C257" s="26">
        <f>+C195</f>
        <v>149145.84000000003</v>
      </c>
      <c r="D257" s="26">
        <f>+D195</f>
        <v>0</v>
      </c>
      <c r="E257" s="26">
        <f>+E195</f>
        <v>149145.84000000003</v>
      </c>
      <c r="F257" s="26"/>
      <c r="G257" s="9"/>
      <c r="H257" s="26"/>
      <c r="I257" s="1"/>
      <c r="J257" s="9"/>
      <c r="K257" s="1"/>
      <c r="L257" s="1"/>
      <c r="M257" s="1"/>
    </row>
    <row r="258" spans="1:13" x14ac:dyDescent="0.25">
      <c r="A258" s="7">
        <f t="shared" si="15"/>
        <v>9</v>
      </c>
      <c r="B258" s="25" t="s">
        <v>107</v>
      </c>
      <c r="C258" s="26">
        <f>+C194</f>
        <v>0</v>
      </c>
      <c r="D258" s="26">
        <f>+D194</f>
        <v>0</v>
      </c>
      <c r="E258" s="26">
        <f>+E194</f>
        <v>0</v>
      </c>
      <c r="F258" s="26"/>
      <c r="G258" s="9"/>
      <c r="H258" s="26"/>
      <c r="I258" s="1"/>
      <c r="J258" s="9"/>
      <c r="K258" s="1"/>
      <c r="L258" s="1"/>
      <c r="M258" s="1"/>
    </row>
    <row r="259" spans="1:13" x14ac:dyDescent="0.25">
      <c r="A259" s="7">
        <f t="shared" si="15"/>
        <v>10</v>
      </c>
      <c r="B259" s="25" t="s">
        <v>108</v>
      </c>
      <c r="C259" s="26">
        <f>C204</f>
        <v>21531041.1248804</v>
      </c>
      <c r="D259" s="26">
        <f>D204</f>
        <v>6235223.8715914246</v>
      </c>
      <c r="E259" s="26">
        <f>E204</f>
        <v>12821157.872616876</v>
      </c>
      <c r="F259" s="26"/>
      <c r="G259" s="9"/>
      <c r="H259" s="26">
        <f>H204</f>
        <v>2474659.3806721</v>
      </c>
      <c r="I259" s="1"/>
      <c r="J259" s="9"/>
      <c r="K259" s="1"/>
      <c r="L259" s="1"/>
      <c r="M259" s="1"/>
    </row>
    <row r="260" spans="1:13" x14ac:dyDescent="0.25">
      <c r="A260" s="7">
        <f t="shared" si="15"/>
        <v>11</v>
      </c>
      <c r="B260" s="25" t="s">
        <v>187</v>
      </c>
      <c r="C260" s="26">
        <f>C206</f>
        <v>0</v>
      </c>
      <c r="D260" s="26">
        <f>D206</f>
        <v>0</v>
      </c>
      <c r="E260" s="26">
        <f>E206</f>
        <v>0</v>
      </c>
      <c r="F260" s="26">
        <f>F206</f>
        <v>0</v>
      </c>
      <c r="G260" s="9"/>
      <c r="H260" s="26">
        <f>H206</f>
        <v>0</v>
      </c>
      <c r="I260" s="1"/>
      <c r="J260" s="9"/>
      <c r="K260" s="1"/>
      <c r="L260" s="1"/>
      <c r="M260" s="1"/>
    </row>
    <row r="261" spans="1:13" x14ac:dyDescent="0.25">
      <c r="A261" s="7">
        <f t="shared" si="15"/>
        <v>12</v>
      </c>
      <c r="B261" s="25" t="s">
        <v>109</v>
      </c>
      <c r="C261" s="26">
        <f>C208</f>
        <v>104638261</v>
      </c>
      <c r="D261" s="26">
        <f>D208</f>
        <v>29953145.841238663</v>
      </c>
      <c r="E261" s="26">
        <f>E208</f>
        <v>74685115.158761367</v>
      </c>
      <c r="F261" s="26">
        <f>F208</f>
        <v>0</v>
      </c>
      <c r="G261" s="9"/>
      <c r="H261" s="26"/>
      <c r="I261" s="1"/>
      <c r="J261" s="9"/>
      <c r="K261" s="1"/>
      <c r="L261" s="1"/>
      <c r="M261" s="1"/>
    </row>
    <row r="262" spans="1:13" x14ac:dyDescent="0.25">
      <c r="A262" s="7">
        <f t="shared" si="15"/>
        <v>13</v>
      </c>
      <c r="B262" s="25" t="s">
        <v>96</v>
      </c>
      <c r="C262" s="26">
        <f>C210</f>
        <v>25497142.344745815</v>
      </c>
      <c r="D262" s="26">
        <f>D210</f>
        <v>7298665.095236944</v>
      </c>
      <c r="E262" s="26">
        <f>E210</f>
        <v>18198477.249508876</v>
      </c>
      <c r="F262" s="26">
        <f>F210</f>
        <v>0</v>
      </c>
      <c r="G262" s="9"/>
      <c r="H262" s="26"/>
      <c r="I262" s="1"/>
      <c r="J262" s="9"/>
      <c r="K262" s="1"/>
      <c r="L262" s="1"/>
      <c r="M262" s="1"/>
    </row>
    <row r="263" spans="1:13" x14ac:dyDescent="0.25">
      <c r="A263" s="7">
        <f t="shared" si="15"/>
        <v>14</v>
      </c>
      <c r="B263" s="25" t="s">
        <v>110</v>
      </c>
      <c r="C263" s="26">
        <f>C217</f>
        <v>-14495546.867221706</v>
      </c>
      <c r="D263" s="26">
        <f>D217</f>
        <v>-14495546.867221706</v>
      </c>
      <c r="E263" s="26"/>
      <c r="F263" s="26"/>
      <c r="G263" s="9"/>
      <c r="H263" s="26"/>
      <c r="I263" s="1"/>
      <c r="J263" s="9"/>
      <c r="K263" s="1"/>
      <c r="L263" s="1"/>
      <c r="M263" s="1"/>
    </row>
    <row r="264" spans="1:13" x14ac:dyDescent="0.25">
      <c r="A264" s="7">
        <f t="shared" si="15"/>
        <v>15</v>
      </c>
      <c r="B264" s="25" t="s">
        <v>111</v>
      </c>
      <c r="C264" s="26">
        <f>C215</f>
        <v>330679959.15857869</v>
      </c>
      <c r="D264" s="26">
        <f>D215</f>
        <v>130210418.23063305</v>
      </c>
      <c r="E264" s="26">
        <f>E215</f>
        <v>197994881.54727361</v>
      </c>
      <c r="F264" s="26">
        <f>F215</f>
        <v>0</v>
      </c>
      <c r="G264" s="9"/>
      <c r="H264" s="26">
        <f>H215</f>
        <v>2474659.3806721</v>
      </c>
      <c r="I264" s="1"/>
      <c r="J264" s="9"/>
      <c r="K264" s="1"/>
      <c r="L264" s="1"/>
      <c r="M264" s="1"/>
    </row>
    <row r="265" spans="1:13" x14ac:dyDescent="0.25">
      <c r="A265" s="7">
        <f t="shared" si="15"/>
        <v>16</v>
      </c>
      <c r="B265" s="25" t="s">
        <v>112</v>
      </c>
      <c r="C265" s="26">
        <f>C103</f>
        <v>1578725509.1567202</v>
      </c>
      <c r="D265" s="26">
        <f>D103</f>
        <v>451916870.2455309</v>
      </c>
      <c r="E265" s="26">
        <f>E103</f>
        <v>1126808638.9111896</v>
      </c>
      <c r="F265" s="26">
        <f>F103</f>
        <v>0</v>
      </c>
      <c r="G265" s="9"/>
      <c r="H265" s="26"/>
      <c r="I265" s="1"/>
      <c r="J265" s="9"/>
      <c r="K265" s="1"/>
      <c r="L265" s="1"/>
      <c r="M265" s="1"/>
    </row>
    <row r="266" spans="1:13" x14ac:dyDescent="0.25">
      <c r="A266" s="7"/>
      <c r="B266" s="1"/>
      <c r="C266" s="9"/>
      <c r="D266" s="9"/>
      <c r="E266" s="9"/>
      <c r="F266" s="9"/>
      <c r="G266" s="9"/>
      <c r="H266" s="9"/>
      <c r="I266" s="1"/>
      <c r="J266" s="9"/>
      <c r="K266" s="1"/>
      <c r="L266" s="1"/>
      <c r="M266" s="1"/>
    </row>
    <row r="267" spans="1:13" x14ac:dyDescent="0.25">
      <c r="A267" s="7">
        <f>A265+1</f>
        <v>17</v>
      </c>
      <c r="B267" s="53" t="s">
        <v>135</v>
      </c>
      <c r="C267" s="9"/>
      <c r="D267" s="9"/>
      <c r="E267" s="9"/>
      <c r="F267" s="9"/>
      <c r="G267" s="9"/>
      <c r="H267" s="9"/>
      <c r="I267" s="1"/>
      <c r="J267" s="9"/>
      <c r="K267" s="1"/>
      <c r="L267" s="1"/>
      <c r="M267" s="1"/>
    </row>
    <row r="268" spans="1:13" x14ac:dyDescent="0.25">
      <c r="A268" s="7"/>
      <c r="B268" s="40"/>
      <c r="C268" s="9"/>
      <c r="D268" s="9"/>
      <c r="E268" s="9"/>
      <c r="F268" s="9"/>
      <c r="G268" s="9"/>
      <c r="H268" s="9"/>
      <c r="I268" s="1"/>
      <c r="J268" s="9"/>
      <c r="K268" s="1"/>
      <c r="L268" s="1"/>
      <c r="M268" s="1"/>
    </row>
    <row r="269" spans="1:13" x14ac:dyDescent="0.25">
      <c r="A269" s="7">
        <f>A267+1</f>
        <v>18</v>
      </c>
      <c r="B269" s="49" t="s">
        <v>113</v>
      </c>
      <c r="C269" s="9"/>
      <c r="D269" s="9"/>
      <c r="E269" s="9"/>
      <c r="F269" s="9"/>
      <c r="G269" s="9"/>
      <c r="H269" s="9"/>
      <c r="I269" s="1"/>
      <c r="J269" s="9"/>
      <c r="K269" s="1"/>
      <c r="L269" s="1"/>
      <c r="M269" s="1"/>
    </row>
    <row r="270" spans="1:13" x14ac:dyDescent="0.25">
      <c r="A270" s="7">
        <f>A269+1</f>
        <v>19</v>
      </c>
      <c r="B270" s="25" t="s">
        <v>114</v>
      </c>
      <c r="C270" s="26">
        <f t="shared" ref="C270:D272" si="16">C24+C83</f>
        <v>91930209.01555118</v>
      </c>
      <c r="D270" s="26">
        <f t="shared" si="16"/>
        <v>91930209.01555118</v>
      </c>
      <c r="E270" s="26"/>
      <c r="F270" s="26"/>
      <c r="G270" s="9"/>
      <c r="H270" s="9"/>
      <c r="I270" s="1"/>
      <c r="J270" s="9"/>
      <c r="K270" s="1"/>
      <c r="L270" s="1"/>
      <c r="M270" s="1"/>
    </row>
    <row r="271" spans="1:13" x14ac:dyDescent="0.25">
      <c r="A271" s="7">
        <f t="shared" ref="A271:A277" si="17">A270+1</f>
        <v>20</v>
      </c>
      <c r="B271" s="25" t="s">
        <v>115</v>
      </c>
      <c r="C271" s="26">
        <f t="shared" si="16"/>
        <v>20710014.340830807</v>
      </c>
      <c r="D271" s="26">
        <f t="shared" si="16"/>
        <v>20710014.340830807</v>
      </c>
      <c r="E271" s="26"/>
      <c r="F271" s="26"/>
      <c r="G271" s="9"/>
      <c r="H271" s="9"/>
      <c r="I271" s="1"/>
      <c r="J271" s="9"/>
      <c r="K271" s="1"/>
      <c r="L271" s="1"/>
      <c r="M271" s="1"/>
    </row>
    <row r="272" spans="1:13" x14ac:dyDescent="0.25">
      <c r="A272" s="7">
        <f t="shared" si="17"/>
        <v>21</v>
      </c>
      <c r="B272" s="25" t="s">
        <v>116</v>
      </c>
      <c r="C272" s="26">
        <f t="shared" si="16"/>
        <v>5112588.9861999936</v>
      </c>
      <c r="D272" s="26">
        <f t="shared" si="16"/>
        <v>5112588.9861999936</v>
      </c>
      <c r="E272" s="26">
        <f>E26+E85</f>
        <v>0</v>
      </c>
      <c r="F272" s="26"/>
      <c r="G272" s="9"/>
      <c r="H272" s="9"/>
      <c r="I272" s="1"/>
      <c r="J272" s="9"/>
      <c r="K272" s="1"/>
      <c r="L272" s="1"/>
      <c r="M272" s="1"/>
    </row>
    <row r="273" spans="1:13" x14ac:dyDescent="0.25">
      <c r="A273" s="7">
        <f t="shared" si="17"/>
        <v>22</v>
      </c>
      <c r="B273" s="25" t="s">
        <v>117</v>
      </c>
      <c r="C273" s="26">
        <f>C19+C78</f>
        <v>825635221.24725008</v>
      </c>
      <c r="D273" s="26">
        <f>D19+D78</f>
        <v>0</v>
      </c>
      <c r="E273" s="26">
        <f>E19+E78</f>
        <v>825635221.24725008</v>
      </c>
      <c r="F273" s="26">
        <f>F19+F78</f>
        <v>0</v>
      </c>
      <c r="G273" s="9"/>
      <c r="H273" s="9"/>
      <c r="I273" s="1"/>
      <c r="J273" s="9"/>
      <c r="K273" s="1"/>
      <c r="L273" s="1"/>
      <c r="M273" s="1"/>
    </row>
    <row r="274" spans="1:13" x14ac:dyDescent="0.25">
      <c r="A274" s="7">
        <f t="shared" si="17"/>
        <v>23</v>
      </c>
      <c r="B274" s="25" t="s">
        <v>118</v>
      </c>
      <c r="C274" s="26">
        <f>C23+C82</f>
        <v>249393370.36476815</v>
      </c>
      <c r="D274" s="26">
        <f>D23+D82</f>
        <v>249393370.36476815</v>
      </c>
      <c r="E274" s="26"/>
      <c r="F274" s="26"/>
      <c r="G274" s="9"/>
      <c r="H274" s="9"/>
      <c r="I274" s="1"/>
      <c r="J274" s="9"/>
      <c r="K274" s="1"/>
      <c r="L274" s="1"/>
      <c r="M274" s="1"/>
    </row>
    <row r="275" spans="1:13" x14ac:dyDescent="0.25">
      <c r="A275" s="7">
        <f t="shared" si="17"/>
        <v>24</v>
      </c>
      <c r="B275" s="25" t="s">
        <v>119</v>
      </c>
      <c r="C275" s="26">
        <f>C21+C80</f>
        <v>14309910.802244995</v>
      </c>
      <c r="D275" s="26">
        <f>D21+D80</f>
        <v>0</v>
      </c>
      <c r="E275" s="26">
        <f>E21+E80</f>
        <v>14309910.802244995</v>
      </c>
      <c r="F275" s="26">
        <f>F21+F80</f>
        <v>0</v>
      </c>
      <c r="G275" s="9"/>
      <c r="H275" s="9"/>
      <c r="I275" s="1"/>
      <c r="J275" s="9"/>
      <c r="K275" s="1"/>
      <c r="L275" s="1"/>
      <c r="M275" s="1"/>
    </row>
    <row r="276" spans="1:13" x14ac:dyDescent="0.25">
      <c r="A276" s="7">
        <f t="shared" si="17"/>
        <v>25</v>
      </c>
      <c r="B276" s="25" t="s">
        <v>192</v>
      </c>
      <c r="C276" s="26">
        <f>C15+C74</f>
        <v>15566278.948864777</v>
      </c>
      <c r="D276" s="26">
        <f t="shared" ref="D276:E276" si="18">D15+D74</f>
        <v>0</v>
      </c>
      <c r="E276" s="26">
        <f t="shared" si="18"/>
        <v>15566278.948864777</v>
      </c>
      <c r="F276" s="26"/>
      <c r="G276" s="9"/>
      <c r="H276" s="9"/>
      <c r="I276" s="1"/>
      <c r="J276" s="9"/>
      <c r="K276" s="1"/>
      <c r="L276" s="1"/>
      <c r="M276" s="1"/>
    </row>
    <row r="277" spans="1:13" x14ac:dyDescent="0.25">
      <c r="A277" s="7">
        <f t="shared" si="17"/>
        <v>26</v>
      </c>
      <c r="B277" s="30" t="s">
        <v>198</v>
      </c>
      <c r="C277" s="26">
        <f>C20+C79</f>
        <v>16825848.040598202</v>
      </c>
      <c r="D277" s="26">
        <f t="shared" ref="D277:E277" si="19">D20+D79</f>
        <v>0</v>
      </c>
      <c r="E277" s="26">
        <f t="shared" si="19"/>
        <v>16825848.040598202</v>
      </c>
      <c r="F277" s="26"/>
      <c r="G277" s="9"/>
      <c r="H277" s="9"/>
      <c r="I277" s="1"/>
      <c r="J277" s="9"/>
      <c r="K277" s="1"/>
      <c r="L277" s="1"/>
      <c r="M277" s="1"/>
    </row>
    <row r="278" spans="1:13" x14ac:dyDescent="0.25">
      <c r="A278" s="7"/>
      <c r="B278" s="25"/>
      <c r="C278" s="26"/>
      <c r="D278" s="26"/>
      <c r="E278" s="26"/>
      <c r="F278" s="26"/>
      <c r="G278" s="9"/>
      <c r="H278" s="9"/>
      <c r="I278" s="1"/>
      <c r="J278" s="9"/>
      <c r="K278" s="1"/>
      <c r="L278" s="1"/>
      <c r="M278" s="1"/>
    </row>
    <row r="279" spans="1:13" x14ac:dyDescent="0.25">
      <c r="A279" s="7">
        <f>+A277+1</f>
        <v>27</v>
      </c>
      <c r="B279" s="49" t="s">
        <v>201</v>
      </c>
      <c r="C279" s="26"/>
      <c r="D279" s="26"/>
      <c r="E279" s="26"/>
      <c r="F279" s="26"/>
      <c r="G279" s="9"/>
      <c r="H279" s="9"/>
      <c r="I279" s="1"/>
      <c r="J279" s="9"/>
      <c r="K279" s="1"/>
      <c r="L279" s="1"/>
      <c r="M279" s="1"/>
    </row>
    <row r="280" spans="1:13" x14ac:dyDescent="0.25">
      <c r="A280" s="7">
        <f>A279+1</f>
        <v>28</v>
      </c>
      <c r="B280" s="25" t="s">
        <v>128</v>
      </c>
      <c r="C280" s="26">
        <f>C155</f>
        <v>1754850.302407525</v>
      </c>
      <c r="D280" s="26">
        <f>D155</f>
        <v>1754850.302407525</v>
      </c>
      <c r="E280" s="26">
        <f>E155</f>
        <v>0</v>
      </c>
      <c r="F280" s="26">
        <f>F155</f>
        <v>0</v>
      </c>
      <c r="G280" s="9"/>
      <c r="H280" s="26">
        <f>H155</f>
        <v>0</v>
      </c>
      <c r="I280" s="1"/>
      <c r="J280" s="9"/>
      <c r="K280" s="1"/>
      <c r="L280" s="1"/>
      <c r="M280" s="1"/>
    </row>
    <row r="281" spans="1:13" x14ac:dyDescent="0.25">
      <c r="A281" s="7">
        <f t="shared" ref="A281:A289" si="20">A280+1</f>
        <v>29</v>
      </c>
      <c r="B281" s="25" t="s">
        <v>120</v>
      </c>
      <c r="C281" s="26">
        <f>+C142</f>
        <v>2263.4919682800005</v>
      </c>
      <c r="D281" s="26">
        <f>+D142</f>
        <v>2263.4919682800005</v>
      </c>
      <c r="E281" s="26">
        <f>+E142</f>
        <v>0</v>
      </c>
      <c r="F281" s="26">
        <f>+F142</f>
        <v>0</v>
      </c>
      <c r="G281" s="9"/>
      <c r="H281" s="26">
        <f>+H142</f>
        <v>0</v>
      </c>
      <c r="I281" s="1"/>
      <c r="J281" s="9"/>
      <c r="K281" s="1"/>
      <c r="L281" s="1"/>
      <c r="M281" s="1"/>
    </row>
    <row r="282" spans="1:13" x14ac:dyDescent="0.25">
      <c r="A282" s="7">
        <f t="shared" si="20"/>
        <v>30</v>
      </c>
      <c r="B282" s="25" t="s">
        <v>121</v>
      </c>
      <c r="C282" s="26">
        <f>C144</f>
        <v>5457690.8179655354</v>
      </c>
      <c r="D282" s="26">
        <f>D144</f>
        <v>5457690.8179655354</v>
      </c>
      <c r="E282" s="26">
        <f>E144</f>
        <v>0</v>
      </c>
      <c r="F282" s="26">
        <f>F144</f>
        <v>0</v>
      </c>
      <c r="G282" s="9"/>
      <c r="H282" s="9"/>
      <c r="I282" s="1"/>
      <c r="J282" s="9"/>
      <c r="K282" s="1"/>
      <c r="L282" s="1"/>
      <c r="M282" s="1"/>
    </row>
    <row r="283" spans="1:13" x14ac:dyDescent="0.25">
      <c r="A283" s="7">
        <f t="shared" si="20"/>
        <v>31</v>
      </c>
      <c r="B283" s="25" t="s">
        <v>122</v>
      </c>
      <c r="C283" s="26">
        <f>C153</f>
        <v>684179.94636468007</v>
      </c>
      <c r="D283" s="26">
        <f>D153</f>
        <v>684179.94636468007</v>
      </c>
      <c r="E283" s="26">
        <f>E153</f>
        <v>0</v>
      </c>
      <c r="F283" s="26"/>
      <c r="G283" s="9"/>
      <c r="H283" s="9"/>
      <c r="I283" s="1"/>
      <c r="J283" s="9"/>
      <c r="K283" s="1"/>
      <c r="L283" s="1"/>
      <c r="M283" s="1"/>
    </row>
    <row r="284" spans="1:13" x14ac:dyDescent="0.25">
      <c r="A284" s="7">
        <f t="shared" si="20"/>
        <v>32</v>
      </c>
      <c r="B284" s="25" t="s">
        <v>123</v>
      </c>
      <c r="C284" s="26">
        <f>C156</f>
        <v>764241.73808214604</v>
      </c>
      <c r="D284" s="26">
        <f>D156</f>
        <v>764241.73808214616</v>
      </c>
      <c r="E284" s="26">
        <f>E156</f>
        <v>0</v>
      </c>
      <c r="F284" s="26">
        <f>F156</f>
        <v>0</v>
      </c>
      <c r="G284" s="9"/>
      <c r="H284" s="9"/>
      <c r="I284" s="1"/>
      <c r="J284" s="9"/>
      <c r="K284" s="1"/>
      <c r="L284" s="1"/>
      <c r="M284" s="1"/>
    </row>
    <row r="285" spans="1:13" x14ac:dyDescent="0.25">
      <c r="A285" s="7">
        <f t="shared" si="20"/>
        <v>33</v>
      </c>
      <c r="B285" s="25" t="s">
        <v>124</v>
      </c>
      <c r="C285" s="26">
        <f>C140</f>
        <v>11223717.881678171</v>
      </c>
      <c r="D285" s="26">
        <f>D140</f>
        <v>3132776.0414360566</v>
      </c>
      <c r="E285" s="26">
        <f>E140</f>
        <v>8090941.8402421148</v>
      </c>
      <c r="F285" s="26">
        <f>F140</f>
        <v>0</v>
      </c>
      <c r="G285" s="9"/>
      <c r="H285" s="9"/>
      <c r="I285" s="1"/>
      <c r="J285" s="9"/>
      <c r="K285" s="1"/>
      <c r="L285" s="1"/>
      <c r="M285" s="1"/>
    </row>
    <row r="286" spans="1:13" x14ac:dyDescent="0.25">
      <c r="A286" s="7">
        <f t="shared" si="20"/>
        <v>34</v>
      </c>
      <c r="B286" s="25" t="s">
        <v>125</v>
      </c>
      <c r="C286" s="26">
        <f>C150</f>
        <v>5685874.2183256578</v>
      </c>
      <c r="D286" s="26">
        <f>D150</f>
        <v>0</v>
      </c>
      <c r="E286" s="26">
        <f>E150</f>
        <v>5685874.2183256578</v>
      </c>
      <c r="F286" s="26">
        <f>F150</f>
        <v>0</v>
      </c>
      <c r="G286" s="9"/>
      <c r="H286" s="9"/>
      <c r="I286" s="1"/>
      <c r="J286" s="9"/>
      <c r="K286" s="1"/>
      <c r="L286" s="1"/>
      <c r="M286" s="1"/>
    </row>
    <row r="287" spans="1:13" x14ac:dyDescent="0.25">
      <c r="A287" s="7">
        <f t="shared" si="20"/>
        <v>35</v>
      </c>
      <c r="B287" s="30" t="s">
        <v>196</v>
      </c>
      <c r="C287" s="26">
        <f>C132</f>
        <v>1033485.2360002</v>
      </c>
      <c r="D287" s="26">
        <f t="shared" ref="D287:F287" si="21">D132</f>
        <v>0</v>
      </c>
      <c r="E287" s="26">
        <f t="shared" si="21"/>
        <v>1033485.2360002</v>
      </c>
      <c r="F287" s="26">
        <f t="shared" si="21"/>
        <v>0</v>
      </c>
      <c r="G287" s="9"/>
      <c r="H287" s="9"/>
      <c r="I287" s="1"/>
      <c r="J287" s="9"/>
      <c r="K287" s="1"/>
      <c r="L287" s="1"/>
      <c r="M287" s="1"/>
    </row>
    <row r="288" spans="1:13" x14ac:dyDescent="0.25">
      <c r="A288" s="7">
        <f t="shared" si="20"/>
        <v>36</v>
      </c>
      <c r="B288" s="25" t="s">
        <v>189</v>
      </c>
      <c r="C288" s="26">
        <f>C164</f>
        <v>1604870.00236</v>
      </c>
      <c r="D288" s="26">
        <f>D164</f>
        <v>1604870.00236</v>
      </c>
      <c r="E288" s="26">
        <f>E164</f>
        <v>0</v>
      </c>
      <c r="F288" s="26">
        <f>F163</f>
        <v>0</v>
      </c>
      <c r="G288" s="9"/>
      <c r="H288" s="26">
        <f>H163</f>
        <v>0</v>
      </c>
      <c r="I288" s="1"/>
      <c r="J288" s="1"/>
      <c r="K288" s="1"/>
      <c r="L288" s="1"/>
      <c r="M288" s="1"/>
    </row>
    <row r="289" spans="1:13" x14ac:dyDescent="0.25">
      <c r="A289" s="7">
        <f t="shared" si="20"/>
        <v>37</v>
      </c>
      <c r="B289" s="25" t="s">
        <v>190</v>
      </c>
      <c r="C289" s="26">
        <f>C169</f>
        <v>9333759.7957344595</v>
      </c>
      <c r="D289" s="26">
        <f>D169</f>
        <v>9333759.7957344595</v>
      </c>
      <c r="E289" s="26">
        <f>E169</f>
        <v>0</v>
      </c>
      <c r="F289" s="26">
        <f>F168</f>
        <v>0</v>
      </c>
      <c r="G289" s="9"/>
      <c r="H289" s="26">
        <f>H168</f>
        <v>0</v>
      </c>
      <c r="I289" s="1"/>
      <c r="J289" s="1"/>
      <c r="K289" s="1"/>
      <c r="L289" s="1"/>
      <c r="M289" s="1"/>
    </row>
    <row r="290" spans="1:13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</row>
    <row r="291" spans="1:13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</row>
    <row r="292" spans="1:13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</row>
    <row r="293" spans="1:13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</row>
    <row r="294" spans="1:13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1:13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1:13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</row>
    <row r="297" spans="1:13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1:13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 x14ac:dyDescent="0.25">
      <c r="A299" s="1"/>
      <c r="B299" s="19" t="s">
        <v>126</v>
      </c>
      <c r="C299" s="4"/>
      <c r="D299" s="4"/>
      <c r="E299" s="4"/>
      <c r="F299" s="4"/>
      <c r="G299" s="4"/>
      <c r="H299" s="4"/>
      <c r="I299" s="4"/>
      <c r="J299" s="1"/>
      <c r="K299" s="19" t="s">
        <v>127</v>
      </c>
      <c r="L299" s="1"/>
    </row>
    <row r="300" spans="1:13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</row>
    <row r="301" spans="1:13" x14ac:dyDescent="0.25">
      <c r="A301" s="1"/>
      <c r="B301" s="19"/>
      <c r="C301" s="4"/>
      <c r="D301" s="4"/>
      <c r="E301" s="4"/>
      <c r="F301" s="4"/>
      <c r="G301" s="4"/>
      <c r="H301" s="4"/>
      <c r="I301" s="19"/>
      <c r="J301" s="19"/>
      <c r="K301" s="4"/>
      <c r="L301" s="1"/>
      <c r="M301" s="1"/>
    </row>
    <row r="302" spans="1:13" x14ac:dyDescent="0.25">
      <c r="A302" s="1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1"/>
      <c r="M302" s="1"/>
    </row>
    <row r="303" spans="1:13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</row>
    <row r="304" spans="1:13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</row>
    <row r="305" spans="1:13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</row>
    <row r="306" spans="1:13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</row>
    <row r="307" spans="1:13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</row>
    <row r="308" spans="1:13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</row>
    <row r="309" spans="1:13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</row>
    <row r="310" spans="1:13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</row>
    <row r="311" spans="1:13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</row>
    <row r="312" spans="1:13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</row>
    <row r="313" spans="1:13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</row>
    <row r="314" spans="1:13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</row>
    <row r="315" spans="1:13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</row>
    <row r="316" spans="1:13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</row>
    <row r="317" spans="1:13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</row>
    <row r="318" spans="1:13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</row>
    <row r="319" spans="1:13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</row>
    <row r="320" spans="1:13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</row>
    <row r="321" spans="1:13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</row>
    <row r="322" spans="1:13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</row>
    <row r="323" spans="1:13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</row>
    <row r="324" spans="1:13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</row>
    <row r="325" spans="1:13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</row>
    <row r="326" spans="1:13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</row>
    <row r="327" spans="1:13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</row>
    <row r="328" spans="1:13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</row>
    <row r="329" spans="1:13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</row>
    <row r="330" spans="1:13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</row>
    <row r="331" spans="1:13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</row>
    <row r="332" spans="1:13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</row>
    <row r="333" spans="1:13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</row>
    <row r="334" spans="1:13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</row>
    <row r="335" spans="1:13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</row>
    <row r="336" spans="1:13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</row>
    <row r="337" spans="1:13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</row>
    <row r="338" spans="1:13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</row>
    <row r="339" spans="1:13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</row>
    <row r="340" spans="1:13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</row>
    <row r="341" spans="1:13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</row>
    <row r="342" spans="1:13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</row>
    <row r="343" spans="1:13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</row>
    <row r="344" spans="1:13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</row>
    <row r="345" spans="1:13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</row>
    <row r="346" spans="1:13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</row>
    <row r="347" spans="1:13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</row>
    <row r="348" spans="1:13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</row>
    <row r="349" spans="1:13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</row>
    <row r="350" spans="1:13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</row>
    <row r="351" spans="1:13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</row>
    <row r="352" spans="1:13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</row>
    <row r="353" spans="1:13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</row>
    <row r="354" spans="1:13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</row>
    <row r="355" spans="1:13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</row>
    <row r="356" spans="1:13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</row>
    <row r="357" spans="1:13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</row>
    <row r="358" spans="1:13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</row>
    <row r="359" spans="1:13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</row>
    <row r="360" spans="1:13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</row>
    <row r="361" spans="1:13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</row>
    <row r="362" spans="1:13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</row>
    <row r="363" spans="1:13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</row>
    <row r="364" spans="1:13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</row>
    <row r="365" spans="1:13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</row>
    <row r="366" spans="1:13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</row>
    <row r="367" spans="1:13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</row>
    <row r="368" spans="1:13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</row>
    <row r="369" spans="1:13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</row>
    <row r="370" spans="1:13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</row>
    <row r="371" spans="1:13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</row>
    <row r="372" spans="1:13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</row>
    <row r="373" spans="1:13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</row>
    <row r="374" spans="1:13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</row>
    <row r="375" spans="1:13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</row>
    <row r="376" spans="1:13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</row>
    <row r="377" spans="1:13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</row>
    <row r="378" spans="1:13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</row>
    <row r="379" spans="1:13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</row>
    <row r="380" spans="1:13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</row>
    <row r="381" spans="1:13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</row>
    <row r="382" spans="1:13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</row>
    <row r="383" spans="1:13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</row>
    <row r="384" spans="1:13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</row>
    <row r="385" spans="1:13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</row>
    <row r="386" spans="1:13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</row>
    <row r="387" spans="1:13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</row>
    <row r="388" spans="1:13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</row>
    <row r="389" spans="1:13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</row>
    <row r="390" spans="1:13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</row>
    <row r="391" spans="1:13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</row>
    <row r="392" spans="1:13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</row>
    <row r="393" spans="1:13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</row>
    <row r="394" spans="1:13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</row>
    <row r="395" spans="1:13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</row>
    <row r="396" spans="1:13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</row>
    <row r="397" spans="1:13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</row>
    <row r="398" spans="1:13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</row>
    <row r="399" spans="1:13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</row>
    <row r="400" spans="1:13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</row>
    <row r="401" spans="1:13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</row>
    <row r="402" spans="1:13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</row>
    <row r="403" spans="1:13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</row>
    <row r="404" spans="1:13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</row>
    <row r="405" spans="1:13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</row>
    <row r="406" spans="1:13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</row>
    <row r="407" spans="1:13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</row>
    <row r="408" spans="1:13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</row>
    <row r="409" spans="1:13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</row>
    <row r="410" spans="1:13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</row>
    <row r="411" spans="1:13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</row>
    <row r="412" spans="1:13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</row>
    <row r="413" spans="1:13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</row>
    <row r="414" spans="1:13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</row>
    <row r="415" spans="1:13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</row>
    <row r="416" spans="1:13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</row>
    <row r="417" spans="1:13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</row>
    <row r="418" spans="1:13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</row>
    <row r="419" spans="1:13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</row>
    <row r="420" spans="1:13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</row>
    <row r="421" spans="1:13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</row>
    <row r="422" spans="1:13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</row>
    <row r="423" spans="1:13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</row>
    <row r="424" spans="1:13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</row>
    <row r="425" spans="1:13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</row>
    <row r="426" spans="1:13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</row>
    <row r="427" spans="1:13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</row>
    <row r="428" spans="1:13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</row>
    <row r="429" spans="1:13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</row>
    <row r="430" spans="1:13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</row>
    <row r="431" spans="1:13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</row>
    <row r="432" spans="1:13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</row>
    <row r="433" spans="1:13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</row>
    <row r="434" spans="1:13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</row>
    <row r="435" spans="1:13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</row>
    <row r="436" spans="1:13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</row>
    <row r="437" spans="1:13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</row>
    <row r="438" spans="1:13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</row>
    <row r="439" spans="1:13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</row>
    <row r="440" spans="1:13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</row>
    <row r="441" spans="1:13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</row>
    <row r="442" spans="1:13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</row>
    <row r="443" spans="1:13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</row>
    <row r="444" spans="1:13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</row>
    <row r="445" spans="1:13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</row>
    <row r="446" spans="1:13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</row>
    <row r="447" spans="1:13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</row>
    <row r="448" spans="1:13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</row>
    <row r="449" spans="1:13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</row>
    <row r="450" spans="1:13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</row>
    <row r="451" spans="1:13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</row>
    <row r="452" spans="1:13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</row>
    <row r="453" spans="1:13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</row>
    <row r="454" spans="1:13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</row>
    <row r="455" spans="1:13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</row>
    <row r="456" spans="1:13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</row>
    <row r="457" spans="1:13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</row>
    <row r="458" spans="1:13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</row>
    <row r="459" spans="1:13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</row>
    <row r="460" spans="1:13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</row>
    <row r="461" spans="1:13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</row>
    <row r="462" spans="1:13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</row>
    <row r="463" spans="1:13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</row>
    <row r="464" spans="1:13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</row>
    <row r="465" spans="1:13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</row>
    <row r="466" spans="1:13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</row>
    <row r="467" spans="1:13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</row>
    <row r="468" spans="1:13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</row>
    <row r="469" spans="1:13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</row>
    <row r="470" spans="1:13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</row>
    <row r="471" spans="1:13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</row>
    <row r="472" spans="1:13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</row>
    <row r="473" spans="1:13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</row>
    <row r="474" spans="1:13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</row>
    <row r="475" spans="1:13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</row>
    <row r="476" spans="1:13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</row>
    <row r="477" spans="1:13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</row>
    <row r="478" spans="1:13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</row>
    <row r="479" spans="1:13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</row>
    <row r="480" spans="1:13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</row>
    <row r="481" spans="1:13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</row>
    <row r="482" spans="1:13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</row>
    <row r="483" spans="1:13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</row>
    <row r="484" spans="1:13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</row>
    <row r="485" spans="1:13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</row>
    <row r="486" spans="1:13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</row>
    <row r="487" spans="1:13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</row>
    <row r="488" spans="1:13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</row>
    <row r="489" spans="1:13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</row>
    <row r="490" spans="1:13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</row>
    <row r="491" spans="1:13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</row>
    <row r="492" spans="1:13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</row>
    <row r="493" spans="1:13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</row>
    <row r="494" spans="1:13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</row>
    <row r="495" spans="1:13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</row>
    <row r="496" spans="1:13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</row>
    <row r="497" spans="1:13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</row>
    <row r="498" spans="1:13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</row>
    <row r="499" spans="1:13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</row>
    <row r="500" spans="1:13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</row>
    <row r="501" spans="1:13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</row>
    <row r="502" spans="1:13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</row>
    <row r="503" spans="1:13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</row>
    <row r="504" spans="1:13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</row>
    <row r="505" spans="1:13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</row>
    <row r="506" spans="1:13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</row>
    <row r="507" spans="1:13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</row>
    <row r="508" spans="1:13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</row>
    <row r="509" spans="1:13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</row>
    <row r="510" spans="1:13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</row>
    <row r="511" spans="1:13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</row>
    <row r="512" spans="1:13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</row>
    <row r="513" spans="1:13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</row>
    <row r="514" spans="1:13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</row>
    <row r="515" spans="1:13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</row>
    <row r="516" spans="1:13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</row>
    <row r="517" spans="1:13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</row>
    <row r="518" spans="1:13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</row>
    <row r="519" spans="1:13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</row>
    <row r="520" spans="1:13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</row>
    <row r="521" spans="1:13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</row>
    <row r="522" spans="1:13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</row>
    <row r="523" spans="1:13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</row>
    <row r="524" spans="1:13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</row>
    <row r="525" spans="1:13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</row>
    <row r="526" spans="1:13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</row>
    <row r="527" spans="1:13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</row>
    <row r="528" spans="1:13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</row>
    <row r="529" spans="1:13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</row>
    <row r="530" spans="1:13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</row>
    <row r="531" spans="1:13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</row>
    <row r="532" spans="1:13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</row>
    <row r="533" spans="1:13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</row>
    <row r="534" spans="1:13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</row>
    <row r="535" spans="1:13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</row>
    <row r="536" spans="1:13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</row>
    <row r="537" spans="1:13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</row>
    <row r="538" spans="1:13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</row>
    <row r="539" spans="1:13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</row>
    <row r="540" spans="1:13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</row>
    <row r="541" spans="1:13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</row>
    <row r="542" spans="1:13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</row>
    <row r="543" spans="1:13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</row>
    <row r="544" spans="1:13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</row>
    <row r="545" spans="1:13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</row>
    <row r="546" spans="1:13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</row>
    <row r="547" spans="1:13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</row>
    <row r="548" spans="1:13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</row>
    <row r="549" spans="1:13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</row>
    <row r="550" spans="1:13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</row>
    <row r="551" spans="1:13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</row>
    <row r="552" spans="1:13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</row>
    <row r="553" spans="1:13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</row>
    <row r="554" spans="1:13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</row>
    <row r="555" spans="1:13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</row>
    <row r="556" spans="1:13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</row>
    <row r="557" spans="1:13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</row>
    <row r="558" spans="1:13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</row>
    <row r="559" spans="1:13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</row>
    <row r="560" spans="1:13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</row>
    <row r="561" spans="1:13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</row>
    <row r="562" spans="1:13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</row>
    <row r="563" spans="1:13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</row>
    <row r="564" spans="1:13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</row>
    <row r="565" spans="1:13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</row>
    <row r="566" spans="1:13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</row>
    <row r="567" spans="1:13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</row>
    <row r="568" spans="1:13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</row>
    <row r="569" spans="1:13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</row>
    <row r="570" spans="1:13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</row>
    <row r="571" spans="1:13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</row>
    <row r="572" spans="1:13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</row>
    <row r="573" spans="1:13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</row>
    <row r="574" spans="1:13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</row>
    <row r="575" spans="1:13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</row>
    <row r="576" spans="1:13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</row>
    <row r="577" spans="1:13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</row>
    <row r="578" spans="1:13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</row>
    <row r="579" spans="1:13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</row>
    <row r="580" spans="1:13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</row>
    <row r="581" spans="1:13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</row>
    <row r="582" spans="1:13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</row>
    <row r="583" spans="1:13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</row>
    <row r="584" spans="1:13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</row>
    <row r="585" spans="1:13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</row>
    <row r="586" spans="1:13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</row>
    <row r="587" spans="1:13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</row>
    <row r="588" spans="1:13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</row>
    <row r="589" spans="1:13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</row>
    <row r="590" spans="1:13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</row>
    <row r="591" spans="1:13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</row>
    <row r="592" spans="1:13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</row>
    <row r="593" spans="1:13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</row>
    <row r="594" spans="1:13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</row>
    <row r="595" spans="1:13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</row>
    <row r="596" spans="1:13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</row>
    <row r="597" spans="1:13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</row>
    <row r="598" spans="1:13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</row>
    <row r="599" spans="1:13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</row>
    <row r="600" spans="1:13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</row>
    <row r="601" spans="1:13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</row>
    <row r="602" spans="1:13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</row>
    <row r="603" spans="1:13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</row>
    <row r="604" spans="1:13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</row>
    <row r="605" spans="1:13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</row>
    <row r="606" spans="1:13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</row>
    <row r="607" spans="1:13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</row>
    <row r="608" spans="1:13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</row>
    <row r="609" spans="1:13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</row>
    <row r="610" spans="1:13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</row>
    <row r="611" spans="1:13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</row>
    <row r="612" spans="1:13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</row>
    <row r="613" spans="1:13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</row>
    <row r="614" spans="1:13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</row>
    <row r="615" spans="1:13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</row>
    <row r="616" spans="1:13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</row>
    <row r="617" spans="1:13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</row>
    <row r="618" spans="1:13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</row>
    <row r="619" spans="1:13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</row>
    <row r="620" spans="1:13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</row>
    <row r="621" spans="1:13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</row>
    <row r="622" spans="1:13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</row>
    <row r="623" spans="1:13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</row>
    <row r="624" spans="1:13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</row>
    <row r="625" spans="1:13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</row>
    <row r="626" spans="1:13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</row>
    <row r="627" spans="1:13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</row>
    <row r="628" spans="1:13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</row>
    <row r="629" spans="1:13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</row>
    <row r="630" spans="1:13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</row>
    <row r="631" spans="1:13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</row>
    <row r="632" spans="1:13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</row>
    <row r="633" spans="1:13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</row>
    <row r="634" spans="1:13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</row>
    <row r="635" spans="1:13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</row>
    <row r="636" spans="1:13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</row>
    <row r="637" spans="1:13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</row>
    <row r="638" spans="1:13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</row>
    <row r="639" spans="1:13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</row>
    <row r="640" spans="1:13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</row>
    <row r="641" spans="1:13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</row>
    <row r="642" spans="1:13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</row>
    <row r="643" spans="1:13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</row>
    <row r="644" spans="1:13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</row>
    <row r="645" spans="1:13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</row>
    <row r="646" spans="1:13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</row>
    <row r="647" spans="1:13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</row>
    <row r="648" spans="1:13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</row>
    <row r="649" spans="1:13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</row>
    <row r="650" spans="1:13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</row>
    <row r="651" spans="1:13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</row>
    <row r="652" spans="1:13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</row>
    <row r="653" spans="1:13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</row>
    <row r="654" spans="1:13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</row>
    <row r="655" spans="1:13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</row>
    <row r="656" spans="1:13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</row>
    <row r="657" spans="1:13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</row>
    <row r="658" spans="1:13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</row>
    <row r="659" spans="1:13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</row>
    <row r="660" spans="1:13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</row>
    <row r="661" spans="1:13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</row>
    <row r="662" spans="1:13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</row>
    <row r="663" spans="1:13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</row>
    <row r="664" spans="1:13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</row>
    <row r="665" spans="1:13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</row>
    <row r="666" spans="1:13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</row>
    <row r="667" spans="1:13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</row>
    <row r="668" spans="1:13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</row>
    <row r="669" spans="1:13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</row>
    <row r="670" spans="1:13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</row>
    <row r="671" spans="1:13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</row>
    <row r="672" spans="1:13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</row>
    <row r="673" spans="1:13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</row>
    <row r="674" spans="1:13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</row>
    <row r="675" spans="1:13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</row>
    <row r="676" spans="1:13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</row>
    <row r="677" spans="1:13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</row>
    <row r="678" spans="1:13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</row>
    <row r="679" spans="1:13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</row>
    <row r="680" spans="1:13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</row>
    <row r="681" spans="1:13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</row>
    <row r="682" spans="1:13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</row>
    <row r="683" spans="1:13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</row>
    <row r="684" spans="1:13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</row>
    <row r="685" spans="1:13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</row>
    <row r="686" spans="1:13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</row>
    <row r="687" spans="1:13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</row>
    <row r="688" spans="1:13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</row>
    <row r="689" spans="1:13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</row>
    <row r="690" spans="1:13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</row>
    <row r="691" spans="1:13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</row>
    <row r="692" spans="1:13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</row>
    <row r="693" spans="1:13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</row>
    <row r="694" spans="1:13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</row>
    <row r="695" spans="1:13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</row>
    <row r="696" spans="1:13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</row>
    <row r="697" spans="1:13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</row>
    <row r="698" spans="1:13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</row>
    <row r="699" spans="1:13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</row>
    <row r="700" spans="1:13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</row>
    <row r="701" spans="1:13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</row>
    <row r="702" spans="1:13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</row>
    <row r="703" spans="1:13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</row>
    <row r="704" spans="1:13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</row>
    <row r="705" spans="1:13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</row>
    <row r="706" spans="1:13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</row>
    <row r="707" spans="1:13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</row>
    <row r="708" spans="1:13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</row>
    <row r="709" spans="1:13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</row>
    <row r="710" spans="1:13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</row>
    <row r="711" spans="1:13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</row>
    <row r="712" spans="1:13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</row>
    <row r="713" spans="1:13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</row>
    <row r="714" spans="1:13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</row>
    <row r="715" spans="1:13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</row>
    <row r="716" spans="1:13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</row>
    <row r="717" spans="1:13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</row>
    <row r="718" spans="1:13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</row>
    <row r="719" spans="1:13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</row>
    <row r="720" spans="1:13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</row>
    <row r="721" spans="1:13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</row>
    <row r="722" spans="1:13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</row>
    <row r="723" spans="1:13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</row>
    <row r="724" spans="1:13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</row>
    <row r="725" spans="1:13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</row>
    <row r="726" spans="1:13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</row>
    <row r="727" spans="1:13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</row>
    <row r="728" spans="1:13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</row>
    <row r="729" spans="1:13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</row>
    <row r="730" spans="1:13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</row>
    <row r="731" spans="1:13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</row>
    <row r="732" spans="1:13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</row>
    <row r="733" spans="1:13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</row>
    <row r="734" spans="1:13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</row>
    <row r="735" spans="1:13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</row>
    <row r="736" spans="1:13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</row>
    <row r="737" spans="1:13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</row>
    <row r="738" spans="1:13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</row>
    <row r="739" spans="1:13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</row>
    <row r="740" spans="1:13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</row>
    <row r="741" spans="1:13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</row>
    <row r="742" spans="1:13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</row>
    <row r="743" spans="1:13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</row>
    <row r="744" spans="1:13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</row>
    <row r="745" spans="1:13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</row>
    <row r="746" spans="1:13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</row>
    <row r="747" spans="1:13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</row>
    <row r="748" spans="1:13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</row>
    <row r="749" spans="1:13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</row>
    <row r="750" spans="1:13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</row>
    <row r="751" spans="1:13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</row>
    <row r="752" spans="1:13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</row>
    <row r="753" spans="1:13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</row>
    <row r="754" spans="1:13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</row>
    <row r="755" spans="1:13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</row>
    <row r="756" spans="1:13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</row>
    <row r="757" spans="1:13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</row>
    <row r="758" spans="1:13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</row>
    <row r="759" spans="1:13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</row>
    <row r="760" spans="1:13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</row>
    <row r="761" spans="1:13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</row>
    <row r="762" spans="1:13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</row>
    <row r="763" spans="1:13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</row>
    <row r="764" spans="1:13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</row>
    <row r="765" spans="1:13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</row>
    <row r="766" spans="1:13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</row>
    <row r="767" spans="1:13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</row>
    <row r="768" spans="1:13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</row>
    <row r="769" spans="1:13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</row>
    <row r="770" spans="1:13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</row>
    <row r="771" spans="1:13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</row>
    <row r="772" spans="1:13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</row>
    <row r="773" spans="1:13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</row>
    <row r="774" spans="1:13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</row>
    <row r="775" spans="1:13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</row>
    <row r="776" spans="1:13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</row>
    <row r="777" spans="1:13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</row>
    <row r="778" spans="1:13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</row>
    <row r="779" spans="1:13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</row>
    <row r="780" spans="1:13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</row>
    <row r="781" spans="1:13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</row>
    <row r="782" spans="1:13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</row>
    <row r="783" spans="1:13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</row>
    <row r="784" spans="1:13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</row>
    <row r="785" spans="1:13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</row>
    <row r="786" spans="1:13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</row>
    <row r="787" spans="1:13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</row>
    <row r="788" spans="1:13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</row>
    <row r="789" spans="1:13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</row>
    <row r="790" spans="1:13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</row>
    <row r="791" spans="1:13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</row>
    <row r="792" spans="1:13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</row>
    <row r="793" spans="1:13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</row>
    <row r="794" spans="1:13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</row>
    <row r="795" spans="1:13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</row>
    <row r="796" spans="1:13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</row>
    <row r="797" spans="1:13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</row>
    <row r="798" spans="1:13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</row>
    <row r="799" spans="1:13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</row>
    <row r="800" spans="1:13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</row>
    <row r="801" spans="1:13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</row>
    <row r="802" spans="1:13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</row>
    <row r="803" spans="1:13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</row>
    <row r="804" spans="1:13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</row>
    <row r="805" spans="1:13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</row>
    <row r="806" spans="1:13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</row>
    <row r="807" spans="1:13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</row>
    <row r="808" spans="1:13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</row>
    <row r="809" spans="1:13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</row>
    <row r="810" spans="1:13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</row>
    <row r="811" spans="1:13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</row>
    <row r="812" spans="1:13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</row>
    <row r="813" spans="1:13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</row>
    <row r="814" spans="1:13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</row>
    <row r="815" spans="1:13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</row>
    <row r="816" spans="1:13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</row>
    <row r="817" spans="1:13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</row>
    <row r="818" spans="1:13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</row>
    <row r="819" spans="1:13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</row>
    <row r="820" spans="1:13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</row>
    <row r="821" spans="1:13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</row>
    <row r="822" spans="1:13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</row>
    <row r="823" spans="1:13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</row>
    <row r="824" spans="1:13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</row>
    <row r="825" spans="1:13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</row>
    <row r="826" spans="1:13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</row>
    <row r="827" spans="1:13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</row>
    <row r="828" spans="1:13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</row>
    <row r="829" spans="1:13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</row>
    <row r="830" spans="1:13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</row>
    <row r="831" spans="1:13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</row>
    <row r="832" spans="1:13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</row>
    <row r="833" spans="1:13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</row>
    <row r="834" spans="1:13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</row>
    <row r="835" spans="1:13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</row>
    <row r="836" spans="1:13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</row>
    <row r="837" spans="1:13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</row>
    <row r="838" spans="1:13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</row>
    <row r="839" spans="1:13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</row>
    <row r="840" spans="1:13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</row>
    <row r="841" spans="1:13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</row>
    <row r="842" spans="1:13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</row>
    <row r="843" spans="1:13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</row>
    <row r="844" spans="1:13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</row>
    <row r="845" spans="1:13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</row>
    <row r="846" spans="1:13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</row>
    <row r="847" spans="1:13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</row>
    <row r="848" spans="1:13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</row>
    <row r="849" spans="1:13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</row>
    <row r="850" spans="1:13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</row>
    <row r="851" spans="1:13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</row>
    <row r="852" spans="1:13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</row>
    <row r="853" spans="1:13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</row>
    <row r="854" spans="1:13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</row>
    <row r="855" spans="1:13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</row>
    <row r="856" spans="1:13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</row>
    <row r="857" spans="1:13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</row>
    <row r="858" spans="1:13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</row>
    <row r="859" spans="1:13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</row>
    <row r="860" spans="1:13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</row>
    <row r="861" spans="1:13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</row>
    <row r="862" spans="1:13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</row>
    <row r="863" spans="1:13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</row>
    <row r="864" spans="1:13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</row>
    <row r="865" spans="1:13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</row>
    <row r="866" spans="1:13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</row>
    <row r="867" spans="1:13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</row>
    <row r="868" spans="1:13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</row>
    <row r="869" spans="1:13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</row>
    <row r="870" spans="1:13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</row>
    <row r="871" spans="1:13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</row>
    <row r="872" spans="1:13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</row>
    <row r="873" spans="1:13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</row>
    <row r="874" spans="1:13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</row>
    <row r="875" spans="1:13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</row>
    <row r="876" spans="1:13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</row>
    <row r="877" spans="1:13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</row>
    <row r="878" spans="1:13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</row>
    <row r="879" spans="1:13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</row>
    <row r="880" spans="1:13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</row>
    <row r="881" spans="1:13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</row>
    <row r="882" spans="1:13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</row>
    <row r="883" spans="1:13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</row>
    <row r="884" spans="1:13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</row>
    <row r="885" spans="1:13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</row>
    <row r="886" spans="1:13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</row>
    <row r="887" spans="1:13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</row>
    <row r="888" spans="1:13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</row>
    <row r="889" spans="1:13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</row>
    <row r="890" spans="1:13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</row>
    <row r="891" spans="1:13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</row>
    <row r="892" spans="1:13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</row>
    <row r="893" spans="1:13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</row>
    <row r="894" spans="1:13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</row>
    <row r="895" spans="1:13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</row>
    <row r="896" spans="1:13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</row>
    <row r="897" spans="1:13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</row>
    <row r="898" spans="1:13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</row>
    <row r="899" spans="1:13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</row>
    <row r="900" spans="1:13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</row>
    <row r="901" spans="1:13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</row>
    <row r="902" spans="1:13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</row>
    <row r="903" spans="1:13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</row>
    <row r="904" spans="1:13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</row>
    <row r="905" spans="1:13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</row>
    <row r="906" spans="1:13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</row>
    <row r="907" spans="1:13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</row>
    <row r="908" spans="1:13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</row>
    <row r="909" spans="1:13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</row>
    <row r="910" spans="1:13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</row>
    <row r="911" spans="1:13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</row>
    <row r="912" spans="1:13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</row>
    <row r="913" spans="1:13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</row>
    <row r="914" spans="1:13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</row>
    <row r="915" spans="1:13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</row>
    <row r="916" spans="1:13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</row>
    <row r="917" spans="1:13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</row>
    <row r="918" spans="1:13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</row>
    <row r="919" spans="1:13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</row>
    <row r="920" spans="1:13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</row>
    <row r="921" spans="1:13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</row>
    <row r="922" spans="1:13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</row>
    <row r="923" spans="1:13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</row>
    <row r="924" spans="1:13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</row>
    <row r="925" spans="1:13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</row>
    <row r="926" spans="1:13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</row>
    <row r="927" spans="1:13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</row>
    <row r="928" spans="1:13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</row>
    <row r="929" spans="1:13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</row>
    <row r="930" spans="1:13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</row>
    <row r="931" spans="1:13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</row>
    <row r="932" spans="1:13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</row>
    <row r="933" spans="1:13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</row>
    <row r="934" spans="1:13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</row>
    <row r="935" spans="1:13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</row>
    <row r="936" spans="1:13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</row>
    <row r="937" spans="1:13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</row>
    <row r="938" spans="1:13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</row>
    <row r="939" spans="1:13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</row>
    <row r="940" spans="1:13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</row>
    <row r="941" spans="1:13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</row>
    <row r="942" spans="1:13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</row>
    <row r="943" spans="1:13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</row>
    <row r="944" spans="1:13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</row>
    <row r="945" spans="1:13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</row>
    <row r="946" spans="1:13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</row>
    <row r="947" spans="1:13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</row>
    <row r="948" spans="1:13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</row>
    <row r="949" spans="1:13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</row>
    <row r="950" spans="1:13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</row>
    <row r="951" spans="1:13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</row>
    <row r="952" spans="1:13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</row>
    <row r="953" spans="1:13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</row>
    <row r="954" spans="1:13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</row>
    <row r="955" spans="1:13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</row>
    <row r="956" spans="1:13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</row>
    <row r="957" spans="1:13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</row>
    <row r="958" spans="1:13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</row>
    <row r="959" spans="1:13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</row>
    <row r="960" spans="1:13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</row>
    <row r="961" spans="1:13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</row>
    <row r="962" spans="1:13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</row>
    <row r="963" spans="1:13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</row>
    <row r="964" spans="1:13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</row>
    <row r="965" spans="1:13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</row>
    <row r="966" spans="1:13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</row>
    <row r="967" spans="1:13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</row>
    <row r="968" spans="1:13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</row>
    <row r="969" spans="1:13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</row>
    <row r="970" spans="1:13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</row>
    <row r="971" spans="1:13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</row>
    <row r="972" spans="1:13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</row>
    <row r="973" spans="1:13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</row>
    <row r="974" spans="1:13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</row>
    <row r="975" spans="1:13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</row>
    <row r="976" spans="1:13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</row>
    <row r="977" spans="1:13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</row>
    <row r="978" spans="1:13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</row>
    <row r="979" spans="1:13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</row>
    <row r="980" spans="1:13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</row>
    <row r="981" spans="1:13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</row>
    <row r="982" spans="1:13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</row>
    <row r="983" spans="1:13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</row>
    <row r="984" spans="1:13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</row>
    <row r="985" spans="1:13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</row>
    <row r="986" spans="1:13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</row>
    <row r="987" spans="1:13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</row>
    <row r="988" spans="1:13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</row>
    <row r="989" spans="1:13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</row>
    <row r="990" spans="1:13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</row>
    <row r="991" spans="1:13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</row>
    <row r="992" spans="1:13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</row>
    <row r="993" spans="1:13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</row>
    <row r="994" spans="1:13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</row>
    <row r="995" spans="1:13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</row>
    <row r="996" spans="1:13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</row>
    <row r="997" spans="1:13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</row>
    <row r="998" spans="1:13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</row>
    <row r="999" spans="1:13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</row>
    <row r="1000" spans="1:13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</row>
    <row r="1001" spans="1:13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</row>
    <row r="1002" spans="1:13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</row>
    <row r="1003" spans="1:13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</row>
    <row r="1004" spans="1:13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</row>
    <row r="1005" spans="1:13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</row>
    <row r="1006" spans="1:13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</row>
    <row r="1007" spans="1:13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</row>
    <row r="1008" spans="1:13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</row>
    <row r="1009" spans="1:13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</row>
    <row r="1010" spans="1:13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</row>
    <row r="1011" spans="1:13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</row>
    <row r="1012" spans="1:13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</row>
    <row r="1013" spans="1:13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</row>
    <row r="1014" spans="1:13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</row>
    <row r="1015" spans="1:13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</row>
    <row r="1016" spans="1:13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</row>
    <row r="1017" spans="1:13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</row>
    <row r="1018" spans="1:13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</row>
    <row r="1019" spans="1:13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</row>
    <row r="1020" spans="1:13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</row>
    <row r="1021" spans="1:13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</row>
    <row r="1022" spans="1:13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</row>
    <row r="1023" spans="1:13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</row>
    <row r="1024" spans="1:13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</row>
    <row r="1025" spans="1:13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</row>
    <row r="1026" spans="1:13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</row>
    <row r="1027" spans="1:13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</row>
    <row r="1028" spans="1:13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</row>
    <row r="1029" spans="1:13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</row>
    <row r="1030" spans="1:13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</row>
    <row r="1031" spans="1:13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</row>
    <row r="1032" spans="1:13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</row>
    <row r="1033" spans="1:13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</row>
    <row r="1034" spans="1:13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</row>
    <row r="1035" spans="1:13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</row>
    <row r="1036" spans="1:13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</row>
    <row r="1037" spans="1:13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</row>
    <row r="1038" spans="1:13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</row>
    <row r="1039" spans="1:13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</row>
    <row r="1040" spans="1:13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</row>
    <row r="1041" spans="1:13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</row>
    <row r="1042" spans="1:13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</row>
    <row r="1043" spans="1:13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</row>
    <row r="1044" spans="1:13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</row>
    <row r="1045" spans="1:13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</row>
    <row r="1046" spans="1:13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</row>
    <row r="1047" spans="1:13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</row>
    <row r="1048" spans="1:13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</row>
    <row r="1049" spans="1:13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</row>
    <row r="1050" spans="1:13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</row>
    <row r="1051" spans="1:13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</row>
    <row r="1052" spans="1:13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</row>
    <row r="1053" spans="1:13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</row>
    <row r="1054" spans="1:13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</row>
    <row r="1055" spans="1:13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</row>
    <row r="1056" spans="1:13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</row>
    <row r="1057" spans="1:13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</row>
    <row r="1058" spans="1:13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</row>
    <row r="1059" spans="1:13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</row>
    <row r="1060" spans="1:13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</row>
    <row r="1061" spans="1:13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</row>
    <row r="1062" spans="1:13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</row>
    <row r="1063" spans="1:13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</row>
    <row r="1064" spans="1:13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</row>
    <row r="1065" spans="1:13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</row>
    <row r="1066" spans="1:13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</row>
    <row r="1067" spans="1:13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</row>
    <row r="1068" spans="1:13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</row>
    <row r="1069" spans="1:13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</row>
    <row r="1070" spans="1:13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</row>
    <row r="1071" spans="1:13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</row>
    <row r="1072" spans="1:13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</row>
    <row r="1073" spans="1:13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</row>
    <row r="1074" spans="1:13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</row>
    <row r="1075" spans="1:13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</row>
    <row r="1076" spans="1:13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</row>
    <row r="1077" spans="1:13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</row>
    <row r="1078" spans="1:13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</row>
    <row r="1079" spans="1:13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</row>
    <row r="1080" spans="1:13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</row>
    <row r="1081" spans="1:13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</row>
    <row r="1082" spans="1:13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</row>
    <row r="1083" spans="1:13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</row>
    <row r="1084" spans="1:13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</row>
    <row r="1085" spans="1:13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</row>
    <row r="1086" spans="1:13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</row>
    <row r="1087" spans="1:13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</row>
    <row r="1088" spans="1:13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</row>
    <row r="1089" spans="1:13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</row>
    <row r="1090" spans="1:13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</row>
    <row r="1091" spans="1:13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</row>
    <row r="1092" spans="1:13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</row>
    <row r="1093" spans="1:13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</row>
    <row r="1094" spans="1:13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</row>
    <row r="1095" spans="1:13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</row>
    <row r="1096" spans="1:13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</row>
    <row r="1097" spans="1:13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</row>
    <row r="1098" spans="1:13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</row>
    <row r="1099" spans="1:13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</row>
    <row r="1100" spans="1:13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</row>
    <row r="1101" spans="1:13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</row>
    <row r="1102" spans="1:13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</row>
    <row r="1103" spans="1:13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</row>
    <row r="1104" spans="1:13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</row>
    <row r="1105" spans="1:13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</row>
    <row r="1106" spans="1:13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</row>
    <row r="1107" spans="1:13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</row>
    <row r="1108" spans="1:13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</row>
    <row r="1109" spans="1:13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</row>
    <row r="1110" spans="1:13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</row>
    <row r="1111" spans="1:13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</row>
    <row r="1112" spans="1:13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</row>
    <row r="1113" spans="1:13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</row>
    <row r="1114" spans="1:13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</row>
    <row r="1115" spans="1:13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</row>
    <row r="1116" spans="1:13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</row>
    <row r="1117" spans="1:13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</row>
    <row r="1118" spans="1:13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</row>
    <row r="1119" spans="1:13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</row>
    <row r="1120" spans="1:13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</row>
    <row r="1121" spans="1:13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</row>
    <row r="1122" spans="1:13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</row>
    <row r="1123" spans="1:13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</row>
    <row r="1124" spans="1:13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</row>
    <row r="1125" spans="1:13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</row>
    <row r="1126" spans="1:13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</row>
    <row r="1127" spans="1:13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</row>
    <row r="1128" spans="1:13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</row>
    <row r="1129" spans="1:13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</row>
    <row r="1130" spans="1:13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</row>
    <row r="1131" spans="1:13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</row>
    <row r="1132" spans="1:13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</row>
    <row r="1133" spans="1:13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</row>
    <row r="1134" spans="1:13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</row>
    <row r="1135" spans="1:13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</row>
    <row r="1136" spans="1:13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</row>
    <row r="1137" spans="1:13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</row>
    <row r="1138" spans="1:13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</row>
    <row r="1139" spans="1:13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</row>
    <row r="1140" spans="1:13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</row>
    <row r="1141" spans="1:13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</row>
    <row r="1142" spans="1:13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</row>
    <row r="1143" spans="1:13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</row>
    <row r="1144" spans="1:13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</row>
    <row r="1145" spans="1:13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</row>
    <row r="1146" spans="1:13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</row>
    <row r="1147" spans="1:13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</row>
    <row r="1148" spans="1:13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</row>
    <row r="1149" spans="1:13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</row>
    <row r="1150" spans="1:13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</row>
    <row r="1151" spans="1:13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</row>
    <row r="1152" spans="1:13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</row>
    <row r="1153" spans="1:13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</row>
    <row r="1154" spans="1:13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</row>
    <row r="1155" spans="1:13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</row>
    <row r="1156" spans="1:13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</row>
    <row r="1157" spans="1:13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</row>
    <row r="1158" spans="1:13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</row>
    <row r="1159" spans="1:13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</row>
    <row r="1160" spans="1:13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</row>
    <row r="1161" spans="1:13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</row>
    <row r="1162" spans="1:13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</row>
    <row r="1163" spans="1:13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</row>
    <row r="1164" spans="1:13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</row>
    <row r="1165" spans="1:13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</row>
    <row r="1166" spans="1:13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</row>
    <row r="1167" spans="1:13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</row>
    <row r="1168" spans="1:13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</row>
    <row r="1169" spans="1:13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</row>
    <row r="1170" spans="1:13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</row>
  </sheetData>
  <phoneticPr fontId="0" type="noConversion"/>
  <printOptions horizontalCentered="1"/>
  <pageMargins left="0.5" right="0.5" top="1" bottom="0.5" header="0.5" footer="0.5"/>
  <pageSetup scale="53" fitToHeight="0" orientation="landscape" r:id="rId1"/>
  <headerFooter alignWithMargins="0"/>
  <rowBreaks count="4" manualBreakCount="4">
    <brk id="59" max="11" man="1"/>
    <brk id="118" max="11" man="1"/>
    <brk id="179" max="11" man="1"/>
    <brk id="236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ACC679A4B2B2498C51DFEA93B23388" ma:contentTypeVersion="4" ma:contentTypeDescription="Create a new document." ma:contentTypeScope="" ma:versionID="822d9ec8051f074c75dc280a41fa8bb1">
  <xsd:schema xmlns:xsd="http://www.w3.org/2001/XMLSchema" xmlns:xs="http://www.w3.org/2001/XMLSchema" xmlns:p="http://schemas.microsoft.com/office/2006/metadata/properties" xmlns:ns2="893a536c-6c7f-4e41-bad0-aeadd1862fa9" targetNamespace="http://schemas.microsoft.com/office/2006/metadata/properties" ma:root="true" ma:fieldsID="fa5e0c49a92c2916c81a8ca25f62ea50" ns2:_="">
    <xsd:import namespace="893a536c-6c7f-4e41-bad0-aeadd1862f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3a536c-6c7f-4e41-bad0-aeadd1862f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7ADD321-BA0F-4464-B5A4-527349724EE0}"/>
</file>

<file path=customXml/itemProps2.xml><?xml version="1.0" encoding="utf-8"?>
<ds:datastoreItem xmlns:ds="http://schemas.openxmlformats.org/officeDocument/2006/customXml" ds:itemID="{10420070-703E-4764-B28A-00B1598AA53A}"/>
</file>

<file path=customXml/itemProps3.xml><?xml version="1.0" encoding="utf-8"?>
<ds:datastoreItem xmlns:ds="http://schemas.openxmlformats.org/officeDocument/2006/customXml" ds:itemID="{BE6923E9-C3BE-4B1F-9CB7-98A6E9BFC7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SCHH-3</vt:lpstr>
      <vt:lpstr>Page_1</vt:lpstr>
      <vt:lpstr>Page_2</vt:lpstr>
      <vt:lpstr>Page_3</vt:lpstr>
      <vt:lpstr>Page_4</vt:lpstr>
      <vt:lpstr>Page_5</vt:lpstr>
      <vt:lpstr>'SCHH-3'!Print_Area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2020-07-09T14:43:41Z</dcterms:created>
  <dcterms:modified xsi:type="dcterms:W3CDTF">2020-07-09T14:43:41Z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0x010100C2ACC679A4B2B2498C51DFEA93B23388</vt:lpwstr>
  </property>
</Properties>
</file>