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lean Energy Connection\DEF CEC Filing &amp; Support\Supporting Files (no links)\"/>
    </mc:Choice>
  </mc:AlternateContent>
  <xr:revisionPtr revIDLastSave="0" documentId="13_ncr:1_{997862B5-112C-49FA-B80E-4FDD4C235F20}" xr6:coauthVersionLast="44" xr6:coauthVersionMax="45" xr10:uidLastSave="{00000000-0000-0000-0000-000000000000}"/>
  <bookViews>
    <workbookView xWindow="-110" yWindow="-110" windowWidth="19420" windowHeight="10420" xr2:uid="{A70E2C98-37D8-485D-8753-967421A99F11}"/>
  </bookViews>
  <sheets>
    <sheet name="Project Costs" sheetId="1" r:id="rId1"/>
    <sheet name="Tax Life" sheetId="2" r:id="rId2"/>
  </sheets>
  <definedNames>
    <definedName name="MACRSLives">'Tax Life'!$B$2:$L$2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1" i="1" l="1"/>
  <c r="C39" i="1" l="1"/>
  <c r="C15" i="1" l="1"/>
  <c r="D32" i="1" l="1"/>
  <c r="D30" i="1"/>
  <c r="D29" i="1"/>
  <c r="D28" i="1"/>
  <c r="D27" i="1"/>
  <c r="E32" i="1" l="1"/>
  <c r="K18" i="1"/>
  <c r="D38" i="1"/>
  <c r="F28" i="1"/>
  <c r="E28" i="1"/>
  <c r="C28" i="1"/>
  <c r="F27" i="1"/>
  <c r="E27" i="1"/>
  <c r="C27" i="1"/>
  <c r="G15" i="1"/>
  <c r="F15" i="1"/>
  <c r="E29" i="1"/>
  <c r="F29" i="1" s="1"/>
  <c r="E30" i="1"/>
  <c r="F30" i="1" s="1"/>
  <c r="E15" i="1"/>
  <c r="D33" i="1"/>
  <c r="E33" i="1" s="1"/>
  <c r="F33" i="1" s="1"/>
  <c r="D31" i="1"/>
  <c r="D24" i="1"/>
  <c r="E24" i="1" s="1"/>
  <c r="D15" i="1"/>
  <c r="F24" i="1" l="1"/>
  <c r="I33" i="1"/>
  <c r="E38" i="1"/>
  <c r="K19" i="1"/>
  <c r="F32" i="1"/>
  <c r="M18" i="1" s="1"/>
  <c r="L18" i="1"/>
  <c r="E31" i="1"/>
  <c r="E34" i="1"/>
  <c r="C34" i="1"/>
  <c r="C35" i="1" s="1"/>
  <c r="D34" i="1"/>
  <c r="D35" i="1" s="1"/>
  <c r="K17" i="1" l="1"/>
  <c r="G9" i="2"/>
  <c r="G10" i="2"/>
  <c r="G6" i="2"/>
  <c r="G7" i="2"/>
  <c r="G8" i="2"/>
  <c r="G5" i="2"/>
  <c r="D36" i="1"/>
  <c r="D37" i="1"/>
  <c r="C36" i="1"/>
  <c r="C37" i="1"/>
  <c r="C40" i="1" s="1"/>
  <c r="F31" i="1"/>
  <c r="E35" i="1"/>
  <c r="F38" i="1"/>
  <c r="M19" i="1" s="1"/>
  <c r="L19" i="1"/>
  <c r="G24" i="1"/>
  <c r="K33" i="1" s="1"/>
  <c r="J33" i="1"/>
  <c r="I34" i="1"/>
  <c r="F34" i="1"/>
  <c r="L17" i="1" l="1"/>
  <c r="J10" i="2"/>
  <c r="J9" i="2"/>
  <c r="J6" i="2"/>
  <c r="J7" i="2"/>
  <c r="J8" i="2"/>
  <c r="J5" i="2"/>
  <c r="E36" i="1"/>
  <c r="E37" i="1"/>
  <c r="F35" i="1"/>
  <c r="D39" i="1"/>
  <c r="D40" i="1" s="1"/>
  <c r="K20" i="1"/>
  <c r="K21" i="1" s="1"/>
  <c r="G11" i="2"/>
  <c r="H5" i="2"/>
  <c r="H8" i="2"/>
  <c r="H7" i="2"/>
  <c r="H16" i="2" s="1"/>
  <c r="H6" i="2"/>
  <c r="H15" i="2" s="1"/>
  <c r="H10" i="2"/>
  <c r="H18" i="2" s="1"/>
  <c r="H9" i="2"/>
  <c r="H17" i="2" s="1"/>
  <c r="E50" i="1"/>
  <c r="E53" i="1" s="1"/>
  <c r="E51" i="1"/>
  <c r="E54" i="1" s="1"/>
  <c r="D43" i="1"/>
  <c r="D46" i="1" s="1"/>
  <c r="D54" i="1"/>
  <c r="D50" i="1"/>
  <c r="D53" i="1" s="1"/>
  <c r="G50" i="1"/>
  <c r="G53" i="1" s="1"/>
  <c r="C51" i="1"/>
  <c r="C54" i="1" s="1"/>
  <c r="C50" i="1"/>
  <c r="C53" i="1" s="1"/>
  <c r="H14" i="2" l="1"/>
  <c r="H19" i="2" s="1"/>
  <c r="H11" i="2"/>
  <c r="M17" i="1"/>
  <c r="M9" i="2"/>
  <c r="M6" i="2"/>
  <c r="M7" i="2"/>
  <c r="M8" i="2"/>
  <c r="M10" i="2"/>
  <c r="M5" i="2"/>
  <c r="F36" i="1"/>
  <c r="F37" i="1"/>
  <c r="J34" i="1"/>
  <c r="E39" i="1"/>
  <c r="E40" i="1" s="1"/>
  <c r="E44" i="1" s="1"/>
  <c r="E47" i="1" s="1"/>
  <c r="L20" i="1"/>
  <c r="L21" i="1" s="1"/>
  <c r="J11" i="2"/>
  <c r="K5" i="2" s="1"/>
  <c r="K8" i="2"/>
  <c r="K7" i="2"/>
  <c r="K16" i="2" s="1"/>
  <c r="K6" i="2"/>
  <c r="K15" i="2" s="1"/>
  <c r="K9" i="2"/>
  <c r="K17" i="2" s="1"/>
  <c r="K10" i="2"/>
  <c r="K18" i="2" s="1"/>
  <c r="G51" i="1"/>
  <c r="G54" i="1" s="1"/>
  <c r="F51" i="1"/>
  <c r="F54" i="1" s="1"/>
  <c r="F50" i="1"/>
  <c r="F53" i="1" s="1"/>
  <c r="E43" i="1"/>
  <c r="E46" i="1" s="1"/>
  <c r="D44" i="1"/>
  <c r="D47" i="1" s="1"/>
  <c r="C43" i="1"/>
  <c r="C46" i="1" s="1"/>
  <c r="C44" i="1"/>
  <c r="C47" i="1" s="1"/>
  <c r="K14" i="2" l="1"/>
  <c r="K19" i="2" s="1"/>
  <c r="K11" i="2"/>
  <c r="K34" i="1"/>
  <c r="F39" i="1"/>
  <c r="F40" i="1" s="1"/>
  <c r="M20" i="1"/>
  <c r="M21" i="1" s="1"/>
  <c r="M11" i="2"/>
  <c r="N8" i="2"/>
  <c r="N7" i="2"/>
  <c r="N16" i="2" s="1"/>
  <c r="N6" i="2"/>
  <c r="N15" i="2" s="1"/>
  <c r="N9" i="2"/>
  <c r="N17" i="2" s="1"/>
  <c r="F43" i="1"/>
  <c r="F46" i="1" s="1"/>
  <c r="F44" i="1"/>
  <c r="F47" i="1" s="1"/>
  <c r="N10" i="2" l="1"/>
  <c r="N18" i="2" s="1"/>
  <c r="N5" i="2"/>
  <c r="N14" i="2" l="1"/>
  <c r="N19" i="2" s="1"/>
  <c r="N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Gerry Dowd</author>
  </authors>
  <commentList>
    <comment ref="D9" authorId="0" shapeId="0" xr:uid="{8C7B3A91-09BE-4852-9BC4-3FF722D67E28}">
      <text>
        <r>
          <rPr>
            <b/>
            <sz val="10"/>
            <color indexed="81"/>
            <rFont val="Arial"/>
            <family val="2"/>
          </rPr>
          <t>Gerry Dowd:</t>
        </r>
        <r>
          <rPr>
            <sz val="10"/>
            <color indexed="81"/>
            <rFont val="Arial"/>
            <family val="2"/>
          </rPr>
          <t xml:space="preserve">
Note, if the solar facility interconnects with a 69 kV or higher transmission line, the 0.554% shown above for “49.14 - Electric Utility T&amp;D Plant” is treated as 15-year MACRS property (rather than 20-year MACRS property).</t>
        </r>
      </text>
    </comment>
  </commentList>
</comments>
</file>

<file path=xl/sharedStrings.xml><?xml version="1.0" encoding="utf-8"?>
<sst xmlns="http://schemas.openxmlformats.org/spreadsheetml/2006/main" count="111" uniqueCount="90">
  <si>
    <t>CEC Solar DEF Forecasting</t>
  </si>
  <si>
    <t>Prepared by Matt Stout, 4/13/2020 - AFUDC revised 5/5/2020</t>
  </si>
  <si>
    <t>- PV module forecast based on market quotes for crystalline through 2022, then forecasted</t>
  </si>
  <si>
    <t>- EPC contract market is tight currently but we expect cost reductions begining 2022</t>
  </si>
  <si>
    <t>- Design of SAT 1.3 DC/AC achieves approximately 28.0% NCF</t>
  </si>
  <si>
    <t>- 2020 project based on Twin Rivers with adjustments</t>
  </si>
  <si>
    <t>- 2021 projects based on Archer, Duette, and Charlie Creek</t>
  </si>
  <si>
    <t>- No land purchase prices assumed,  pro forma assumes lease expense for all projects</t>
  </si>
  <si>
    <t>- Use 2021 projects costs for Jan. 2022 CEC projects</t>
  </si>
  <si>
    <t>Key Assumptions</t>
  </si>
  <si>
    <t>Design</t>
  </si>
  <si>
    <t>Single-axis T</t>
  </si>
  <si>
    <t>Project Size MWac</t>
  </si>
  <si>
    <t>Project Size MWdc</t>
  </si>
  <si>
    <t>Per Project Cost (74.9 MW-ac)</t>
  </si>
  <si>
    <t>DC/AC Ratio</t>
  </si>
  <si>
    <t>PV Panel Price $/Wdc</t>
  </si>
  <si>
    <t>2022 Projects</t>
  </si>
  <si>
    <t>2023 Projects</t>
  </si>
  <si>
    <t>2024 Projects</t>
  </si>
  <si>
    <t>EPC $/Wdc</t>
  </si>
  <si>
    <t>Solar Plant</t>
  </si>
  <si>
    <t>Inflation</t>
  </si>
  <si>
    <t>Direct Assigned Interconnection</t>
  </si>
  <si>
    <t>Contingency</t>
  </si>
  <si>
    <t>Network Upgrades</t>
  </si>
  <si>
    <t>AFDUC</t>
  </si>
  <si>
    <t>AFUDC (Total)</t>
  </si>
  <si>
    <t>ITC%</t>
  </si>
  <si>
    <t>Total Plant and Network Upgrades</t>
  </si>
  <si>
    <t xml:space="preserve"> Jan 2022 COD</t>
  </si>
  <si>
    <t>Jan 2023 COD</t>
  </si>
  <si>
    <t>Jan 2024 COD</t>
  </si>
  <si>
    <t>Not used</t>
  </si>
  <si>
    <t>Estimate Summary</t>
  </si>
  <si>
    <t>Panels and EPC</t>
  </si>
  <si>
    <t>PV Panels</t>
  </si>
  <si>
    <t>EPC Contract</t>
  </si>
  <si>
    <t>GSU (230KV)</t>
  </si>
  <si>
    <t>Control System (SCADA/IT/Telecom/Yoh)</t>
  </si>
  <si>
    <t xml:space="preserve">Development, Real Estate, &amp; Misc. </t>
  </si>
  <si>
    <t>Interconnection (Direct Assigned - Not ITC eligibile)</t>
  </si>
  <si>
    <t>Solar Capex Excl AFUDC and Interconnection</t>
  </si>
  <si>
    <t>Construction Oversight</t>
  </si>
  <si>
    <t>Pre-AFUDC Solar Capital</t>
  </si>
  <si>
    <t>AFUDC</t>
  </si>
  <si>
    <t>From AFUDC Calculation Spreasheet</t>
  </si>
  <si>
    <t>Sub Total Project Cost</t>
  </si>
  <si>
    <t>AFUDC Trigger ($MMs) Based on Construction Commencement Year</t>
  </si>
  <si>
    <t>Total Project Cost</t>
  </si>
  <si>
    <t>Metrics Total Project Costs</t>
  </si>
  <si>
    <t>$/Wdc</t>
  </si>
  <si>
    <t>$/Wac</t>
  </si>
  <si>
    <t>$/KWdc</t>
  </si>
  <si>
    <t>$/KWac</t>
  </si>
  <si>
    <t>Metrics Total Project Costs Before Network Upgrades</t>
  </si>
  <si>
    <t>Fixed Distribution per IRS Agreement, per Andrew Wynn email 11/30/16
Solar</t>
  </si>
  <si>
    <t>MACRS GDS Classification</t>
  </si>
  <si>
    <t>Asset Class</t>
  </si>
  <si>
    <t>Cost Seg %</t>
  </si>
  <si>
    <t>ITC Amount</t>
  </si>
  <si>
    <t>Solar Capital</t>
  </si>
  <si>
    <t>% of Capital</t>
  </si>
  <si>
    <t>5-year property</t>
  </si>
  <si>
    <t>§168(e)(3)(B)(vi)(l) - Solar Property</t>
  </si>
  <si>
    <t>7-year property</t>
  </si>
  <si>
    <t>§168(e)(3)(C)(v) - Personal Property With No Class Life</t>
  </si>
  <si>
    <t>15-year property</t>
  </si>
  <si>
    <t>00.3 - Land Improvements (ITC Eligible)</t>
  </si>
  <si>
    <t>00.3 - Land Improvements (ITC Ineligible)</t>
  </si>
  <si>
    <t>20-year property</t>
  </si>
  <si>
    <t>49.14 - Electric Utility T&amp;D Plant</t>
  </si>
  <si>
    <t>39-year property</t>
  </si>
  <si>
    <t>§168(c) - Nonresidential Real Property</t>
  </si>
  <si>
    <t>Total</t>
  </si>
  <si>
    <t>Interconnects at</t>
  </si>
  <si>
    <t>&lt;69kv</t>
  </si>
  <si>
    <t>&gt;=69kv</t>
  </si>
  <si>
    <t>5-yr MACRS</t>
  </si>
  <si>
    <t>MACRS Life</t>
  </si>
  <si>
    <t>7-yr MACRS</t>
  </si>
  <si>
    <t>10-yr S/L</t>
  </si>
  <si>
    <t>15-yr MACRS</t>
  </si>
  <si>
    <t>20-yr MACRS</t>
  </si>
  <si>
    <t>39-yr MACRS</t>
  </si>
  <si>
    <t>Deducted Tax Year 1</t>
  </si>
  <si>
    <t>Deducted Tax Year 2</t>
  </si>
  <si>
    <t>Placeholder 1</t>
  </si>
  <si>
    <t>Placeholder 2</t>
  </si>
  <si>
    <t>Non Depreciable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</si>
</sst>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_);\(&quot;$&quot;#,##0.000\)"/>
    <numFmt numFmtId="166" formatCode="0_);\(0\)"/>
    <numFmt numFmtId="167" formatCode="&quot;$&quot;#,##0.00"/>
    <numFmt numFmtId="168" formatCode="0.0"/>
    <numFmt numFmtId="169" formatCode="0.0000%"/>
    <numFmt numFmtId="170" formatCode="&quot;$&quot;#,##0.0000_);\(&quot;$&quot;#,##0.0000\)"/>
    <numFmt numFmtId="171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FF"/>
      <name val="Calibri"/>
      <family val="2"/>
      <scheme val="minor"/>
    </font>
    <font>
      <i/>
      <sz val="11"/>
      <name val="Arial"/>
      <family val="2"/>
    </font>
    <font>
      <i/>
      <u/>
      <sz val="11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Arial"/>
      <family val="2"/>
    </font>
    <font>
      <u/>
      <sz val="11"/>
      <color theme="1"/>
      <name val="Calibri"/>
      <family val="2"/>
      <scheme val="minor"/>
    </font>
    <font>
      <b/>
      <i/>
      <sz val="11"/>
      <name val="Arial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2"/>
      <name val="Arial"/>
      <family val="2"/>
    </font>
    <font>
      <b/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0033"/>
        <bgColor indexed="64"/>
      </patternFill>
    </fill>
    <fill>
      <patternFill patternType="solid">
        <fgColor rgb="FFEEECE1"/>
        <bgColor rgb="FF00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164" fontId="3" fillId="0" borderId="0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6" fillId="0" borderId="0" xfId="0" applyFont="1"/>
    <xf numFmtId="5" fontId="5" fillId="0" borderId="0" xfId="1" applyNumberFormat="1" applyFont="1" applyFill="1" applyBorder="1" applyAlignment="1">
      <alignment horizontal="right"/>
    </xf>
    <xf numFmtId="5" fontId="4" fillId="0" borderId="0" xfId="1" applyNumberFormat="1" applyFont="1" applyFill="1" applyBorder="1" applyAlignment="1">
      <alignment horizontal="right"/>
    </xf>
    <xf numFmtId="5" fontId="4" fillId="0" borderId="0" xfId="0" applyNumberFormat="1" applyFont="1" applyBorder="1" applyAlignment="1">
      <alignment horizontal="right"/>
    </xf>
    <xf numFmtId="10" fontId="6" fillId="0" borderId="0" xfId="2" applyNumberFormat="1" applyFont="1"/>
    <xf numFmtId="7" fontId="4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/>
    <xf numFmtId="0" fontId="0" fillId="0" borderId="0" xfId="0" quotePrefix="1"/>
    <xf numFmtId="7" fontId="5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7" fontId="0" fillId="0" borderId="0" xfId="0" applyNumberFormat="1"/>
    <xf numFmtId="5" fontId="5" fillId="0" borderId="2" xfId="1" applyNumberFormat="1" applyFont="1" applyFill="1" applyBorder="1" applyAlignment="1">
      <alignment horizontal="right"/>
    </xf>
    <xf numFmtId="168" fontId="6" fillId="0" borderId="0" xfId="0" applyNumberFormat="1" applyFont="1"/>
    <xf numFmtId="0" fontId="9" fillId="0" borderId="0" xfId="0" applyFont="1" applyAlignment="1">
      <alignment horizontal="right"/>
    </xf>
    <xf numFmtId="7" fontId="0" fillId="0" borderId="0" xfId="0" applyNumberFormat="1"/>
    <xf numFmtId="10" fontId="6" fillId="0" borderId="0" xfId="2" applyNumberFormat="1" applyFont="1" applyAlignment="1">
      <alignment horizontal="right"/>
    </xf>
    <xf numFmtId="0" fontId="7" fillId="0" borderId="0" xfId="0" applyFont="1" applyFill="1" applyBorder="1" applyAlignment="1">
      <alignment horizontal="left" indent="1"/>
    </xf>
    <xf numFmtId="17" fontId="9" fillId="0" borderId="0" xfId="0" quotePrefix="1" applyNumberFormat="1" applyFont="1" applyAlignment="1">
      <alignment horizontal="right"/>
    </xf>
    <xf numFmtId="0" fontId="9" fillId="0" borderId="0" xfId="0" applyFont="1"/>
    <xf numFmtId="10" fontId="5" fillId="0" borderId="0" xfId="2" applyNumberFormat="1" applyFont="1" applyFill="1" applyBorder="1" applyAlignment="1">
      <alignment horizontal="right"/>
    </xf>
    <xf numFmtId="5" fontId="0" fillId="0" borderId="0" xfId="0" applyNumberFormat="1"/>
    <xf numFmtId="169" fontId="6" fillId="0" borderId="0" xfId="2" applyNumberFormat="1" applyFont="1"/>
    <xf numFmtId="0" fontId="3" fillId="2" borderId="3" xfId="0" applyFont="1" applyFill="1" applyBorder="1" applyAlignment="1">
      <alignment horizontal="left" vertical="center" indent="1"/>
    </xf>
    <xf numFmtId="166" fontId="3" fillId="2" borderId="4" xfId="1" applyNumberFormat="1" applyFont="1" applyFill="1" applyBorder="1" applyAlignment="1">
      <alignment horizontal="right" vertical="center"/>
    </xf>
    <xf numFmtId="166" fontId="3" fillId="2" borderId="5" xfId="1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indent="1"/>
    </xf>
    <xf numFmtId="0" fontId="5" fillId="0" borderId="6" xfId="0" applyFont="1" applyFill="1" applyBorder="1" applyAlignment="1">
      <alignment horizontal="left" indent="2"/>
    </xf>
    <xf numFmtId="0" fontId="12" fillId="0" borderId="6" xfId="0" applyFont="1" applyFill="1" applyBorder="1" applyAlignment="1">
      <alignment horizontal="left"/>
    </xf>
    <xf numFmtId="5" fontId="5" fillId="0" borderId="7" xfId="1" applyNumberFormat="1" applyFont="1" applyFill="1" applyBorder="1" applyAlignment="1">
      <alignment horizontal="right"/>
    </xf>
    <xf numFmtId="0" fontId="4" fillId="0" borderId="6" xfId="0" applyFont="1" applyFill="1" applyBorder="1"/>
    <xf numFmtId="5" fontId="4" fillId="0" borderId="2" xfId="1" applyNumberFormat="1" applyFont="1" applyFill="1" applyBorder="1" applyAlignment="1">
      <alignment horizontal="right"/>
    </xf>
    <xf numFmtId="5" fontId="10" fillId="0" borderId="7" xfId="1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 indent="1"/>
    </xf>
    <xf numFmtId="0" fontId="8" fillId="0" borderId="6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 indent="1"/>
    </xf>
    <xf numFmtId="7" fontId="4" fillId="0" borderId="2" xfId="0" applyNumberFormat="1" applyFont="1" applyBorder="1" applyAlignment="1">
      <alignment horizontal="right"/>
    </xf>
    <xf numFmtId="5" fontId="4" fillId="0" borderId="2" xfId="0" applyNumberFormat="1" applyFont="1" applyBorder="1" applyAlignment="1">
      <alignment horizontal="right"/>
    </xf>
    <xf numFmtId="0" fontId="0" fillId="0" borderId="0" xfId="0" applyBorder="1"/>
    <xf numFmtId="0" fontId="0" fillId="0" borderId="2" xfId="0" applyBorder="1"/>
    <xf numFmtId="0" fontId="7" fillId="0" borderId="8" xfId="0" applyFont="1" applyFill="1" applyBorder="1" applyAlignment="1">
      <alignment horizontal="left" indent="1"/>
    </xf>
    <xf numFmtId="5" fontId="4" fillId="0" borderId="7" xfId="0" applyNumberFormat="1" applyFont="1" applyBorder="1" applyAlignment="1">
      <alignment horizontal="right"/>
    </xf>
    <xf numFmtId="0" fontId="6" fillId="0" borderId="0" xfId="3" applyNumberFormat="1" applyFont="1"/>
    <xf numFmtId="0" fontId="6" fillId="0" borderId="0" xfId="3" applyNumberFormat="1" applyFont="1" applyAlignment="1">
      <alignment horizontal="right"/>
    </xf>
    <xf numFmtId="0" fontId="13" fillId="0" borderId="0" xfId="0" applyFont="1" applyAlignment="1">
      <alignment horizontal="center"/>
    </xf>
    <xf numFmtId="10" fontId="14" fillId="0" borderId="0" xfId="2" applyNumberFormat="1" applyFont="1" applyFill="1" applyBorder="1" applyAlignment="1">
      <alignment horizontal="left"/>
    </xf>
    <xf numFmtId="166" fontId="11" fillId="0" borderId="0" xfId="0" applyNumberFormat="1" applyFont="1" applyAlignment="1">
      <alignment horizontal="center"/>
    </xf>
    <xf numFmtId="170" fontId="0" fillId="0" borderId="0" xfId="0" applyNumberFormat="1"/>
    <xf numFmtId="0" fontId="15" fillId="3" borderId="9" xfId="0" applyFont="1" applyFill="1" applyBorder="1" applyAlignment="1">
      <alignment horizontal="centerContinuous" vertical="center" wrapText="1"/>
    </xf>
    <xf numFmtId="0" fontId="16" fillId="3" borderId="10" xfId="0" applyFont="1" applyFill="1" applyBorder="1" applyAlignment="1">
      <alignment horizontal="centerContinuous" vertical="center" wrapText="1"/>
    </xf>
    <xf numFmtId="0" fontId="16" fillId="3" borderId="11" xfId="0" applyFont="1" applyFill="1" applyBorder="1" applyAlignment="1">
      <alignment horizontal="centerContinuous" vertical="center" wrapText="1"/>
    </xf>
    <xf numFmtId="0" fontId="15" fillId="3" borderId="12" xfId="0" applyFont="1" applyFill="1" applyBorder="1" applyAlignment="1">
      <alignment horizontal="centerContinuous" vertical="center" wrapText="1"/>
    </xf>
    <xf numFmtId="0" fontId="17" fillId="3" borderId="13" xfId="0" applyFont="1" applyFill="1" applyBorder="1" applyAlignment="1">
      <alignment horizontal="centerContinuous" vertical="center" wrapText="1"/>
    </xf>
    <xf numFmtId="0" fontId="17" fillId="3" borderId="14" xfId="0" applyFont="1" applyFill="1" applyBorder="1" applyAlignment="1">
      <alignment horizontal="centerContinuous" vertical="center" wrapText="1"/>
    </xf>
    <xf numFmtId="0" fontId="15" fillId="3" borderId="15" xfId="0" applyFont="1" applyFill="1" applyBorder="1" applyAlignment="1">
      <alignment horizontal="centerContinuous" vertical="center" wrapText="1"/>
    </xf>
    <xf numFmtId="0" fontId="18" fillId="0" borderId="16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 wrapText="1"/>
    </xf>
    <xf numFmtId="171" fontId="18" fillId="0" borderId="18" xfId="0" applyNumberFormat="1" applyFont="1" applyFill="1" applyBorder="1" applyAlignment="1">
      <alignment horizontal="right" vertical="center"/>
    </xf>
    <xf numFmtId="171" fontId="21" fillId="0" borderId="2" xfId="0" applyNumberFormat="1" applyFont="1" applyFill="1" applyBorder="1" applyAlignment="1">
      <alignment vertical="top"/>
    </xf>
    <xf numFmtId="0" fontId="21" fillId="0" borderId="2" xfId="0" applyFont="1" applyFill="1" applyBorder="1" applyAlignment="1">
      <alignment vertical="top"/>
    </xf>
    <xf numFmtId="171" fontId="18" fillId="0" borderId="19" xfId="0" applyNumberFormat="1" applyFont="1" applyFill="1" applyBorder="1" applyAlignment="1">
      <alignment horizontal="right" vertical="center"/>
    </xf>
    <xf numFmtId="0" fontId="21" fillId="0" borderId="6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/>
    </xf>
    <xf numFmtId="171" fontId="21" fillId="0" borderId="4" xfId="0" applyNumberFormat="1" applyFont="1" applyFill="1" applyBorder="1" applyAlignment="1">
      <alignment vertical="top"/>
    </xf>
    <xf numFmtId="171" fontId="21" fillId="0" borderId="5" xfId="0" applyNumberFormat="1" applyFont="1" applyFill="1" applyBorder="1" applyAlignment="1">
      <alignment vertical="top"/>
    </xf>
    <xf numFmtId="0" fontId="21" fillId="0" borderId="20" xfId="0" quotePrefix="1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top" indent="2"/>
    </xf>
    <xf numFmtId="171" fontId="21" fillId="0" borderId="0" xfId="0" applyNumberFormat="1" applyFont="1" applyFill="1" applyBorder="1" applyAlignment="1">
      <alignment vertical="top"/>
    </xf>
    <xf numFmtId="0" fontId="21" fillId="0" borderId="6" xfId="0" applyFont="1" applyFill="1" applyBorder="1" applyAlignment="1">
      <alignment horizontal="left" vertical="top" indent="4"/>
    </xf>
    <xf numFmtId="0" fontId="21" fillId="0" borderId="8" xfId="0" applyFont="1" applyFill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21" fillId="0" borderId="7" xfId="0" applyFont="1" applyFill="1" applyBorder="1" applyAlignment="1">
      <alignment vertical="top"/>
    </xf>
    <xf numFmtId="10" fontId="0" fillId="0" borderId="0" xfId="2" applyNumberFormat="1" applyFont="1"/>
    <xf numFmtId="0" fontId="17" fillId="3" borderId="0" xfId="0" applyFont="1" applyFill="1" applyBorder="1" applyAlignment="1">
      <alignment horizontal="centerContinuous" vertical="center" wrapText="1"/>
    </xf>
    <xf numFmtId="10" fontId="9" fillId="0" borderId="0" xfId="0" applyNumberFormat="1" applyFont="1"/>
    <xf numFmtId="165" fontId="2" fillId="0" borderId="0" xfId="1" applyNumberFormat="1" applyFont="1"/>
    <xf numFmtId="0" fontId="0" fillId="0" borderId="0" xfId="0" applyFont="1"/>
    <xf numFmtId="165" fontId="1" fillId="0" borderId="0" xfId="1" applyNumberFormat="1" applyFont="1"/>
    <xf numFmtId="5" fontId="2" fillId="0" borderId="0" xfId="0" applyNumberFormat="1" applyFont="1" applyAlignment="1">
      <alignment horizontal="center"/>
    </xf>
    <xf numFmtId="165" fontId="1" fillId="0" borderId="1" xfId="1" applyNumberFormat="1" applyFont="1" applyBorder="1"/>
    <xf numFmtId="5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5" fontId="5" fillId="4" borderId="0" xfId="1" applyNumberFormat="1" applyFont="1" applyFill="1" applyBorder="1" applyAlignment="1">
      <alignment horizontal="right"/>
    </xf>
    <xf numFmtId="5" fontId="10" fillId="4" borderId="0" xfId="1" applyNumberFormat="1" applyFont="1" applyFill="1" applyBorder="1" applyAlignment="1">
      <alignment horizontal="right"/>
    </xf>
    <xf numFmtId="0" fontId="0" fillId="4" borderId="0" xfId="0" applyFill="1"/>
    <xf numFmtId="165" fontId="6" fillId="4" borderId="0" xfId="1" applyNumberFormat="1" applyFont="1" applyFill="1"/>
    <xf numFmtId="0" fontId="0" fillId="0" borderId="0" xfId="0" applyFill="1"/>
    <xf numFmtId="0" fontId="0" fillId="4" borderId="0" xfId="0" quotePrefix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5" fontId="5" fillId="4" borderId="1" xfId="1" applyNumberFormat="1" applyFont="1" applyFill="1" applyBorder="1" applyAlignment="1">
      <alignment horizontal="right"/>
    </xf>
    <xf numFmtId="5" fontId="4" fillId="4" borderId="0" xfId="1" applyNumberFormat="1" applyFont="1" applyFill="1" applyBorder="1" applyAlignment="1">
      <alignment horizontal="right"/>
    </xf>
    <xf numFmtId="5" fontId="10" fillId="4" borderId="1" xfId="1" applyNumberFormat="1" applyFont="1" applyFill="1" applyBorder="1" applyAlignment="1">
      <alignment horizontal="right"/>
    </xf>
    <xf numFmtId="7" fontId="4" fillId="4" borderId="0" xfId="0" applyNumberFormat="1" applyFont="1" applyFill="1" applyBorder="1" applyAlignment="1">
      <alignment horizontal="right"/>
    </xf>
    <xf numFmtId="5" fontId="0" fillId="4" borderId="0" xfId="0" applyNumberFormat="1" applyFill="1" applyAlignment="1">
      <alignment horizontal="center"/>
    </xf>
    <xf numFmtId="5" fontId="0" fillId="4" borderId="0" xfId="0" applyNumberFormat="1" applyFill="1"/>
    <xf numFmtId="5" fontId="4" fillId="4" borderId="0" xfId="0" applyNumberFormat="1" applyFont="1" applyFill="1" applyBorder="1" applyAlignment="1">
      <alignment horizontal="right"/>
    </xf>
    <xf numFmtId="5" fontId="4" fillId="4" borderId="1" xfId="0" applyNumberFormat="1" applyFont="1" applyFill="1" applyBorder="1" applyAlignment="1">
      <alignment horizontal="right"/>
    </xf>
    <xf numFmtId="7" fontId="0" fillId="4" borderId="0" xfId="0" applyNumberFormat="1" applyFill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407E4-573B-4BE1-BAF4-363857A72F37}">
  <sheetPr>
    <tabColor rgb="FFFFFF00"/>
  </sheetPr>
  <dimension ref="A1:M64"/>
  <sheetViews>
    <sheetView tabSelected="1" workbookViewId="0"/>
  </sheetViews>
  <sheetFormatPr defaultRowHeight="14.5" x14ac:dyDescent="0.35"/>
  <cols>
    <col min="2" max="2" width="53" bestFit="1" customWidth="1"/>
    <col min="3" max="7" width="14.453125" bestFit="1" customWidth="1"/>
    <col min="8" max="8" width="10.54296875" bestFit="1" customWidth="1"/>
    <col min="9" max="9" width="13.7265625" customWidth="1"/>
    <col min="10" max="10" width="29.7265625" customWidth="1"/>
    <col min="11" max="11" width="15" customWidth="1"/>
    <col min="12" max="12" width="15.26953125" customWidth="1"/>
    <col min="13" max="13" width="14.54296875" customWidth="1"/>
  </cols>
  <sheetData>
    <row r="1" spans="1:13" x14ac:dyDescent="0.35">
      <c r="A1" s="10" t="s">
        <v>0</v>
      </c>
    </row>
    <row r="2" spans="1:13" x14ac:dyDescent="0.35">
      <c r="A2" s="22" t="s">
        <v>1</v>
      </c>
    </row>
    <row r="3" spans="1:13" x14ac:dyDescent="0.35">
      <c r="B3" s="11" t="s">
        <v>2</v>
      </c>
    </row>
    <row r="4" spans="1:13" x14ac:dyDescent="0.35">
      <c r="B4" s="94" t="s">
        <v>3</v>
      </c>
      <c r="C4" s="91"/>
      <c r="D4" s="91"/>
    </row>
    <row r="5" spans="1:13" x14ac:dyDescent="0.35">
      <c r="B5" s="11" t="s">
        <v>4</v>
      </c>
    </row>
    <row r="6" spans="1:13" x14ac:dyDescent="0.35">
      <c r="B6" s="11" t="s">
        <v>5</v>
      </c>
    </row>
    <row r="7" spans="1:13" x14ac:dyDescent="0.35">
      <c r="B7" s="11" t="s">
        <v>6</v>
      </c>
    </row>
    <row r="8" spans="1:13" x14ac:dyDescent="0.35">
      <c r="B8" s="11" t="s">
        <v>7</v>
      </c>
    </row>
    <row r="9" spans="1:13" x14ac:dyDescent="0.35">
      <c r="B9" s="11" t="s">
        <v>8</v>
      </c>
    </row>
    <row r="11" spans="1:13" x14ac:dyDescent="0.35">
      <c r="B11" t="s">
        <v>9</v>
      </c>
    </row>
    <row r="12" spans="1:13" x14ac:dyDescent="0.35">
      <c r="B12" t="s">
        <v>10</v>
      </c>
      <c r="C12" s="9" t="s">
        <v>11</v>
      </c>
      <c r="D12" s="9" t="s">
        <v>11</v>
      </c>
      <c r="E12" s="9" t="s">
        <v>11</v>
      </c>
      <c r="F12" s="9" t="s">
        <v>11</v>
      </c>
      <c r="G12" s="9" t="s">
        <v>11</v>
      </c>
    </row>
    <row r="13" spans="1:13" x14ac:dyDescent="0.35">
      <c r="B13" t="s">
        <v>12</v>
      </c>
      <c r="C13" s="3">
        <v>74.900000000000006</v>
      </c>
      <c r="D13" s="3">
        <v>74.900000000000006</v>
      </c>
      <c r="E13" s="3">
        <v>74.900000000000006</v>
      </c>
      <c r="F13" s="3">
        <v>74.900000000000006</v>
      </c>
      <c r="G13" s="3">
        <v>74.900000000000006</v>
      </c>
    </row>
    <row r="14" spans="1:13" x14ac:dyDescent="0.35">
      <c r="B14" t="s">
        <v>13</v>
      </c>
      <c r="C14" s="16">
        <v>97</v>
      </c>
      <c r="D14" s="16">
        <v>97</v>
      </c>
      <c r="E14" s="16">
        <v>97</v>
      </c>
      <c r="F14" s="16">
        <v>97</v>
      </c>
      <c r="G14" s="16">
        <v>97</v>
      </c>
      <c r="J14" s="95" t="s">
        <v>14</v>
      </c>
      <c r="K14" s="95"/>
      <c r="L14" s="95"/>
      <c r="M14" s="95"/>
    </row>
    <row r="15" spans="1:13" x14ac:dyDescent="0.35">
      <c r="B15" t="s">
        <v>15</v>
      </c>
      <c r="C15" s="2">
        <f>+C14/C13</f>
        <v>1.2950600801068091</v>
      </c>
      <c r="D15" s="2">
        <f>+D14/D13</f>
        <v>1.2950600801068091</v>
      </c>
      <c r="E15" s="2">
        <f>+E14/E13</f>
        <v>1.2950600801068091</v>
      </c>
      <c r="F15" s="2">
        <f>+F14/F13</f>
        <v>1.2950600801068091</v>
      </c>
      <c r="G15" s="2">
        <f>+G14/G13</f>
        <v>1.2950600801068091</v>
      </c>
    </row>
    <row r="16" spans="1:13" x14ac:dyDescent="0.35">
      <c r="B16" s="93" t="s">
        <v>16</v>
      </c>
      <c r="C16" s="92">
        <v>0.42499999999999999</v>
      </c>
      <c r="D16" s="92">
        <v>0.35</v>
      </c>
      <c r="E16" s="92">
        <v>0.33</v>
      </c>
      <c r="F16" s="92">
        <v>0.31</v>
      </c>
      <c r="G16" s="92">
        <v>0.28999999999999998</v>
      </c>
      <c r="K16" s="49" t="s">
        <v>17</v>
      </c>
      <c r="L16" s="49" t="s">
        <v>18</v>
      </c>
      <c r="M16" s="49" t="s">
        <v>19</v>
      </c>
    </row>
    <row r="17" spans="2:13" x14ac:dyDescent="0.35">
      <c r="B17" s="93" t="s">
        <v>20</v>
      </c>
      <c r="C17" s="92">
        <v>0.47</v>
      </c>
      <c r="D17" s="92">
        <v>0.52</v>
      </c>
      <c r="E17" s="92">
        <v>0.5</v>
      </c>
      <c r="F17" s="92">
        <v>0.48</v>
      </c>
      <c r="G17" s="92">
        <v>0.46</v>
      </c>
      <c r="J17" s="82" t="s">
        <v>21</v>
      </c>
      <c r="K17" s="101">
        <f>D35-D32</f>
        <v>96068531.52803576</v>
      </c>
      <c r="L17" s="101">
        <f>E35-E32</f>
        <v>92199390.158596471</v>
      </c>
      <c r="M17" s="101">
        <f>F35-F32</f>
        <v>88333569.961768404</v>
      </c>
    </row>
    <row r="18" spans="2:13" x14ac:dyDescent="0.35">
      <c r="B18" t="s">
        <v>22</v>
      </c>
      <c r="C18" s="7">
        <v>0.02</v>
      </c>
      <c r="D18" s="7">
        <v>0.02</v>
      </c>
      <c r="E18" s="7">
        <v>0.02</v>
      </c>
      <c r="F18" s="7">
        <v>0.02</v>
      </c>
      <c r="G18" s="7">
        <v>0.02</v>
      </c>
      <c r="J18" s="82" t="s">
        <v>23</v>
      </c>
      <c r="K18" s="101">
        <f>D32</f>
        <v>3060000</v>
      </c>
      <c r="L18" s="101">
        <f>E32</f>
        <v>3121200</v>
      </c>
      <c r="M18" s="101">
        <f>F32</f>
        <v>3183624</v>
      </c>
    </row>
    <row r="19" spans="2:13" x14ac:dyDescent="0.35">
      <c r="B19" t="s">
        <v>24</v>
      </c>
      <c r="C19" s="7">
        <v>0.03</v>
      </c>
      <c r="D19" s="7">
        <v>0.04</v>
      </c>
      <c r="E19" s="7">
        <v>0.04</v>
      </c>
      <c r="F19" s="7">
        <v>0.04</v>
      </c>
      <c r="G19" s="7">
        <v>0.04</v>
      </c>
      <c r="J19" s="83" t="s">
        <v>25</v>
      </c>
      <c r="K19" s="101">
        <f>D38</f>
        <v>10200000</v>
      </c>
      <c r="L19" s="101">
        <f>E38</f>
        <v>10404000</v>
      </c>
      <c r="M19" s="101">
        <f>F38</f>
        <v>10612080</v>
      </c>
    </row>
    <row r="20" spans="2:13" x14ac:dyDescent="0.35">
      <c r="B20" t="s">
        <v>26</v>
      </c>
      <c r="C20" s="7">
        <v>2.24E-2</v>
      </c>
      <c r="D20" s="7">
        <v>2.24E-2</v>
      </c>
      <c r="E20" s="7">
        <v>2.24E-2</v>
      </c>
      <c r="F20" s="7">
        <v>2.24E-2</v>
      </c>
      <c r="G20" s="7">
        <v>2.24E-2</v>
      </c>
      <c r="J20" s="85" t="s">
        <v>27</v>
      </c>
      <c r="K20" s="86">
        <f>D36+D39</f>
        <v>3980963.4976419946</v>
      </c>
      <c r="L20" s="86">
        <f>E36+E39</f>
        <v>0</v>
      </c>
      <c r="M20" s="86">
        <f>F36+F39</f>
        <v>0</v>
      </c>
    </row>
    <row r="21" spans="2:13" x14ac:dyDescent="0.35">
      <c r="B21" t="s">
        <v>28</v>
      </c>
      <c r="C21" s="7">
        <v>0.3</v>
      </c>
      <c r="D21" s="7">
        <v>0.22</v>
      </c>
      <c r="E21" s="19">
        <v>0.22</v>
      </c>
      <c r="F21" s="7">
        <v>0.1</v>
      </c>
      <c r="G21" s="7">
        <v>0.1</v>
      </c>
      <c r="J21" s="81" t="s">
        <v>29</v>
      </c>
      <c r="K21" s="84">
        <f>SUM(K17:K20)</f>
        <v>113309495.02567776</v>
      </c>
      <c r="L21" s="84">
        <f t="shared" ref="L21:M21" si="0">SUM(L17:L20)</f>
        <v>105724590.15859647</v>
      </c>
      <c r="M21" s="84">
        <f t="shared" si="0"/>
        <v>102129273.9617684</v>
      </c>
    </row>
    <row r="22" spans="2:13" x14ac:dyDescent="0.35">
      <c r="C22" s="7"/>
      <c r="D22" s="47">
        <v>2020</v>
      </c>
      <c r="E22" s="48">
        <v>2021</v>
      </c>
      <c r="F22" s="47">
        <v>2022</v>
      </c>
      <c r="G22" s="7"/>
    </row>
    <row r="23" spans="2:13" x14ac:dyDescent="0.35">
      <c r="D23" s="17" t="s">
        <v>30</v>
      </c>
      <c r="E23" s="21" t="s">
        <v>31</v>
      </c>
      <c r="F23" s="21" t="s">
        <v>32</v>
      </c>
      <c r="G23" s="17" t="s">
        <v>33</v>
      </c>
    </row>
    <row r="24" spans="2:13" ht="15.5" x14ac:dyDescent="0.35">
      <c r="B24" s="26" t="s">
        <v>34</v>
      </c>
      <c r="C24" s="27">
        <v>2020</v>
      </c>
      <c r="D24" s="27">
        <f>+C24+1</f>
        <v>2021</v>
      </c>
      <c r="E24" s="27">
        <f>+D24+1</f>
        <v>2022</v>
      </c>
      <c r="F24" s="27">
        <f>+E24+1</f>
        <v>2023</v>
      </c>
      <c r="G24" s="28">
        <f>+F24+1</f>
        <v>2024</v>
      </c>
    </row>
    <row r="25" spans="2:13" ht="15.5" x14ac:dyDescent="0.35">
      <c r="B25" s="29"/>
      <c r="C25" s="1"/>
      <c r="D25" s="1"/>
      <c r="E25" s="1"/>
      <c r="F25" s="1"/>
      <c r="G25" s="30"/>
    </row>
    <row r="26" spans="2:13" ht="15.5" x14ac:dyDescent="0.35">
      <c r="B26" s="31" t="s">
        <v>35</v>
      </c>
      <c r="C26" s="1"/>
      <c r="D26" s="1"/>
      <c r="E26" s="1"/>
      <c r="F26" s="1"/>
      <c r="G26" s="30"/>
    </row>
    <row r="27" spans="2:13" x14ac:dyDescent="0.35">
      <c r="B27" s="32" t="s">
        <v>36</v>
      </c>
      <c r="C27" s="89">
        <f t="shared" ref="C27:F28" si="1">+C16*C$14*1000000</f>
        <v>41225000</v>
      </c>
      <c r="D27" s="89">
        <f t="shared" si="1"/>
        <v>33949999.999999993</v>
      </c>
      <c r="E27" s="89">
        <f t="shared" si="1"/>
        <v>32009999.999999996</v>
      </c>
      <c r="F27" s="89">
        <f t="shared" si="1"/>
        <v>30070000</v>
      </c>
      <c r="G27" s="15"/>
      <c r="I27" s="52"/>
      <c r="J27" s="52"/>
      <c r="K27" s="52"/>
    </row>
    <row r="28" spans="2:13" x14ac:dyDescent="0.35">
      <c r="B28" s="32" t="s">
        <v>37</v>
      </c>
      <c r="C28" s="89">
        <f t="shared" si="1"/>
        <v>45590000</v>
      </c>
      <c r="D28" s="89">
        <f t="shared" si="1"/>
        <v>50440000.000000007</v>
      </c>
      <c r="E28" s="89">
        <f t="shared" si="1"/>
        <v>48500000</v>
      </c>
      <c r="F28" s="89">
        <f t="shared" si="1"/>
        <v>46559999.999999993</v>
      </c>
      <c r="G28" s="15"/>
    </row>
    <row r="29" spans="2:13" x14ac:dyDescent="0.35">
      <c r="B29" s="32" t="s">
        <v>38</v>
      </c>
      <c r="C29" s="90">
        <v>1044677</v>
      </c>
      <c r="D29" s="89">
        <f>+C29*(1+D$18)</f>
        <v>1065570.54</v>
      </c>
      <c r="E29" s="89">
        <f>+D29*(1+E$18)</f>
        <v>1086881.9508</v>
      </c>
      <c r="F29" s="89">
        <f>+E29*(1+F$18)</f>
        <v>1108619.5898160001</v>
      </c>
      <c r="G29" s="15"/>
    </row>
    <row r="30" spans="2:13" x14ac:dyDescent="0.35">
      <c r="B30" s="32" t="s">
        <v>39</v>
      </c>
      <c r="C30" s="90">
        <v>600440</v>
      </c>
      <c r="D30" s="89">
        <f>+C30*(1+D$18)</f>
        <v>612448.80000000005</v>
      </c>
      <c r="E30" s="89">
        <f>+D30*(1+E$18)</f>
        <v>624697.77600000007</v>
      </c>
      <c r="F30" s="89">
        <f t="shared" ref="F30" si="2">+E30*(1+F$18)</f>
        <v>637191.73152000003</v>
      </c>
      <c r="G30" s="15"/>
    </row>
    <row r="31" spans="2:13" x14ac:dyDescent="0.35">
      <c r="B31" s="32" t="s">
        <v>40</v>
      </c>
      <c r="C31" s="90">
        <v>5000000</v>
      </c>
      <c r="D31" s="89">
        <f>+C31*(1+D$18)</f>
        <v>5100000</v>
      </c>
      <c r="E31" s="89">
        <f>+D31*(1+E$18)</f>
        <v>5202000</v>
      </c>
      <c r="F31" s="89">
        <f t="shared" ref="F31:F32" si="3">+E31*(1+F$18)</f>
        <v>5306040</v>
      </c>
      <c r="G31" s="15"/>
      <c r="H31" s="12"/>
      <c r="I31" s="18"/>
    </row>
    <row r="32" spans="2:13" x14ac:dyDescent="0.35">
      <c r="B32" s="32" t="s">
        <v>41</v>
      </c>
      <c r="C32" s="90">
        <v>3000000</v>
      </c>
      <c r="D32" s="89">
        <f>+C32*(1+D$18)</f>
        <v>3060000</v>
      </c>
      <c r="E32" s="89">
        <f t="shared" ref="E32" si="4">+D32*(1+E$18)</f>
        <v>3121200</v>
      </c>
      <c r="F32" s="89">
        <f t="shared" si="3"/>
        <v>3183624</v>
      </c>
      <c r="G32" s="15"/>
      <c r="I32" s="50" t="s">
        <v>42</v>
      </c>
    </row>
    <row r="33" spans="2:13" x14ac:dyDescent="0.35">
      <c r="B33" s="32" t="s">
        <v>43</v>
      </c>
      <c r="C33" s="90">
        <v>1066545.4510141006</v>
      </c>
      <c r="D33" s="89">
        <f>+C33*(1+D$18)</f>
        <v>1087876.3600343827</v>
      </c>
      <c r="E33" s="89">
        <f>+D33*(1+E$18)</f>
        <v>1109633.8872350703</v>
      </c>
      <c r="F33" s="89">
        <f t="shared" ref="F33" si="5">+E33*(1+F$18)</f>
        <v>1131826.5649797719</v>
      </c>
      <c r="G33" s="15"/>
      <c r="I33" s="51">
        <f>E24</f>
        <v>2022</v>
      </c>
      <c r="J33" s="51">
        <f t="shared" ref="J33:K33" si="6">F24</f>
        <v>2023</v>
      </c>
      <c r="K33" s="51">
        <f t="shared" si="6"/>
        <v>2024</v>
      </c>
    </row>
    <row r="34" spans="2:13" x14ac:dyDescent="0.35">
      <c r="B34" s="32" t="s">
        <v>24</v>
      </c>
      <c r="C34" s="89">
        <f>+SUM(C27:C33)*C19</f>
        <v>2925799.8735304228</v>
      </c>
      <c r="D34" s="89">
        <f>+SUM(D27:D33)*D19</f>
        <v>3812635.8280013753</v>
      </c>
      <c r="E34" s="89">
        <f>+SUM(E27:E33)*E19</f>
        <v>3666176.5445614029</v>
      </c>
      <c r="F34" s="89">
        <f>+SUM(F27:F33)*F19</f>
        <v>3519892.0754526313</v>
      </c>
      <c r="G34" s="15"/>
      <c r="I34" s="102">
        <f t="shared" ref="I34:J34" si="7">D37-D36-D32</f>
        <v>96068531.52803576</v>
      </c>
      <c r="J34" s="102">
        <f t="shared" si="7"/>
        <v>92199390.158596471</v>
      </c>
      <c r="K34" s="102">
        <f>F37-F36-F32</f>
        <v>88333569.961768404</v>
      </c>
    </row>
    <row r="35" spans="2:13" x14ac:dyDescent="0.35">
      <c r="B35" s="33" t="s">
        <v>44</v>
      </c>
      <c r="C35" s="89">
        <f>SUM(C27:C34)</f>
        <v>100452462.32454452</v>
      </c>
      <c r="D35" s="89">
        <f t="shared" ref="D35:F35" si="8">SUM(D27:D34)</f>
        <v>99128531.52803576</v>
      </c>
      <c r="E35" s="89">
        <f t="shared" si="8"/>
        <v>95320590.158596471</v>
      </c>
      <c r="F35" s="89">
        <f t="shared" si="8"/>
        <v>91517193.961768404</v>
      </c>
      <c r="G35" s="15"/>
      <c r="I35" s="24"/>
      <c r="J35" s="24"/>
      <c r="K35" s="24"/>
    </row>
    <row r="36" spans="2:13" x14ac:dyDescent="0.35">
      <c r="B36" s="32" t="s">
        <v>45</v>
      </c>
      <c r="C36" s="97">
        <f>C35*$I$36</f>
        <v>3657760.5147812795</v>
      </c>
      <c r="D36" s="97">
        <f>IF(D35+D38&gt;I40*1000000,D35*$I$36,0)</f>
        <v>3609552.4203283335</v>
      </c>
      <c r="E36" s="97">
        <f t="shared" ref="E36:F36" si="9">IF(E35+E38&gt;J40*1000000,E35*$I$36,0)</f>
        <v>0</v>
      </c>
      <c r="F36" s="97">
        <f t="shared" si="9"/>
        <v>0</v>
      </c>
      <c r="G36" s="34"/>
      <c r="I36" s="25">
        <v>3.6412850717025616E-2</v>
      </c>
      <c r="J36" t="s">
        <v>46</v>
      </c>
    </row>
    <row r="37" spans="2:13" x14ac:dyDescent="0.35">
      <c r="B37" s="35" t="s">
        <v>47</v>
      </c>
      <c r="C37" s="98">
        <f>+SUM(C35:C36)</f>
        <v>104110222.8393258</v>
      </c>
      <c r="D37" s="98">
        <f t="shared" ref="D37:F37" si="10">+SUM(D35:D36)</f>
        <v>102738083.94836409</v>
      </c>
      <c r="E37" s="98">
        <f t="shared" si="10"/>
        <v>95320590.158596471</v>
      </c>
      <c r="F37" s="98">
        <f t="shared" si="10"/>
        <v>91517193.961768404</v>
      </c>
      <c r="G37" s="36"/>
    </row>
    <row r="38" spans="2:13" x14ac:dyDescent="0.35">
      <c r="B38" s="32" t="s">
        <v>25</v>
      </c>
      <c r="C38" s="90">
        <v>10000000</v>
      </c>
      <c r="D38" s="89">
        <f>+C38*(1+D$18)</f>
        <v>10200000</v>
      </c>
      <c r="E38" s="89">
        <f>+D38*(1+E$18)</f>
        <v>10404000</v>
      </c>
      <c r="F38" s="89">
        <f>+E38*(1+F$18)</f>
        <v>10612080</v>
      </c>
      <c r="G38" s="15"/>
      <c r="I38" t="s">
        <v>48</v>
      </c>
    </row>
    <row r="39" spans="2:13" x14ac:dyDescent="0.35">
      <c r="B39" s="32" t="s">
        <v>45</v>
      </c>
      <c r="C39" s="99">
        <f>C38*$I$36</f>
        <v>364128.50717025617</v>
      </c>
      <c r="D39" s="99">
        <f>IF(D36=0,0,D38*$I$36)</f>
        <v>371411.07731366128</v>
      </c>
      <c r="E39" s="99">
        <f t="shared" ref="E39:F39" si="11">IF(E36=0,0,E38*$I$36)</f>
        <v>0</v>
      </c>
      <c r="F39" s="99">
        <f t="shared" si="11"/>
        <v>0</v>
      </c>
      <c r="G39" s="37"/>
      <c r="I39" s="49">
        <v>2020</v>
      </c>
      <c r="J39" s="49">
        <v>2021</v>
      </c>
      <c r="K39" s="49">
        <v>2022</v>
      </c>
      <c r="L39" s="49">
        <v>2023</v>
      </c>
      <c r="M39" s="49">
        <v>2024</v>
      </c>
    </row>
    <row r="40" spans="2:13" x14ac:dyDescent="0.35">
      <c r="B40" s="35" t="s">
        <v>49</v>
      </c>
      <c r="C40" s="5">
        <f>SUM(C37:C39)</f>
        <v>114474351.34649606</v>
      </c>
      <c r="D40" s="5">
        <f t="shared" ref="D40:F40" si="12">SUM(D37:D39)</f>
        <v>113309495.02567776</v>
      </c>
      <c r="E40" s="5">
        <f t="shared" si="12"/>
        <v>105724590.15859647</v>
      </c>
      <c r="F40" s="5">
        <f t="shared" si="12"/>
        <v>102129273.9617684</v>
      </c>
      <c r="G40" s="36"/>
      <c r="I40" s="88">
        <v>103</v>
      </c>
      <c r="J40" s="88">
        <v>111.26</v>
      </c>
      <c r="K40" s="88">
        <v>120.31</v>
      </c>
      <c r="L40" s="88">
        <v>129.69999999999999</v>
      </c>
      <c r="M40" s="88">
        <v>139.41</v>
      </c>
    </row>
    <row r="41" spans="2:13" x14ac:dyDescent="0.35">
      <c r="B41" s="38"/>
      <c r="C41" s="23"/>
      <c r="D41" s="23"/>
      <c r="E41" s="23"/>
      <c r="F41" s="23"/>
      <c r="G41" s="23"/>
    </row>
    <row r="42" spans="2:13" x14ac:dyDescent="0.35">
      <c r="B42" s="39" t="s">
        <v>50</v>
      </c>
      <c r="C42" s="4"/>
      <c r="D42" s="4"/>
      <c r="E42" s="4"/>
      <c r="F42" s="4"/>
      <c r="G42" s="15"/>
    </row>
    <row r="43" spans="2:13" x14ac:dyDescent="0.35">
      <c r="B43" s="40" t="s">
        <v>51</v>
      </c>
      <c r="C43" s="8">
        <f>+C$40/(C$14*1000000)</f>
        <v>1.1801479520257325</v>
      </c>
      <c r="D43" s="8">
        <f>+D$40/(D$14*1000000)</f>
        <v>1.1681391239760592</v>
      </c>
      <c r="E43" s="8">
        <f>+E$40/(E$14*1000000)</f>
        <v>1.089944228439139</v>
      </c>
      <c r="F43" s="8">
        <f>+F$40/(F$14*1000000)</f>
        <v>1.0528791130079216</v>
      </c>
      <c r="G43" s="41"/>
    </row>
    <row r="44" spans="2:13" x14ac:dyDescent="0.35">
      <c r="B44" s="40" t="s">
        <v>52</v>
      </c>
      <c r="C44" s="8">
        <f>+C$40/(C$13*1000000)</f>
        <v>1.528362501288332</v>
      </c>
      <c r="D44" s="8">
        <f>+D$40/(D$13*1000000)</f>
        <v>1.5128103474723331</v>
      </c>
      <c r="E44" s="8">
        <f>+E$40/(E$13*1000000)</f>
        <v>1.4115432597943454</v>
      </c>
      <c r="F44" s="8">
        <f>+F$40/(F$13*1000000)</f>
        <v>1.3635417084348251</v>
      </c>
      <c r="G44" s="41"/>
    </row>
    <row r="45" spans="2:13" x14ac:dyDescent="0.35">
      <c r="B45" s="40"/>
      <c r="C45" s="8"/>
      <c r="D45" s="8"/>
      <c r="E45" s="8"/>
      <c r="F45" s="8"/>
      <c r="G45" s="41"/>
    </row>
    <row r="46" spans="2:13" x14ac:dyDescent="0.35">
      <c r="B46" s="40" t="s">
        <v>53</v>
      </c>
      <c r="C46" s="6">
        <f t="shared" ref="C46:F47" si="13">+C43*1000</f>
        <v>1180.1479520257326</v>
      </c>
      <c r="D46" s="6">
        <f t="shared" si="13"/>
        <v>1168.1391239760592</v>
      </c>
      <c r="E46" s="6">
        <f t="shared" si="13"/>
        <v>1089.9442284391389</v>
      </c>
      <c r="F46" s="6">
        <f t="shared" si="13"/>
        <v>1052.8791130079217</v>
      </c>
      <c r="G46" s="42"/>
    </row>
    <row r="47" spans="2:13" x14ac:dyDescent="0.35">
      <c r="B47" s="40" t="s">
        <v>54</v>
      </c>
      <c r="C47" s="6">
        <f t="shared" si="13"/>
        <v>1528.3625012883319</v>
      </c>
      <c r="D47" s="6">
        <f t="shared" si="13"/>
        <v>1512.8103474723332</v>
      </c>
      <c r="E47" s="6">
        <f t="shared" si="13"/>
        <v>1411.5432597943454</v>
      </c>
      <c r="F47" s="6">
        <f t="shared" si="13"/>
        <v>1363.5417084348251</v>
      </c>
      <c r="G47" s="42"/>
    </row>
    <row r="48" spans="2:13" x14ac:dyDescent="0.35">
      <c r="B48" s="40"/>
      <c r="C48" s="43"/>
      <c r="D48" s="43"/>
      <c r="E48" s="43"/>
      <c r="F48" s="43"/>
      <c r="G48" s="44"/>
    </row>
    <row r="49" spans="2:7" x14ac:dyDescent="0.35">
      <c r="B49" s="39" t="s">
        <v>55</v>
      </c>
      <c r="C49" s="43"/>
      <c r="D49" s="43"/>
      <c r="E49" s="43"/>
      <c r="F49" s="43"/>
      <c r="G49" s="44"/>
    </row>
    <row r="50" spans="2:7" x14ac:dyDescent="0.35">
      <c r="B50" s="40" t="s">
        <v>51</v>
      </c>
      <c r="C50" s="100">
        <f>+C$37/(C$14*1000000)</f>
        <v>1.0733012663848021</v>
      </c>
      <c r="D50" s="100">
        <f>+D$37/(D$14*1000000)</f>
        <v>1.0591555046223102</v>
      </c>
      <c r="E50" s="100">
        <f>+E$37/(E$14*1000000)</f>
        <v>0.98268649648037598</v>
      </c>
      <c r="F50" s="100">
        <f>+F$37/(F$14*1000000)</f>
        <v>0.94347622640998352</v>
      </c>
      <c r="G50" s="41">
        <f>+G$37/(G$14*1000000)</f>
        <v>0</v>
      </c>
    </row>
    <row r="51" spans="2:7" x14ac:dyDescent="0.35">
      <c r="B51" s="40" t="s">
        <v>52</v>
      </c>
      <c r="C51" s="100">
        <f>+C$37/(C$13*1000000)</f>
        <v>1.3899896240230414</v>
      </c>
      <c r="D51" s="100">
        <f>+D$37/(D$13*1000000)</f>
        <v>1.3716700126617369</v>
      </c>
      <c r="E51" s="100">
        <f>+E$37/(E$13*1000000)</f>
        <v>1.2726380528517554</v>
      </c>
      <c r="F51" s="100">
        <f>+F$37/(F$13*1000000)</f>
        <v>1.2218583973533832</v>
      </c>
      <c r="G51" s="41">
        <f>+G$37/(G$13*1000000)</f>
        <v>0</v>
      </c>
    </row>
    <row r="52" spans="2:7" x14ac:dyDescent="0.35">
      <c r="B52" s="40"/>
      <c r="C52" s="8"/>
      <c r="D52" s="8"/>
      <c r="E52" s="8"/>
      <c r="F52" s="8"/>
      <c r="G52" s="41"/>
    </row>
    <row r="53" spans="2:7" x14ac:dyDescent="0.35">
      <c r="B53" s="40" t="s">
        <v>53</v>
      </c>
      <c r="C53" s="103">
        <f t="shared" ref="C53:G54" si="14">+C50*1000</f>
        <v>1073.3012663848021</v>
      </c>
      <c r="D53" s="103">
        <f t="shared" si="14"/>
        <v>1059.1555046223102</v>
      </c>
      <c r="E53" s="103">
        <f t="shared" si="14"/>
        <v>982.68649648037604</v>
      </c>
      <c r="F53" s="103">
        <f t="shared" si="14"/>
        <v>943.4762264099835</v>
      </c>
      <c r="G53" s="42">
        <f t="shared" si="14"/>
        <v>0</v>
      </c>
    </row>
    <row r="54" spans="2:7" x14ac:dyDescent="0.35">
      <c r="B54" s="45" t="s">
        <v>54</v>
      </c>
      <c r="C54" s="104">
        <f t="shared" si="14"/>
        <v>1389.9896240230414</v>
      </c>
      <c r="D54" s="104">
        <f t="shared" si="14"/>
        <v>1371.670012661737</v>
      </c>
      <c r="E54" s="104">
        <f t="shared" si="14"/>
        <v>1272.6380528517554</v>
      </c>
      <c r="F54" s="104">
        <f t="shared" si="14"/>
        <v>1221.8583973533832</v>
      </c>
      <c r="G54" s="46">
        <f t="shared" si="14"/>
        <v>0</v>
      </c>
    </row>
    <row r="55" spans="2:7" x14ac:dyDescent="0.35">
      <c r="B55" s="20"/>
      <c r="C55" s="6"/>
      <c r="D55" s="6"/>
      <c r="E55" s="6"/>
      <c r="F55" s="6"/>
      <c r="G55" s="6"/>
    </row>
    <row r="56" spans="2:7" x14ac:dyDescent="0.35">
      <c r="B56" s="20"/>
    </row>
    <row r="57" spans="2:7" x14ac:dyDescent="0.35">
      <c r="C57" s="13"/>
      <c r="D57" s="13"/>
      <c r="E57" s="13"/>
    </row>
    <row r="58" spans="2:7" x14ac:dyDescent="0.35">
      <c r="E58" s="14"/>
    </row>
    <row r="59" spans="2:7" x14ac:dyDescent="0.35">
      <c r="E59" s="14"/>
    </row>
    <row r="60" spans="2:7" x14ac:dyDescent="0.35">
      <c r="E60" s="14"/>
    </row>
    <row r="61" spans="2:7" x14ac:dyDescent="0.35">
      <c r="E61" s="14"/>
    </row>
    <row r="64" spans="2:7" x14ac:dyDescent="0.35">
      <c r="C64" s="13"/>
      <c r="D64" s="13"/>
    </row>
  </sheetData>
  <mergeCells count="1">
    <mergeCell ref="J14:M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463FE-7EAD-4E70-84D7-FA2D229C921C}">
  <sheetPr>
    <tabColor rgb="FFFFFF00"/>
  </sheetPr>
  <dimension ref="B3:N25"/>
  <sheetViews>
    <sheetView workbookViewId="0">
      <selection activeCell="B6" sqref="B6"/>
    </sheetView>
  </sheetViews>
  <sheetFormatPr defaultRowHeight="14.5" x14ac:dyDescent="0.35"/>
  <cols>
    <col min="2" max="2" width="23" customWidth="1"/>
    <col min="3" max="3" width="46.1796875" customWidth="1"/>
    <col min="4" max="4" width="12.1796875" customWidth="1"/>
    <col min="5" max="5" width="12.81640625" customWidth="1"/>
    <col min="7" max="8" width="14.26953125" customWidth="1"/>
    <col min="9" max="9" width="3.7265625" customWidth="1"/>
    <col min="10" max="10" width="15.26953125" customWidth="1"/>
    <col min="11" max="11" width="16.453125" customWidth="1"/>
    <col min="12" max="12" width="3.7265625" customWidth="1"/>
    <col min="13" max="13" width="17.26953125" customWidth="1"/>
  </cols>
  <sheetData>
    <row r="3" spans="2:14" ht="35.25" customHeight="1" thickBot="1" x14ac:dyDescent="0.4">
      <c r="B3" s="53" t="s">
        <v>56</v>
      </c>
      <c r="C3" s="54"/>
      <c r="D3" s="55"/>
      <c r="E3" s="56"/>
      <c r="G3" s="96" t="s">
        <v>17</v>
      </c>
      <c r="H3" s="96"/>
      <c r="J3" s="96" t="s">
        <v>18</v>
      </c>
      <c r="K3" s="96"/>
      <c r="M3" s="96" t="s">
        <v>19</v>
      </c>
      <c r="N3" s="96"/>
    </row>
    <row r="4" spans="2:14" ht="20.25" customHeight="1" thickBot="1" x14ac:dyDescent="0.4">
      <c r="B4" s="57" t="s">
        <v>57</v>
      </c>
      <c r="C4" s="58" t="s">
        <v>58</v>
      </c>
      <c r="D4" s="58" t="s">
        <v>59</v>
      </c>
      <c r="E4" s="59" t="s">
        <v>60</v>
      </c>
      <c r="G4" s="79" t="s">
        <v>61</v>
      </c>
      <c r="H4" s="79" t="s">
        <v>62</v>
      </c>
      <c r="J4" s="79" t="s">
        <v>61</v>
      </c>
      <c r="K4" s="79" t="s">
        <v>62</v>
      </c>
      <c r="M4" s="79" t="s">
        <v>61</v>
      </c>
      <c r="N4" s="79" t="s">
        <v>62</v>
      </c>
    </row>
    <row r="5" spans="2:14" ht="18.75" customHeight="1" thickBot="1" x14ac:dyDescent="0.4">
      <c r="B5" s="60" t="s">
        <v>63</v>
      </c>
      <c r="C5" s="61" t="s">
        <v>64</v>
      </c>
      <c r="D5" s="62">
        <v>0.97867999999999999</v>
      </c>
      <c r="E5" s="63">
        <v>0.97867999999999999</v>
      </c>
      <c r="G5" s="105">
        <f>D5*('Project Costs'!$D$35-'Project Costs'!$D$32)</f>
        <v>94020350.435858041</v>
      </c>
      <c r="H5" s="78">
        <f>G5/$G$11</f>
        <v>0.94846911365036202</v>
      </c>
      <c r="J5" s="102">
        <f>D5*('Project Costs'!$E$35-'Project Costs'!$E$32)</f>
        <v>90233699.160415187</v>
      </c>
      <c r="K5" s="78">
        <f>J5/$J$11</f>
        <v>0.94663387008286903</v>
      </c>
      <c r="M5" s="102">
        <f>D5*('Project Costs'!$F$35-'Project Costs'!$F$32)</f>
        <v>86450298.250183508</v>
      </c>
      <c r="N5" s="78">
        <f>M5/$M$11</f>
        <v>0.94463449443498448</v>
      </c>
    </row>
    <row r="6" spans="2:14" ht="18.75" customHeight="1" thickBot="1" x14ac:dyDescent="0.4">
      <c r="B6" s="60" t="s">
        <v>65</v>
      </c>
      <c r="C6" s="61" t="s">
        <v>66</v>
      </c>
      <c r="D6" s="62">
        <v>1.0000000000000001E-5</v>
      </c>
      <c r="E6" s="64"/>
      <c r="G6" s="105">
        <f>D6*('Project Costs'!$D$35-'Project Costs'!$D$32)</f>
        <v>960.68531528035771</v>
      </c>
      <c r="H6" s="78">
        <f t="shared" ref="H6:H10" si="0">G6/$G$11</f>
        <v>9.6913098627780492E-6</v>
      </c>
      <c r="J6" s="102">
        <f>D6*('Project Costs'!$E$35-'Project Costs'!$E$32)</f>
        <v>921.99390158596475</v>
      </c>
      <c r="K6" s="78">
        <f t="shared" ref="K6:K10" si="1">J6/$J$11</f>
        <v>9.6725576294894062E-6</v>
      </c>
      <c r="M6" s="102">
        <f>D6*('Project Costs'!$F$35-'Project Costs'!$F$32)</f>
        <v>883.3356996176841</v>
      </c>
      <c r="N6" s="78">
        <f t="shared" ref="N6:N10" si="2">M6/$M$11</f>
        <v>9.6521283201351252E-6</v>
      </c>
    </row>
    <row r="7" spans="2:14" ht="18.75" customHeight="1" thickBot="1" x14ac:dyDescent="0.4">
      <c r="B7" s="60" t="s">
        <v>67</v>
      </c>
      <c r="C7" s="61" t="s">
        <v>68</v>
      </c>
      <c r="D7" s="62">
        <v>6.4999999999999997E-3</v>
      </c>
      <c r="E7" s="63">
        <v>6.4999999999999997E-3</v>
      </c>
      <c r="G7" s="105">
        <f>D7*('Project Costs'!$D$35-'Project Costs'!$D$32)</f>
        <v>624445.45493223239</v>
      </c>
      <c r="H7" s="78">
        <f t="shared" si="0"/>
        <v>6.2993514108057305E-3</v>
      </c>
      <c r="J7" s="102">
        <f>D7*('Project Costs'!$E$35-'Project Costs'!$E$32)</f>
        <v>599296.03603087703</v>
      </c>
      <c r="K7" s="78">
        <f t="shared" si="1"/>
        <v>6.287162459168113E-3</v>
      </c>
      <c r="M7" s="102">
        <f>D7*('Project Costs'!$F$35-'Project Costs'!$F$32)</f>
        <v>574168.20475149457</v>
      </c>
      <c r="N7" s="78">
        <f t="shared" si="2"/>
        <v>6.2738834080878301E-3</v>
      </c>
    </row>
    <row r="8" spans="2:14" ht="18.75" customHeight="1" thickBot="1" x14ac:dyDescent="0.4">
      <c r="B8" s="60" t="s">
        <v>67</v>
      </c>
      <c r="C8" s="61" t="s">
        <v>69</v>
      </c>
      <c r="D8" s="62">
        <v>9.2399999999999999E-3</v>
      </c>
      <c r="E8" s="63">
        <v>9.2399999999999999E-3</v>
      </c>
      <c r="G8" s="105">
        <f>D8*('Project Costs'!$D$35-'Project Costs'!$D$32)</f>
        <v>887673.23131905042</v>
      </c>
      <c r="H8" s="78">
        <f t="shared" si="0"/>
        <v>8.954770313206916E-3</v>
      </c>
      <c r="J8" s="102">
        <f>D8*('Project Costs'!$E$35-'Project Costs'!$E$32)</f>
        <v>851922.36506543134</v>
      </c>
      <c r="K8" s="78">
        <f t="shared" si="1"/>
        <v>8.9374432496482099E-3</v>
      </c>
      <c r="M8" s="102">
        <f>D8*('Project Costs'!$F$35-'Project Costs'!$F$32)</f>
        <v>816202.18644674006</v>
      </c>
      <c r="N8" s="78">
        <f t="shared" si="2"/>
        <v>8.9185665678048545E-3</v>
      </c>
    </row>
    <row r="9" spans="2:14" ht="18.75" customHeight="1" thickBot="1" x14ac:dyDescent="0.4">
      <c r="B9" s="60" t="s">
        <v>70</v>
      </c>
      <c r="C9" s="61" t="s">
        <v>71</v>
      </c>
      <c r="D9" s="62">
        <v>5.5399999999999998E-3</v>
      </c>
      <c r="E9" s="64"/>
      <c r="G9" s="105">
        <f>D9*('Project Costs'!$D$35-'Project Costs'!$D$32)+'Project Costs'!D32</f>
        <v>3592219.6646653181</v>
      </c>
      <c r="H9" s="78">
        <f t="shared" si="0"/>
        <v>3.6237999386174287E-2</v>
      </c>
      <c r="J9" s="102">
        <f>D9*('Project Costs'!$E$35-'Project Costs'!$E$32)+'Project Costs'!E32</f>
        <v>3631984.6214786246</v>
      </c>
      <c r="K9" s="78">
        <f t="shared" si="1"/>
        <v>3.8102833977796936E-2</v>
      </c>
      <c r="M9" s="102">
        <f>D9*('Project Costs'!$F$35-'Project Costs'!$F$32)+'Project Costs'!F32</f>
        <v>3672991.9775881968</v>
      </c>
      <c r="N9" s="78">
        <f t="shared" si="2"/>
        <v>4.0134447075842392E-2</v>
      </c>
    </row>
    <row r="10" spans="2:14" ht="18.75" customHeight="1" thickBot="1" x14ac:dyDescent="0.4">
      <c r="B10" s="60" t="s">
        <v>72</v>
      </c>
      <c r="C10" s="61" t="s">
        <v>73</v>
      </c>
      <c r="D10" s="65">
        <v>3.0000000000000001E-5</v>
      </c>
      <c r="E10" s="64"/>
      <c r="G10" s="105">
        <f>D10*('Project Costs'!$D$35-'Project Costs'!$D$32)</f>
        <v>2882.055945841073</v>
      </c>
      <c r="H10" s="78">
        <f t="shared" si="0"/>
        <v>2.9073929588334146E-5</v>
      </c>
      <c r="J10" s="102">
        <f>D10*('Project Costs'!$E$35-'Project Costs'!$E$32)</f>
        <v>2765.981704757894</v>
      </c>
      <c r="K10" s="78">
        <f t="shared" si="1"/>
        <v>2.9017672888468215E-5</v>
      </c>
      <c r="M10" s="102">
        <f>D10*('Project Costs'!$F$35-'Project Costs'!$F$32)</f>
        <v>2650.007098853052</v>
      </c>
      <c r="N10" s="78">
        <f t="shared" si="2"/>
        <v>2.8956384960405372E-5</v>
      </c>
    </row>
    <row r="11" spans="2:14" x14ac:dyDescent="0.35">
      <c r="B11" s="66" t="s">
        <v>74</v>
      </c>
      <c r="C11" s="67"/>
      <c r="D11" s="68">
        <v>0.99999999999999989</v>
      </c>
      <c r="E11" s="69">
        <v>0.99441999999999997</v>
      </c>
      <c r="G11" s="102">
        <f>SUM(G5:G10)</f>
        <v>99128531.52803576</v>
      </c>
      <c r="H11" s="78">
        <f>SUM(H5:H10)</f>
        <v>1</v>
      </c>
      <c r="J11" s="102">
        <f>SUM(J5:J10)</f>
        <v>95320590.158596441</v>
      </c>
      <c r="K11" s="78">
        <f>SUM(K5:K10)</f>
        <v>1.0000000000000002</v>
      </c>
      <c r="M11" s="102">
        <f>SUM(M5:M10)</f>
        <v>91517193.961768404</v>
      </c>
      <c r="N11" s="78">
        <f>SUM(N5:N10)</f>
        <v>1.0000000000000002</v>
      </c>
    </row>
    <row r="12" spans="2:14" x14ac:dyDescent="0.35">
      <c r="B12" s="66" t="s">
        <v>75</v>
      </c>
      <c r="C12" s="67"/>
      <c r="D12" s="70" t="s">
        <v>76</v>
      </c>
      <c r="E12" s="71" t="s">
        <v>77</v>
      </c>
    </row>
    <row r="13" spans="2:14" x14ac:dyDescent="0.35">
      <c r="B13" s="72" t="s">
        <v>78</v>
      </c>
      <c r="C13" s="67"/>
      <c r="D13" s="73">
        <v>0.97867999999999999</v>
      </c>
      <c r="E13" s="63">
        <v>0.97867999999999999</v>
      </c>
      <c r="G13" s="87" t="s">
        <v>79</v>
      </c>
    </row>
    <row r="14" spans="2:14" x14ac:dyDescent="0.35">
      <c r="B14" s="72" t="s">
        <v>80</v>
      </c>
      <c r="C14" s="67"/>
      <c r="D14" s="73">
        <v>1.0000000000000001E-5</v>
      </c>
      <c r="E14" s="63">
        <v>1.0000000000000001E-5</v>
      </c>
      <c r="G14" s="87">
        <v>5</v>
      </c>
      <c r="H14" s="80">
        <f>H5</f>
        <v>0.94846911365036202</v>
      </c>
      <c r="K14" s="80">
        <f>K5</f>
        <v>0.94663387008286903</v>
      </c>
      <c r="N14" s="80">
        <f>N5</f>
        <v>0.94463449443498448</v>
      </c>
    </row>
    <row r="15" spans="2:14" x14ac:dyDescent="0.35">
      <c r="B15" s="72" t="s">
        <v>81</v>
      </c>
      <c r="C15" s="67"/>
      <c r="D15" s="73"/>
      <c r="E15" s="63"/>
      <c r="G15" s="87">
        <v>7</v>
      </c>
      <c r="H15" s="80">
        <f>H6</f>
        <v>9.6913098627780492E-6</v>
      </c>
      <c r="K15" s="80">
        <f>K6</f>
        <v>9.6725576294894062E-6</v>
      </c>
      <c r="N15" s="80">
        <f>N6</f>
        <v>9.6521283201351252E-6</v>
      </c>
    </row>
    <row r="16" spans="2:14" x14ac:dyDescent="0.35">
      <c r="B16" s="72" t="s">
        <v>82</v>
      </c>
      <c r="C16" s="67"/>
      <c r="D16" s="73">
        <v>1.5740000000000001E-2</v>
      </c>
      <c r="E16" s="63">
        <v>2.128E-2</v>
      </c>
      <c r="G16" s="87">
        <v>15</v>
      </c>
      <c r="H16" s="80">
        <f>H7+H8</f>
        <v>1.5254121724012647E-2</v>
      </c>
      <c r="K16" s="80">
        <f>K7+K8</f>
        <v>1.5224605708816324E-2</v>
      </c>
      <c r="N16" s="80">
        <f>N7+N8</f>
        <v>1.5192449975892685E-2</v>
      </c>
    </row>
    <row r="17" spans="2:14" x14ac:dyDescent="0.35">
      <c r="B17" s="72" t="s">
        <v>83</v>
      </c>
      <c r="C17" s="67"/>
      <c r="D17" s="73">
        <v>5.5399999999999998E-3</v>
      </c>
      <c r="E17" s="64"/>
      <c r="G17" s="87">
        <v>20</v>
      </c>
      <c r="H17" s="80">
        <f>H9</f>
        <v>3.6237999386174287E-2</v>
      </c>
      <c r="K17" s="80">
        <f>K9</f>
        <v>3.8102833977796936E-2</v>
      </c>
      <c r="N17" s="80">
        <f>N9</f>
        <v>4.0134447075842392E-2</v>
      </c>
    </row>
    <row r="18" spans="2:14" x14ac:dyDescent="0.35">
      <c r="B18" s="72" t="s">
        <v>84</v>
      </c>
      <c r="C18" s="67"/>
      <c r="D18" s="73">
        <v>3.0000000000000001E-5</v>
      </c>
      <c r="E18" s="63">
        <v>3.0000000000000001E-5</v>
      </c>
      <c r="G18" s="87">
        <v>39</v>
      </c>
      <c r="H18" s="80">
        <f>H10</f>
        <v>2.9073929588334146E-5</v>
      </c>
      <c r="K18" s="80">
        <f>K10</f>
        <v>2.9017672888468215E-5</v>
      </c>
      <c r="N18" s="80">
        <f>N10</f>
        <v>2.8956384960405372E-5</v>
      </c>
    </row>
    <row r="19" spans="2:14" x14ac:dyDescent="0.35">
      <c r="B19" s="72" t="s">
        <v>85</v>
      </c>
      <c r="C19" s="67"/>
      <c r="D19" s="73"/>
      <c r="E19" s="63"/>
      <c r="G19" s="87" t="s">
        <v>74</v>
      </c>
      <c r="H19" s="80">
        <f>SUM(H14:H18)</f>
        <v>1</v>
      </c>
      <c r="K19" s="80">
        <f>SUM(K14:K18)</f>
        <v>1.0000000000000002</v>
      </c>
      <c r="N19" s="80">
        <f>SUM(N14:N18)</f>
        <v>1</v>
      </c>
    </row>
    <row r="20" spans="2:14" x14ac:dyDescent="0.35">
      <c r="B20" s="72" t="s">
        <v>86</v>
      </c>
      <c r="C20" s="67"/>
      <c r="D20" s="73"/>
      <c r="E20" s="63"/>
    </row>
    <row r="21" spans="2:14" x14ac:dyDescent="0.35">
      <c r="B21" s="72" t="s">
        <v>87</v>
      </c>
      <c r="C21" s="67"/>
      <c r="D21" s="67"/>
      <c r="E21" s="64"/>
    </row>
    <row r="22" spans="2:14" x14ac:dyDescent="0.35">
      <c r="B22" s="72" t="s">
        <v>88</v>
      </c>
      <c r="C22" s="67"/>
      <c r="D22" s="67"/>
      <c r="E22" s="64"/>
    </row>
    <row r="23" spans="2:14" x14ac:dyDescent="0.35">
      <c r="B23" s="72" t="s">
        <v>89</v>
      </c>
      <c r="C23" s="67"/>
      <c r="D23" s="67"/>
      <c r="E23" s="64"/>
    </row>
    <row r="24" spans="2:14" x14ac:dyDescent="0.35">
      <c r="B24" s="74" t="s">
        <v>74</v>
      </c>
      <c r="C24" s="67"/>
      <c r="D24" s="68">
        <v>0.99999999999999989</v>
      </c>
      <c r="E24" s="69">
        <v>0.99999999999999989</v>
      </c>
    </row>
    <row r="25" spans="2:14" x14ac:dyDescent="0.35">
      <c r="B25" s="75"/>
      <c r="C25" s="76"/>
      <c r="D25" s="76"/>
      <c r="E25" s="77"/>
    </row>
  </sheetData>
  <mergeCells count="3">
    <mergeCell ref="G3:H3"/>
    <mergeCell ref="J3:K3"/>
    <mergeCell ref="M3:N3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4866507E2D144AE4CD0A2B3FADDAD" ma:contentTypeVersion="6" ma:contentTypeDescription="Create a new document." ma:contentTypeScope="" ma:versionID="517cfc5527ea83f237b9562ab3974005">
  <xsd:schema xmlns:xsd="http://www.w3.org/2001/XMLSchema" xmlns:xs="http://www.w3.org/2001/XMLSchema" xmlns:p="http://schemas.microsoft.com/office/2006/metadata/properties" xmlns:ns2="d141e5e5-1b43-410d-a484-11a90557d3b4" xmlns:ns3="6876d069-b68e-425a-9557-1f4444bac999" targetNamespace="http://schemas.microsoft.com/office/2006/metadata/properties" ma:root="true" ma:fieldsID="e4ba467d09f1968758d9186589c8c2a8" ns2:_="" ns3:_="">
    <xsd:import namespace="d141e5e5-1b43-410d-a484-11a90557d3b4"/>
    <xsd:import namespace="6876d069-b68e-425a-9557-1f4444bac9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1e5e5-1b43-410d-a484-11a90557d3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6d069-b68e-425a-9557-1f4444bac9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6CC06E-D4E3-4E5D-B320-A75CC9E2C8F2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6876d069-b68e-425a-9557-1f4444bac999"/>
    <ds:schemaRef ds:uri="d141e5e5-1b43-410d-a484-11a90557d3b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07D879E-381C-416F-8400-72743BA407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491BC6-79C0-42DB-A9CC-25BFCA419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41e5e5-1b43-410d-a484-11a90557d3b4"/>
    <ds:schemaRef ds:uri="6876d069-b68e-425a-9557-1f4444bac9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Project Costs</vt:lpstr>
      <vt:lpstr>Tax Life</vt:lpstr>
      <vt:lpstr>MACRSLives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Stout, Matthew G</dc:creator>
  <cp:keywords/>
  <dc:description/>
  <cp:lastModifiedBy>Dean, Gary</cp:lastModifiedBy>
  <cp:revision/>
  <dcterms:created xsi:type="dcterms:W3CDTF">2019-12-17T15:45:09Z</dcterms:created>
  <dcterms:modified xsi:type="dcterms:W3CDTF">2020-10-12T19:03:49Z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0x0101009BB4866507E2D144AE4CD0A2B3FADDAD</vt:lpwstr>
  </property>
</Properties>
</file>