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13_ncr:1_{29A81292-D665-46E1-98A9-81CA170BCB8A}" xr6:coauthVersionLast="47" xr6:coauthVersionMax="47" xr10:uidLastSave="{00000000-0000-0000-0000-000000000000}"/>
  <bookViews>
    <workbookView xWindow="6945" yWindow="1125" windowWidth="21600" windowHeight="11385" firstSheet="12" activeTab="12" xr2:uid="{E7A66B23-B045-47CC-81C4-7E3B44571AA8}"/>
  </bookViews>
  <sheets>
    <sheet name="2020-2029 SPP Total Costs" sheetId="1" r:id="rId1"/>
    <sheet name="2022-2031 SPP Total Costs" sheetId="2" r:id="rId2"/>
    <sheet name="2022-2031 SPP Total RR" sheetId="47" r:id="rId3"/>
    <sheet name="SPP Projection Summary" sheetId="3" r:id="rId4"/>
    <sheet name="Summary Data" sheetId="4" r:id="rId5"/>
    <sheet name="SL-1 RevReqby Year" sheetId="35" r:id="rId6"/>
    <sheet name="SL-2 RateImpacts" sheetId="33" r:id="rId7"/>
    <sheet name="SL-3 SPP Total RR" sheetId="48" r:id="rId8"/>
    <sheet name="SL SPP Total Costs" sheetId="46" r:id="rId9"/>
    <sheet name="Rate% calc sheet" sheetId="44" r:id="rId10"/>
    <sheet name="DPL-1 LUG 22-24" sheetId="24" r:id="rId11"/>
    <sheet name="DPL-2 TransAccess B&amp;C" sheetId="10" r:id="rId12"/>
    <sheet name="DPL-3 TransAccess 22-24" sheetId="28" r:id="rId13"/>
    <sheet name="DPL-4 TransAccess-Combine " sheetId="16" r:id="rId14"/>
    <sheet name="DPL-5 TransAsset 22-24" sheetId="25" r:id="rId15"/>
    <sheet name="DPL-6 Dist OFH 22-24" sheetId="26" r:id="rId16"/>
    <sheet name="DPL-7 Infra inspect" sheetId="12" r:id="rId17"/>
    <sheet name="DPL-8 Infra inspect Cost" sheetId="13" r:id="rId18"/>
    <sheet name="DPL- 9 Legacy Prgm cost 22-242" sheetId="29" r:id="rId19"/>
    <sheet name="DPL-10 SPP BC Summary " sheetId="9" r:id="rId20"/>
    <sheet name="DPL-11 LUG Appendix" sheetId="30" r:id="rId21"/>
    <sheet name="DPL-12 Trans Asset Appendix" sheetId="31" r:id="rId22"/>
    <sheet name="DPL-13 Dist OFH Appendix" sheetId="32" r:id="rId23"/>
    <sheet name="DPL-14 SUB 22-24" sheetId="43" r:id="rId24"/>
    <sheet name="DPI-3 Rule Adherance" sheetId="34" r:id="rId25"/>
    <sheet name="DPI-5 Named Storms" sheetId="37" r:id="rId26"/>
    <sheet name="DPI-6 Loading Map" sheetId="41" r:id="rId27"/>
    <sheet name="DPI-7 Hurricane Coastline" sheetId="42" r:id="rId28"/>
    <sheet name="DPI-8 OH-vs-Reliability Chart" sheetId="11" r:id="rId29"/>
    <sheet name="DPI-10 Supp VM Data" sheetId="18" r:id="rId30"/>
    <sheet name="DPI-11 Supp VM Costs" sheetId="19" r:id="rId31"/>
    <sheet name="DPI-12 Mid-cycle VM Data" sheetId="20" r:id="rId32"/>
    <sheet name="DPI-13 Mid-cycle VM Costs" sheetId="21" r:id="rId33"/>
    <sheet name="DPI-14 69KV Proj Scope VM" sheetId="22" r:id="rId34"/>
    <sheet name="DPI-16 Substation 22-24" sheetId="27" r:id="rId35"/>
    <sheet name="DPI-18 Access Road Costs" sheetId="15" r:id="rId36"/>
    <sheet name="DPI-19 Access Bridge Costs" sheetId="14" r:id="rId37"/>
    <sheet name="DPI-24 SPP Total Costs" sheetId="49" r:id="rId38"/>
    <sheet name="DPI-33 VM Summary" sheetId="50" r:id="rId39"/>
    <sheet name="DPI-32 Trans Access Appendix" sheetId="40" r:id="rId40"/>
    <sheet name="VM SPP-TOTAL" sheetId="23" r:id="rId41"/>
    <sheet name="TECO Facts" sheetId="51" r:id="rId4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 i="51" l="1"/>
  <c r="I652" i="30"/>
  <c r="I651" i="30"/>
  <c r="I650" i="30"/>
  <c r="I649" i="30"/>
  <c r="I648" i="30"/>
  <c r="I647" i="30"/>
  <c r="I646" i="30"/>
  <c r="I645" i="30"/>
  <c r="I644" i="30"/>
  <c r="I643" i="30"/>
  <c r="I642" i="30"/>
  <c r="I641" i="30"/>
  <c r="I640" i="30"/>
  <c r="I639" i="30"/>
  <c r="I638" i="30"/>
  <c r="I637" i="30"/>
  <c r="I636" i="30"/>
  <c r="I635" i="30"/>
  <c r="I634" i="30"/>
  <c r="I633" i="30"/>
  <c r="I632" i="30"/>
  <c r="I631" i="30"/>
  <c r="I630" i="30"/>
  <c r="I629" i="30"/>
  <c r="I628" i="30"/>
  <c r="I627" i="30"/>
  <c r="I626" i="30"/>
  <c r="I625" i="30"/>
  <c r="I624" i="30"/>
  <c r="I623" i="30"/>
  <c r="I622" i="30"/>
  <c r="I621" i="30"/>
  <c r="I620" i="30"/>
  <c r="I619" i="30"/>
  <c r="I618" i="30"/>
  <c r="I617" i="30"/>
  <c r="I616" i="30"/>
  <c r="I615" i="30"/>
  <c r="I614" i="30"/>
  <c r="I613" i="30"/>
  <c r="I612" i="30"/>
  <c r="I611" i="30"/>
  <c r="I610" i="30"/>
  <c r="I609" i="30"/>
  <c r="I608" i="30"/>
  <c r="I607" i="30"/>
  <c r="I606" i="30"/>
  <c r="I605" i="30"/>
  <c r="I604" i="30"/>
  <c r="I603" i="30"/>
  <c r="I602" i="30"/>
  <c r="I601" i="30"/>
  <c r="I600" i="30"/>
  <c r="I599" i="30"/>
  <c r="I598" i="30"/>
  <c r="I597" i="30"/>
  <c r="I596" i="30"/>
  <c r="I595" i="30"/>
  <c r="I594" i="30"/>
  <c r="I593" i="30"/>
  <c r="I592" i="30"/>
  <c r="I591" i="30"/>
  <c r="I590" i="30"/>
  <c r="I589" i="30"/>
  <c r="I588" i="30"/>
  <c r="I587" i="30"/>
  <c r="I586" i="30"/>
  <c r="I585" i="30"/>
  <c r="I584" i="30"/>
  <c r="I583" i="30"/>
  <c r="I582" i="30"/>
  <c r="I581" i="30"/>
  <c r="I580" i="30"/>
  <c r="I579" i="30"/>
  <c r="I578" i="30"/>
  <c r="I577" i="30"/>
  <c r="I576" i="30"/>
  <c r="I575" i="30"/>
  <c r="I574" i="30"/>
  <c r="I573" i="30"/>
  <c r="I572" i="30"/>
  <c r="I571" i="30"/>
  <c r="I570" i="30"/>
  <c r="I569" i="30"/>
  <c r="I568" i="30"/>
  <c r="I567" i="30"/>
  <c r="I566" i="30"/>
  <c r="I565" i="30"/>
  <c r="I564" i="30"/>
  <c r="I563" i="30"/>
  <c r="I562" i="30"/>
  <c r="I561" i="30"/>
  <c r="I560" i="30"/>
  <c r="I559" i="30"/>
  <c r="I558" i="30"/>
  <c r="I557" i="30"/>
  <c r="I556" i="30"/>
  <c r="I555" i="30"/>
  <c r="I554" i="30"/>
  <c r="I553" i="30"/>
  <c r="I552" i="30"/>
  <c r="I551" i="30"/>
  <c r="I550" i="30"/>
  <c r="I549" i="30"/>
  <c r="I548" i="30"/>
  <c r="I547" i="30"/>
  <c r="I546" i="30"/>
  <c r="I545" i="30"/>
  <c r="I544" i="30"/>
  <c r="I543" i="30"/>
  <c r="I542" i="30"/>
  <c r="I541" i="30"/>
  <c r="I540" i="30"/>
  <c r="I539" i="30"/>
  <c r="I538" i="30"/>
  <c r="I537" i="30"/>
  <c r="I536" i="30"/>
  <c r="I535" i="30"/>
  <c r="I534" i="30"/>
  <c r="I533" i="30"/>
  <c r="I532" i="30"/>
  <c r="I531" i="30"/>
  <c r="I530" i="30"/>
  <c r="I529" i="30"/>
  <c r="I528" i="30"/>
  <c r="I527" i="30"/>
  <c r="I526" i="30"/>
  <c r="I525" i="30"/>
  <c r="I524" i="30"/>
  <c r="I523" i="30"/>
  <c r="I522" i="30"/>
  <c r="I521" i="30"/>
  <c r="I520" i="30"/>
  <c r="I519" i="30"/>
  <c r="I518" i="30"/>
  <c r="I517" i="30"/>
  <c r="I516" i="30"/>
  <c r="I515" i="30"/>
  <c r="I514" i="30"/>
  <c r="I513" i="30"/>
  <c r="I512" i="30"/>
  <c r="I511" i="30"/>
  <c r="I510" i="30"/>
  <c r="I509" i="30"/>
  <c r="I508" i="30"/>
  <c r="I507" i="30"/>
  <c r="I506" i="30"/>
  <c r="I505" i="30"/>
  <c r="I504" i="30"/>
  <c r="I503" i="30"/>
  <c r="I502" i="30"/>
  <c r="I501" i="30"/>
  <c r="I500" i="30"/>
  <c r="I499" i="30"/>
  <c r="I498" i="30"/>
  <c r="I497" i="30"/>
  <c r="I496" i="30"/>
  <c r="I495" i="30"/>
  <c r="I494" i="30"/>
  <c r="I493" i="30"/>
  <c r="I492" i="30"/>
  <c r="I491" i="30"/>
  <c r="I490" i="30"/>
  <c r="I489" i="30"/>
  <c r="I488" i="30"/>
  <c r="I487" i="30"/>
  <c r="I486" i="30"/>
  <c r="I485" i="30"/>
  <c r="I484" i="30"/>
  <c r="I483" i="30"/>
  <c r="I482" i="30"/>
  <c r="I481" i="30"/>
  <c r="I480" i="30"/>
  <c r="I479" i="30"/>
  <c r="I478" i="30"/>
  <c r="I477" i="30"/>
  <c r="I476" i="30"/>
  <c r="I475" i="30"/>
  <c r="I474" i="30"/>
  <c r="I473" i="30"/>
  <c r="I472" i="30"/>
  <c r="I471" i="30"/>
  <c r="I470" i="30"/>
  <c r="I469" i="30"/>
  <c r="I468" i="30"/>
  <c r="I467" i="30"/>
  <c r="I466" i="30"/>
  <c r="I465" i="30"/>
  <c r="I464" i="30"/>
  <c r="I463" i="30"/>
  <c r="I462" i="30"/>
  <c r="I461" i="30"/>
  <c r="I460" i="30"/>
  <c r="I459" i="30"/>
  <c r="I458" i="30"/>
  <c r="I457" i="30"/>
  <c r="I456" i="30"/>
  <c r="I455" i="30"/>
  <c r="I454" i="30"/>
  <c r="I453" i="30"/>
  <c r="I452" i="30"/>
  <c r="I451" i="30"/>
  <c r="I450" i="30"/>
  <c r="I449" i="30"/>
  <c r="I448" i="30"/>
  <c r="I447" i="30"/>
  <c r="I446" i="30"/>
  <c r="I445" i="30"/>
  <c r="I444" i="30"/>
  <c r="I443" i="30"/>
  <c r="I442" i="30"/>
  <c r="I441" i="30"/>
  <c r="I440" i="30"/>
  <c r="I439" i="30"/>
  <c r="I438" i="30"/>
  <c r="I437" i="30"/>
  <c r="I436" i="30"/>
  <c r="I435" i="30"/>
  <c r="I434" i="30"/>
  <c r="I433" i="30"/>
  <c r="I432" i="30"/>
  <c r="I431" i="30"/>
  <c r="I430" i="30"/>
  <c r="I429" i="30"/>
  <c r="I428" i="30"/>
  <c r="I427" i="30"/>
  <c r="I426" i="30"/>
  <c r="I425" i="30"/>
  <c r="I424" i="30"/>
  <c r="I423" i="30"/>
  <c r="I422" i="30"/>
  <c r="I421" i="30"/>
  <c r="I420" i="30"/>
  <c r="I419" i="30"/>
  <c r="I418" i="30"/>
  <c r="I417" i="30"/>
  <c r="I416" i="30"/>
  <c r="I415" i="30"/>
  <c r="I414" i="30"/>
  <c r="I413" i="30"/>
  <c r="I412" i="30"/>
  <c r="I411" i="30"/>
  <c r="I410" i="30"/>
  <c r="I409" i="30"/>
  <c r="I408" i="30"/>
  <c r="I407" i="30"/>
  <c r="I406" i="30"/>
  <c r="I405" i="30"/>
  <c r="I404" i="30"/>
  <c r="I403" i="30"/>
  <c r="I402" i="30"/>
  <c r="I401" i="30"/>
  <c r="I400" i="30"/>
  <c r="I399" i="30"/>
  <c r="I398" i="30"/>
  <c r="I397" i="30"/>
  <c r="I396" i="30"/>
  <c r="I395" i="30"/>
  <c r="I394" i="30"/>
  <c r="I393" i="30"/>
  <c r="I392" i="30"/>
  <c r="I391" i="30"/>
  <c r="I390" i="30"/>
  <c r="I389" i="30"/>
  <c r="I388" i="30"/>
  <c r="I387" i="30"/>
  <c r="I386" i="30"/>
  <c r="I385" i="30"/>
  <c r="I384" i="30"/>
  <c r="I383" i="30"/>
  <c r="I382" i="30"/>
  <c r="I381" i="30"/>
  <c r="I380" i="30"/>
  <c r="I379" i="30"/>
  <c r="I378" i="30"/>
  <c r="I377" i="30"/>
  <c r="I376" i="30"/>
  <c r="I375" i="30"/>
  <c r="I374" i="30"/>
  <c r="I373" i="30"/>
  <c r="I372" i="30"/>
  <c r="I371" i="30"/>
  <c r="I370" i="30"/>
  <c r="I369" i="30"/>
  <c r="I368" i="30"/>
  <c r="I367" i="30"/>
  <c r="I366" i="30"/>
  <c r="I365" i="30"/>
  <c r="I364" i="30"/>
  <c r="I363" i="30"/>
  <c r="I362" i="30"/>
  <c r="I361" i="30"/>
  <c r="I360" i="30"/>
  <c r="I359" i="30"/>
  <c r="I358" i="30"/>
  <c r="I357" i="30"/>
  <c r="I356" i="30"/>
  <c r="I355" i="30"/>
  <c r="I354" i="30"/>
  <c r="I353" i="30"/>
  <c r="I352" i="30"/>
  <c r="I351" i="30"/>
  <c r="I350" i="30"/>
  <c r="I349" i="30"/>
  <c r="I348" i="30"/>
  <c r="I347" i="30"/>
  <c r="I346" i="30"/>
  <c r="I345" i="30"/>
  <c r="I344" i="30"/>
  <c r="I343" i="30"/>
  <c r="I342" i="30"/>
  <c r="I341" i="30"/>
  <c r="I340" i="30"/>
  <c r="I339" i="30"/>
  <c r="I338" i="30"/>
  <c r="I337" i="30"/>
  <c r="I336" i="30"/>
  <c r="I335" i="30"/>
  <c r="I334" i="30"/>
  <c r="I333" i="30"/>
  <c r="I332" i="30"/>
  <c r="I331" i="30"/>
  <c r="I330" i="30"/>
  <c r="I329" i="30"/>
  <c r="I328" i="30"/>
  <c r="I327" i="30"/>
  <c r="I326" i="30"/>
  <c r="I325" i="30"/>
  <c r="I324" i="30"/>
  <c r="I323" i="30"/>
  <c r="I322" i="30"/>
  <c r="I321" i="30"/>
  <c r="I320" i="30"/>
  <c r="I319" i="30"/>
  <c r="I318" i="30"/>
  <c r="I317" i="30"/>
  <c r="I316" i="30"/>
  <c r="I315" i="30"/>
  <c r="I314" i="30"/>
  <c r="I313" i="30"/>
  <c r="I312" i="30"/>
  <c r="I311" i="30"/>
  <c r="I310" i="30"/>
  <c r="I309" i="30"/>
  <c r="I308" i="30"/>
  <c r="I307" i="30"/>
  <c r="I306" i="30"/>
  <c r="I305" i="30"/>
  <c r="I304" i="30"/>
  <c r="I303" i="30"/>
  <c r="I302" i="30"/>
  <c r="I301" i="30"/>
  <c r="I300" i="30"/>
  <c r="I299" i="30"/>
  <c r="I298" i="30"/>
  <c r="I297" i="30"/>
  <c r="I296" i="30"/>
  <c r="I295" i="30"/>
  <c r="I294" i="30"/>
  <c r="I293" i="30"/>
  <c r="I292" i="30"/>
  <c r="I291" i="30"/>
  <c r="I290" i="30"/>
  <c r="I289" i="30"/>
  <c r="I288" i="30"/>
  <c r="I287" i="30"/>
  <c r="I286" i="30"/>
  <c r="I285" i="30"/>
  <c r="I284" i="30"/>
  <c r="I283" i="30"/>
  <c r="I282" i="30"/>
  <c r="I281" i="30"/>
  <c r="I280" i="30"/>
  <c r="I279" i="30"/>
  <c r="I278" i="30"/>
  <c r="I277" i="30"/>
  <c r="I276" i="30"/>
  <c r="I275" i="30"/>
  <c r="I274" i="30"/>
  <c r="I273" i="30"/>
  <c r="I272" i="30"/>
  <c r="I271" i="30"/>
  <c r="I270" i="30"/>
  <c r="I269" i="30"/>
  <c r="I268" i="30"/>
  <c r="I267" i="30"/>
  <c r="I266" i="30"/>
  <c r="I265" i="30"/>
  <c r="I264" i="30"/>
  <c r="I263" i="30"/>
  <c r="I262" i="30"/>
  <c r="I261" i="30"/>
  <c r="I260" i="30"/>
  <c r="I259" i="30"/>
  <c r="I258" i="30"/>
  <c r="I257" i="30"/>
  <c r="I256" i="30"/>
  <c r="I255" i="30"/>
  <c r="I254" i="30"/>
  <c r="I253" i="30"/>
  <c r="I252" i="30"/>
  <c r="I251" i="30"/>
  <c r="I250" i="30"/>
  <c r="I249" i="30"/>
  <c r="I248" i="30"/>
  <c r="I247" i="30"/>
  <c r="I246" i="30"/>
  <c r="I245" i="30"/>
  <c r="I244" i="30"/>
  <c r="I243" i="30"/>
  <c r="I242" i="30"/>
  <c r="I241" i="30"/>
  <c r="I240" i="30"/>
  <c r="I239" i="30"/>
  <c r="I238" i="30"/>
  <c r="I237" i="30"/>
  <c r="I236" i="30"/>
  <c r="I235" i="30"/>
  <c r="I234" i="30"/>
  <c r="I233" i="30"/>
  <c r="I232" i="30"/>
  <c r="I231" i="30"/>
  <c r="I230" i="30"/>
  <c r="I229" i="30"/>
  <c r="I228" i="30"/>
  <c r="I227" i="30"/>
  <c r="I226" i="30"/>
  <c r="I225" i="30"/>
  <c r="I224" i="30"/>
  <c r="I223" i="30"/>
  <c r="I222" i="30"/>
  <c r="I221" i="30"/>
  <c r="I220" i="30"/>
  <c r="I219" i="30"/>
  <c r="I218" i="30"/>
  <c r="I217" i="30"/>
  <c r="I216" i="30"/>
  <c r="I215" i="30"/>
  <c r="I214" i="30"/>
  <c r="I213" i="30"/>
  <c r="I212" i="30"/>
  <c r="I211" i="30"/>
  <c r="I210" i="30"/>
  <c r="I209" i="30"/>
  <c r="I208" i="30"/>
  <c r="I207" i="30"/>
  <c r="I206" i="30"/>
  <c r="I205" i="30"/>
  <c r="I204" i="30"/>
  <c r="I203" i="30"/>
  <c r="I202" i="30"/>
  <c r="I201" i="30"/>
  <c r="I200" i="30"/>
  <c r="I199" i="30"/>
  <c r="I198" i="30"/>
  <c r="I197" i="30"/>
  <c r="I196" i="30"/>
  <c r="I195" i="30"/>
  <c r="I194" i="30"/>
  <c r="I193" i="30"/>
  <c r="I192" i="30"/>
  <c r="I191" i="30"/>
  <c r="I190" i="30"/>
  <c r="I189" i="30"/>
  <c r="I188" i="30"/>
  <c r="I187" i="30"/>
  <c r="I186" i="30"/>
  <c r="I185" i="30"/>
  <c r="I184" i="30"/>
  <c r="I183" i="30"/>
  <c r="I182" i="30"/>
  <c r="I181" i="30"/>
  <c r="I180" i="30"/>
  <c r="I179" i="30"/>
  <c r="I178" i="30"/>
  <c r="I177" i="30"/>
  <c r="I176" i="30"/>
  <c r="I175" i="30"/>
  <c r="I174" i="30"/>
  <c r="I173" i="30"/>
  <c r="I172" i="30"/>
  <c r="I171" i="30"/>
  <c r="I170" i="30"/>
  <c r="I169" i="30"/>
  <c r="I168" i="30"/>
  <c r="I167" i="30"/>
  <c r="I166" i="30"/>
  <c r="I165" i="30"/>
  <c r="I164" i="30"/>
  <c r="I163" i="30"/>
  <c r="I162" i="30"/>
  <c r="I161" i="30"/>
  <c r="I160" i="30"/>
  <c r="I159" i="30"/>
  <c r="I158" i="30"/>
  <c r="I157" i="30"/>
  <c r="I156" i="30"/>
  <c r="I155" i="30"/>
  <c r="I154" i="30"/>
  <c r="I153" i="30"/>
  <c r="I152" i="30"/>
  <c r="I151" i="30"/>
  <c r="I150" i="30"/>
  <c r="I149" i="30"/>
  <c r="I148" i="30"/>
  <c r="I147" i="30"/>
  <c r="I146" i="30"/>
  <c r="I145" i="30"/>
  <c r="I144" i="30"/>
  <c r="I143" i="30"/>
  <c r="I142" i="30"/>
  <c r="I141" i="30"/>
  <c r="I140" i="30"/>
  <c r="I139" i="30"/>
  <c r="I138" i="30"/>
  <c r="I137" i="30"/>
  <c r="I136" i="30"/>
  <c r="I135" i="30"/>
  <c r="I134" i="30"/>
  <c r="I133" i="30"/>
  <c r="I132" i="30"/>
  <c r="I131" i="30"/>
  <c r="I130" i="30"/>
  <c r="I129" i="30"/>
  <c r="I128" i="30"/>
  <c r="I127" i="30"/>
  <c r="I126" i="30"/>
  <c r="I125" i="30"/>
  <c r="I124" i="30"/>
  <c r="I123" i="30"/>
  <c r="I122" i="30"/>
  <c r="I121" i="30"/>
  <c r="I120" i="30"/>
  <c r="I119" i="30"/>
  <c r="I118" i="30"/>
  <c r="I117" i="30"/>
  <c r="I116" i="30"/>
  <c r="I115" i="30"/>
  <c r="I114" i="30"/>
  <c r="I113" i="30"/>
  <c r="I112" i="30"/>
  <c r="I111" i="30"/>
  <c r="I110" i="30"/>
  <c r="I109" i="30"/>
  <c r="I108" i="30"/>
  <c r="I107" i="30"/>
  <c r="I106" i="30"/>
  <c r="I105" i="30"/>
  <c r="I104" i="30"/>
  <c r="I103" i="30"/>
  <c r="I102" i="30"/>
  <c r="I101" i="30"/>
  <c r="I100" i="30"/>
  <c r="I99" i="30"/>
  <c r="I98" i="30"/>
  <c r="I97" i="30"/>
  <c r="I96" i="30"/>
  <c r="I95" i="30"/>
  <c r="I94" i="30"/>
  <c r="I93" i="30"/>
  <c r="I92" i="30"/>
  <c r="I91" i="30"/>
  <c r="I90" i="30"/>
  <c r="I89" i="30"/>
  <c r="I88" i="30"/>
  <c r="I87" i="30"/>
  <c r="I86" i="30"/>
  <c r="I85" i="30"/>
  <c r="I84" i="30"/>
  <c r="I83" i="30"/>
  <c r="I82" i="30"/>
  <c r="I81" i="30"/>
  <c r="I80" i="30"/>
  <c r="I79" i="30"/>
  <c r="I78" i="30"/>
  <c r="I77" i="30"/>
  <c r="I76" i="30"/>
  <c r="I75" i="30"/>
  <c r="I74" i="30"/>
  <c r="I73" i="30"/>
  <c r="I72" i="30"/>
  <c r="I71" i="30"/>
  <c r="I70" i="30"/>
  <c r="I69" i="30"/>
  <c r="I68" i="30"/>
  <c r="I67" i="30"/>
  <c r="I66" i="30"/>
  <c r="I65" i="30"/>
  <c r="I64" i="30"/>
  <c r="I63" i="30"/>
  <c r="I62" i="30"/>
  <c r="I61" i="30"/>
  <c r="I60" i="30"/>
  <c r="I59" i="30"/>
  <c r="I58" i="30"/>
  <c r="I57" i="30"/>
  <c r="I56" i="30"/>
  <c r="I55" i="30"/>
  <c r="I54" i="30"/>
  <c r="I53" i="30"/>
  <c r="I52" i="30"/>
  <c r="I51" i="30"/>
  <c r="I50" i="30"/>
  <c r="I49" i="30"/>
  <c r="I48" i="30"/>
  <c r="I47" i="30"/>
  <c r="I46" i="30"/>
  <c r="I45" i="30"/>
  <c r="I44" i="30"/>
  <c r="I43" i="30"/>
  <c r="I42" i="30"/>
  <c r="I41" i="30"/>
  <c r="I40" i="30"/>
  <c r="I39" i="30"/>
  <c r="I38" i="30"/>
  <c r="I37" i="30"/>
  <c r="I36" i="30"/>
  <c r="I35" i="30"/>
  <c r="I34" i="30"/>
  <c r="I33" i="30"/>
  <c r="I32" i="30"/>
  <c r="I31" i="30"/>
  <c r="I30" i="30"/>
  <c r="I29" i="30"/>
  <c r="I28" i="30"/>
  <c r="I27" i="30"/>
  <c r="I26" i="30"/>
  <c r="I25" i="30"/>
  <c r="I24" i="30"/>
  <c r="I23" i="30"/>
  <c r="I22" i="30"/>
  <c r="I21" i="30"/>
  <c r="I20" i="30"/>
  <c r="I19" i="30"/>
  <c r="I18" i="30"/>
  <c r="I17" i="30"/>
  <c r="I16" i="30"/>
  <c r="I15" i="30"/>
  <c r="I14" i="30"/>
  <c r="I13" i="30"/>
  <c r="I12" i="30"/>
  <c r="I11" i="30"/>
  <c r="I10" i="30"/>
  <c r="I9" i="30"/>
  <c r="I8" i="30"/>
  <c r="I7" i="30"/>
  <c r="E11" i="50"/>
  <c r="F11" i="50"/>
  <c r="D11" i="50"/>
  <c r="D53" i="51"/>
  <c r="D52" i="51"/>
  <c r="G29" i="46"/>
  <c r="H29" i="46"/>
  <c r="I29" i="46"/>
  <c r="J29" i="46"/>
  <c r="K29" i="46"/>
  <c r="L29" i="46"/>
  <c r="F29" i="46"/>
  <c r="E18" i="13"/>
  <c r="F18" i="13"/>
  <c r="D18" i="13"/>
  <c r="H35" i="32"/>
  <c r="H34" i="32"/>
  <c r="H33" i="32"/>
  <c r="H32" i="32"/>
  <c r="H31" i="32"/>
  <c r="H30" i="32"/>
  <c r="H29" i="32"/>
  <c r="H28" i="32"/>
  <c r="H27" i="32"/>
  <c r="H26" i="32"/>
  <c r="H25" i="32"/>
  <c r="H24" i="32"/>
  <c r="H23" i="32"/>
  <c r="H22" i="32"/>
  <c r="H21" i="32"/>
  <c r="H20" i="32"/>
  <c r="H19" i="32"/>
  <c r="H18" i="32"/>
  <c r="H17" i="32"/>
  <c r="H16" i="32"/>
  <c r="H15" i="32"/>
  <c r="H14" i="32"/>
  <c r="H13" i="32"/>
  <c r="H12" i="32"/>
  <c r="H11" i="32"/>
  <c r="H10" i="32"/>
  <c r="H9" i="32"/>
  <c r="H8" i="32"/>
  <c r="H7" i="32"/>
  <c r="L27" i="49"/>
  <c r="K27" i="49"/>
  <c r="J27" i="49"/>
  <c r="I27" i="49"/>
  <c r="H27" i="49"/>
  <c r="G27" i="49"/>
  <c r="F27" i="49"/>
  <c r="E27" i="49"/>
  <c r="M27" i="49"/>
  <c r="D27" i="49"/>
  <c r="C27" i="49"/>
  <c r="L26" i="49"/>
  <c r="K26" i="49"/>
  <c r="J26" i="49"/>
  <c r="I26" i="49"/>
  <c r="H26" i="49"/>
  <c r="G26" i="49"/>
  <c r="F26" i="49"/>
  <c r="E26" i="49"/>
  <c r="D26" i="49"/>
  <c r="M26" i="49"/>
  <c r="C26" i="49"/>
  <c r="L25" i="49"/>
  <c r="K25" i="49"/>
  <c r="J25" i="49"/>
  <c r="I25" i="49"/>
  <c r="H25" i="49"/>
  <c r="G25" i="49"/>
  <c r="F25" i="49"/>
  <c r="E25" i="49"/>
  <c r="D25" i="49"/>
  <c r="C25" i="49"/>
  <c r="M25" i="49"/>
  <c r="L24" i="49"/>
  <c r="K24" i="49"/>
  <c r="J24" i="49"/>
  <c r="I24" i="49"/>
  <c r="H24" i="49"/>
  <c r="G24" i="49"/>
  <c r="F24" i="49"/>
  <c r="E24" i="49"/>
  <c r="D24" i="49"/>
  <c r="C24" i="49"/>
  <c r="M24" i="49"/>
  <c r="L23" i="49"/>
  <c r="K23" i="49"/>
  <c r="J23" i="49"/>
  <c r="I23" i="49"/>
  <c r="H23" i="49"/>
  <c r="G23" i="49"/>
  <c r="F23" i="49"/>
  <c r="E23" i="49"/>
  <c r="M23" i="49"/>
  <c r="D23" i="49"/>
  <c r="C23" i="49"/>
  <c r="L22" i="49"/>
  <c r="K22" i="49"/>
  <c r="J22" i="49"/>
  <c r="I22" i="49"/>
  <c r="H22" i="49"/>
  <c r="G22" i="49"/>
  <c r="F22" i="49"/>
  <c r="E22" i="49"/>
  <c r="D22" i="49"/>
  <c r="M22" i="49"/>
  <c r="C22" i="49"/>
  <c r="L21" i="49"/>
  <c r="K21" i="49"/>
  <c r="J21" i="49"/>
  <c r="I21" i="49"/>
  <c r="H21" i="49"/>
  <c r="G21" i="49"/>
  <c r="F21" i="49"/>
  <c r="E21" i="49"/>
  <c r="D21" i="49"/>
  <c r="C21" i="49"/>
  <c r="M21" i="49"/>
  <c r="L20" i="49"/>
  <c r="K20" i="49"/>
  <c r="J20" i="49"/>
  <c r="I20" i="49"/>
  <c r="H20" i="49"/>
  <c r="G20" i="49"/>
  <c r="F20" i="49"/>
  <c r="E20" i="49"/>
  <c r="D20" i="49"/>
  <c r="C20" i="49"/>
  <c r="M20" i="49"/>
  <c r="L19" i="49"/>
  <c r="K19" i="49"/>
  <c r="J19" i="49"/>
  <c r="I19" i="49"/>
  <c r="H19" i="49"/>
  <c r="G19" i="49"/>
  <c r="F19" i="49"/>
  <c r="E19" i="49"/>
  <c r="M19" i="49"/>
  <c r="D19" i="49"/>
  <c r="C19" i="49"/>
  <c r="L18" i="49"/>
  <c r="K18" i="49"/>
  <c r="J18" i="49"/>
  <c r="I18" i="49"/>
  <c r="H18" i="49"/>
  <c r="G18" i="49"/>
  <c r="F18" i="49"/>
  <c r="E18" i="49"/>
  <c r="D18" i="49"/>
  <c r="M18" i="49"/>
  <c r="C18" i="49"/>
  <c r="L17" i="49"/>
  <c r="K17" i="49"/>
  <c r="J17" i="49"/>
  <c r="I17" i="49"/>
  <c r="H17" i="49"/>
  <c r="G17" i="49"/>
  <c r="F17" i="49"/>
  <c r="E17" i="49"/>
  <c r="D17" i="49"/>
  <c r="C17" i="49"/>
  <c r="M17" i="49"/>
  <c r="L16" i="49"/>
  <c r="K16" i="49"/>
  <c r="J16" i="49"/>
  <c r="I16" i="49"/>
  <c r="H16" i="49"/>
  <c r="G16" i="49"/>
  <c r="F16" i="49"/>
  <c r="E16" i="49"/>
  <c r="D16" i="49"/>
  <c r="C16" i="49"/>
  <c r="M16" i="49"/>
  <c r="L15" i="49"/>
  <c r="K15" i="49"/>
  <c r="J15" i="49"/>
  <c r="I15" i="49"/>
  <c r="H15" i="49"/>
  <c r="G15" i="49"/>
  <c r="F15" i="49"/>
  <c r="E15" i="49"/>
  <c r="M15" i="49"/>
  <c r="D15" i="49"/>
  <c r="C15" i="49"/>
  <c r="L14" i="49"/>
  <c r="K14" i="49"/>
  <c r="J14" i="49"/>
  <c r="I14" i="49"/>
  <c r="H14" i="49"/>
  <c r="G14" i="49"/>
  <c r="F14" i="49"/>
  <c r="E14" i="49"/>
  <c r="D14" i="49"/>
  <c r="M14" i="49"/>
  <c r="C14" i="49"/>
  <c r="L13" i="49"/>
  <c r="K13" i="49"/>
  <c r="J13" i="49"/>
  <c r="I13" i="49"/>
  <c r="H13" i="49"/>
  <c r="G13" i="49"/>
  <c r="F13" i="49"/>
  <c r="E13" i="49"/>
  <c r="D13" i="49"/>
  <c r="C13" i="49"/>
  <c r="M13" i="49"/>
  <c r="L11" i="49"/>
  <c r="K11" i="49"/>
  <c r="J11" i="49"/>
  <c r="I11" i="49"/>
  <c r="H11" i="49"/>
  <c r="G11" i="49"/>
  <c r="F11" i="49"/>
  <c r="E11" i="49"/>
  <c r="D11" i="49"/>
  <c r="C11" i="49"/>
  <c r="M11" i="49"/>
  <c r="L10" i="49"/>
  <c r="K10" i="49"/>
  <c r="J10" i="49"/>
  <c r="I10" i="49"/>
  <c r="H10" i="49"/>
  <c r="G10" i="49"/>
  <c r="F10" i="49"/>
  <c r="E10" i="49"/>
  <c r="M10" i="49"/>
  <c r="D10" i="49"/>
  <c r="C10" i="49"/>
  <c r="L9" i="49"/>
  <c r="K9" i="49"/>
  <c r="J9" i="49"/>
  <c r="I9" i="49"/>
  <c r="H9" i="49"/>
  <c r="G9" i="49"/>
  <c r="F9" i="49"/>
  <c r="E9" i="49"/>
  <c r="D9" i="49"/>
  <c r="M9" i="49"/>
  <c r="C9" i="49"/>
  <c r="L8" i="49"/>
  <c r="K8" i="49"/>
  <c r="J8" i="49"/>
  <c r="I8" i="49"/>
  <c r="H8" i="49"/>
  <c r="G8" i="49"/>
  <c r="F8" i="49"/>
  <c r="E8" i="49"/>
  <c r="D8" i="49"/>
  <c r="C8" i="49"/>
  <c r="M8" i="49"/>
  <c r="L7" i="49"/>
  <c r="K7" i="49"/>
  <c r="J7" i="49"/>
  <c r="I7" i="49"/>
  <c r="H7" i="49"/>
  <c r="G7" i="49"/>
  <c r="F7" i="49"/>
  <c r="E7" i="49"/>
  <c r="D7" i="49"/>
  <c r="C7" i="49"/>
  <c r="M7" i="49"/>
  <c r="L6" i="49"/>
  <c r="K6" i="49"/>
  <c r="J6" i="49"/>
  <c r="I6" i="49"/>
  <c r="H6" i="49"/>
  <c r="G6" i="49"/>
  <c r="F6" i="49"/>
  <c r="E6" i="49"/>
  <c r="M6" i="49"/>
  <c r="D6" i="49"/>
  <c r="C6" i="49"/>
  <c r="L5" i="49"/>
  <c r="K5" i="49"/>
  <c r="J5" i="49"/>
  <c r="I5" i="49"/>
  <c r="H5" i="49"/>
  <c r="G5" i="49"/>
  <c r="F5" i="49"/>
  <c r="E5" i="49"/>
  <c r="D5" i="49"/>
  <c r="M5" i="49"/>
  <c r="C5" i="49"/>
  <c r="M12" i="4"/>
  <c r="L12" i="4"/>
  <c r="K12" i="4"/>
  <c r="J12" i="4"/>
  <c r="I12" i="4"/>
  <c r="H12" i="4"/>
  <c r="G12" i="4"/>
  <c r="F12" i="4"/>
  <c r="E12" i="4"/>
  <c r="D12" i="4"/>
  <c r="M11" i="4"/>
  <c r="L11" i="4"/>
  <c r="K11" i="4"/>
  <c r="J11" i="4"/>
  <c r="I11" i="4"/>
  <c r="H11" i="4"/>
  <c r="G11" i="4"/>
  <c r="F11" i="4"/>
  <c r="E11" i="4"/>
  <c r="D11" i="4"/>
  <c r="N6" i="4"/>
  <c r="N5" i="4"/>
  <c r="M6" i="4"/>
  <c r="L6" i="4"/>
  <c r="K6" i="4"/>
  <c r="J6" i="4"/>
  <c r="I6" i="4"/>
  <c r="H6" i="4"/>
  <c r="G6" i="4"/>
  <c r="F6" i="4"/>
  <c r="E6" i="4"/>
  <c r="D6" i="4"/>
  <c r="M5" i="4"/>
  <c r="L5" i="4"/>
  <c r="K5" i="4"/>
  <c r="J5" i="4"/>
  <c r="I5" i="4"/>
  <c r="H5" i="4"/>
  <c r="G5" i="4"/>
  <c r="F5" i="4"/>
  <c r="E5" i="4"/>
  <c r="D5" i="4"/>
  <c r="C14" i="35"/>
  <c r="C13" i="35"/>
  <c r="C12" i="35"/>
  <c r="C11" i="35"/>
  <c r="C10" i="35"/>
  <c r="C9" i="35"/>
  <c r="C8" i="35"/>
  <c r="C7" i="35"/>
  <c r="C6" i="35"/>
  <c r="C5" i="35"/>
  <c r="Y29" i="47"/>
  <c r="X29" i="47"/>
  <c r="W29" i="47"/>
  <c r="V29" i="47"/>
  <c r="U29" i="47"/>
  <c r="T29" i="47"/>
  <c r="S29" i="47"/>
  <c r="R29" i="47"/>
  <c r="Q29" i="47"/>
  <c r="P29" i="47"/>
  <c r="L27" i="48"/>
  <c r="K27" i="48"/>
  <c r="J27" i="48"/>
  <c r="I27" i="48"/>
  <c r="H27" i="48"/>
  <c r="G27" i="48"/>
  <c r="F27" i="48"/>
  <c r="E27" i="48"/>
  <c r="D27" i="48"/>
  <c r="C27" i="48"/>
  <c r="L26" i="48"/>
  <c r="K26" i="48"/>
  <c r="J26" i="48"/>
  <c r="I26" i="48"/>
  <c r="H26" i="48"/>
  <c r="G26" i="48"/>
  <c r="F26" i="48"/>
  <c r="E26" i="48"/>
  <c r="D26" i="48"/>
  <c r="C26" i="48"/>
  <c r="L25" i="48"/>
  <c r="K25" i="48"/>
  <c r="J25" i="48"/>
  <c r="I25" i="48"/>
  <c r="H25" i="48"/>
  <c r="G25" i="48"/>
  <c r="F25" i="48"/>
  <c r="E25" i="48"/>
  <c r="D25" i="48"/>
  <c r="C25" i="48"/>
  <c r="L24" i="48"/>
  <c r="K24" i="48"/>
  <c r="J24" i="48"/>
  <c r="I24" i="48"/>
  <c r="H24" i="48"/>
  <c r="G24" i="48"/>
  <c r="F24" i="48"/>
  <c r="E24" i="48"/>
  <c r="D24" i="48"/>
  <c r="C24" i="48"/>
  <c r="L23" i="48"/>
  <c r="K23" i="48"/>
  <c r="J23" i="48"/>
  <c r="I23" i="48"/>
  <c r="H23" i="48"/>
  <c r="G23" i="48"/>
  <c r="F23" i="48"/>
  <c r="E23" i="48"/>
  <c r="D23" i="48"/>
  <c r="C23" i="48"/>
  <c r="L22" i="48"/>
  <c r="K22" i="48"/>
  <c r="J22" i="48"/>
  <c r="I22" i="48"/>
  <c r="H22" i="48"/>
  <c r="G22" i="48"/>
  <c r="F22" i="48"/>
  <c r="E22" i="48"/>
  <c r="D22" i="48"/>
  <c r="C22" i="48"/>
  <c r="L21" i="48"/>
  <c r="K21" i="48"/>
  <c r="J21" i="48"/>
  <c r="I21" i="48"/>
  <c r="H21" i="48"/>
  <c r="G21" i="48"/>
  <c r="F21" i="48"/>
  <c r="E21" i="48"/>
  <c r="M21" i="48"/>
  <c r="D21" i="48"/>
  <c r="C21" i="48"/>
  <c r="L20" i="48"/>
  <c r="K20" i="48"/>
  <c r="J20" i="48"/>
  <c r="I20" i="48"/>
  <c r="H20" i="48"/>
  <c r="G20" i="48"/>
  <c r="F20" i="48"/>
  <c r="E20" i="48"/>
  <c r="D20" i="48"/>
  <c r="C20" i="48"/>
  <c r="L19" i="48"/>
  <c r="K19" i="48"/>
  <c r="J19" i="48"/>
  <c r="I19" i="48"/>
  <c r="H19" i="48"/>
  <c r="G19" i="48"/>
  <c r="F19" i="48"/>
  <c r="E19" i="48"/>
  <c r="M19" i="48"/>
  <c r="D19" i="48"/>
  <c r="C19" i="48"/>
  <c r="L18" i="48"/>
  <c r="K18" i="48"/>
  <c r="J18" i="48"/>
  <c r="I18" i="48"/>
  <c r="H18" i="48"/>
  <c r="G18" i="48"/>
  <c r="F18" i="48"/>
  <c r="E18" i="48"/>
  <c r="D18" i="48"/>
  <c r="C18" i="48"/>
  <c r="L17" i="48"/>
  <c r="K17" i="48"/>
  <c r="J17" i="48"/>
  <c r="I17" i="48"/>
  <c r="H17" i="48"/>
  <c r="G17" i="48"/>
  <c r="F17" i="48"/>
  <c r="E17" i="48"/>
  <c r="D17" i="48"/>
  <c r="C17" i="48"/>
  <c r="L16" i="48"/>
  <c r="K16" i="48"/>
  <c r="J16" i="48"/>
  <c r="I16" i="48"/>
  <c r="H16" i="48"/>
  <c r="G16" i="48"/>
  <c r="F16" i="48"/>
  <c r="E16" i="48"/>
  <c r="D16" i="48"/>
  <c r="C16" i="48"/>
  <c r="L15" i="48"/>
  <c r="K15" i="48"/>
  <c r="J15" i="48"/>
  <c r="I15" i="48"/>
  <c r="H15" i="48"/>
  <c r="G15" i="48"/>
  <c r="F15" i="48"/>
  <c r="E15" i="48"/>
  <c r="D15" i="48"/>
  <c r="C15" i="48"/>
  <c r="L14" i="48"/>
  <c r="K14" i="48"/>
  <c r="J14" i="48"/>
  <c r="I14" i="48"/>
  <c r="H14" i="48"/>
  <c r="G14" i="48"/>
  <c r="F14" i="48"/>
  <c r="E14" i="48"/>
  <c r="D14" i="48"/>
  <c r="C14" i="48"/>
  <c r="L13" i="48"/>
  <c r="K13" i="48"/>
  <c r="J13" i="48"/>
  <c r="I13" i="48"/>
  <c r="H13" i="48"/>
  <c r="G13" i="48"/>
  <c r="F13" i="48"/>
  <c r="E13" i="48"/>
  <c r="D13" i="48"/>
  <c r="C13" i="48"/>
  <c r="L11" i="48"/>
  <c r="K11" i="48"/>
  <c r="J11" i="48"/>
  <c r="I11" i="48"/>
  <c r="H11" i="48"/>
  <c r="G11" i="48"/>
  <c r="F11" i="48"/>
  <c r="E11" i="48"/>
  <c r="D11" i="48"/>
  <c r="C11" i="48"/>
  <c r="L10" i="48"/>
  <c r="K10" i="48"/>
  <c r="J10" i="48"/>
  <c r="I10" i="48"/>
  <c r="H10" i="48"/>
  <c r="G10" i="48"/>
  <c r="F10" i="48"/>
  <c r="E10" i="48"/>
  <c r="D10" i="48"/>
  <c r="C10" i="48"/>
  <c r="L9" i="48"/>
  <c r="K9" i="48"/>
  <c r="J9" i="48"/>
  <c r="I9" i="48"/>
  <c r="H9" i="48"/>
  <c r="G9" i="48"/>
  <c r="F9" i="48"/>
  <c r="E9" i="48"/>
  <c r="D9" i="48"/>
  <c r="C9" i="48"/>
  <c r="L8" i="48"/>
  <c r="K8" i="48"/>
  <c r="J8" i="48"/>
  <c r="I8" i="48"/>
  <c r="H8" i="48"/>
  <c r="G8" i="48"/>
  <c r="F8" i="48"/>
  <c r="E8" i="48"/>
  <c r="D8" i="48"/>
  <c r="C8" i="48"/>
  <c r="L7" i="48"/>
  <c r="K7" i="48"/>
  <c r="J7" i="48"/>
  <c r="I7" i="48"/>
  <c r="H7" i="48"/>
  <c r="G7" i="48"/>
  <c r="F7" i="48"/>
  <c r="E7" i="48"/>
  <c r="D7" i="48"/>
  <c r="C7" i="48"/>
  <c r="L6" i="48"/>
  <c r="K6" i="48"/>
  <c r="J6" i="48"/>
  <c r="I6" i="48"/>
  <c r="H6" i="48"/>
  <c r="G6" i="48"/>
  <c r="F6" i="48"/>
  <c r="E6" i="48"/>
  <c r="D6" i="48"/>
  <c r="C6" i="48"/>
  <c r="L5" i="48"/>
  <c r="K5" i="48"/>
  <c r="J5" i="48"/>
  <c r="I5" i="48"/>
  <c r="H5" i="48"/>
  <c r="G5" i="48"/>
  <c r="F5" i="48"/>
  <c r="E5" i="48"/>
  <c r="D5" i="48"/>
  <c r="C5" i="48"/>
  <c r="M25" i="48"/>
  <c r="M8" i="48"/>
  <c r="L27" i="47"/>
  <c r="K27" i="47"/>
  <c r="J27" i="47"/>
  <c r="I27" i="47"/>
  <c r="H27" i="47"/>
  <c r="G27" i="47"/>
  <c r="F27" i="47"/>
  <c r="E27" i="47"/>
  <c r="D27" i="47"/>
  <c r="C27" i="47"/>
  <c r="L26" i="47"/>
  <c r="K26" i="47"/>
  <c r="J26" i="47"/>
  <c r="I26" i="47"/>
  <c r="H26" i="47"/>
  <c r="G26" i="47"/>
  <c r="F26" i="47"/>
  <c r="E26" i="47"/>
  <c r="D26" i="47"/>
  <c r="C26" i="47"/>
  <c r="L17" i="47"/>
  <c r="K17" i="47"/>
  <c r="J17" i="47"/>
  <c r="I17" i="47"/>
  <c r="H17" i="47"/>
  <c r="G17" i="47"/>
  <c r="F17" i="47"/>
  <c r="E17" i="47"/>
  <c r="D17" i="47"/>
  <c r="C17" i="47"/>
  <c r="L15" i="47"/>
  <c r="K15" i="47"/>
  <c r="J15" i="47"/>
  <c r="I15" i="47"/>
  <c r="H15" i="47"/>
  <c r="G15" i="47"/>
  <c r="F15" i="47"/>
  <c r="E15" i="47"/>
  <c r="D15" i="47"/>
  <c r="C15" i="47"/>
  <c r="L25" i="47"/>
  <c r="K25" i="47"/>
  <c r="J25" i="47"/>
  <c r="I25" i="47"/>
  <c r="H25" i="47"/>
  <c r="G25" i="47"/>
  <c r="F25" i="47"/>
  <c r="E25" i="47"/>
  <c r="D25" i="47"/>
  <c r="C25" i="47"/>
  <c r="L24" i="47"/>
  <c r="K24" i="47"/>
  <c r="J24" i="47"/>
  <c r="I24" i="47"/>
  <c r="H24" i="47"/>
  <c r="G24" i="47"/>
  <c r="F24" i="47"/>
  <c r="E24" i="47"/>
  <c r="D24" i="47"/>
  <c r="C24" i="47"/>
  <c r="L23" i="47"/>
  <c r="K23" i="47"/>
  <c r="J23" i="47"/>
  <c r="I23" i="47"/>
  <c r="H23" i="47"/>
  <c r="G23" i="47"/>
  <c r="F23" i="47"/>
  <c r="E23" i="47"/>
  <c r="D23" i="47"/>
  <c r="C23" i="47"/>
  <c r="L22" i="47"/>
  <c r="K22" i="47"/>
  <c r="J22" i="47"/>
  <c r="I22" i="47"/>
  <c r="H22" i="47"/>
  <c r="G22" i="47"/>
  <c r="F22" i="47"/>
  <c r="E22" i="47"/>
  <c r="D22" i="47"/>
  <c r="C22" i="47"/>
  <c r="L21" i="47"/>
  <c r="K21" i="47"/>
  <c r="J21" i="47"/>
  <c r="I21" i="47"/>
  <c r="H21" i="47"/>
  <c r="G21" i="47"/>
  <c r="F21" i="47"/>
  <c r="E21" i="47"/>
  <c r="D21" i="47"/>
  <c r="C21" i="47"/>
  <c r="L20" i="47"/>
  <c r="K20" i="47"/>
  <c r="J20" i="47"/>
  <c r="I20" i="47"/>
  <c r="H20" i="47"/>
  <c r="G20" i="47"/>
  <c r="F20" i="47"/>
  <c r="E20" i="47"/>
  <c r="D20" i="47"/>
  <c r="C20" i="47"/>
  <c r="L19" i="47"/>
  <c r="K19" i="47"/>
  <c r="J19" i="47"/>
  <c r="I19" i="47"/>
  <c r="H19" i="47"/>
  <c r="G19" i="47"/>
  <c r="F19" i="47"/>
  <c r="E19" i="47"/>
  <c r="D19" i="47"/>
  <c r="C19" i="47"/>
  <c r="L18" i="47"/>
  <c r="K18" i="47"/>
  <c r="J18" i="47"/>
  <c r="I18" i="47"/>
  <c r="H18" i="47"/>
  <c r="G18" i="47"/>
  <c r="F18" i="47"/>
  <c r="E18" i="47"/>
  <c r="D18" i="47"/>
  <c r="C18" i="47"/>
  <c r="L16" i="47"/>
  <c r="K16" i="47"/>
  <c r="J16" i="47"/>
  <c r="I16" i="47"/>
  <c r="H16" i="47"/>
  <c r="G16" i="47"/>
  <c r="F16" i="47"/>
  <c r="E16" i="47"/>
  <c r="D16" i="47"/>
  <c r="C16" i="47"/>
  <c r="L14" i="47"/>
  <c r="K14" i="47"/>
  <c r="J14" i="47"/>
  <c r="I14" i="47"/>
  <c r="H14" i="47"/>
  <c r="G14" i="47"/>
  <c r="F14" i="47"/>
  <c r="E14" i="47"/>
  <c r="D14" i="47"/>
  <c r="C14" i="47"/>
  <c r="L13" i="47"/>
  <c r="K13" i="47"/>
  <c r="J13" i="47"/>
  <c r="I13" i="47"/>
  <c r="H13" i="47"/>
  <c r="G13" i="47"/>
  <c r="F13" i="47"/>
  <c r="E13" i="47"/>
  <c r="D13" i="47"/>
  <c r="C13" i="47"/>
  <c r="L11" i="47"/>
  <c r="K11" i="47"/>
  <c r="J11" i="47"/>
  <c r="I11" i="47"/>
  <c r="H11" i="47"/>
  <c r="G11" i="47"/>
  <c r="F11" i="47"/>
  <c r="E11" i="47"/>
  <c r="D11" i="47"/>
  <c r="C11" i="47"/>
  <c r="L10" i="47"/>
  <c r="K10" i="47"/>
  <c r="J10" i="47"/>
  <c r="I10" i="47"/>
  <c r="H10" i="47"/>
  <c r="G10" i="47"/>
  <c r="F10" i="47"/>
  <c r="E10" i="47"/>
  <c r="D10" i="47"/>
  <c r="C10" i="47"/>
  <c r="L9" i="47"/>
  <c r="K9" i="47"/>
  <c r="J9" i="47"/>
  <c r="I9" i="47"/>
  <c r="H9" i="47"/>
  <c r="G9" i="47"/>
  <c r="F9" i="47"/>
  <c r="E9" i="47"/>
  <c r="D9" i="47"/>
  <c r="C9" i="47"/>
  <c r="M9" i="47"/>
  <c r="L8" i="47"/>
  <c r="K8" i="47"/>
  <c r="J8" i="47"/>
  <c r="I8" i="47"/>
  <c r="H8" i="47"/>
  <c r="G8" i="47"/>
  <c r="F8" i="47"/>
  <c r="E8" i="47"/>
  <c r="D8" i="47"/>
  <c r="C8" i="47"/>
  <c r="L7" i="47"/>
  <c r="K7" i="47"/>
  <c r="J7" i="47"/>
  <c r="I7" i="47"/>
  <c r="H7" i="47"/>
  <c r="G7" i="47"/>
  <c r="F7" i="47"/>
  <c r="E7" i="47"/>
  <c r="D7" i="47"/>
  <c r="C7" i="47"/>
  <c r="L6" i="47"/>
  <c r="K6" i="47"/>
  <c r="J6" i="47"/>
  <c r="I6" i="47"/>
  <c r="I33" i="47"/>
  <c r="H6" i="47"/>
  <c r="G6" i="47"/>
  <c r="F6" i="47"/>
  <c r="E6" i="47"/>
  <c r="E33" i="47"/>
  <c r="D6" i="47"/>
  <c r="C6" i="47"/>
  <c r="L5" i="47"/>
  <c r="L29" i="47"/>
  <c r="K5" i="47"/>
  <c r="K33" i="47"/>
  <c r="J5" i="47"/>
  <c r="I5" i="47"/>
  <c r="H5" i="47"/>
  <c r="H29" i="47"/>
  <c r="G5" i="47"/>
  <c r="G33" i="47"/>
  <c r="F5" i="47"/>
  <c r="E5" i="47"/>
  <c r="D5" i="47"/>
  <c r="D29" i="47"/>
  <c r="C5" i="47"/>
  <c r="C33" i="47"/>
  <c r="L27" i="46"/>
  <c r="K27" i="46"/>
  <c r="J27" i="46"/>
  <c r="I27" i="46"/>
  <c r="H27" i="46"/>
  <c r="G27" i="46"/>
  <c r="F27" i="46"/>
  <c r="E27" i="46"/>
  <c r="D27" i="46"/>
  <c r="C27" i="46"/>
  <c r="L26" i="46"/>
  <c r="K26" i="46"/>
  <c r="J26" i="46"/>
  <c r="I26" i="46"/>
  <c r="H26" i="46"/>
  <c r="G26" i="46"/>
  <c r="F26" i="46"/>
  <c r="E26" i="46"/>
  <c r="D26" i="46"/>
  <c r="C26" i="46"/>
  <c r="M26" i="46"/>
  <c r="L25" i="46"/>
  <c r="K25" i="46"/>
  <c r="J25" i="46"/>
  <c r="I25" i="46"/>
  <c r="H25" i="46"/>
  <c r="G25" i="46"/>
  <c r="F25" i="46"/>
  <c r="E25" i="46"/>
  <c r="M25" i="46"/>
  <c r="D25" i="46"/>
  <c r="C25" i="46"/>
  <c r="L24" i="46"/>
  <c r="K24" i="46"/>
  <c r="J24" i="46"/>
  <c r="I24" i="46"/>
  <c r="H24" i="46"/>
  <c r="G24" i="46"/>
  <c r="F24" i="46"/>
  <c r="E24" i="46"/>
  <c r="D24" i="46"/>
  <c r="C24" i="46"/>
  <c r="L23" i="46"/>
  <c r="K23" i="46"/>
  <c r="J23" i="46"/>
  <c r="I23" i="46"/>
  <c r="H23" i="46"/>
  <c r="G23" i="46"/>
  <c r="F23" i="46"/>
  <c r="E23" i="46"/>
  <c r="D23" i="46"/>
  <c r="C23" i="46"/>
  <c r="L22" i="46"/>
  <c r="K22" i="46"/>
  <c r="J22" i="46"/>
  <c r="I22" i="46"/>
  <c r="H22" i="46"/>
  <c r="G22" i="46"/>
  <c r="F22" i="46"/>
  <c r="E22" i="46"/>
  <c r="D22" i="46"/>
  <c r="C22" i="46"/>
  <c r="M22" i="46"/>
  <c r="L21" i="46"/>
  <c r="K21" i="46"/>
  <c r="J21" i="46"/>
  <c r="I21" i="46"/>
  <c r="H21" i="46"/>
  <c r="G21" i="46"/>
  <c r="F21" i="46"/>
  <c r="E21" i="46"/>
  <c r="D21" i="46"/>
  <c r="C21" i="46"/>
  <c r="L20" i="46"/>
  <c r="K20" i="46"/>
  <c r="J20" i="46"/>
  <c r="I20" i="46"/>
  <c r="H20" i="46"/>
  <c r="G20" i="46"/>
  <c r="F20" i="46"/>
  <c r="E20" i="46"/>
  <c r="D20" i="46"/>
  <c r="C20" i="46"/>
  <c r="M20" i="46"/>
  <c r="L19" i="46"/>
  <c r="K19" i="46"/>
  <c r="J19" i="46"/>
  <c r="I19" i="46"/>
  <c r="H19" i="46"/>
  <c r="G19" i="46"/>
  <c r="F19" i="46"/>
  <c r="E19" i="46"/>
  <c r="D19" i="46"/>
  <c r="C19" i="46"/>
  <c r="L18" i="46"/>
  <c r="K18" i="46"/>
  <c r="J18" i="46"/>
  <c r="I18" i="46"/>
  <c r="H18" i="46"/>
  <c r="G18" i="46"/>
  <c r="F18" i="46"/>
  <c r="E18" i="46"/>
  <c r="D18" i="46"/>
  <c r="C18" i="46"/>
  <c r="L17" i="46"/>
  <c r="K17" i="46"/>
  <c r="J17" i="46"/>
  <c r="I17" i="46"/>
  <c r="H17" i="46"/>
  <c r="G17" i="46"/>
  <c r="F17" i="46"/>
  <c r="E17" i="46"/>
  <c r="D17" i="46"/>
  <c r="C17" i="46"/>
  <c r="L16" i="46"/>
  <c r="K16" i="46"/>
  <c r="J16" i="46"/>
  <c r="I16" i="46"/>
  <c r="H16" i="46"/>
  <c r="G16" i="46"/>
  <c r="F16" i="46"/>
  <c r="E16" i="46"/>
  <c r="D16" i="46"/>
  <c r="C16" i="46"/>
  <c r="L15" i="46"/>
  <c r="K15" i="46"/>
  <c r="J15" i="46"/>
  <c r="I15" i="46"/>
  <c r="H15" i="46"/>
  <c r="G15" i="46"/>
  <c r="F15" i="46"/>
  <c r="E15" i="46"/>
  <c r="D15" i="46"/>
  <c r="C15" i="46"/>
  <c r="L14" i="46"/>
  <c r="K14" i="46"/>
  <c r="J14" i="46"/>
  <c r="I14" i="46"/>
  <c r="H14" i="46"/>
  <c r="G14" i="46"/>
  <c r="F14" i="46"/>
  <c r="E14" i="46"/>
  <c r="D14" i="46"/>
  <c r="C14" i="46"/>
  <c r="L13" i="46"/>
  <c r="K13" i="46"/>
  <c r="J13" i="46"/>
  <c r="I13" i="46"/>
  <c r="H13" i="46"/>
  <c r="G13" i="46"/>
  <c r="F13" i="46"/>
  <c r="E13" i="46"/>
  <c r="D13" i="46"/>
  <c r="C13" i="46"/>
  <c r="L11" i="46"/>
  <c r="K11" i="46"/>
  <c r="J11" i="46"/>
  <c r="I11" i="46"/>
  <c r="H11" i="46"/>
  <c r="G11" i="46"/>
  <c r="F11" i="46"/>
  <c r="E11" i="46"/>
  <c r="D11" i="46"/>
  <c r="C11" i="46"/>
  <c r="L10" i="46"/>
  <c r="K10" i="46"/>
  <c r="J10" i="46"/>
  <c r="I10" i="46"/>
  <c r="H10" i="46"/>
  <c r="G10" i="46"/>
  <c r="F10" i="46"/>
  <c r="E10" i="46"/>
  <c r="D10" i="46"/>
  <c r="C10" i="46"/>
  <c r="L9" i="46"/>
  <c r="K9" i="46"/>
  <c r="J9" i="46"/>
  <c r="I9" i="46"/>
  <c r="H9" i="46"/>
  <c r="G9" i="46"/>
  <c r="F9" i="46"/>
  <c r="E9" i="46"/>
  <c r="D9" i="46"/>
  <c r="C9" i="46"/>
  <c r="L8" i="46"/>
  <c r="K8" i="46"/>
  <c r="J8" i="46"/>
  <c r="I8" i="46"/>
  <c r="H8" i="46"/>
  <c r="G8" i="46"/>
  <c r="F8" i="46"/>
  <c r="E8" i="46"/>
  <c r="D8" i="46"/>
  <c r="C8" i="46"/>
  <c r="L7" i="46"/>
  <c r="K7" i="46"/>
  <c r="J7" i="46"/>
  <c r="I7" i="46"/>
  <c r="H7" i="46"/>
  <c r="G7" i="46"/>
  <c r="F7" i="46"/>
  <c r="E7" i="46"/>
  <c r="D7" i="46"/>
  <c r="C7" i="46"/>
  <c r="L6" i="46"/>
  <c r="K6" i="46"/>
  <c r="J6" i="46"/>
  <c r="I6" i="46"/>
  <c r="H6" i="46"/>
  <c r="G6" i="46"/>
  <c r="F6" i="46"/>
  <c r="E6" i="46"/>
  <c r="D6" i="46"/>
  <c r="C6" i="46"/>
  <c r="L5" i="46"/>
  <c r="K5" i="46"/>
  <c r="J5" i="46"/>
  <c r="I5" i="46"/>
  <c r="H5" i="46"/>
  <c r="G5" i="46"/>
  <c r="F5" i="46"/>
  <c r="E5" i="46"/>
  <c r="D5" i="46"/>
  <c r="C5" i="46"/>
  <c r="M21" i="46"/>
  <c r="D10" i="9"/>
  <c r="C10" i="9"/>
  <c r="D9" i="9"/>
  <c r="C9" i="9"/>
  <c r="D8" i="9"/>
  <c r="C8" i="9"/>
  <c r="D7" i="9"/>
  <c r="C7" i="9"/>
  <c r="D6" i="9"/>
  <c r="D5" i="9"/>
  <c r="C5" i="9"/>
  <c r="D8" i="29"/>
  <c r="D7" i="29"/>
  <c r="D6" i="29"/>
  <c r="C6" i="29"/>
  <c r="D8" i="26"/>
  <c r="D7" i="26"/>
  <c r="D6" i="26"/>
  <c r="D8" i="25"/>
  <c r="D7" i="25"/>
  <c r="D6" i="25"/>
  <c r="D8" i="28"/>
  <c r="D7" i="28"/>
  <c r="D6" i="28"/>
  <c r="M8" i="2"/>
  <c r="M22" i="2"/>
  <c r="M21" i="2"/>
  <c r="M20" i="2"/>
  <c r="D5" i="10"/>
  <c r="C5" i="10"/>
  <c r="L27" i="2"/>
  <c r="K27" i="2"/>
  <c r="J27" i="2"/>
  <c r="I27" i="2"/>
  <c r="H27" i="2"/>
  <c r="G27" i="2"/>
  <c r="F27" i="2"/>
  <c r="E27" i="2"/>
  <c r="D27" i="2"/>
  <c r="C27" i="2"/>
  <c r="L26" i="2"/>
  <c r="K26" i="2"/>
  <c r="J26" i="2"/>
  <c r="I26" i="2"/>
  <c r="H26" i="2"/>
  <c r="G26" i="2"/>
  <c r="F26" i="2"/>
  <c r="E26" i="2"/>
  <c r="D26" i="2"/>
  <c r="C26" i="2"/>
  <c r="L17" i="2"/>
  <c r="K17" i="2"/>
  <c r="J17" i="2"/>
  <c r="I17" i="2"/>
  <c r="H17" i="2"/>
  <c r="G17" i="2"/>
  <c r="F17" i="2"/>
  <c r="E17" i="2"/>
  <c r="D17" i="2"/>
  <c r="C17" i="2"/>
  <c r="L15" i="2"/>
  <c r="K15" i="2"/>
  <c r="J15" i="2"/>
  <c r="I15" i="2"/>
  <c r="H15" i="2"/>
  <c r="G15" i="2"/>
  <c r="F15" i="2"/>
  <c r="E15" i="2"/>
  <c r="D15" i="2"/>
  <c r="C15" i="2"/>
  <c r="L25" i="2"/>
  <c r="K25" i="2"/>
  <c r="J25" i="2"/>
  <c r="I25" i="2"/>
  <c r="H25" i="2"/>
  <c r="G25" i="2"/>
  <c r="F25" i="2"/>
  <c r="E25" i="2"/>
  <c r="D25" i="2"/>
  <c r="C25" i="2"/>
  <c r="L24" i="2"/>
  <c r="K24" i="2"/>
  <c r="J24" i="2"/>
  <c r="I24" i="2"/>
  <c r="H24" i="2"/>
  <c r="G24" i="2"/>
  <c r="F24" i="2"/>
  <c r="E24" i="2"/>
  <c r="D24" i="2"/>
  <c r="C24" i="2"/>
  <c r="L23" i="2"/>
  <c r="K23" i="2"/>
  <c r="J23" i="2"/>
  <c r="I23" i="2"/>
  <c r="H23" i="2"/>
  <c r="G23" i="2"/>
  <c r="F23" i="2"/>
  <c r="E23" i="2"/>
  <c r="D23" i="2"/>
  <c r="C23" i="2"/>
  <c r="L22" i="2"/>
  <c r="K22" i="2"/>
  <c r="J22" i="2"/>
  <c r="I22" i="2"/>
  <c r="H22" i="2"/>
  <c r="G22" i="2"/>
  <c r="F22" i="2"/>
  <c r="E22" i="2"/>
  <c r="D22" i="2"/>
  <c r="C22" i="2"/>
  <c r="L21" i="2"/>
  <c r="K21" i="2"/>
  <c r="J21" i="2"/>
  <c r="I21" i="2"/>
  <c r="H21" i="2"/>
  <c r="G21" i="2"/>
  <c r="F21" i="2"/>
  <c r="E21" i="2"/>
  <c r="D21" i="2"/>
  <c r="C21" i="2"/>
  <c r="L20" i="2"/>
  <c r="K20" i="2"/>
  <c r="J20" i="2"/>
  <c r="I20" i="2"/>
  <c r="H20" i="2"/>
  <c r="G20" i="2"/>
  <c r="F20" i="2"/>
  <c r="E20" i="2"/>
  <c r="D20" i="2"/>
  <c r="C20" i="2"/>
  <c r="L19" i="2"/>
  <c r="K19" i="2"/>
  <c r="J19" i="2"/>
  <c r="I19" i="2"/>
  <c r="H19" i="2"/>
  <c r="G19" i="2"/>
  <c r="F19" i="2"/>
  <c r="E19" i="2"/>
  <c r="D19" i="2"/>
  <c r="C19" i="2"/>
  <c r="L18" i="2"/>
  <c r="K18" i="2"/>
  <c r="J18" i="2"/>
  <c r="I18" i="2"/>
  <c r="H18" i="2"/>
  <c r="G18" i="2"/>
  <c r="F18" i="2"/>
  <c r="E18" i="2"/>
  <c r="D18" i="2"/>
  <c r="C18" i="2"/>
  <c r="L16" i="2"/>
  <c r="K16" i="2"/>
  <c r="J16" i="2"/>
  <c r="I16" i="2"/>
  <c r="H16" i="2"/>
  <c r="G16" i="2"/>
  <c r="F16" i="2"/>
  <c r="E16" i="2"/>
  <c r="D16" i="2"/>
  <c r="C16" i="2"/>
  <c r="L14" i="2"/>
  <c r="K14" i="2"/>
  <c r="J14" i="2"/>
  <c r="I14" i="2"/>
  <c r="H14" i="2"/>
  <c r="G14" i="2"/>
  <c r="F14" i="2"/>
  <c r="E14" i="2"/>
  <c r="D14" i="2"/>
  <c r="C14" i="2"/>
  <c r="L13" i="2"/>
  <c r="K13" i="2"/>
  <c r="J13" i="2"/>
  <c r="I13" i="2"/>
  <c r="H13" i="2"/>
  <c r="G13" i="2"/>
  <c r="F13" i="2"/>
  <c r="E13" i="2"/>
  <c r="D13" i="2"/>
  <c r="C13" i="2"/>
  <c r="D6" i="24"/>
  <c r="L11" i="2"/>
  <c r="K11" i="2"/>
  <c r="J11" i="2"/>
  <c r="I11" i="2"/>
  <c r="H11" i="2"/>
  <c r="G11" i="2"/>
  <c r="F11" i="2"/>
  <c r="E11" i="2"/>
  <c r="D11" i="2"/>
  <c r="C11" i="2"/>
  <c r="L10" i="2"/>
  <c r="K10" i="2"/>
  <c r="J10" i="2"/>
  <c r="I10" i="2"/>
  <c r="H10" i="2"/>
  <c r="G10" i="2"/>
  <c r="F10" i="2"/>
  <c r="E10" i="2"/>
  <c r="D10" i="2"/>
  <c r="C10" i="2"/>
  <c r="L9" i="2"/>
  <c r="K9" i="2"/>
  <c r="J9" i="2"/>
  <c r="I9" i="2"/>
  <c r="H9" i="2"/>
  <c r="G9" i="2"/>
  <c r="F9" i="2"/>
  <c r="E9" i="2"/>
  <c r="D9" i="2"/>
  <c r="C9" i="2"/>
  <c r="L8" i="2"/>
  <c r="K8" i="2"/>
  <c r="J8" i="2"/>
  <c r="I8" i="2"/>
  <c r="H8" i="2"/>
  <c r="G8" i="2"/>
  <c r="F8" i="2"/>
  <c r="E8" i="2"/>
  <c r="D8" i="2"/>
  <c r="C8" i="2"/>
  <c r="L7" i="2"/>
  <c r="K7" i="2"/>
  <c r="J7" i="2"/>
  <c r="I7" i="2"/>
  <c r="H7" i="2"/>
  <c r="G7" i="2"/>
  <c r="F7" i="2"/>
  <c r="E7" i="2"/>
  <c r="D7" i="2"/>
  <c r="C7" i="2"/>
  <c r="L6" i="2"/>
  <c r="K6" i="2"/>
  <c r="J6" i="2"/>
  <c r="I6" i="2"/>
  <c r="H6" i="2"/>
  <c r="G6" i="2"/>
  <c r="F6" i="2"/>
  <c r="E6" i="2"/>
  <c r="D6" i="2"/>
  <c r="C6" i="2"/>
  <c r="L5" i="2"/>
  <c r="K5" i="2"/>
  <c r="J5" i="2"/>
  <c r="I5" i="2"/>
  <c r="H5" i="2"/>
  <c r="G5" i="2"/>
  <c r="F5" i="2"/>
  <c r="E5" i="2"/>
  <c r="D5" i="2"/>
  <c r="C5" i="2"/>
  <c r="F32" i="44"/>
  <c r="H34" i="44"/>
  <c r="H32" i="44"/>
  <c r="H33" i="44"/>
  <c r="G34" i="44"/>
  <c r="G33" i="44"/>
  <c r="F33" i="44"/>
  <c r="F34" i="44"/>
  <c r="G32" i="44"/>
  <c r="H30" i="44"/>
  <c r="G30" i="44"/>
  <c r="F30" i="44"/>
  <c r="H27" i="44"/>
  <c r="G27" i="44"/>
  <c r="F27" i="44"/>
  <c r="H20" i="44"/>
  <c r="G20" i="44"/>
  <c r="F20" i="44"/>
  <c r="D17" i="44"/>
  <c r="D16" i="44"/>
  <c r="D15" i="44"/>
  <c r="E14" i="44"/>
  <c r="E17" i="44"/>
  <c r="E13" i="16"/>
  <c r="E12" i="16"/>
  <c r="E11" i="16"/>
  <c r="E10" i="16"/>
  <c r="E9" i="16"/>
  <c r="E8" i="16"/>
  <c r="E7" i="16"/>
  <c r="E6" i="16"/>
  <c r="E5" i="16"/>
  <c r="E4" i="16"/>
  <c r="H13" i="20"/>
  <c r="E13" i="20"/>
  <c r="F13" i="20"/>
  <c r="G13" i="20"/>
  <c r="I13" i="20"/>
  <c r="D13" i="20"/>
  <c r="F13" i="18"/>
  <c r="G13" i="18"/>
  <c r="H13" i="18"/>
  <c r="I13" i="18"/>
  <c r="E13" i="18"/>
  <c r="D13" i="18"/>
  <c r="B8" i="43"/>
  <c r="B7" i="43"/>
  <c r="M10" i="4"/>
  <c r="L10" i="4"/>
  <c r="K10" i="4"/>
  <c r="J10" i="4"/>
  <c r="I10" i="4"/>
  <c r="H10" i="4"/>
  <c r="G10" i="4"/>
  <c r="F10" i="4"/>
  <c r="E10" i="4"/>
  <c r="D10" i="4"/>
  <c r="G4" i="4"/>
  <c r="H4" i="4"/>
  <c r="I4" i="4"/>
  <c r="J4" i="4"/>
  <c r="K4" i="4"/>
  <c r="L4" i="4"/>
  <c r="M4" i="4"/>
  <c r="F4" i="4"/>
  <c r="E4" i="4"/>
  <c r="M15" i="48"/>
  <c r="M17" i="48"/>
  <c r="M18" i="48"/>
  <c r="M20" i="48"/>
  <c r="M22" i="48"/>
  <c r="M23" i="48"/>
  <c r="M24" i="48"/>
  <c r="M26" i="48"/>
  <c r="M27" i="48"/>
  <c r="M6" i="48"/>
  <c r="M7" i="48"/>
  <c r="M9" i="48"/>
  <c r="M10" i="48"/>
  <c r="M11" i="48"/>
  <c r="M14" i="48"/>
  <c r="M16" i="48"/>
  <c r="M5" i="48"/>
  <c r="M13" i="48"/>
  <c r="I30" i="47"/>
  <c r="E30" i="47"/>
  <c r="F33" i="47"/>
  <c r="J33" i="47"/>
  <c r="H33" i="47"/>
  <c r="L33" i="47"/>
  <c r="D34" i="47"/>
  <c r="H34" i="47"/>
  <c r="L34" i="47"/>
  <c r="M15" i="47"/>
  <c r="M19" i="47"/>
  <c r="M23" i="47"/>
  <c r="M27" i="47"/>
  <c r="M18" i="47"/>
  <c r="F34" i="47"/>
  <c r="J34" i="47"/>
  <c r="J35" i="47"/>
  <c r="M14" i="47"/>
  <c r="M22" i="47"/>
  <c r="M26" i="47"/>
  <c r="M13" i="47"/>
  <c r="G30" i="47"/>
  <c r="K34" i="47"/>
  <c r="K35" i="47"/>
  <c r="M16" i="47"/>
  <c r="I34" i="47"/>
  <c r="I35" i="47"/>
  <c r="M17" i="47"/>
  <c r="M20" i="47"/>
  <c r="M21" i="47"/>
  <c r="M24" i="47"/>
  <c r="M25" i="47"/>
  <c r="E29" i="47"/>
  <c r="I29" i="47"/>
  <c r="M8" i="47"/>
  <c r="M11" i="47"/>
  <c r="M6" i="47"/>
  <c r="F29" i="47"/>
  <c r="J29" i="47"/>
  <c r="M10" i="47"/>
  <c r="F35" i="47"/>
  <c r="J30" i="47"/>
  <c r="J31" i="47"/>
  <c r="D33" i="47"/>
  <c r="D35" i="47"/>
  <c r="E34" i="47"/>
  <c r="E35" i="47"/>
  <c r="C30" i="47"/>
  <c r="K30" i="47"/>
  <c r="M5" i="47"/>
  <c r="C29" i="47"/>
  <c r="G29" i="47"/>
  <c r="K29" i="47"/>
  <c r="D30" i="47"/>
  <c r="D31" i="47"/>
  <c r="H30" i="47"/>
  <c r="H31" i="47"/>
  <c r="L30" i="47"/>
  <c r="L31" i="47"/>
  <c r="C34" i="47"/>
  <c r="C35" i="47"/>
  <c r="G34" i="47"/>
  <c r="G35" i="47"/>
  <c r="M7" i="47"/>
  <c r="F30" i="47"/>
  <c r="F31" i="47"/>
  <c r="M6" i="46"/>
  <c r="M7" i="46"/>
  <c r="M10" i="46"/>
  <c r="M11" i="46"/>
  <c r="M15" i="46"/>
  <c r="M19" i="46"/>
  <c r="M23" i="46"/>
  <c r="M24" i="46"/>
  <c r="M27" i="46"/>
  <c r="M8" i="46"/>
  <c r="M9" i="46"/>
  <c r="M14" i="46"/>
  <c r="M17" i="46"/>
  <c r="M18" i="46"/>
  <c r="M16" i="46"/>
  <c r="M5" i="46"/>
  <c r="M13" i="46"/>
  <c r="E15" i="44"/>
  <c r="E16" i="44"/>
  <c r="I31" i="47"/>
  <c r="L35" i="47"/>
  <c r="E31" i="47"/>
  <c r="H35" i="47"/>
  <c r="K31" i="47"/>
  <c r="G31" i="47"/>
  <c r="C31" i="47"/>
  <c r="M29" i="47"/>
  <c r="M31" i="47"/>
  <c r="M33" i="47"/>
  <c r="M34" i="47"/>
  <c r="M30" i="47"/>
  <c r="M35" i="47"/>
  <c r="H4" i="20"/>
  <c r="F4" i="20"/>
  <c r="H4" i="18"/>
  <c r="F4" i="18"/>
  <c r="F6" i="13"/>
  <c r="E6" i="13"/>
  <c r="E6" i="12"/>
  <c r="F6" i="12"/>
  <c r="B7" i="35"/>
  <c r="B8" i="35"/>
  <c r="B9" i="35"/>
  <c r="B10" i="35"/>
  <c r="B11" i="35"/>
  <c r="B12" i="35"/>
  <c r="B13" i="35"/>
  <c r="B14" i="35"/>
  <c r="B6" i="35"/>
  <c r="Z20" i="3"/>
  <c r="AC20" i="3"/>
  <c r="Z19" i="3"/>
  <c r="AC19" i="3"/>
  <c r="Z18" i="3"/>
  <c r="AC18" i="3"/>
  <c r="Z17" i="3"/>
  <c r="AC17" i="3"/>
  <c r="Z16" i="3"/>
  <c r="AC16" i="3"/>
  <c r="Z15" i="3"/>
  <c r="AC15" i="3"/>
  <c r="Z14" i="3"/>
  <c r="AC14" i="3"/>
  <c r="Z13" i="3"/>
  <c r="AC13" i="3"/>
  <c r="Y20" i="3"/>
  <c r="AB20" i="3"/>
  <c r="Y19" i="3"/>
  <c r="AB19" i="3"/>
  <c r="Y18" i="3"/>
  <c r="AB18" i="3"/>
  <c r="Y17" i="3"/>
  <c r="AB17" i="3"/>
  <c r="Y16" i="3"/>
  <c r="AB16" i="3"/>
  <c r="Y15" i="3"/>
  <c r="AB15" i="3"/>
  <c r="Y14" i="3"/>
  <c r="AB14" i="3"/>
  <c r="Y13" i="3"/>
  <c r="AB13" i="3"/>
  <c r="Y12" i="3"/>
  <c r="AB12" i="3"/>
  <c r="Z9" i="3"/>
  <c r="AC9" i="3"/>
  <c r="Y9" i="3"/>
  <c r="AB9" i="3"/>
  <c r="Z8" i="3"/>
  <c r="AC8" i="3"/>
  <c r="Y8" i="3"/>
  <c r="AB8" i="3"/>
  <c r="Z7" i="3"/>
  <c r="AC7" i="3"/>
  <c r="Y7" i="3"/>
  <c r="AB7" i="3"/>
  <c r="Z6" i="3"/>
  <c r="AC6" i="3"/>
  <c r="Y6" i="3"/>
  <c r="AB6" i="3"/>
  <c r="Z5" i="3"/>
  <c r="AC5" i="3"/>
  <c r="Y5" i="3"/>
  <c r="AB5" i="3"/>
  <c r="U20" i="3"/>
  <c r="U19" i="3"/>
  <c r="U18" i="3"/>
  <c r="U17" i="3"/>
  <c r="U15" i="3"/>
  <c r="U14" i="3"/>
  <c r="U13" i="3"/>
  <c r="U9" i="3"/>
  <c r="U8" i="3"/>
  <c r="U7" i="3"/>
  <c r="U6" i="3"/>
  <c r="U5" i="3"/>
  <c r="T20" i="3"/>
  <c r="T19" i="3"/>
  <c r="T18" i="3"/>
  <c r="T17" i="3"/>
  <c r="T15" i="3"/>
  <c r="T14" i="3"/>
  <c r="T13" i="3"/>
  <c r="T9" i="3"/>
  <c r="T8" i="3"/>
  <c r="T7" i="3"/>
  <c r="T6" i="3"/>
  <c r="T5" i="3"/>
  <c r="M12" i="3"/>
  <c r="B7" i="29"/>
  <c r="B8" i="29"/>
  <c r="B8" i="28"/>
  <c r="B7" i="28"/>
  <c r="B7" i="27"/>
  <c r="B8" i="27"/>
  <c r="B7" i="26"/>
  <c r="B8" i="26"/>
  <c r="B7" i="25"/>
  <c r="B8" i="25"/>
  <c r="B7" i="24"/>
  <c r="B8" i="24"/>
  <c r="P30" i="23"/>
  <c r="O30" i="23"/>
  <c r="N30" i="23"/>
  <c r="M30" i="23"/>
  <c r="L30" i="23"/>
  <c r="K30" i="23"/>
  <c r="J30" i="23"/>
  <c r="I30" i="23"/>
  <c r="H30" i="23"/>
  <c r="G30" i="23"/>
  <c r="H13" i="23"/>
  <c r="H12" i="23"/>
  <c r="H11" i="23"/>
  <c r="H10" i="23"/>
  <c r="H9" i="23"/>
  <c r="H8" i="23"/>
  <c r="H7" i="23"/>
  <c r="H6" i="23"/>
  <c r="H5" i="23"/>
  <c r="B5" i="23"/>
  <c r="B6" i="23"/>
  <c r="B7" i="23"/>
  <c r="B8" i="23"/>
  <c r="B9" i="23"/>
  <c r="B10" i="23"/>
  <c r="B11" i="23"/>
  <c r="B12" i="23"/>
  <c r="B13" i="23"/>
  <c r="S4" i="23"/>
  <c r="R4" i="23"/>
  <c r="Q4" i="23"/>
  <c r="P4" i="23"/>
  <c r="O4" i="23"/>
  <c r="N4" i="23"/>
  <c r="M4" i="23"/>
  <c r="L4" i="23"/>
  <c r="K4" i="23"/>
  <c r="J4" i="23"/>
  <c r="H4" i="23"/>
  <c r="B5" i="21"/>
  <c r="B6" i="21"/>
  <c r="B7" i="21"/>
  <c r="B8" i="21"/>
  <c r="B9" i="21"/>
  <c r="B10" i="21"/>
  <c r="B11" i="21"/>
  <c r="B12" i="21"/>
  <c r="B13" i="21"/>
  <c r="B5" i="19"/>
  <c r="B6" i="19"/>
  <c r="B7" i="19"/>
  <c r="B8" i="19"/>
  <c r="B9" i="19"/>
  <c r="B10" i="19"/>
  <c r="B11" i="19"/>
  <c r="B12" i="19"/>
  <c r="B13" i="19"/>
  <c r="B6" i="16"/>
  <c r="B7" i="16"/>
  <c r="B8" i="16"/>
  <c r="B9" i="16"/>
  <c r="B10" i="16"/>
  <c r="B11" i="16"/>
  <c r="B12" i="16"/>
  <c r="B13" i="16"/>
  <c r="B5" i="16"/>
  <c r="B5" i="15"/>
  <c r="B6" i="15"/>
  <c r="B7" i="15"/>
  <c r="B8" i="15"/>
  <c r="B9" i="15"/>
  <c r="B10" i="15"/>
  <c r="B11" i="15"/>
  <c r="B12" i="15"/>
  <c r="B13" i="15"/>
  <c r="B6" i="14"/>
  <c r="B7" i="14"/>
  <c r="B8" i="14"/>
  <c r="B9" i="14"/>
  <c r="B10" i="14"/>
  <c r="B11" i="14"/>
  <c r="B12" i="14"/>
  <c r="B13" i="14"/>
  <c r="B5" i="14"/>
  <c r="N7" i="4"/>
  <c r="N12" i="4"/>
  <c r="M13" i="4"/>
  <c r="L13" i="4"/>
  <c r="K13" i="4"/>
  <c r="J13" i="4"/>
  <c r="I13" i="4"/>
  <c r="H13" i="4"/>
  <c r="G13" i="4"/>
  <c r="F13" i="4"/>
  <c r="E13" i="4"/>
  <c r="D13" i="4"/>
  <c r="M7" i="4"/>
  <c r="L7" i="4"/>
  <c r="K7" i="4"/>
  <c r="J7" i="4"/>
  <c r="I7" i="4"/>
  <c r="H7" i="4"/>
  <c r="G7" i="4"/>
  <c r="F7" i="4"/>
  <c r="E7" i="4"/>
  <c r="D7" i="4"/>
  <c r="M26" i="3"/>
  <c r="L25" i="3"/>
  <c r="K25" i="3"/>
  <c r="J25" i="3"/>
  <c r="I25" i="3"/>
  <c r="H25" i="3"/>
  <c r="G25" i="3"/>
  <c r="F25" i="3"/>
  <c r="E25" i="3"/>
  <c r="D25" i="3"/>
  <c r="C25" i="3"/>
  <c r="M23" i="3"/>
  <c r="M22" i="3"/>
  <c r="M21" i="3"/>
  <c r="M20" i="3"/>
  <c r="M19" i="3"/>
  <c r="M18" i="3"/>
  <c r="M17" i="3"/>
  <c r="M15" i="3"/>
  <c r="M14" i="3"/>
  <c r="M13" i="3"/>
  <c r="M10" i="3"/>
  <c r="M9" i="3"/>
  <c r="M8" i="3"/>
  <c r="M7" i="3"/>
  <c r="M6" i="3"/>
  <c r="M5" i="3"/>
  <c r="AC10" i="3"/>
  <c r="AC21" i="3"/>
  <c r="AB10" i="3"/>
  <c r="M25" i="3"/>
  <c r="M28" i="3"/>
  <c r="AB21" i="3"/>
  <c r="N11" i="4"/>
  <c r="N13" i="4"/>
  <c r="C34" i="2"/>
  <c r="L33" i="2"/>
  <c r="K33" i="2"/>
  <c r="J33" i="2"/>
  <c r="I33" i="2"/>
  <c r="H33" i="2"/>
  <c r="G33" i="2"/>
  <c r="F33" i="2"/>
  <c r="E33" i="2"/>
  <c r="D33" i="2"/>
  <c r="C33" i="2"/>
  <c r="C30" i="2"/>
  <c r="C31" i="2"/>
  <c r="L29" i="2"/>
  <c r="K29" i="2"/>
  <c r="J29" i="2"/>
  <c r="I29" i="2"/>
  <c r="H29" i="2"/>
  <c r="G29" i="2"/>
  <c r="F29" i="2"/>
  <c r="E29" i="2"/>
  <c r="D29" i="2"/>
  <c r="C29" i="2"/>
  <c r="M27" i="2"/>
  <c r="M26" i="2"/>
  <c r="M25" i="2"/>
  <c r="M24" i="2"/>
  <c r="M23" i="2"/>
  <c r="M19" i="2"/>
  <c r="M18" i="2"/>
  <c r="M17" i="2"/>
  <c r="M16" i="2"/>
  <c r="M15" i="2"/>
  <c r="M14" i="2"/>
  <c r="D34" i="2"/>
  <c r="D35" i="2"/>
  <c r="M11" i="2"/>
  <c r="M10" i="2"/>
  <c r="M9" i="2"/>
  <c r="M7" i="2"/>
  <c r="M6" i="2"/>
  <c r="M5" i="2"/>
  <c r="P31" i="1"/>
  <c r="O31" i="1"/>
  <c r="M25" i="1"/>
  <c r="P24" i="1"/>
  <c r="O24" i="1"/>
  <c r="L24" i="1"/>
  <c r="K24" i="1"/>
  <c r="J24" i="1"/>
  <c r="I24" i="1"/>
  <c r="H24" i="1"/>
  <c r="G24" i="1"/>
  <c r="F24" i="1"/>
  <c r="E24" i="1"/>
  <c r="D24" i="1"/>
  <c r="S24" i="1"/>
  <c r="C24" i="1"/>
  <c r="M24" i="1"/>
  <c r="M27" i="1"/>
  <c r="M22" i="1"/>
  <c r="S21" i="1"/>
  <c r="M21" i="1"/>
  <c r="S20" i="1"/>
  <c r="R20" i="1"/>
  <c r="M20" i="1"/>
  <c r="S19" i="1"/>
  <c r="R19" i="1"/>
  <c r="M19" i="1"/>
  <c r="S18" i="1"/>
  <c r="R18" i="1"/>
  <c r="M18" i="1"/>
  <c r="S17" i="1"/>
  <c r="R17" i="1"/>
  <c r="M17" i="1"/>
  <c r="S16" i="1"/>
  <c r="R16" i="1"/>
  <c r="M16" i="1"/>
  <c r="M15" i="1"/>
  <c r="S14" i="1"/>
  <c r="R14" i="1"/>
  <c r="M14" i="1"/>
  <c r="M13" i="1"/>
  <c r="S12" i="1"/>
  <c r="V22" i="1"/>
  <c r="R12" i="1"/>
  <c r="U22" i="1"/>
  <c r="M12" i="1"/>
  <c r="M10" i="1"/>
  <c r="S9" i="1"/>
  <c r="R9" i="1"/>
  <c r="M9" i="1"/>
  <c r="S8" i="1"/>
  <c r="R8" i="1"/>
  <c r="M8" i="1"/>
  <c r="S7" i="1"/>
  <c r="R7" i="1"/>
  <c r="U9" i="1"/>
  <c r="M7" i="1"/>
  <c r="S6" i="1"/>
  <c r="R6" i="1"/>
  <c r="M6" i="1"/>
  <c r="S5" i="1"/>
  <c r="V9" i="1"/>
  <c r="R5" i="1"/>
  <c r="M5" i="1"/>
  <c r="M33" i="2"/>
  <c r="D7" i="24"/>
  <c r="Z12" i="3"/>
  <c r="AC12" i="3"/>
  <c r="C35" i="2"/>
  <c r="M29" i="2"/>
  <c r="D30" i="2"/>
  <c r="D31" i="2"/>
  <c r="E30" i="2"/>
  <c r="D8" i="24"/>
  <c r="E34" i="2"/>
  <c r="E31" i="2"/>
  <c r="E35" i="2"/>
  <c r="F34" i="2"/>
  <c r="F35" i="2"/>
  <c r="F30" i="2"/>
  <c r="G34" i="2"/>
  <c r="G35" i="2"/>
  <c r="G30" i="2"/>
  <c r="G31" i="2"/>
  <c r="F31" i="2"/>
  <c r="H34" i="2"/>
  <c r="H30" i="2"/>
  <c r="H31" i="2"/>
  <c r="H35" i="2"/>
  <c r="I34" i="2"/>
  <c r="I35" i="2"/>
  <c r="I30" i="2"/>
  <c r="I31" i="2"/>
  <c r="J34" i="2"/>
  <c r="J30" i="2"/>
  <c r="J31" i="2"/>
  <c r="J35" i="2"/>
  <c r="K34" i="2"/>
  <c r="K35" i="2"/>
  <c r="K30" i="2"/>
  <c r="K31" i="2"/>
  <c r="L30" i="2"/>
  <c r="L34" i="2"/>
  <c r="L35" i="2"/>
  <c r="M13" i="2"/>
  <c r="M34" i="2"/>
  <c r="M35" i="2"/>
  <c r="L31" i="2"/>
  <c r="M30" i="2"/>
  <c r="M31" i="2"/>
</calcChain>
</file>

<file path=xl/sharedStrings.xml><?xml version="1.0" encoding="utf-8"?>
<sst xmlns="http://schemas.openxmlformats.org/spreadsheetml/2006/main" count="3439" uniqueCount="1093">
  <si>
    <t>Tampa Electric's 2020-2029 Storm Protection Plan Total Costs by Program (in Millions)</t>
  </si>
  <si>
    <t>Projection</t>
  </si>
  <si>
    <t>Delta</t>
  </si>
  <si>
    <t>Capital</t>
  </si>
  <si>
    <t>Total</t>
  </si>
  <si>
    <t>Distribution Lateral Undergrounding</t>
  </si>
  <si>
    <t>Transmission Asset Upgrades</t>
  </si>
  <si>
    <t>Substation Extreme Weather Protection</t>
  </si>
  <si>
    <t>Distribution Overhead Feeder Hardening</t>
  </si>
  <si>
    <t>Capital Accuracy</t>
  </si>
  <si>
    <t>Transmission Access Enhancements</t>
  </si>
  <si>
    <t>Distribution Pole Replacements</t>
  </si>
  <si>
    <t>O&amp;M</t>
  </si>
  <si>
    <t>Distribution Vegetation Management - planned</t>
  </si>
  <si>
    <t>Distribution Vegetation Management - unplanned</t>
  </si>
  <si>
    <t>Transmission Vegetation Management - planned</t>
  </si>
  <si>
    <t>Transmission Vegetation Management - unplanned</t>
  </si>
  <si>
    <t>Distribution Infrastructure Inspections</t>
  </si>
  <si>
    <t>Transmission Infrastructure Inspections</t>
  </si>
  <si>
    <t>SPP Planning &amp; Common</t>
  </si>
  <si>
    <t>Other Legacy Storm Hardening Plan Items</t>
  </si>
  <si>
    <t>Substation</t>
  </si>
  <si>
    <t>O&amp;M Accuracy</t>
  </si>
  <si>
    <t>sum of just clause</t>
  </si>
  <si>
    <t>less base rate adjust</t>
  </si>
  <si>
    <t>sum of just clause Original</t>
  </si>
  <si>
    <t>VM, II</t>
  </si>
  <si>
    <t>Total Capital</t>
  </si>
  <si>
    <t>Total O&amp;M</t>
  </si>
  <si>
    <t>Total Clause O&amp;M related Items</t>
  </si>
  <si>
    <t>Total Clause Capital related Items</t>
  </si>
  <si>
    <t>Total SPP Costs</t>
  </si>
  <si>
    <t>Total SPP Clause Costs</t>
  </si>
  <si>
    <t>Tampa Electric's 2022-2031 Storm Protection Plan Total Costs by Program (in Millions)</t>
  </si>
  <si>
    <t>All values in Millions</t>
  </si>
  <si>
    <t>SPP Costs by Year</t>
  </si>
  <si>
    <t>Capital Total</t>
  </si>
  <si>
    <t>O&amp;M Toal</t>
  </si>
  <si>
    <t>Overall Total</t>
  </si>
  <si>
    <t>SPP Revenue Requirements by Year</t>
  </si>
  <si>
    <t xml:space="preserve">  </t>
  </si>
  <si>
    <t>Storm Protection Program</t>
  </si>
  <si>
    <t xml:space="preserve"> Projected Costs     (in Millions)</t>
  </si>
  <si>
    <t>Projected Reduction in Restoration Costs (Approximate Benefits in Percent)</t>
  </si>
  <si>
    <t>Projected Reduction in Customer Minutes of Interruption  (Approximate Benefits in Percent)</t>
  </si>
  <si>
    <t>Program Start Date</t>
  </si>
  <si>
    <t>Program End Date</t>
  </si>
  <si>
    <t>Q2 2020</t>
  </si>
  <si>
    <t>Vegetation Management</t>
  </si>
  <si>
    <t>22 to 29</t>
  </si>
  <si>
    <t>Substation Extreme Weather Hardening</t>
  </si>
  <si>
    <t>Q1 2021</t>
  </si>
  <si>
    <t xml:space="preserve"> Projected Costs         (in Millions)</t>
  </si>
  <si>
    <t>Distribution
System</t>
  </si>
  <si>
    <t>Day-to-Day
Outages</t>
  </si>
  <si>
    <t>Major Event Day
Outages</t>
  </si>
  <si>
    <t>Irma
Repair/Replace</t>
  </si>
  <si>
    <t>Overhead</t>
  </si>
  <si>
    <t>Underground</t>
  </si>
  <si>
    <r>
      <t>Projected Number o</t>
    </r>
    <r>
      <rPr>
        <b/>
        <sz val="12"/>
        <color rgb="FF000000"/>
        <rFont val="Courier New"/>
        <family val="3"/>
      </rPr>
      <t>f Infrastructure Inspections</t>
    </r>
  </si>
  <si>
    <t>Joint Use Audit</t>
  </si>
  <si>
    <t>Note 1</t>
  </si>
  <si>
    <t>Distribution</t>
  </si>
  <si>
    <t>Wood Pole Inspections</t>
  </si>
  <si>
    <t>Transmission</t>
  </si>
  <si>
    <t>Wood Pole/Groundline Inspections</t>
  </si>
  <si>
    <t>Above Ground Inspections</t>
  </si>
  <si>
    <t>Aerial Infrared Patrols</t>
  </si>
  <si>
    <t>Annually</t>
  </si>
  <si>
    <t>Ground Patrols</t>
  </si>
  <si>
    <t xml:space="preserve">Annually </t>
  </si>
  <si>
    <t>Substation Inspections</t>
  </si>
  <si>
    <t>Access Bridge        Project Costs               (in thousands)</t>
  </si>
  <si>
    <t>Access Road Projects Costs               (in thousands)</t>
  </si>
  <si>
    <t xml:space="preserve">Access Road Projects Costs             </t>
  </si>
  <si>
    <t xml:space="preserve">Access Bridge        Project Costs </t>
  </si>
  <si>
    <t>Total Transmission Access Project Costs</t>
  </si>
  <si>
    <t>Supplemental Vegetation Management Project Schedule by Service Area</t>
  </si>
  <si>
    <t>Service Area</t>
  </si>
  <si>
    <t>Miles</t>
  </si>
  <si>
    <t>Customers</t>
  </si>
  <si>
    <t>Central</t>
  </si>
  <si>
    <t>Dade City</t>
  </si>
  <si>
    <t>Eastern</t>
  </si>
  <si>
    <t>Plant City</t>
  </si>
  <si>
    <t>South Hillsborough</t>
  </si>
  <si>
    <t>Western</t>
  </si>
  <si>
    <t>Winter Haven</t>
  </si>
  <si>
    <t>Supplemental Vegetation Management Project Costs               (in thousands)</t>
  </si>
  <si>
    <t>Mid-Cycle Vegetation Management Project Schedule by Service Area</t>
  </si>
  <si>
    <t>Mid-Cycle Vegetation Management Project Costs               (in thousands)</t>
  </si>
  <si>
    <t>Project Scope</t>
  </si>
  <si>
    <t>Total Project Costs (in thousands)</t>
  </si>
  <si>
    <t>Circuits</t>
  </si>
  <si>
    <t>Length (miles)</t>
  </si>
  <si>
    <t>Tampa Electric's Vegetation Management Storm Protection Plan Total Costs (in thousands)</t>
  </si>
  <si>
    <t>Supplemental Vegetation Management Project Costs</t>
  </si>
  <si>
    <t>Mid-Cycle Vegetation Management Project Costs</t>
  </si>
  <si>
    <t>69 kV Reclamation</t>
  </si>
  <si>
    <t>Distribution SPP Veg Mgmnt</t>
  </si>
  <si>
    <t>Internal Staffing (Dx only)</t>
  </si>
  <si>
    <t>Incremental Staffing (Dx only)</t>
  </si>
  <si>
    <t>Planned</t>
  </si>
  <si>
    <t>Supplemental</t>
  </si>
  <si>
    <t>Mid-cycle</t>
  </si>
  <si>
    <t>Transmission SPP Veg Mgmnt</t>
  </si>
  <si>
    <t>Internal Staffing (Tx only)</t>
  </si>
  <si>
    <t>ROW Maintenance (Mowing, etc)</t>
  </si>
  <si>
    <t>69kv Incremental</t>
  </si>
  <si>
    <t>Projects</t>
  </si>
  <si>
    <t>Costs</t>
  </si>
  <si>
    <t>Tampa Electric's              Substation Extreme Weather               Hardening Program                         Projects by Year and Projected Costs (in millions)</t>
  </si>
  <si>
    <t>Disaster Preparedness and Recovery Plan</t>
  </si>
  <si>
    <t>Project ID</t>
  </si>
  <si>
    <t>Circuit No.</t>
  </si>
  <si>
    <t>Specific Project Detail</t>
  </si>
  <si>
    <t>Priority Customers</t>
  </si>
  <si>
    <t>Project Start Qtr</t>
  </si>
  <si>
    <t>Construction</t>
  </si>
  <si>
    <t>Project Cost in 2020</t>
  </si>
  <si>
    <t>OH to UG Length Converted (miles)</t>
  </si>
  <si>
    <t>Poles</t>
  </si>
  <si>
    <t>Residential</t>
  </si>
  <si>
    <t>Small C&amp;I</t>
  </si>
  <si>
    <t>Large C&amp;I</t>
  </si>
  <si>
    <t>Start Qtr</t>
  </si>
  <si>
    <t>End     Qtr</t>
  </si>
  <si>
    <t>Pole Count</t>
  </si>
  <si>
    <t>Project Start Month</t>
  </si>
  <si>
    <t>Start Month</t>
  </si>
  <si>
    <t>End Month</t>
  </si>
  <si>
    <t xml:space="preserve">The North American Electric Reliability Corporation ("NERC") defines the transmission system as lines operated at relatively high voltages varying from 69kV up to 765kV and capable of delivery large quantities of electricity. Tampa Electric's transmission system is made up of 69kV, 138kV and 230kV voltages and is designed to transmit power to the end-user 13.2kV distribution substations. As such, Tampa Electric does not attribute customer counts directly to individual transmission lines. It should be noted, that without Tampa Electric's transmission network in place, power could not be delivered to the distribution network which would result in automatic load loss. </t>
  </si>
  <si>
    <t>Tampa Electric's Storm Protection Plan "Total Cost" Customer Bill Impacts (in percent)</t>
  </si>
  <si>
    <t>Customer Class</t>
  </si>
  <si>
    <t>Residential 1000 kWh</t>
  </si>
  <si>
    <t>Residential 1250 kWh</t>
  </si>
  <si>
    <t>Commercial  1 MW       60 percent Load Factor</t>
  </si>
  <si>
    <t>Industrial 10 MW       60 percent Load Factor</t>
  </si>
  <si>
    <t>Required Contents of Plan</t>
  </si>
  <si>
    <t>25-6.030(3)(a)-(b)</t>
  </si>
  <si>
    <t>Section 3 - SPP Overview</t>
  </si>
  <si>
    <t>25-6.030(3)(c)</t>
  </si>
  <si>
    <t>Section 1 - Tampa Electric’s Service Area</t>
  </si>
  <si>
    <t>25-6.030(3)(d)1-4</t>
  </si>
  <si>
    <t>Section 6 – Storm Protection Programs</t>
  </si>
  <si>
    <t>25-6.030(3)(d)5</t>
  </si>
  <si>
    <t>Section 3 – SPP Overview</t>
  </si>
  <si>
    <t>25-6.030(3)(e)</t>
  </si>
  <si>
    <t>25-6.030(3)(f)</t>
  </si>
  <si>
    <t>Section 6.2 – Vegetation Management</t>
  </si>
  <si>
    <t>25-6.030(3)(g)</t>
  </si>
  <si>
    <t>Section 7 – Projected Costs and Benefits</t>
  </si>
  <si>
    <t>25-6.030(3)(h)</t>
  </si>
  <si>
    <t>Section 8 – Estimated Rate Impacts</t>
  </si>
  <si>
    <t>25-6.030(3)(i)</t>
  </si>
  <si>
    <t>Section 9 – Alternatives and Considerations</t>
  </si>
  <si>
    <t>25-6.030(3)(j)</t>
  </si>
  <si>
    <t>N/A (optional)</t>
  </si>
  <si>
    <t>2020 SPP Filed Costs</t>
  </si>
  <si>
    <t>2022 SPP Filed Costs</t>
  </si>
  <si>
    <t>SPPCRC Projection</t>
  </si>
  <si>
    <t>(positive indicates an increase in cost projection)</t>
  </si>
  <si>
    <t>YEAR</t>
  </si>
  <si>
    <t>Revenue Requirements</t>
  </si>
  <si>
    <t>Tampa Electric's 2022-2031 Storm Protection Plan Total Revenue Requirements by Program (in Millions)</t>
  </si>
  <si>
    <t>Tampa Electric - Proposed 2022-2031 Storm Protection Plan                  Transmission Access Enhancements Program                 Projected Costs versus Benefits</t>
  </si>
  <si>
    <t>Tampa Electric's Distribution Lateral Undergrounding - Year 2022 Details</t>
  </si>
  <si>
    <t>Tampa Electric's Transmission Asset Upgrades - Year 2022 Details</t>
  </si>
  <si>
    <t xml:space="preserve">Section of the Storm Protection Plan </t>
  </si>
  <si>
    <t>Year</t>
  </si>
  <si>
    <t>Storm Name</t>
  </si>
  <si>
    <r>
      <t xml:space="preserve">Size </t>
    </r>
    <r>
      <rPr>
        <b/>
        <vertAlign val="superscript"/>
        <sz val="12"/>
        <color rgb="FF000000"/>
        <rFont val="Courier New"/>
        <family val="3"/>
      </rPr>
      <t>1</t>
    </r>
  </si>
  <si>
    <r>
      <t xml:space="preserve">Wind Speed </t>
    </r>
    <r>
      <rPr>
        <b/>
        <vertAlign val="superscript"/>
        <sz val="12"/>
        <color rgb="FF000000"/>
        <rFont val="Courier New"/>
        <family val="3"/>
      </rPr>
      <t>2</t>
    </r>
  </si>
  <si>
    <t>Donna</t>
  </si>
  <si>
    <t>Cat 3</t>
  </si>
  <si>
    <t>Erin</t>
  </si>
  <si>
    <t>TS</t>
  </si>
  <si>
    <t>Charley</t>
  </si>
  <si>
    <t>Cat 2</t>
  </si>
  <si>
    <t>Francis</t>
  </si>
  <si>
    <t>Cat 1</t>
  </si>
  <si>
    <t>Jeanne</t>
  </si>
  <si>
    <t>Dennis</t>
  </si>
  <si>
    <t>Wilma</t>
  </si>
  <si>
    <t>Alberto</t>
  </si>
  <si>
    <t>Barry</t>
  </si>
  <si>
    <t>Debby</t>
  </si>
  <si>
    <t>Isaac</t>
  </si>
  <si>
    <t>Andrea</t>
  </si>
  <si>
    <t>Erika</t>
  </si>
  <si>
    <t>&lt;39</t>
  </si>
  <si>
    <t>Colin</t>
  </si>
  <si>
    <t>Hermine</t>
  </si>
  <si>
    <t>Matthew</t>
  </si>
  <si>
    <t>Emily</t>
  </si>
  <si>
    <t>Irma</t>
  </si>
  <si>
    <t>Nestor</t>
  </si>
  <si>
    <r>
      <t>Table 1</t>
    </r>
    <r>
      <rPr>
        <b/>
        <sz val="12"/>
        <color rgb="FF000000"/>
        <rFont val="Courier New"/>
        <family val="3"/>
      </rPr>
      <t>: Named Storms Affecting</t>
    </r>
    <r>
      <rPr>
        <b/>
        <sz val="12"/>
        <color theme="1"/>
        <rFont val="Courier New"/>
        <family val="3"/>
      </rPr>
      <t xml:space="preserve"> Tampa Electric Service Area since 1960</t>
    </r>
  </si>
  <si>
    <t>Add storms and years as necessary</t>
  </si>
  <si>
    <t>Not updated - we'll see if we need it for info</t>
  </si>
  <si>
    <t>Please send in jpg format</t>
  </si>
  <si>
    <t>add chart to DPL testimony</t>
  </si>
  <si>
    <t xml:space="preserve"> </t>
  </si>
  <si>
    <t>Tampa Electric's Transmission Access Enhancement - 2022 Schedule</t>
  </si>
  <si>
    <t>Project Type Road/Bridge</t>
  </si>
  <si>
    <t>Project End Qtr</t>
  </si>
  <si>
    <t>Project Cost in 2022</t>
  </si>
  <si>
    <t>HAMPTON SUBSTATION</t>
  </si>
  <si>
    <t>Bridge</t>
  </si>
  <si>
    <t>Qtr 2 2021</t>
  </si>
  <si>
    <t>Qtr 4 2022</t>
  </si>
  <si>
    <t>WEST OF FORBES RD</t>
  </si>
  <si>
    <t>Qtr 4 2024</t>
  </si>
  <si>
    <t>EAST OF SYDNEY WASHER RD</t>
  </si>
  <si>
    <t>TAMPA PALMS #1</t>
  </si>
  <si>
    <t>Qtr 4 2023</t>
  </si>
  <si>
    <t>TAMPA PALMS #2</t>
  </si>
  <si>
    <t>TAMPA PALMS #3</t>
  </si>
  <si>
    <t>TAMPA PALMS #4</t>
  </si>
  <si>
    <t>MORRIS BRIDGE RD</t>
  </si>
  <si>
    <t>COLUMBUS DRIVE #1</t>
  </si>
  <si>
    <t>Qtr 4 2025</t>
  </si>
  <si>
    <t>COLUMBUS DRIVE #2</t>
  </si>
  <si>
    <t>Road</t>
  </si>
  <si>
    <t>Qtr 1 2022</t>
  </si>
  <si>
    <t>Tampa Electric's             Transmission Asset Upgrades                   Program                         Projects by Year and Projected Costs (in millions)</t>
  </si>
  <si>
    <t>Tampa Electric's                               Transmission Access Enhancements Program                         Projects by Year and Projected Costs             (in millions)</t>
  </si>
  <si>
    <t>Tampa Electric's                          Legacy Storm Hardening Plan Initiatives Projected Costs(in millions)</t>
  </si>
  <si>
    <t>Tampa Electric's Distribution System                                                                          Overhead versus Underground                                                   Outage Comparison (in Percent)</t>
  </si>
  <si>
    <t>per 1,000 kWh</t>
  </si>
  <si>
    <t>per kW</t>
  </si>
  <si>
    <t>RS</t>
  </si>
  <si>
    <t>GSD</t>
  </si>
  <si>
    <t>GSLDPR</t>
  </si>
  <si>
    <t>GSLDSU</t>
  </si>
  <si>
    <t xml:space="preserve">Percentage of </t>
  </si>
  <si>
    <t>1,000 kWh</t>
  </si>
  <si>
    <t>1,250 kWh</t>
  </si>
  <si>
    <t>900 kW 60% LF</t>
  </si>
  <si>
    <t>10MW 60% LF</t>
  </si>
  <si>
    <t>10 MW 60%LF</t>
  </si>
  <si>
    <t>Base bill</t>
  </si>
  <si>
    <t>Fuel</t>
  </si>
  <si>
    <t>ECRC</t>
  </si>
  <si>
    <t>ECCR</t>
  </si>
  <si>
    <t>SPPCRC</t>
  </si>
  <si>
    <t>kwh</t>
  </si>
  <si>
    <t xml:space="preserve">kW </t>
  </si>
  <si>
    <t>kw</t>
  </si>
  <si>
    <t>Demand</t>
  </si>
  <si>
    <t>Energy</t>
  </si>
  <si>
    <t>kW</t>
  </si>
  <si>
    <t>cents</t>
  </si>
  <si>
    <t>dollars</t>
  </si>
  <si>
    <t>tax</t>
  </si>
  <si>
    <t>Enegry</t>
  </si>
  <si>
    <t>kWh</t>
  </si>
  <si>
    <t>after tax base</t>
  </si>
  <si>
    <t>Distribution - Substation Extreme Weather Protection</t>
  </si>
  <si>
    <t>Transmission - Substation Extreme Weather Protection</t>
  </si>
  <si>
    <t>After 2031</t>
  </si>
  <si>
    <t>Total Capital Revenue Requirements</t>
  </si>
  <si>
    <t>Total O&amp;M Revenue Requirements</t>
  </si>
  <si>
    <t>Total SPP Revenue Requirements</t>
  </si>
  <si>
    <t>Total SPP Clause Revenue Requirements</t>
  </si>
  <si>
    <r>
      <t>Projected Costs o</t>
    </r>
    <r>
      <rPr>
        <b/>
        <sz val="12"/>
        <color rgb="FF000000"/>
        <rFont val="Courier New"/>
        <family val="3"/>
      </rPr>
      <t xml:space="preserve">f Infrastructure Inspections                (in </t>
    </r>
    <r>
      <rPr>
        <b/>
        <sz val="12"/>
        <color theme="1"/>
        <rFont val="Courier New"/>
        <family val="3"/>
      </rPr>
      <t>thousands)</t>
    </r>
  </si>
  <si>
    <t>Tampa Electric's 2022-2031 Storm Protection Plan                 Adherence to Rule 25-6.030 F.A.C.</t>
  </si>
  <si>
    <t>Tampa Electric - Proposed 2022-2031 Storm Protection Plan                     Projected Costs versus Benefits</t>
  </si>
  <si>
    <t>Tampa Electric's Distribution Overhead Feeder Hardening - Year 2022 Details</t>
  </si>
  <si>
    <t>Tampa Electric's               Substation Extreme Weather      Hardening Program                         Projects by Year and Projected Costs (in millions)</t>
  </si>
  <si>
    <t>Transmission Upgrades-138/230 kV-230006</t>
  </si>
  <si>
    <t>Transmission Upgrades-138/230 kV-230402</t>
  </si>
  <si>
    <t>Transmission Upgrades-69 kV-66048</t>
  </si>
  <si>
    <t>Transmission Upgrades-138/230 kV-230606</t>
  </si>
  <si>
    <t>Transmission Upgrades-138/230 kV-230012</t>
  </si>
  <si>
    <t>Transmission Upgrades-138/230 kV-230020</t>
  </si>
  <si>
    <t>Transmission Upgrades-69 kV-66022</t>
  </si>
  <si>
    <t>Transmission Upgrades-69 kV-66001</t>
  </si>
  <si>
    <t>Transmission Upgrades-69 kV-66016</t>
  </si>
  <si>
    <t>Transmission Upgrades-69 kV-66032</t>
  </si>
  <si>
    <t>Transmission Upgrades-69 kV-66020</t>
  </si>
  <si>
    <t>Transmission Upgrades-69 kV-66035</t>
  </si>
  <si>
    <t>Transmission Upgrades-138/230 kV-230602</t>
  </si>
  <si>
    <t>Transmission Upgrades-69 kV-66008</t>
  </si>
  <si>
    <t>Transmission Upgrades-69 kV-66030</t>
  </si>
  <si>
    <t>Transmission Upgrades-69 kV-66045</t>
  </si>
  <si>
    <t>Transmission Upgrades-138/230 kV-230033</t>
  </si>
  <si>
    <t>Transmission Upgrades-69 kV-66025</t>
  </si>
  <si>
    <t>Transmission Upgrades-138/230 kV-230623</t>
  </si>
  <si>
    <t>Transmission Upgrades-69 kV-66021</t>
  </si>
  <si>
    <t>Transmission Upgrades-69 kV-66017</t>
  </si>
  <si>
    <t>Transmission Upgrades-138/230 kV-230609</t>
  </si>
  <si>
    <t>Transmission Upgrades-69 kV-66033</t>
  </si>
  <si>
    <t>Transmission Upgrades-69 kV-66036</t>
  </si>
  <si>
    <t>Transmission Upgrades-69 kV-66027</t>
  </si>
  <si>
    <t>Transmission Upgrades-69 kV-66060</t>
  </si>
  <si>
    <t>Transmission Upgrades-138/230 kV-230604</t>
  </si>
  <si>
    <t>Transmission Upgrades-69 kV-66407</t>
  </si>
  <si>
    <t>Transmission Upgrades-138/230 kV-230013</t>
  </si>
  <si>
    <t>Transmission Upgrades-69 kV-66427</t>
  </si>
  <si>
    <t>Transmission Upgrades-69 kV-66026</t>
  </si>
  <si>
    <t>Transmission Upgrades-69 kV-66098</t>
  </si>
  <si>
    <t>Transmission Upgrades-69 kV-66011</t>
  </si>
  <si>
    <t>Transmission Upgrades-69 kV-66028</t>
  </si>
  <si>
    <t>Transmission Upgrades-69 kV-66047</t>
  </si>
  <si>
    <t>Transmission Upgrades-69 kV-66415</t>
  </si>
  <si>
    <t>Transmission Upgrades-69 kV-66436</t>
  </si>
  <si>
    <t>Elsa</t>
  </si>
  <si>
    <t>20 to 25</t>
  </si>
  <si>
    <t>12 to 45</t>
  </si>
  <si>
    <t>SPP FH - 13008</t>
  </si>
  <si>
    <t>SPP FH - 13028</t>
  </si>
  <si>
    <t>SPP FH - 13039</t>
  </si>
  <si>
    <t>SPP FH - 13040</t>
  </si>
  <si>
    <t>SPP FH - 13048</t>
  </si>
  <si>
    <t>SPP FH - 13077</t>
  </si>
  <si>
    <t>SPP FH - 13094</t>
  </si>
  <si>
    <t>This one we had to put it on hold due to multiple of conflicts</t>
  </si>
  <si>
    <t>SPP FH - 13118</t>
  </si>
  <si>
    <t>SPP FH - 13148</t>
  </si>
  <si>
    <t>SPP FH - 13187</t>
  </si>
  <si>
    <t>SPP FH - 13227</t>
  </si>
  <si>
    <t>SPP FH - 13230</t>
  </si>
  <si>
    <t>SPP FH - 13292</t>
  </si>
  <si>
    <t>SPP FH - 13296</t>
  </si>
  <si>
    <t>SPP FH - 13299</t>
  </si>
  <si>
    <t>SPP FH - 13308</t>
  </si>
  <si>
    <t>SPP FH - 13312</t>
  </si>
  <si>
    <t>SPP FH - 13313</t>
  </si>
  <si>
    <t>SPP FH - 13314</t>
  </si>
  <si>
    <t>SPP FH - 13346</t>
  </si>
  <si>
    <t>SPP FH - 13433</t>
  </si>
  <si>
    <t>SPP FH - 13651</t>
  </si>
  <si>
    <t>SPP FH - 13687</t>
  </si>
  <si>
    <t>SPP FH - 13770</t>
  </si>
  <si>
    <t>SPP FH - 13984</t>
  </si>
  <si>
    <t>SPP FH - 13989</t>
  </si>
  <si>
    <t>SPP FH - 14094</t>
  </si>
  <si>
    <t>SPP FH - 14123</t>
  </si>
  <si>
    <t>SPP FH - East Winter Haven 13309</t>
  </si>
  <si>
    <t xml:space="preserve"> (2) new reclosers, (18) fuses, (3) trip savers, and upgrade (62) feeder poles</t>
  </si>
  <si>
    <t>(6) new reclosers, (43) fuses, (27) trip savers, and upgrade (52) feeder poles</t>
  </si>
  <si>
    <t>(2) new reclosers, (18) fuses, (3) trip savers, and upgrade (62) feeder poles</t>
  </si>
  <si>
    <t>(17) new reclosers, (74) fuses, (16) trip savers, and upgrade (148) feeder poles</t>
  </si>
  <si>
    <t xml:space="preserve"> (7) new reclosers, (50) fuses, (28) trip savers, and upgrade (100) feeder poles</t>
  </si>
  <si>
    <t>(1) new reclosers, (3) fuses, (9) trip savers, and upgrade (96) feeder poles</t>
  </si>
  <si>
    <t>(3) new reclosers, (45) fuses, (27) trip savers, and upgrade (52) feeder poles</t>
  </si>
  <si>
    <t>(10) new reclosers, (35) fuses, (12) trip savers, and upgrade (70) feeder poles</t>
  </si>
  <si>
    <t>(1) new reclosers, (35) fuses, (6) trip savers, and upgrade (61) feeder poles</t>
  </si>
  <si>
    <t>(2) new reclosers, (54) fuses, (42) trip savers, and upgrade (107) feeder poles</t>
  </si>
  <si>
    <t>(3) new reclosers, (27) fuses, (10) trip savers, and upgrade (54) feeder poles</t>
  </si>
  <si>
    <t>(2) new reclosers, (12) fuses, (6) trip savers, and upgrade (23) feeder poles</t>
  </si>
  <si>
    <t>(9) new reclosers, (52) fuses, (3) trip savers, and upgrade (103) feeder poles</t>
  </si>
  <si>
    <t>(6) new reclosers, (37) fuses, (51) trip savers, and upgrade (73) feeder poles</t>
  </si>
  <si>
    <t>(2) new reclosers, (74) fuses, (51) trip savers, and upgrade (148) feeder poles</t>
  </si>
  <si>
    <t>(2) new reclosers, (111) fuses, (42) trip savers, and upgrade (101) feeder poles</t>
  </si>
  <si>
    <t>(2) new reclosers, (70) fuses, (35) trip savers, and upgrade (139) feeder poles</t>
  </si>
  <si>
    <t>(2) new reclosers, (97) fuses, (13) trip savers, and upgrade (61) feeder poles</t>
  </si>
  <si>
    <t>(9) new reclosers, (37) fuses, (21) trip savers, and upgrade (77) feeder poles</t>
  </si>
  <si>
    <t>Total Transmission Access Enhancements        Program Costs (in thousands)</t>
  </si>
  <si>
    <t>Tampa Electric's                                                    Vegetation Management Program                                                  Projected Costs (in thousands)</t>
  </si>
  <si>
    <t>Poles &amp; Structures</t>
  </si>
  <si>
    <t xml:space="preserve">Circuit Miles of Transmission Facilities </t>
  </si>
  <si>
    <t>Get information from Mark Peer (GIS) and Mark Moyer</t>
  </si>
  <si>
    <t>Contracted Transmission Tree Trimming Personnel</t>
  </si>
  <si>
    <t>Dedicated Distribution Tree Trimming Personnel</t>
  </si>
  <si>
    <t>Proactive Distribution Tree Trimming Resources</t>
  </si>
  <si>
    <t>Reactive Tree Trimming Personnel Resources</t>
  </si>
  <si>
    <t>Add up to the Dedicated Personnel</t>
  </si>
  <si>
    <t>Infrastructure Inspections</t>
  </si>
  <si>
    <t>Distribution &amp; Lighting Wood Poles</t>
  </si>
  <si>
    <t xml:space="preserve">Transmission Poles </t>
  </si>
  <si>
    <t>Average Wood Distribution Poles</t>
  </si>
  <si>
    <t>Round to next highest thousand - ie $36k</t>
  </si>
  <si>
    <t>General</t>
  </si>
  <si>
    <t>Total Circuit Miles</t>
  </si>
  <si>
    <t>OH</t>
  </si>
  <si>
    <t>UG</t>
  </si>
  <si>
    <t>Total OH Lateral</t>
  </si>
  <si>
    <t>Total OH Feeder</t>
  </si>
  <si>
    <t>Total UG Lateral</t>
  </si>
  <si>
    <t>Total UG Feeder</t>
  </si>
  <si>
    <t>Customer Served off Laterals</t>
  </si>
  <si>
    <t>Customer Served off Feeders</t>
  </si>
  <si>
    <t>%</t>
  </si>
  <si>
    <t>Distribution OH Laterals</t>
  </si>
  <si>
    <t>Count</t>
  </si>
  <si>
    <t>Transmission/Substation</t>
  </si>
  <si>
    <t>Substations</t>
  </si>
  <si>
    <t>Transmission Circuits</t>
  </si>
  <si>
    <t>Transmission Circuits with at least 1 wood pole</t>
  </si>
  <si>
    <t>includes 34 kv circuits</t>
  </si>
  <si>
    <t>System Facts</t>
  </si>
  <si>
    <t>Service Area Miles</t>
  </si>
  <si>
    <t>Area Miles</t>
  </si>
  <si>
    <t>Total Retail Electric Customers</t>
  </si>
  <si>
    <t>DPI</t>
  </si>
  <si>
    <t>DPL</t>
  </si>
  <si>
    <t>X</t>
  </si>
  <si>
    <t>OH Transmission Lines</t>
  </si>
  <si>
    <t>Total UG Transmission Lines</t>
  </si>
  <si>
    <t xml:space="preserve"> Miles</t>
  </si>
  <si>
    <t>Pickles</t>
  </si>
  <si>
    <t>Total Poles</t>
  </si>
  <si>
    <t>Plusquellic</t>
  </si>
  <si>
    <t>Approx OH Distribution Lines (miles)</t>
  </si>
  <si>
    <t>compared to 6,235 above</t>
  </si>
  <si>
    <t>Total Transmission Poles</t>
  </si>
  <si>
    <t>Tranmission Access Enhancement</t>
  </si>
  <si>
    <t>Approx Total of Transmission Facilities</t>
  </si>
  <si>
    <t># Miles trimmed in 4-year cycle</t>
  </si>
  <si>
    <t># Miles trimmed annually</t>
  </si>
  <si>
    <t>Bulk Miles</t>
  </si>
  <si>
    <t>Non-Bulk Miles</t>
  </si>
  <si>
    <t>Dedicated Transmission Tree Trimming Personnel</t>
  </si>
  <si>
    <t>Compare to 1,343 above, Line 22 and 23</t>
  </si>
  <si>
    <t>approx 1,300</t>
  </si>
  <si>
    <t>Planned Distribution</t>
  </si>
  <si>
    <t>Planned Transmission</t>
  </si>
  <si>
    <t xml:space="preserve">Unplanned </t>
  </si>
  <si>
    <t>LUG CSA 13021.60058683</t>
  </si>
  <si>
    <t>Q1 - 2021</t>
  </si>
  <si>
    <t>Q3 - 2022</t>
  </si>
  <si>
    <t>Q4 - 2022</t>
  </si>
  <si>
    <t>LUG CSA 13021.92350282</t>
  </si>
  <si>
    <t>Q4 - 2021</t>
  </si>
  <si>
    <t>Q1 - 2022</t>
  </si>
  <si>
    <t>LUG CSA 13026.60059452</t>
  </si>
  <si>
    <t>Q2 - 2022</t>
  </si>
  <si>
    <t>LUG CSA 13026.60059457</t>
  </si>
  <si>
    <t>LUG CSA 13026.60059509</t>
  </si>
  <si>
    <t>LUG CSA 13026.60059524</t>
  </si>
  <si>
    <t>Q1 - 2023</t>
  </si>
  <si>
    <t>LUG CSA 13093.91004837</t>
  </si>
  <si>
    <t>Q3 - 2020</t>
  </si>
  <si>
    <t>LUG CSA 13099.10368943</t>
  </si>
  <si>
    <t>LUG CSA 13099.60125388</t>
  </si>
  <si>
    <t>Q2 - 2023</t>
  </si>
  <si>
    <t>LUG CSA 13099.90882614</t>
  </si>
  <si>
    <t>LUG CSA 13100.91340554</t>
  </si>
  <si>
    <t>Q4 - 2020</t>
  </si>
  <si>
    <t>Q3 - 2023</t>
  </si>
  <si>
    <t>LUG CSA 13102.60123654</t>
  </si>
  <si>
    <t>Q3 - 2021</t>
  </si>
  <si>
    <t>LUG CSA 13102.90748252</t>
  </si>
  <si>
    <t>Q2 - 2021</t>
  </si>
  <si>
    <t>LUG CSA 13102.91293905</t>
  </si>
  <si>
    <t>LUG CSA 13104.10362869</t>
  </si>
  <si>
    <t>LUG CSA 13104.91241032</t>
  </si>
  <si>
    <t>LUG CSA 13104.91643108</t>
  </si>
  <si>
    <t>LUG CSA 13104.91668251</t>
  </si>
  <si>
    <t>LUG CSA 13105.10580676</t>
  </si>
  <si>
    <t>LUG CSA 13105.10580689</t>
  </si>
  <si>
    <t>LUG CSA 13105.10580690</t>
  </si>
  <si>
    <t>LUG CSA 13105.60164901</t>
  </si>
  <si>
    <t>LUG CSA 13106.10361901</t>
  </si>
  <si>
    <t>LUG CSA 13106.91722510</t>
  </si>
  <si>
    <t>LUG CSA 13107.10376173</t>
  </si>
  <si>
    <t>LUG CSA 13107.10376186</t>
  </si>
  <si>
    <t>LUG CSA 13107.10376201</t>
  </si>
  <si>
    <t>LUG CSA 13158.60011810</t>
  </si>
  <si>
    <t>LUG CSA 13158.90816343</t>
  </si>
  <si>
    <t>LUG CSA 13158.91461782</t>
  </si>
  <si>
    <t>LUG CSA 13176.10375136</t>
  </si>
  <si>
    <t>LUG CSA 13176.10375141</t>
  </si>
  <si>
    <t>LUG CSA 13176.10375148</t>
  </si>
  <si>
    <t>LUG CSA 13188.10655453</t>
  </si>
  <si>
    <t>LUG CSA 13188.92070695</t>
  </si>
  <si>
    <t>LUG CSA 13204.60170504</t>
  </si>
  <si>
    <t>LUG CSA 13205.90022802</t>
  </si>
  <si>
    <t>LUG CSA 13205.90442230</t>
  </si>
  <si>
    <t>LUG CSA 13205.90929181</t>
  </si>
  <si>
    <t>LUG CSA 13354.10582069</t>
  </si>
  <si>
    <t>LUG CSA 13399.60037987</t>
  </si>
  <si>
    <t>LUG CSA 13418.91924595</t>
  </si>
  <si>
    <t>LUG CSA 13418.92018190</t>
  </si>
  <si>
    <t>LUG CSA 13418.92357188</t>
  </si>
  <si>
    <t>LUG CSA 13468.60128362</t>
  </si>
  <si>
    <t>LUG CSA 13468.60128378</t>
  </si>
  <si>
    <t>LUG CSA 13468.91640192</t>
  </si>
  <si>
    <t>LUG CSA 13590.91231633</t>
  </si>
  <si>
    <t>LUG CSA 13592.91365233</t>
  </si>
  <si>
    <t>LUG CSA 13593.93057902</t>
  </si>
  <si>
    <t>LUG CSA 13632.10408272</t>
  </si>
  <si>
    <t>LUG CSA 13632.10408290</t>
  </si>
  <si>
    <t>LUG CSA 13632.60305848</t>
  </si>
  <si>
    <t>LUG CSA 13633.90564142</t>
  </si>
  <si>
    <t>LUG CSA 13633.91847345</t>
  </si>
  <si>
    <t>LUG CSA 13826.60127680</t>
  </si>
  <si>
    <t>LUG CSA 13831.10427677</t>
  </si>
  <si>
    <t>LUG CSA 13835.10429505</t>
  </si>
  <si>
    <t>LUG CSA 13835.10429522</t>
  </si>
  <si>
    <t>LUG CSA 13835.60314670</t>
  </si>
  <si>
    <t>LUG CSA 13836.91377944</t>
  </si>
  <si>
    <t>LUG CSA 13934.10467575</t>
  </si>
  <si>
    <t>LUG CSA 13934.10467597</t>
  </si>
  <si>
    <t>LUG CSA 13939.60144164</t>
  </si>
  <si>
    <t>LUG CSA 13939.60144172</t>
  </si>
  <si>
    <t>LUG CSA 13948.10442379</t>
  </si>
  <si>
    <t>LUG CSA 13948.10442391</t>
  </si>
  <si>
    <t>LUG CSA 13993.10372414</t>
  </si>
  <si>
    <t>LUG CSA 13993.10433144</t>
  </si>
  <si>
    <t>LUG CSA 14040.10786358</t>
  </si>
  <si>
    <t>LUG CSA 14040.10786382</t>
  </si>
  <si>
    <t>Q2 - 2020</t>
  </si>
  <si>
    <t>LUG CSA 14102.91582612</t>
  </si>
  <si>
    <t>LUG DCA 13006.92949400</t>
  </si>
  <si>
    <t>LUG DCA 13432.10761257</t>
  </si>
  <si>
    <t>LUG DCA 13815.93026469</t>
  </si>
  <si>
    <t>LUG ESA 13127.90334707</t>
  </si>
  <si>
    <t>Q1 - 2024</t>
  </si>
  <si>
    <t>LUG ESA 13127.90334731</t>
  </si>
  <si>
    <t>LUG ESA 13127.92661768</t>
  </si>
  <si>
    <t>LUG ESA 13127.92663180</t>
  </si>
  <si>
    <t>LUG ESA 13171.10455381</t>
  </si>
  <si>
    <t>LUG ESA 13171.90598389</t>
  </si>
  <si>
    <t>Q4 - 2023</t>
  </si>
  <si>
    <t>LUG ESA 13171.93104605</t>
  </si>
  <si>
    <t>LUG ESA 13174.10913196</t>
  </si>
  <si>
    <t>LUG ESA 13174.60588225</t>
  </si>
  <si>
    <t>LUG ESA 13211.60044019</t>
  </si>
  <si>
    <t>LUG ESA 13225.60139973</t>
  </si>
  <si>
    <t>LUG ESA 13226.10462583</t>
  </si>
  <si>
    <t>LUG ESA 13226.92664597</t>
  </si>
  <si>
    <t>LUG ESA 13226.92665539</t>
  </si>
  <si>
    <t>LUG ESA 13226.92670950</t>
  </si>
  <si>
    <t>LUG ESA 13229.92525393</t>
  </si>
  <si>
    <t>LUG ESA 13230.10471354</t>
  </si>
  <si>
    <t>LUG ESA 13230.10471377</t>
  </si>
  <si>
    <t>LUG ESA 13230.92180224</t>
  </si>
  <si>
    <t>LUG ESA 13230.92496254</t>
  </si>
  <si>
    <t>LUG ESA 13231.10868121</t>
  </si>
  <si>
    <t>LUG ESA 13231.10868138</t>
  </si>
  <si>
    <t>LUG ESA 13433.10466911</t>
  </si>
  <si>
    <t>LUG ESA 13433.93369551</t>
  </si>
  <si>
    <t>LUG ESA 13454.90188551</t>
  </si>
  <si>
    <t>LUG ESA 13454.90397369</t>
  </si>
  <si>
    <t>LUG ESA 13454.90429155</t>
  </si>
  <si>
    <t>LUG ESA 13454.90755954</t>
  </si>
  <si>
    <t>LUG ESA 13454.91522987</t>
  </si>
  <si>
    <t>LUG ESA 13457.10482593</t>
  </si>
  <si>
    <t>LUG ESA 13457.90176591</t>
  </si>
  <si>
    <t>LUG ESA 13502.10497396</t>
  </si>
  <si>
    <t>LUG ESA 13502.92573944</t>
  </si>
  <si>
    <t>LUG ESA 13502.92679861</t>
  </si>
  <si>
    <t>LUG ESA 13509.10501110</t>
  </si>
  <si>
    <t>LUG ESA 13509.10501132</t>
  </si>
  <si>
    <t>LUG ESA 13509.10501141</t>
  </si>
  <si>
    <t>LUG ESA 13509.10501150</t>
  </si>
  <si>
    <t>LUG ESA 13509.60287236</t>
  </si>
  <si>
    <t>LUG ESA 13509.60346595</t>
  </si>
  <si>
    <t>LUG ESA 13509.90504849</t>
  </si>
  <si>
    <t>LUG ESA 13509.91772133</t>
  </si>
  <si>
    <t>LUG ESA 13509.92890860</t>
  </si>
  <si>
    <t>LUG ESA 13686.93697046</t>
  </si>
  <si>
    <t>LUG ESA 13710.92354144</t>
  </si>
  <si>
    <t>LUG ESA 13710.92881445</t>
  </si>
  <si>
    <t>LUG ESA 13793.92685255</t>
  </si>
  <si>
    <t>LUG ESA 13793.92686002</t>
  </si>
  <si>
    <t>LUG ESA 13793.92686712</t>
  </si>
  <si>
    <t>LUG ESA 13793.92686736</t>
  </si>
  <si>
    <t>LUG ESA 13796.10842823</t>
  </si>
  <si>
    <t>LUG ESA 13796.10842826</t>
  </si>
  <si>
    <t>LUG ESA 13796.92356181</t>
  </si>
  <si>
    <t>LUG ESA 13796.92728705</t>
  </si>
  <si>
    <t>LUG ESA 13796.92884623</t>
  </si>
  <si>
    <t>LUG ESA 13797.93185703</t>
  </si>
  <si>
    <t>LUG ESA 13797.93188519</t>
  </si>
  <si>
    <t>LUG ESA 13799.60395568</t>
  </si>
  <si>
    <t>LUG ESA 13878.10105717</t>
  </si>
  <si>
    <t>LUG ESA 13878.10105723</t>
  </si>
  <si>
    <t>LUG ESA 13878.10105726</t>
  </si>
  <si>
    <t>LUG ESA 13878.10105728</t>
  </si>
  <si>
    <t>LUG ESA 13883.91179506</t>
  </si>
  <si>
    <t>LUG ESA 13883.92008787</t>
  </si>
  <si>
    <t>LUG ESA 13906.10096960</t>
  </si>
  <si>
    <t>LUG ESA 13906.10096964</t>
  </si>
  <si>
    <t>Q4 - 2024</t>
  </si>
  <si>
    <t>LUG ESA 13906.10096968</t>
  </si>
  <si>
    <t>LUG ESA 13906.90137810</t>
  </si>
  <si>
    <t>LUG ESA 13906.92282884</t>
  </si>
  <si>
    <t>LUG ESA 13909.90380435</t>
  </si>
  <si>
    <t>LUG ESA 13909.92173076</t>
  </si>
  <si>
    <t>LUG ESA 13911.10554595</t>
  </si>
  <si>
    <t>LUG ESA 13911.60157736</t>
  </si>
  <si>
    <t>LUG ESA 13911.60157737</t>
  </si>
  <si>
    <t>LUG ESA 13911.90130568</t>
  </si>
  <si>
    <t>LUG ESA 13911.91995336</t>
  </si>
  <si>
    <t>LUG ESA 13911.92679866</t>
  </si>
  <si>
    <t>LUG ESA 14116.60140011</t>
  </si>
  <si>
    <t>LUG ESA 14116.91073265</t>
  </si>
  <si>
    <t>LUG ESA 14355.60258173</t>
  </si>
  <si>
    <t>LUG ESA 14355.92354352</t>
  </si>
  <si>
    <t>LUG PCA 13120.60015632</t>
  </si>
  <si>
    <t>LUG PCA 13146.10629014</t>
  </si>
  <si>
    <t>LUG PCA 13243.90684154</t>
  </si>
  <si>
    <t>LUG PCA 13243.91351288</t>
  </si>
  <si>
    <t>LUG PCA 13268.10705945</t>
  </si>
  <si>
    <t>LUG PCA 13268.91633548</t>
  </si>
  <si>
    <t>LUG PCA 13268.92962459</t>
  </si>
  <si>
    <t>LUG PCA 13390.92599119</t>
  </si>
  <si>
    <t>LUG PCA 13655.90431393</t>
  </si>
  <si>
    <t>LUG PCA 13722.60360851</t>
  </si>
  <si>
    <t>LUG PCA 13724.10671229</t>
  </si>
  <si>
    <t>LUG PCA 13724.10671319</t>
  </si>
  <si>
    <t>LUG PCA 13724.10671334</t>
  </si>
  <si>
    <t>LUG PCA 13724.90911087</t>
  </si>
  <si>
    <t>LUG PCA 13724.91049435</t>
  </si>
  <si>
    <t>LUG PCA 13785.92299245</t>
  </si>
  <si>
    <t>LUG PCA 13785.92466250</t>
  </si>
  <si>
    <t>LUG PCA 13961.10696431</t>
  </si>
  <si>
    <t>LUG PCA 13961.10696486</t>
  </si>
  <si>
    <t>LUG PCA 13961.60193482</t>
  </si>
  <si>
    <t>LUG PCA 13961.91967308</t>
  </si>
  <si>
    <t>LUG PCA 13961.92820848</t>
  </si>
  <si>
    <t>LUG PCA 13961.92829453</t>
  </si>
  <si>
    <t>LUG PCA 13961.92834683</t>
  </si>
  <si>
    <t>LUG SHA 13001.10663240</t>
  </si>
  <si>
    <t>LUG SHA 13001.10663262</t>
  </si>
  <si>
    <t>LUG SHA 13001.10663269</t>
  </si>
  <si>
    <t>LUG SHA 13001.60179144</t>
  </si>
  <si>
    <t>LUG SHA 13001.60179191</t>
  </si>
  <si>
    <t>LUG SHA 13001.92048269</t>
  </si>
  <si>
    <t>LUG SHA 13001.93346473</t>
  </si>
  <si>
    <t>LUG SHA 13003.10895211</t>
  </si>
  <si>
    <t>LUG SHA 13342.10925094</t>
  </si>
  <si>
    <t>LUG SHA 13342.90527363</t>
  </si>
  <si>
    <t>LUG SHA 13342.91010293</t>
  </si>
  <si>
    <t>LUG SHA 13645.91519309</t>
  </si>
  <si>
    <t>LUG SHA 13645.92207754</t>
  </si>
  <si>
    <t>LUG SHA 13652.92748361</t>
  </si>
  <si>
    <t>LUG SHA 13780.10723993</t>
  </si>
  <si>
    <t>LUG SHA 13817.10722417</t>
  </si>
  <si>
    <t>LUG SHA 13897.10933151</t>
  </si>
  <si>
    <t>LUG SHA 13900.10717269</t>
  </si>
  <si>
    <t>LUG SHA 13900.91863298</t>
  </si>
  <si>
    <t>LUG SHA 13900.92336596</t>
  </si>
  <si>
    <t>LUG SHA 14020.60223573</t>
  </si>
  <si>
    <t>LUG SHA 14022.90591555</t>
  </si>
  <si>
    <t>LUG SHA 14024.10747874</t>
  </si>
  <si>
    <t>LUG SHA 14024.90116190</t>
  </si>
  <si>
    <t>LUG WHA 13118.10535995</t>
  </si>
  <si>
    <t>LUG WHA 13118.10535999</t>
  </si>
  <si>
    <t>LUG WHA 13118.92204382</t>
  </si>
  <si>
    <t>LUG WHA 13118.92612349</t>
  </si>
  <si>
    <t>LUG WHA 13118.92659172</t>
  </si>
  <si>
    <t>LUG WHA 13296.10562361</t>
  </si>
  <si>
    <t>LUG WHA 13296.60531111</t>
  </si>
  <si>
    <t>LUG WHA 13296.90010289</t>
  </si>
  <si>
    <t>LUG WHA 13296.92376304</t>
  </si>
  <si>
    <t>LUG WHA 13297.10560425</t>
  </si>
  <si>
    <t>LUG WHA 13297.10560432</t>
  </si>
  <si>
    <t>LUG WHA 13297.60269456</t>
  </si>
  <si>
    <t>LUG WHA 13312.60182741</t>
  </si>
  <si>
    <t>LUG WHA 13313.10684581</t>
  </si>
  <si>
    <t>LUG WHA 13313.10684614</t>
  </si>
  <si>
    <t>LUG WHA 13313.90084626</t>
  </si>
  <si>
    <t>LUG WHA 13314.10567076</t>
  </si>
  <si>
    <t>LUG WHA 13473.60168916</t>
  </si>
  <si>
    <t>LUG WHA 13473.60168942</t>
  </si>
  <si>
    <t>LUG WHA 13473.92097460</t>
  </si>
  <si>
    <t>LUG WHA 13699.10637240</t>
  </si>
  <si>
    <t>LUG WHA 13699.10637242</t>
  </si>
  <si>
    <t>LUG WHA 13699.10637247</t>
  </si>
  <si>
    <t>LUG WHA 13699.10637259</t>
  </si>
  <si>
    <t>LUG WHA 13699.60165416</t>
  </si>
  <si>
    <t>LUG WHA 13916.60279623</t>
  </si>
  <si>
    <t>LUG WHA 13916.91386005</t>
  </si>
  <si>
    <t>LUG WHA 13916.92509975</t>
  </si>
  <si>
    <t>LUG WHA 13972.10618037</t>
  </si>
  <si>
    <t>LUG WHA 13972.90241880</t>
  </si>
  <si>
    <t>LUG WHA 13972.92421291</t>
  </si>
  <si>
    <t>LUG WSA 13059.60302601</t>
  </si>
  <si>
    <t>LUG WSA 13071.60170422</t>
  </si>
  <si>
    <t>LUG WSA 13071.92377934</t>
  </si>
  <si>
    <t>LUG WSA 13078.10127955</t>
  </si>
  <si>
    <t>LUG WSA 13078.10127958</t>
  </si>
  <si>
    <t>LUG WSA 13079.60077605</t>
  </si>
  <si>
    <t>LUG WSA 13079.60077624</t>
  </si>
  <si>
    <t>LUG WSA 13079.60104344</t>
  </si>
  <si>
    <t>LUG WSA 13079.90517178</t>
  </si>
  <si>
    <t>LUG WSA 13109.60233901</t>
  </si>
  <si>
    <t>LUG WSA 13109.90643551</t>
  </si>
  <si>
    <t>LUG WSA 13111.60072751</t>
  </si>
  <si>
    <t>LUG WSA 13111.92999604</t>
  </si>
  <si>
    <t>LUG WSA 13113.90422522</t>
  </si>
  <si>
    <t>LUG WSA 13113.90796385</t>
  </si>
  <si>
    <t>LUG WSA 13113.92909503</t>
  </si>
  <si>
    <t>LUG WSA 13138.10145618</t>
  </si>
  <si>
    <t>LUG WSA 13138.10145628</t>
  </si>
  <si>
    <t>LUG WSA 13138.60170460</t>
  </si>
  <si>
    <t>LUG WSA 13140.10013916</t>
  </si>
  <si>
    <t>LUG WSA 13141.10147344</t>
  </si>
  <si>
    <t>LUG WSA 13141.10147371</t>
  </si>
  <si>
    <t>LUG WSA 13141.91575422</t>
  </si>
  <si>
    <t>LUG WSA 13141.92442350</t>
  </si>
  <si>
    <t>LUG WSA 13162.10158432</t>
  </si>
  <si>
    <t>LUG WSA 13162.10158434</t>
  </si>
  <si>
    <t>LUG WSA 13162.90435139</t>
  </si>
  <si>
    <t>LUG WSA 13162.92185426</t>
  </si>
  <si>
    <t>LUG WSA 13162.93124277</t>
  </si>
  <si>
    <t>LUG WSA 13164.90252716</t>
  </si>
  <si>
    <t>LUG WSA 13192.90932106</t>
  </si>
  <si>
    <t>LUG WSA 13194.90645535</t>
  </si>
  <si>
    <t>LUG WSA 13198.10051851</t>
  </si>
  <si>
    <t>LUG WSA 13198.10051875</t>
  </si>
  <si>
    <t>LUG WSA 13198.10051896</t>
  </si>
  <si>
    <t>LUG WSA 13198.92183966</t>
  </si>
  <si>
    <t>LUG WSA 13198.92655424</t>
  </si>
  <si>
    <t>LUG WSA 13207.90146892</t>
  </si>
  <si>
    <t>LUG WSA 13207.90147316</t>
  </si>
  <si>
    <t>LUG WSA 13207.90613782</t>
  </si>
  <si>
    <t>LUG WSA 13208.92767537</t>
  </si>
  <si>
    <t>LUG WSA 13220.10191173</t>
  </si>
  <si>
    <t>LUG WSA 13220.90901917</t>
  </si>
  <si>
    <t>LUG WSA 13333.10007588</t>
  </si>
  <si>
    <t>LUG WSA 13333.91785740</t>
  </si>
  <si>
    <t>LUG WSA 13334.91645657</t>
  </si>
  <si>
    <t>LUG WSA 13425.10244449</t>
  </si>
  <si>
    <t>LUG WSA 13428.90423835</t>
  </si>
  <si>
    <t>LUG WSA 13428.91540495</t>
  </si>
  <si>
    <t>LUG WSA 13483.60393455</t>
  </si>
  <si>
    <t>LUG WSA 13490.92815117</t>
  </si>
  <si>
    <t>LUG WSA 13491.10230118</t>
  </si>
  <si>
    <t>LUG WSA 13491.91827162</t>
  </si>
  <si>
    <t>LUG WSA 13510.10218990</t>
  </si>
  <si>
    <t>LUG WSA 13514.10624934</t>
  </si>
  <si>
    <t>LUG WSA 13514.91361858</t>
  </si>
  <si>
    <t>LUG WSA 13516.60169592</t>
  </si>
  <si>
    <t>LUG WSA 13520.10242257</t>
  </si>
  <si>
    <t>LUG WSA 13522.10392874</t>
  </si>
  <si>
    <t>LUG WSA 13522.10392882</t>
  </si>
  <si>
    <t>LUG WSA 13522.10392902</t>
  </si>
  <si>
    <t>LUG WSA 13522.10392905</t>
  </si>
  <si>
    <t>LUG WSA 13522.10392924</t>
  </si>
  <si>
    <t>LUG WSA 13522.60305720</t>
  </si>
  <si>
    <t>LUG WSA 13522.91947423</t>
  </si>
  <si>
    <t>LUG WSA 13522.92169062</t>
  </si>
  <si>
    <t>LUG WSA 13533.91957169</t>
  </si>
  <si>
    <t>LUG WSA 13535.91618829</t>
  </si>
  <si>
    <t>LUG WSA 13535.92952190</t>
  </si>
  <si>
    <t>LUG WSA 13535.92983661</t>
  </si>
  <si>
    <t>LUG WSA 13535.92983670</t>
  </si>
  <si>
    <t>LUG WSA 13544.10053269</t>
  </si>
  <si>
    <t>LUG WSA 13574.10250638</t>
  </si>
  <si>
    <t>LUG WSA 13575.90054386</t>
  </si>
  <si>
    <t>LUG WSA 13575.90054924</t>
  </si>
  <si>
    <t>LUG WSA 13586.10255333</t>
  </si>
  <si>
    <t>LUG WSA 13586.60303627</t>
  </si>
  <si>
    <t>LUG WSA 13586.91748729</t>
  </si>
  <si>
    <t>LUG WSA 13586.92442286</t>
  </si>
  <si>
    <t>LUG WSA 13589.93162023</t>
  </si>
  <si>
    <t>LUG WSA 13589.93177909</t>
  </si>
  <si>
    <t>LUG WSA 13605.91052996</t>
  </si>
  <si>
    <t>LUG WSA 13612.60002970</t>
  </si>
  <si>
    <t>LUG WSA 13612.60003135</t>
  </si>
  <si>
    <t>LUG WSA 13612.60022877</t>
  </si>
  <si>
    <t>LUG WSA 13612.90291123</t>
  </si>
  <si>
    <t>LUG WSA 13612.90312305</t>
  </si>
  <si>
    <t>LUG WSA 13612.92956326</t>
  </si>
  <si>
    <t>LUG WSA 13669.60107076</t>
  </si>
  <si>
    <t>LUG WSA 13669.92770538</t>
  </si>
  <si>
    <t>LUG WSA 13670.93124410</t>
  </si>
  <si>
    <t>LUG WSA 13672.10493801</t>
  </si>
  <si>
    <t>LUG WSA 13672.60106849</t>
  </si>
  <si>
    <t>LUG WSA 13672.91971930</t>
  </si>
  <si>
    <t>LUG WSA 13674.10277747</t>
  </si>
  <si>
    <t>LUG WSA 13674.90420693</t>
  </si>
  <si>
    <t>LUG WSA 13678.10254063</t>
  </si>
  <si>
    <t>LUG WSA 13678.10288738</t>
  </si>
  <si>
    <t>LUG WSA 13678.90514672</t>
  </si>
  <si>
    <t>LUG WSA 13737.10297934</t>
  </si>
  <si>
    <t>LUG WSA 13737.10297943</t>
  </si>
  <si>
    <t>LUG WSA 13737.60311396</t>
  </si>
  <si>
    <t>LUG WSA 13737.90740214</t>
  </si>
  <si>
    <t>LUG WSA 13737.90740699</t>
  </si>
  <si>
    <t>LUG WSA 13737.91960399</t>
  </si>
  <si>
    <t>LUG WSA 13738.10298299</t>
  </si>
  <si>
    <t>LUG WSA 13747.10299739</t>
  </si>
  <si>
    <t>LUG WSA 13750.60110680</t>
  </si>
  <si>
    <t>LUG WSA 13756.10589587</t>
  </si>
  <si>
    <t>LUG WSA 13756.10589595</t>
  </si>
  <si>
    <t>LUG WSA 13756.60165355</t>
  </si>
  <si>
    <t>LUG WSA 13756.90207831</t>
  </si>
  <si>
    <t>LUG WSA 13860.10307212</t>
  </si>
  <si>
    <t>LUG WSA 13860.10307215</t>
  </si>
  <si>
    <t>LUG WSA 13863.60279838</t>
  </si>
  <si>
    <t>LUG WSA 13864.10310477</t>
  </si>
  <si>
    <t>LUG WSA 13864.10310497</t>
  </si>
  <si>
    <t>LUG WSA 13864.10310505</t>
  </si>
  <si>
    <t>LUG WSA 13864.60380454</t>
  </si>
  <si>
    <t>LUG WSA 13865.90531031</t>
  </si>
  <si>
    <t>LUG WSA 13870.90428273</t>
  </si>
  <si>
    <t>LUG WSA 13873.60311122</t>
  </si>
  <si>
    <t>LUG WSA 13892.10338448</t>
  </si>
  <si>
    <t>LUG WSA 14030.60125643</t>
  </si>
  <si>
    <t>LUG WSA 14030.60341032</t>
  </si>
  <si>
    <t>LUG WSA 14030.90886759</t>
  </si>
  <si>
    <t>LUG WSA 14030.92669557</t>
  </si>
  <si>
    <t>LUG WSA 14030.92669942</t>
  </si>
  <si>
    <t>LUG WSA 14030.92670479</t>
  </si>
  <si>
    <t>Lateral Hardening-Fuse-10007252,1</t>
  </si>
  <si>
    <t>Lateral Hardening-Fuse-10050730,3</t>
  </si>
  <si>
    <t>Q3 - 2024</t>
  </si>
  <si>
    <t>Lateral Hardening-Fuse-10051863,1</t>
  </si>
  <si>
    <t>Lateral Hardening-Fuse-10055000,2</t>
  </si>
  <si>
    <t>Lateral Hardening-Fuse-10055941,1</t>
  </si>
  <si>
    <t>Lateral Hardening-Fuse-10075304,1</t>
  </si>
  <si>
    <t>Lateral Hardening-Fuse-10075336,1</t>
  </si>
  <si>
    <t>Lateral Hardening-Fuse-10087587,1</t>
  </si>
  <si>
    <t>Lateral Hardening-Fuse-10089965,1</t>
  </si>
  <si>
    <t>Q1 - 2025</t>
  </si>
  <si>
    <t>Q3 - 2025</t>
  </si>
  <si>
    <t>Lateral Hardening-Fuse-10092875,1</t>
  </si>
  <si>
    <t>Lateral Hardening-Fuse-10093646,2</t>
  </si>
  <si>
    <t>Lateral Hardening-Fuse-10093658,1</t>
  </si>
  <si>
    <t>Lateral Hardening-Fuse-10093683,1</t>
  </si>
  <si>
    <t>Lateral Hardening-Fuse-10100716,1</t>
  </si>
  <si>
    <t>Lateral Hardening-Fuse-10100722,1</t>
  </si>
  <si>
    <t>Lateral Hardening-Fuse-10101247,3</t>
  </si>
  <si>
    <t>Lateral Hardening-Fuse-10120786,1</t>
  </si>
  <si>
    <t>Lateral Hardening-Fuse-10120788,1</t>
  </si>
  <si>
    <t>Lateral Hardening-Fuse-10124545,1</t>
  </si>
  <si>
    <t>Lateral Hardening-Fuse-10126980,1</t>
  </si>
  <si>
    <t>Lateral Hardening-Fuse-10142238,1</t>
  </si>
  <si>
    <t>Lateral Hardening-Fuse-10144159,1</t>
  </si>
  <si>
    <t>Lateral Hardening-Fuse-10147338,1</t>
  </si>
  <si>
    <t>Lateral Hardening-Fuse-10153131,1</t>
  </si>
  <si>
    <t>Lateral Hardening-Fuse-10158932,1</t>
  </si>
  <si>
    <t>Lateral Hardening-Fuse-10160212,1</t>
  </si>
  <si>
    <t>Lateral Hardening-Fuse-10163224,4</t>
  </si>
  <si>
    <t>Lateral Hardening-Fuse-10163228,1</t>
  </si>
  <si>
    <t>Lateral Hardening-Fuse-10165356,4</t>
  </si>
  <si>
    <t>Lateral Hardening-Fuse-10165381,2</t>
  </si>
  <si>
    <t>Lateral Hardening-Fuse-10165382,1</t>
  </si>
  <si>
    <t>Lateral Hardening-Fuse-10165789,1</t>
  </si>
  <si>
    <t>Lateral Hardening-Fuse-10165797,1</t>
  </si>
  <si>
    <t>Lateral Hardening-Fuse-10165803,1</t>
  </si>
  <si>
    <t>Q2 - 2024</t>
  </si>
  <si>
    <t>Lateral Hardening-Fuse-10167762,1</t>
  </si>
  <si>
    <t>Lateral Hardening-Fuse-10173494,1</t>
  </si>
  <si>
    <t>Lateral Hardening-Fuse-10173500,1</t>
  </si>
  <si>
    <t>Lateral Hardening-Fuse-10173522,1</t>
  </si>
  <si>
    <t>Lateral Hardening-Fuse-10218987,1</t>
  </si>
  <si>
    <t>Lateral Hardening-Fuse-10247860,1</t>
  </si>
  <si>
    <t>Lateral Hardening-Fuse-10274748,1</t>
  </si>
  <si>
    <t>Lateral Hardening-Fuse-10297412,1</t>
  </si>
  <si>
    <t>Lateral Hardening-Fuse-10297440,1</t>
  </si>
  <si>
    <t>Lateral Hardening-Fuse-10297442,1</t>
  </si>
  <si>
    <t>Lateral Hardening-Fuse-10361894,1</t>
  </si>
  <si>
    <t>Lateral Hardening-Fuse-10362869,3</t>
  </si>
  <si>
    <t>Lateral Hardening-Fuse-10363933,1</t>
  </si>
  <si>
    <t>Lateral Hardening-Fuse-10382337,1</t>
  </si>
  <si>
    <t>Lateral Hardening-Fuse-10384706,1</t>
  </si>
  <si>
    <t>Lateral Hardening-Fuse-10384723,1</t>
  </si>
  <si>
    <t>Lateral Hardening-Fuse-10389247,2</t>
  </si>
  <si>
    <t>Lateral Hardening-Fuse-10392877,1</t>
  </si>
  <si>
    <t>Lateral Hardening-Fuse-10424221,1</t>
  </si>
  <si>
    <t>Lateral Hardening-Fuse-10425054,1</t>
  </si>
  <si>
    <t>Lateral Hardening-Fuse-10427678,1</t>
  </si>
  <si>
    <t>Lateral Hardening-Fuse-10429550,1</t>
  </si>
  <si>
    <t>Lateral Hardening-Fuse-10457713,1</t>
  </si>
  <si>
    <t>Lateral Hardening-Fuse-10475330,1</t>
  </si>
  <si>
    <t>Q4 - 2025</t>
  </si>
  <si>
    <t>Lateral Hardening-Fuse-10477228,1</t>
  </si>
  <si>
    <t>Lateral Hardening-Fuse-10535991,1</t>
  </si>
  <si>
    <t>Lateral Hardening-Fuse-10545847,1</t>
  </si>
  <si>
    <t>Lateral Hardening-Fuse-10565125,1</t>
  </si>
  <si>
    <t>Lateral Hardening-Fuse-10565130,1</t>
  </si>
  <si>
    <t>Lateral Hardening-Fuse-10565136,1</t>
  </si>
  <si>
    <t>Lateral Hardening-Fuse-10565887,1</t>
  </si>
  <si>
    <t>Lateral Hardening-Fuse-10565895,1</t>
  </si>
  <si>
    <t>Lateral Hardening-Fuse-10572982,1</t>
  </si>
  <si>
    <t>Lateral Hardening-Fuse-10589590,1</t>
  </si>
  <si>
    <t>Lateral Hardening-Fuse-10616460,1</t>
  </si>
  <si>
    <t>Lateral Hardening-Fuse-10625698,1</t>
  </si>
  <si>
    <t>Lateral Hardening-Fuse-10632726,1</t>
  </si>
  <si>
    <t>Lateral Hardening-Fuse-10632727,1</t>
  </si>
  <si>
    <t>Lateral Hardening-Fuse-10633695,1</t>
  </si>
  <si>
    <t>Lateral Hardening-Fuse-10637218,1</t>
  </si>
  <si>
    <t>Lateral Hardening-Fuse-10640103,1</t>
  </si>
  <si>
    <t>Lateral Hardening-Fuse-10668889,1</t>
  </si>
  <si>
    <t>Lateral Hardening-Fuse-10671179,1</t>
  </si>
  <si>
    <t>Lateral Hardening-Fuse-10674224,1</t>
  </si>
  <si>
    <t>Lateral Hardening-Fuse-10674240,1</t>
  </si>
  <si>
    <t>Lateral Hardening-Fuse-10674784,1</t>
  </si>
  <si>
    <t>Lateral Hardening-Fuse-10675160,1</t>
  </si>
  <si>
    <t>Lateral Hardening-Fuse-10686006,1</t>
  </si>
  <si>
    <t>Lateral Hardening-Fuse-10688316,1</t>
  </si>
  <si>
    <t>Lateral Hardening-Fuse-10692795,1</t>
  </si>
  <si>
    <t>Lateral Hardening-Fuse-10692803,1</t>
  </si>
  <si>
    <t>Lateral Hardening-Fuse-10696420,1</t>
  </si>
  <si>
    <t>Lateral Hardening-Fuse-10696464,1</t>
  </si>
  <si>
    <t>Lateral Hardening-Fuse-10710623,1</t>
  </si>
  <si>
    <t>Lateral Hardening-Fuse-10716303,1</t>
  </si>
  <si>
    <t>Lateral Hardening-Fuse-10716315,1</t>
  </si>
  <si>
    <t>Lateral Hardening-Fuse-10716318,1</t>
  </si>
  <si>
    <t>Lateral Hardening-Fuse-10791877,1</t>
  </si>
  <si>
    <t>Lateral Hardening-Fuse-10791889,1</t>
  </si>
  <si>
    <t>Lateral Hardening-Fuse-10823013,1</t>
  </si>
  <si>
    <t>Lateral Hardening-Fuse-10916743,1</t>
  </si>
  <si>
    <t>Lateral Hardening-Fuse-10928275,1</t>
  </si>
  <si>
    <t>Lateral Hardening-Fuse-10933157,1</t>
  </si>
  <si>
    <t>Lateral Hardening-Fuse-60005954,1</t>
  </si>
  <si>
    <t>Lateral Hardening-Fuse-60008652,1</t>
  </si>
  <si>
    <t>Lateral Hardening-Fuse-60011392,1</t>
  </si>
  <si>
    <t>Lateral Hardening-Fuse-60013778,1</t>
  </si>
  <si>
    <t>Lateral Hardening-Fuse-60015117,1</t>
  </si>
  <si>
    <t>Lateral Hardening-Fuse-60015427,1</t>
  </si>
  <si>
    <t>Lateral Hardening-Fuse-60016282,1</t>
  </si>
  <si>
    <t>Lateral Hardening-Fuse-60016353,1</t>
  </si>
  <si>
    <t>Lateral Hardening-Fuse-60017429,2</t>
  </si>
  <si>
    <t>Lateral Hardening-Fuse-60028650,1</t>
  </si>
  <si>
    <t>Lateral Hardening-Fuse-60029011,1</t>
  </si>
  <si>
    <t>Lateral Hardening-Fuse-60029776,1</t>
  </si>
  <si>
    <t>Lateral Hardening-Fuse-60029925,3</t>
  </si>
  <si>
    <t>Lateral Hardening-Fuse-60031511,1</t>
  </si>
  <si>
    <t>Lateral Hardening-Fuse-60033370,1</t>
  </si>
  <si>
    <t>Lateral Hardening-Fuse-60033388,1</t>
  </si>
  <si>
    <t>Lateral Hardening-Fuse-60034479,1</t>
  </si>
  <si>
    <t>Lateral Hardening-Fuse-60044927,1</t>
  </si>
  <si>
    <t>Lateral Hardening-Fuse-60046437,1</t>
  </si>
  <si>
    <t>Lateral Hardening-Fuse-60047463,1</t>
  </si>
  <si>
    <t>Lateral Hardening-Fuse-60048514,1</t>
  </si>
  <si>
    <t>Lateral Hardening-Fuse-60048809,1</t>
  </si>
  <si>
    <t>Lateral Hardening-Fuse-60058546,1</t>
  </si>
  <si>
    <t>Lateral Hardening-Fuse-60058616,1</t>
  </si>
  <si>
    <t>Lateral Hardening-Fuse-60060554,1</t>
  </si>
  <si>
    <t>Lateral Hardening-Fuse-60060564,1</t>
  </si>
  <si>
    <t>Lateral Hardening-Fuse-60060568,1</t>
  </si>
  <si>
    <t>Lateral Hardening-Fuse-60061785,1</t>
  </si>
  <si>
    <t>Lateral Hardening-Fuse-60065898,1</t>
  </si>
  <si>
    <t>Lateral Hardening-Fuse-60073788,1</t>
  </si>
  <si>
    <t>Lateral Hardening-Fuse-60073803,1</t>
  </si>
  <si>
    <t>Lateral Hardening-Fuse-60077860,1</t>
  </si>
  <si>
    <t>Lateral Hardening-Fuse-60087052,1</t>
  </si>
  <si>
    <t>Lateral Hardening-Fuse-60088186,1</t>
  </si>
  <si>
    <t>Lateral Hardening-Fuse-60088567,1</t>
  </si>
  <si>
    <t>Lateral Hardening-Fuse-60124027,1</t>
  </si>
  <si>
    <t>Lateral Hardening-Fuse-60181011,1</t>
  </si>
  <si>
    <t>Lateral Hardening-Fuse-60190659,1</t>
  </si>
  <si>
    <t>Lateral Hardening-Fuse-60200737,1</t>
  </si>
  <si>
    <t>Lateral Hardening-Fuse-60241209,1</t>
  </si>
  <si>
    <t>Lateral Hardening-Fuse-60289071,1</t>
  </si>
  <si>
    <t>Lateral Hardening-Fuse-60302651,1</t>
  </si>
  <si>
    <t>Lateral Hardening-Fuse-60305740,1</t>
  </si>
  <si>
    <t>Lateral Hardening-Fuse-60337684,1</t>
  </si>
  <si>
    <t>Lateral Hardening-Fuse-60350024,5</t>
  </si>
  <si>
    <t>Lateral Hardening-Fuse-60365361,1</t>
  </si>
  <si>
    <t>Lateral Hardening-Fuse-60422059,1</t>
  </si>
  <si>
    <t>Lateral Hardening-Fuse-60463714,1</t>
  </si>
  <si>
    <t>Lateral Hardening-Fuse-60474882,1</t>
  </si>
  <si>
    <t>Lateral Hardening-Fuse-60518342,1</t>
  </si>
  <si>
    <t>Lateral Hardening-Fuse-60614298,1</t>
  </si>
  <si>
    <t>Lateral Hardening-Fuse-90097474,7</t>
  </si>
  <si>
    <t>Lateral Hardening-Fuse-90098676,4</t>
  </si>
  <si>
    <t>Lateral Hardening-Fuse-90152415,1</t>
  </si>
  <si>
    <t>Lateral Hardening-Fuse-90157556,1</t>
  </si>
  <si>
    <t>Lateral Hardening-Fuse-90165527,1</t>
  </si>
  <si>
    <t>Lateral Hardening-Fuse-90179103,1</t>
  </si>
  <si>
    <t>Lateral Hardening-Fuse-90211134,1</t>
  </si>
  <si>
    <t>Lateral Hardening-Fuse-90267141,1</t>
  </si>
  <si>
    <t>Lateral Hardening-Fuse-90297635,1</t>
  </si>
  <si>
    <t>Lateral Hardening-Fuse-90377733,1</t>
  </si>
  <si>
    <t>Lateral Hardening-Fuse-90393849,1</t>
  </si>
  <si>
    <t>Lateral Hardening-Fuse-90398961,1</t>
  </si>
  <si>
    <t>Lateral Hardening-Fuse-90399851,6</t>
  </si>
  <si>
    <t>Lateral Hardening-Fuse-90416605,1</t>
  </si>
  <si>
    <t>Lateral Hardening-Fuse-90441325,1</t>
  </si>
  <si>
    <t>Lateral Hardening-Fuse-90482454,4</t>
  </si>
  <si>
    <t>Lateral Hardening-Fuse-90487798,1</t>
  </si>
  <si>
    <t>Lateral Hardening-Fuse-90522517,5</t>
  </si>
  <si>
    <t>Lateral Hardening-Fuse-90526768,1</t>
  </si>
  <si>
    <t>Lateral Hardening-Fuse-90630567,1</t>
  </si>
  <si>
    <t>Lateral Hardening-Fuse-90668793,1</t>
  </si>
  <si>
    <t>Lateral Hardening-Fuse-90704066,4</t>
  </si>
  <si>
    <t>Q2 - 2025</t>
  </si>
  <si>
    <t>Lateral Hardening-Fuse-90748138,1</t>
  </si>
  <si>
    <t>Lateral Hardening-Fuse-90823812,1</t>
  </si>
  <si>
    <t>Lateral Hardening-Fuse-90830976,1</t>
  </si>
  <si>
    <t>Lateral Hardening-Fuse-90847913,1</t>
  </si>
  <si>
    <t>Lateral Hardening-Fuse-90848130,1</t>
  </si>
  <si>
    <t>Lateral Hardening-Fuse-90852788,1</t>
  </si>
  <si>
    <t>Lateral Hardening-Fuse-91016874,2</t>
  </si>
  <si>
    <t>Lateral Hardening-Fuse-91060899,1</t>
  </si>
  <si>
    <t>Lateral Hardening-Fuse-91066431,1</t>
  </si>
  <si>
    <t>Lateral Hardening-Fuse-91076397,1</t>
  </si>
  <si>
    <t>Lateral Hardening-Fuse-91096289,1</t>
  </si>
  <si>
    <t>Lateral Hardening-Fuse-91147533,3</t>
  </si>
  <si>
    <t>Lateral Hardening-Fuse-91151734,1</t>
  </si>
  <si>
    <t>Lateral Hardening-Fuse-91154995,2</t>
  </si>
  <si>
    <t>Lateral Hardening-Fuse-91161524,1</t>
  </si>
  <si>
    <t>Lateral Hardening-Fuse-91177941,3</t>
  </si>
  <si>
    <t>Lateral Hardening-Fuse-91232937,1</t>
  </si>
  <si>
    <t>Lateral Hardening-Fuse-91234338,1</t>
  </si>
  <si>
    <t>Lateral Hardening-Fuse-91334566,1</t>
  </si>
  <si>
    <t>Lateral Hardening-Fuse-91337725,1</t>
  </si>
  <si>
    <t>Lateral Hardening-Fuse-91354294,1</t>
  </si>
  <si>
    <t>Lateral Hardening-Fuse-91382618,1</t>
  </si>
  <si>
    <t>Lateral Hardening-Fuse-91404359,1</t>
  </si>
  <si>
    <t>Lateral Hardening-Fuse-91418404,1</t>
  </si>
  <si>
    <t>Lateral Hardening-Fuse-91421327,1</t>
  </si>
  <si>
    <t>Lateral Hardening-Fuse-91532289,1</t>
  </si>
  <si>
    <t>Lateral Hardening-Fuse-91532301,1</t>
  </si>
  <si>
    <t>Lateral Hardening-Fuse-91550764,1</t>
  </si>
  <si>
    <t>Lateral Hardening-Fuse-91565159,4</t>
  </si>
  <si>
    <t>Lateral Hardening-Fuse-91623641,1</t>
  </si>
  <si>
    <t>Lateral Hardening-Fuse-91643964,1</t>
  </si>
  <si>
    <t>Lateral Hardening-Fuse-91702481,1</t>
  </si>
  <si>
    <t>Lateral Hardening-Fuse-91774500,1</t>
  </si>
  <si>
    <t>Lateral Hardening-Fuse-91782844,1</t>
  </si>
  <si>
    <t>Lateral Hardening-Fuse-91868130,1</t>
  </si>
  <si>
    <t>Lateral Hardening-Fuse-91910924,1</t>
  </si>
  <si>
    <t>Lateral Hardening-Fuse-92005809,1</t>
  </si>
  <si>
    <t>Lateral Hardening-Fuse-92027991,1</t>
  </si>
  <si>
    <t>Lateral Hardening-Fuse-92035203,1</t>
  </si>
  <si>
    <t>Lateral Hardening-Fuse-92079502,1</t>
  </si>
  <si>
    <t>Lateral Hardening-Fuse-92097014,1</t>
  </si>
  <si>
    <t>Lateral Hardening-Fuse-92132257,1</t>
  </si>
  <si>
    <t>Lateral Hardening-Fuse-92197131,1</t>
  </si>
  <si>
    <t>Lateral Hardening-Fuse-92238609,1</t>
  </si>
  <si>
    <t>Lateral Hardening-Fuse-92257437,1</t>
  </si>
  <si>
    <t>Lateral Hardening-Fuse-92320131,1</t>
  </si>
  <si>
    <t>Lateral Hardening-Fuse-92354169,1</t>
  </si>
  <si>
    <t>Lateral Hardening-Fuse-92398222,1</t>
  </si>
  <si>
    <t>Lateral Hardening-Fuse-92408051,1</t>
  </si>
  <si>
    <t>Lateral Hardening-Fuse-92418323,1</t>
  </si>
  <si>
    <t>Lateral Hardening-Fuse-92448697,1</t>
  </si>
  <si>
    <t>Lateral Hardening-Fuse-92486363,1</t>
  </si>
  <si>
    <t>Lateral Hardening-Fuse-92497118,1</t>
  </si>
  <si>
    <t>Lateral Hardening-Fuse-92527630,1</t>
  </si>
  <si>
    <t>Lateral Hardening-Fuse-92527637,1</t>
  </si>
  <si>
    <t>Lateral Hardening-Fuse-92529635,1</t>
  </si>
  <si>
    <t>Lateral Hardening-Fuse-92529638,1</t>
  </si>
  <si>
    <t>Lateral Hardening-Fuse-92537158,1</t>
  </si>
  <si>
    <t>Lateral Hardening-Fuse-92543665,1</t>
  </si>
  <si>
    <t>Lateral Hardening-Fuse-92570284,1</t>
  </si>
  <si>
    <t>Lateral Hardening-Fuse-92597622,1</t>
  </si>
  <si>
    <t>Lateral Hardening-Fuse-92599120,1</t>
  </si>
  <si>
    <t>Lateral Hardening-Fuse-92602262,1</t>
  </si>
  <si>
    <t>Lateral Hardening-Fuse-92603717,1</t>
  </si>
  <si>
    <t>Lateral Hardening-Fuse-92605327,1</t>
  </si>
  <si>
    <t>Lateral Hardening-Fuse-92605381,1</t>
  </si>
  <si>
    <t>Lateral Hardening-Fuse-92609981,1</t>
  </si>
  <si>
    <t>Lateral Hardening-Fuse-92610250,1</t>
  </si>
  <si>
    <t>Lateral Hardening-Fuse-92612860,1</t>
  </si>
  <si>
    <t>Lateral Hardening-Fuse-92620889,1</t>
  </si>
  <si>
    <t>Lateral Hardening-Fuse-92622569,1</t>
  </si>
  <si>
    <t>Lateral Hardening-Fuse-92655421,1</t>
  </si>
  <si>
    <t>Lateral Hardening-Fuse-92678765,1</t>
  </si>
  <si>
    <t>Lateral Hardening-Fuse-92701725,1</t>
  </si>
  <si>
    <t>Lateral Hardening-Fuse-92773510,1</t>
  </si>
  <si>
    <t>Lateral Hardening-Fuse-92814355,1</t>
  </si>
  <si>
    <t>Lateral Hardening-Fuse-92835651,4</t>
  </si>
  <si>
    <t>Lateral Hardening-Fuse-92856634,1</t>
  </si>
  <si>
    <t>Lateral Hardening-Fuse-92859507,1</t>
  </si>
  <si>
    <t>Lateral Hardening-Fuse-92867406,1</t>
  </si>
  <si>
    <t>Lateral Hardening-Fuse-92874488,1</t>
  </si>
  <si>
    <t>Lateral Hardening-Fuse-92890357,1</t>
  </si>
  <si>
    <t>Lateral Hardening-Fuse-92897362,1</t>
  </si>
  <si>
    <t>Lateral Hardening-Fuse-92901825,1</t>
  </si>
  <si>
    <t>Lateral Hardening-Fuse-92905104,1</t>
  </si>
  <si>
    <t>Lateral Hardening-Fuse-92907479,1</t>
  </si>
  <si>
    <t>Lateral Hardening-Fuse-92922162,1</t>
  </si>
  <si>
    <t>Lateral Hardening-Fuse-92937437,1</t>
  </si>
  <si>
    <t>Lateral Hardening-Fuse-93033231,1</t>
  </si>
  <si>
    <t>Lateral Hardening-Fuse-93082436,1</t>
  </si>
  <si>
    <t>Lateral Hardening-Fuse-93090160,1</t>
  </si>
  <si>
    <t>Lateral Hardening-Fuse-93113905,1</t>
  </si>
  <si>
    <t>Lateral Hardening-Fuse-93118733,1</t>
  </si>
  <si>
    <t>Lateral Hardening-Fuse-93172625,1</t>
  </si>
  <si>
    <t>Lateral Hardening-Fuse-93218070,1</t>
  </si>
  <si>
    <t>Lateral Hardening-Fuse-93233174,1</t>
  </si>
  <si>
    <t>Lateral Hardening-Fuse-93235148,1</t>
  </si>
  <si>
    <t>Lateral Hardening-Fuse-93247243,1</t>
  </si>
  <si>
    <t>Lateral Hardening-Fuse-93249426,1</t>
  </si>
  <si>
    <t>Lateral Hardening-Fuse-93263741,1</t>
  </si>
  <si>
    <t>Lateral Hardening-Fuse-93263753,1</t>
  </si>
  <si>
    <t>Lateral Hardening-Fuse-93264130,1</t>
  </si>
  <si>
    <t>Lateral Hardening-Fuse-93266650,1</t>
  </si>
  <si>
    <t>Lateral Hardening-Fuse-93267158,1</t>
  </si>
  <si>
    <t>Lateral Hardening-Fuse-93276507,1</t>
  </si>
  <si>
    <t>Lateral Hardening-Fuse-93283244,2</t>
  </si>
  <si>
    <t>Lateral Hardening-Fuse-93283740,1</t>
  </si>
  <si>
    <t>Lateral Hardening-Fuse-93292955,1</t>
  </si>
  <si>
    <t>Lateral Hardening-Fuse-93294943,1</t>
  </si>
  <si>
    <t>Lateral Hardening-Fuse-93324791,1</t>
  </si>
  <si>
    <t>Lateral Hardening-Fuse-93355196,1</t>
  </si>
  <si>
    <t>Lateral Hardening-Fuse-93432382,1</t>
  </si>
  <si>
    <t>Report</t>
  </si>
  <si>
    <t>SPP</t>
  </si>
  <si>
    <t>Tampa Electric's              Distribution Lateral                   Undergrounding Program Projects         by Year and Projected Costs (in millions)</t>
  </si>
  <si>
    <t>Tampa Electric's                Distribution Overhead Feeder Hardening Program Projects by Year and Projected Costs (in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</si>
</sst>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6" formatCode="&quot;$&quot;#,##0_);[Red]\(&quot;$&quot;#,##0\)"/>
    <numFmt numFmtId="44" formatCode="_(&quot;$&quot;* #,##0.00_);_(&quot;$&quot;* \(#,##0.00\);_(&quot;$&quot;* &quot;-&quot;??_);_(@_)"/>
    <numFmt numFmtId="43" formatCode="_(* #,##0.00_);_(* \(#,##0.00\);_(* &quot;-&quot;??_);_(@_)"/>
    <numFmt numFmtId="164" formatCode="&quot;$&quot;#,##0.00"/>
    <numFmt numFmtId="165" formatCode="0.000"/>
    <numFmt numFmtId="166" formatCode="&quot;$&quot;#,##0.0_);\(&quot;$&quot;#,##0.0\)"/>
    <numFmt numFmtId="167" formatCode="&quot;$&quot;#,##0"/>
    <numFmt numFmtId="168" formatCode="&quot;$&quot;#,##0.0"/>
    <numFmt numFmtId="169" formatCode="#,##0.0"/>
    <numFmt numFmtId="170" formatCode="0.0"/>
    <numFmt numFmtId="171" formatCode="_(&quot;$&quot;* #,##0_);_(&quot;$&quot;* \(#,##0\);_(&quot;$&quot;* &quot;-&quot;??_);_(@_)"/>
    <numFmt numFmtId="172" formatCode="0.000%"/>
    <numFmt numFmtId="173" formatCode="m/d;@"/>
    <numFmt numFmtId="174" formatCode="_(* #,##0_);_(* \(#,##0\);_(* &quot;-&quot;??_);_(@_)"/>
  </numFmts>
  <fonts count="45" x14ac:knownFonts="1">
    <font>
      <sz val="11"/>
      <color theme="1"/>
      <name val="Calibri"/>
      <family val="2"/>
      <scheme val="minor"/>
    </font>
    <font>
      <sz val="11"/>
      <color theme="1"/>
      <name val="Courier New"/>
      <family val="3"/>
    </font>
    <font>
      <b/>
      <sz val="14"/>
      <color theme="1"/>
      <name val="Courier New"/>
      <family val="3"/>
    </font>
    <font>
      <sz val="12"/>
      <name val="Arial"/>
      <family val="2"/>
    </font>
    <font>
      <b/>
      <sz val="12"/>
      <name val="Courier New"/>
      <family val="3"/>
    </font>
    <font>
      <b/>
      <sz val="12"/>
      <color theme="1"/>
      <name val="Courier New"/>
      <family val="3"/>
    </font>
    <font>
      <sz val="12"/>
      <color theme="1"/>
      <name val="Courier New"/>
      <family val="3"/>
    </font>
    <font>
      <b/>
      <sz val="11"/>
      <color theme="1"/>
      <name val="Courier New"/>
      <family val="3"/>
    </font>
    <font>
      <sz val="11"/>
      <color theme="1"/>
      <name val="Calibri"/>
      <family val="2"/>
      <scheme val="minor"/>
    </font>
    <font>
      <b/>
      <sz val="20"/>
      <color theme="1"/>
      <name val="Courier New"/>
      <family val="3"/>
    </font>
    <font>
      <b/>
      <sz val="12"/>
      <color rgb="FF000000"/>
      <name val="Courier New"/>
      <family val="3"/>
    </font>
    <font>
      <sz val="12"/>
      <color rgb="FF000000"/>
      <name val="Courier New"/>
      <family val="3"/>
    </font>
    <font>
      <b/>
      <sz val="16"/>
      <name val="Courier New"/>
      <family val="3"/>
    </font>
    <font>
      <b/>
      <sz val="14"/>
      <name val="Courier New"/>
      <family val="3"/>
    </font>
    <font>
      <b/>
      <vertAlign val="superscript"/>
      <sz val="12"/>
      <color rgb="FF000000"/>
      <name val="Courier New"/>
      <family val="3"/>
    </font>
    <font>
      <sz val="22"/>
      <color theme="1"/>
      <name val="Calibri"/>
      <family val="2"/>
      <scheme val="minor"/>
    </font>
    <font>
      <sz val="12"/>
      <color rgb="FFFF0000"/>
      <name val="Courier New"/>
      <family val="3"/>
    </font>
    <font>
      <b/>
      <sz val="16"/>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sz val="10"/>
      <name val="Arial"/>
      <family val="2"/>
    </font>
    <font>
      <b/>
      <sz val="12"/>
      <name val="Arial"/>
      <family val="2"/>
    </font>
    <font>
      <sz val="18"/>
      <name val="Arial"/>
      <family val="2"/>
    </font>
    <font>
      <b/>
      <sz val="18"/>
      <name val="Arial"/>
      <family val="2"/>
    </font>
    <font>
      <b/>
      <sz val="24"/>
      <name val="Arial"/>
      <family val="2"/>
    </font>
    <font>
      <b/>
      <sz val="18"/>
      <color theme="3"/>
      <name val="Calibri Light"/>
      <family val="2"/>
      <scheme val="major"/>
    </font>
    <font>
      <sz val="11"/>
      <color rgb="FF9C6500"/>
      <name val="Calibri"/>
      <family val="2"/>
      <scheme val="minor"/>
    </font>
    <font>
      <sz val="10"/>
      <name val="Courier"/>
      <family val="3"/>
    </font>
    <font>
      <sz val="12"/>
      <name val="Arial Narrow"/>
      <family val="2"/>
    </font>
    <font>
      <u/>
      <sz val="12"/>
      <color theme="10"/>
      <name val="Arial"/>
      <family val="2"/>
    </font>
    <font>
      <sz val="14"/>
      <color theme="1"/>
      <name val="Courier New"/>
      <family val="3"/>
    </font>
    <font>
      <sz val="12"/>
      <name val="Courier New"/>
      <family val="3"/>
    </font>
  </fonts>
  <fills count="43">
    <fill>
      <patternFill patternType="none"/>
    </fill>
    <fill>
      <patternFill patternType="gray125"/>
    </fill>
    <fill>
      <patternFill patternType="solid">
        <fgColor rgb="FFFFC000"/>
        <bgColor indexed="64"/>
      </patternFill>
    </fill>
    <fill>
      <patternFill patternType="solid">
        <fgColor theme="1"/>
        <bgColor indexed="64"/>
      </patternFill>
    </fill>
    <fill>
      <patternFill patternType="solid">
        <fgColor rgb="FF00B0F0"/>
        <bgColor indexed="64"/>
      </patternFill>
    </fill>
    <fill>
      <patternFill patternType="solid">
        <fgColor rgb="FF002060"/>
        <bgColor indexed="64"/>
      </patternFill>
    </fill>
    <fill>
      <patternFill patternType="solid">
        <fgColor rgb="FF92D05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2F2F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0"/>
      </top>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bottom/>
      <diagonal/>
    </border>
    <border>
      <left style="medium">
        <color indexed="64"/>
      </left>
      <right style="medium">
        <color indexed="64"/>
      </right>
      <top style="thin">
        <color indexed="64"/>
      </top>
      <bottom/>
      <diagonal/>
    </border>
  </borders>
  <cellStyleXfs count="339">
    <xf numFmtId="0" fontId="0" fillId="0" borderId="0"/>
    <xf numFmtId="37" fontId="3" fillId="0" borderId="0"/>
    <xf numFmtId="44"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20" fillId="0" borderId="70" applyNumberFormat="0" applyFill="0" applyAlignment="0" applyProtection="0"/>
    <xf numFmtId="0" fontId="20" fillId="0" borderId="0" applyNumberFormat="0" applyFill="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3" fillId="14" borderId="71" applyNumberFormat="0" applyAlignment="0" applyProtection="0"/>
    <xf numFmtId="0" fontId="24" fillId="15" borderId="72" applyNumberFormat="0" applyAlignment="0" applyProtection="0"/>
    <xf numFmtId="0" fontId="25" fillId="15" borderId="71" applyNumberFormat="0" applyAlignment="0" applyProtection="0"/>
    <xf numFmtId="0" fontId="26" fillId="0" borderId="73" applyNumberFormat="0" applyFill="0" applyAlignment="0" applyProtection="0"/>
    <xf numFmtId="0" fontId="27" fillId="16" borderId="74"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1"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31"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31"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31"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31"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31" fillId="38"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37" fontId="32" fillId="0" borderId="0"/>
    <xf numFmtId="43" fontId="33" fillId="0" borderId="0" applyFont="0" applyFill="0" applyBorder="0" applyAlignment="0" applyProtection="0"/>
    <xf numFmtId="3" fontId="33" fillId="0" borderId="0" applyFont="0" applyFill="0" applyBorder="0" applyAlignment="0" applyProtection="0"/>
    <xf numFmtId="44" fontId="33" fillId="0" borderId="0" applyFont="0" applyFill="0" applyBorder="0" applyAlignment="0" applyProtection="0"/>
    <xf numFmtId="5" fontId="33" fillId="0" borderId="0" applyFont="0" applyFill="0" applyBorder="0" applyAlignment="0" applyProtection="0"/>
    <xf numFmtId="14" fontId="33" fillId="0" borderId="0" applyFont="0" applyFill="0" applyBorder="0" applyAlignment="0" applyProtection="0"/>
    <xf numFmtId="3" fontId="35" fillId="0" borderId="0" applyProtection="0"/>
    <xf numFmtId="3" fontId="36" fillId="0" borderId="0" applyProtection="0"/>
    <xf numFmtId="3" fontId="37" fillId="0" borderId="0" applyProtection="0"/>
    <xf numFmtId="2" fontId="33" fillId="0" borderId="0" applyFont="0" applyFill="0" applyBorder="0" applyAlignment="0" applyProtection="0"/>
    <xf numFmtId="0" fontId="36" fillId="0" borderId="0" applyNumberFormat="0" applyFont="0" applyFill="0" applyAlignment="0" applyProtection="0"/>
    <xf numFmtId="0" fontId="34" fillId="0" borderId="0" applyNumberFormat="0" applyFont="0" applyFill="0" applyAlignment="0" applyProtection="0"/>
    <xf numFmtId="9" fontId="33" fillId="0" borderId="0" applyFont="0" applyFill="0" applyBorder="0" applyAlignment="0" applyProtection="0"/>
    <xf numFmtId="0" fontId="33" fillId="0" borderId="77" applyNumberFormat="0" applyFont="0" applyBorder="0" applyAlignment="0" applyProtection="0"/>
    <xf numFmtId="37" fontId="3" fillId="0" borderId="0"/>
    <xf numFmtId="0" fontId="34" fillId="0" borderId="0" applyNumberFormat="0" applyFont="0" applyFill="0" applyAlignment="0" applyProtection="0"/>
    <xf numFmtId="0" fontId="34" fillId="0" borderId="0" applyNumberFormat="0" applyFont="0" applyFill="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33" fillId="0" borderId="0"/>
    <xf numFmtId="43" fontId="33" fillId="0" borderId="0" applyFont="0" applyFill="0" applyBorder="0" applyAlignment="0" applyProtection="0"/>
    <xf numFmtId="43" fontId="8" fillId="0" borderId="0" applyFont="0" applyFill="0" applyBorder="0" applyAlignment="0" applyProtection="0"/>
    <xf numFmtId="0" fontId="33"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0" fontId="38" fillId="0" borderId="0" applyNumberFormat="0" applyFill="0" applyBorder="0" applyAlignment="0" applyProtection="0"/>
    <xf numFmtId="0" fontId="39" fillId="13"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37" borderId="0" applyNumberFormat="0" applyBorder="0" applyAlignment="0" applyProtection="0"/>
    <xf numFmtId="0" fontId="31" fillId="41"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8" fillId="0" borderId="68" applyNumberFormat="0" applyFill="0" applyAlignment="0" applyProtection="0"/>
    <xf numFmtId="0" fontId="19" fillId="0" borderId="69" applyNumberFormat="0" applyFill="0" applyAlignment="0" applyProtection="0"/>
    <xf numFmtId="0" fontId="8" fillId="0" borderId="0"/>
    <xf numFmtId="0" fontId="8" fillId="0" borderId="0"/>
    <xf numFmtId="0" fontId="33" fillId="0" borderId="0"/>
    <xf numFmtId="0" fontId="8" fillId="17" borderId="75" applyNumberFormat="0" applyFont="0" applyAlignment="0" applyProtection="0"/>
    <xf numFmtId="0" fontId="30" fillId="0" borderId="76" applyNumberFormat="0" applyFill="0" applyAlignment="0" applyProtection="0"/>
    <xf numFmtId="44" fontId="33" fillId="0" borderId="0" applyFont="0" applyFill="0" applyBorder="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0" fontId="8" fillId="39"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36" borderId="0" applyNumberFormat="0" applyBorder="0" applyAlignment="0" applyProtection="0"/>
    <xf numFmtId="0" fontId="8" fillId="40"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17" borderId="75" applyNumberFormat="0" applyFont="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0" fontId="33"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17" borderId="75" applyNumberFormat="0" applyFont="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40" fillId="0" borderId="0"/>
    <xf numFmtId="0" fontId="33" fillId="0" borderId="0"/>
    <xf numFmtId="0" fontId="40" fillId="0" borderId="0"/>
    <xf numFmtId="0" fontId="40" fillId="0" borderId="0"/>
    <xf numFmtId="0" fontId="33" fillId="0" borderId="0"/>
    <xf numFmtId="0" fontId="40" fillId="0" borderId="0"/>
    <xf numFmtId="0" fontId="40" fillId="0" borderId="0"/>
    <xf numFmtId="0" fontId="33" fillId="0" borderId="0"/>
    <xf numFmtId="0" fontId="40" fillId="0" borderId="0"/>
    <xf numFmtId="0" fontId="40" fillId="0" borderId="0"/>
    <xf numFmtId="0" fontId="33" fillId="0" borderId="0">
      <alignment wrapText="1"/>
    </xf>
    <xf numFmtId="0" fontId="3" fillId="42" borderId="0"/>
    <xf numFmtId="0" fontId="33" fillId="0" borderId="0"/>
    <xf numFmtId="0" fontId="8" fillId="0" borderId="0"/>
    <xf numFmtId="0" fontId="33" fillId="0" borderId="0"/>
    <xf numFmtId="0" fontId="8" fillId="0" borderId="0"/>
    <xf numFmtId="0" fontId="40" fillId="0" borderId="0"/>
    <xf numFmtId="0" fontId="40" fillId="0" borderId="0"/>
    <xf numFmtId="0" fontId="33" fillId="0" borderId="0"/>
    <xf numFmtId="0" fontId="40" fillId="0" borderId="0"/>
    <xf numFmtId="0" fontId="40" fillId="0" borderId="0"/>
    <xf numFmtId="0" fontId="33" fillId="0" borderId="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0" fontId="8" fillId="39"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36" borderId="0" applyNumberFormat="0" applyBorder="0" applyAlignment="0" applyProtection="0"/>
    <xf numFmtId="0" fontId="8" fillId="40"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17" borderId="75" applyNumberFormat="0" applyFont="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3" fillId="0" borderId="0"/>
    <xf numFmtId="43" fontId="33" fillId="0" borderId="0" applyFont="0" applyFill="0" applyBorder="0" applyAlignment="0" applyProtection="0"/>
    <xf numFmtId="0" fontId="33" fillId="0" borderId="0"/>
    <xf numFmtId="9" fontId="33" fillId="0" borderId="0" applyFont="0" applyFill="0" applyBorder="0" applyAlignment="0" applyProtection="0"/>
    <xf numFmtId="9" fontId="33" fillId="0" borderId="0" applyFont="0" applyFill="0" applyBorder="0" applyAlignment="0" applyProtection="0"/>
    <xf numFmtId="0" fontId="8" fillId="0" borderId="0"/>
    <xf numFmtId="43" fontId="41" fillId="0" borderId="0" applyFont="0" applyFill="0" applyBorder="0" applyAlignment="0" applyProtection="0"/>
    <xf numFmtId="0" fontId="3" fillId="42" borderId="0"/>
    <xf numFmtId="9" fontId="8" fillId="0" borderId="0" applyFont="0" applyFill="0" applyBorder="0" applyAlignment="0" applyProtection="0"/>
    <xf numFmtId="0" fontId="33" fillId="0" borderId="0"/>
    <xf numFmtId="43" fontId="33" fillId="0" borderId="0" applyFont="0" applyFill="0" applyBorder="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8" fillId="0" borderId="0"/>
    <xf numFmtId="9" fontId="8" fillId="0" borderId="0" applyFont="0" applyFill="0" applyBorder="0" applyAlignment="0" applyProtection="0"/>
    <xf numFmtId="37" fontId="42" fillId="0" borderId="0" applyNumberFormat="0" applyFill="0" applyBorder="0" applyAlignment="0" applyProtection="0"/>
    <xf numFmtId="0" fontId="8" fillId="0" borderId="0"/>
    <xf numFmtId="43" fontId="8" fillId="0" borderId="0" applyFont="0" applyFill="0" applyBorder="0" applyAlignment="0" applyProtection="0"/>
    <xf numFmtId="0" fontId="33" fillId="0" borderId="0"/>
    <xf numFmtId="0" fontId="8" fillId="0" borderId="0"/>
    <xf numFmtId="9"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0" fontId="33" fillId="0" borderId="0"/>
    <xf numFmtId="43" fontId="8" fillId="0" borderId="0" applyFont="0" applyFill="0" applyBorder="0" applyAlignment="0" applyProtection="0"/>
  </cellStyleXfs>
  <cellXfs count="585">
    <xf numFmtId="0" fontId="0" fillId="0" borderId="0" xfId="0"/>
    <xf numFmtId="0" fontId="1" fillId="0" borderId="0" xfId="0" applyFont="1"/>
    <xf numFmtId="37" fontId="4" fillId="0" borderId="7" xfId="1"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xf numFmtId="0" fontId="1" fillId="0" borderId="0" xfId="0" applyFont="1" applyAlignment="1">
      <alignment horizontal="center"/>
    </xf>
    <xf numFmtId="37" fontId="4" fillId="0" borderId="11" xfId="1" applyFont="1" applyBorder="1" applyAlignment="1">
      <alignment horizontal="right" wrapText="1" indent="1"/>
    </xf>
    <xf numFmtId="164" fontId="6" fillId="0" borderId="12" xfId="0" applyNumberFormat="1" applyFont="1" applyBorder="1"/>
    <xf numFmtId="164" fontId="6" fillId="0" borderId="13" xfId="0" applyNumberFormat="1" applyFont="1" applyBorder="1"/>
    <xf numFmtId="164" fontId="1" fillId="0" borderId="14" xfId="0" applyNumberFormat="1" applyFont="1" applyBorder="1"/>
    <xf numFmtId="165" fontId="1" fillId="0" borderId="0" xfId="0" applyNumberFormat="1" applyFont="1"/>
    <xf numFmtId="164" fontId="1" fillId="0" borderId="0" xfId="0" applyNumberFormat="1" applyFont="1"/>
    <xf numFmtId="37" fontId="4" fillId="0" borderId="15" xfId="1" applyFont="1" applyBorder="1" applyAlignment="1">
      <alignment horizontal="right" wrapText="1" indent="1"/>
    </xf>
    <xf numFmtId="164" fontId="6" fillId="0" borderId="16" xfId="0" applyNumberFormat="1" applyFont="1" applyBorder="1"/>
    <xf numFmtId="164" fontId="6" fillId="0" borderId="17" xfId="0" applyNumberFormat="1" applyFont="1" applyBorder="1"/>
    <xf numFmtId="164" fontId="1" fillId="0" borderId="18" xfId="0" applyNumberFormat="1" applyFont="1" applyBorder="1"/>
    <xf numFmtId="37" fontId="4" fillId="2" borderId="19" xfId="1" applyFont="1" applyFill="1" applyBorder="1" applyAlignment="1">
      <alignment horizontal="right" wrapText="1" indent="1"/>
    </xf>
    <xf numFmtId="164" fontId="6" fillId="2" borderId="20" xfId="0" applyNumberFormat="1" applyFont="1" applyFill="1" applyBorder="1"/>
    <xf numFmtId="164" fontId="6" fillId="2" borderId="21" xfId="0" applyNumberFormat="1" applyFont="1" applyFill="1" applyBorder="1"/>
    <xf numFmtId="164" fontId="1" fillId="2" borderId="22" xfId="0" applyNumberFormat="1" applyFont="1" applyFill="1" applyBorder="1"/>
    <xf numFmtId="164" fontId="1" fillId="3" borderId="0" xfId="0" applyNumberFormat="1" applyFont="1" applyFill="1"/>
    <xf numFmtId="0" fontId="7" fillId="0" borderId="23" xfId="0" applyFont="1" applyBorder="1" applyAlignment="1">
      <alignment horizontal="center"/>
    </xf>
    <xf numFmtId="0" fontId="7" fillId="0" borderId="9" xfId="0" applyFont="1" applyBorder="1" applyAlignment="1">
      <alignment horizontal="center"/>
    </xf>
    <xf numFmtId="37" fontId="4" fillId="0" borderId="24" xfId="1" applyFont="1" applyBorder="1" applyAlignment="1">
      <alignment horizontal="right" wrapText="1" indent="1"/>
    </xf>
    <xf numFmtId="164" fontId="6" fillId="0" borderId="25" xfId="0" applyNumberFormat="1" applyFont="1" applyBorder="1"/>
    <xf numFmtId="164" fontId="6" fillId="0" borderId="26" xfId="0" applyNumberFormat="1" applyFont="1" applyBorder="1"/>
    <xf numFmtId="164" fontId="1" fillId="0" borderId="27" xfId="0" applyNumberFormat="1" applyFont="1" applyBorder="1"/>
    <xf numFmtId="37" fontId="4" fillId="2" borderId="15" xfId="1" applyFont="1" applyFill="1" applyBorder="1" applyAlignment="1">
      <alignment horizontal="right" wrapText="1" indent="1"/>
    </xf>
    <xf numFmtId="164" fontId="6" fillId="2" borderId="28" xfId="0" applyNumberFormat="1" applyFont="1" applyFill="1" applyBorder="1"/>
    <xf numFmtId="164" fontId="6" fillId="2" borderId="17" xfId="0" applyNumberFormat="1" applyFont="1" applyFill="1" applyBorder="1"/>
    <xf numFmtId="164" fontId="1" fillId="2" borderId="18" xfId="0" applyNumberFormat="1" applyFont="1" applyFill="1" applyBorder="1"/>
    <xf numFmtId="0" fontId="1" fillId="3" borderId="0" xfId="0" applyFont="1" applyFill="1"/>
    <xf numFmtId="164" fontId="6" fillId="0" borderId="28" xfId="0" applyNumberFormat="1" applyFont="1" applyBorder="1"/>
    <xf numFmtId="164" fontId="6" fillId="2" borderId="29" xfId="0" applyNumberFormat="1" applyFont="1" applyFill="1" applyBorder="1"/>
    <xf numFmtId="0" fontId="1" fillId="0" borderId="0" xfId="0" applyFont="1" applyAlignment="1">
      <alignment horizontal="right"/>
    </xf>
    <xf numFmtId="164" fontId="6" fillId="2" borderId="31" xfId="0" applyNumberFormat="1" applyFont="1" applyFill="1" applyBorder="1"/>
    <xf numFmtId="164" fontId="6" fillId="0" borderId="18" xfId="0" applyNumberFormat="1" applyFont="1" applyBorder="1"/>
    <xf numFmtId="164" fontId="6" fillId="0" borderId="24" xfId="0" applyNumberFormat="1" applyFont="1" applyFill="1" applyBorder="1"/>
    <xf numFmtId="164" fontId="6" fillId="0" borderId="11" xfId="0" applyNumberFormat="1" applyFont="1" applyFill="1" applyBorder="1"/>
    <xf numFmtId="164" fontId="6" fillId="2" borderId="11" xfId="0" applyNumberFormat="1" applyFont="1" applyFill="1" applyBorder="1"/>
    <xf numFmtId="164" fontId="6" fillId="2" borderId="42" xfId="0" applyNumberFormat="1" applyFont="1" applyFill="1" applyBorder="1"/>
    <xf numFmtId="164" fontId="6" fillId="0" borderId="25" xfId="0" applyNumberFormat="1" applyFont="1" applyFill="1" applyBorder="1"/>
    <xf numFmtId="164" fontId="6" fillId="0" borderId="26" xfId="0" applyNumberFormat="1" applyFont="1" applyFill="1" applyBorder="1"/>
    <xf numFmtId="164" fontId="6" fillId="0" borderId="32" xfId="0" applyNumberFormat="1" applyFont="1" applyFill="1" applyBorder="1"/>
    <xf numFmtId="164" fontId="6" fillId="0" borderId="28" xfId="0" applyNumberFormat="1" applyFont="1" applyFill="1" applyBorder="1"/>
    <xf numFmtId="164" fontId="6" fillId="0" borderId="17" xfId="0" applyNumberFormat="1" applyFont="1" applyFill="1" applyBorder="1"/>
    <xf numFmtId="164" fontId="6" fillId="0" borderId="30" xfId="0" applyNumberFormat="1" applyFont="1" applyFill="1" applyBorder="1"/>
    <xf numFmtId="0" fontId="5" fillId="0" borderId="34" xfId="0" applyFont="1" applyBorder="1" applyAlignment="1">
      <alignment horizontal="center"/>
    </xf>
    <xf numFmtId="0" fontId="5" fillId="0" borderId="35" xfId="0" applyFont="1" applyBorder="1" applyAlignment="1">
      <alignment horizontal="center"/>
    </xf>
    <xf numFmtId="0" fontId="5" fillId="0" borderId="41" xfId="0" applyFont="1" applyBorder="1"/>
    <xf numFmtId="164" fontId="1" fillId="0" borderId="17" xfId="0" applyNumberFormat="1" applyFont="1" applyBorder="1"/>
    <xf numFmtId="164" fontId="1" fillId="0" borderId="24" xfId="0" applyNumberFormat="1" applyFont="1" applyBorder="1"/>
    <xf numFmtId="164" fontId="1" fillId="0" borderId="15" xfId="0" applyNumberFormat="1" applyFont="1" applyBorder="1"/>
    <xf numFmtId="164" fontId="1" fillId="2" borderId="19" xfId="0" applyNumberFormat="1" applyFont="1" applyFill="1" applyBorder="1"/>
    <xf numFmtId="164" fontId="6" fillId="0" borderId="27" xfId="0" applyNumberFormat="1" applyFont="1" applyBorder="1"/>
    <xf numFmtId="164" fontId="6" fillId="0" borderId="29" xfId="0" applyNumberFormat="1" applyFont="1" applyBorder="1"/>
    <xf numFmtId="164" fontId="6" fillId="0" borderId="21" xfId="0" applyNumberFormat="1" applyFont="1" applyBorder="1"/>
    <xf numFmtId="164" fontId="6" fillId="0" borderId="22" xfId="0" applyNumberFormat="1" applyFont="1" applyBorder="1"/>
    <xf numFmtId="164" fontId="6" fillId="0" borderId="46" xfId="0" applyNumberFormat="1" applyFont="1" applyBorder="1"/>
    <xf numFmtId="164" fontId="6" fillId="0" borderId="47" xfId="0" applyNumberFormat="1" applyFont="1" applyBorder="1"/>
    <xf numFmtId="164" fontId="6" fillId="0" borderId="48" xfId="0" applyNumberFormat="1" applyFont="1" applyBorder="1"/>
    <xf numFmtId="0" fontId="1" fillId="4" borderId="0" xfId="0" applyFont="1" applyFill="1"/>
    <xf numFmtId="0" fontId="6" fillId="0" borderId="24" xfId="0" applyFont="1" applyBorder="1"/>
    <xf numFmtId="0" fontId="6" fillId="0" borderId="15" xfId="0" applyFont="1" applyBorder="1"/>
    <xf numFmtId="0" fontId="6" fillId="0" borderId="19" xfId="0" applyFont="1" applyBorder="1"/>
    <xf numFmtId="0" fontId="1" fillId="0" borderId="24" xfId="0" applyFont="1" applyBorder="1"/>
    <xf numFmtId="0" fontId="1" fillId="0" borderId="15" xfId="0" applyFont="1" applyBorder="1"/>
    <xf numFmtId="0" fontId="1" fillId="0" borderId="19" xfId="0" applyFont="1" applyBorder="1"/>
    <xf numFmtId="164" fontId="1" fillId="0" borderId="25" xfId="0" applyNumberFormat="1" applyFont="1" applyBorder="1"/>
    <xf numFmtId="164" fontId="1" fillId="0" borderId="26" xfId="0" applyNumberFormat="1" applyFont="1" applyBorder="1"/>
    <xf numFmtId="164" fontId="1" fillId="0" borderId="28" xfId="0" applyNumberFormat="1" applyFont="1" applyBorder="1"/>
    <xf numFmtId="164" fontId="1" fillId="0" borderId="29" xfId="0" applyNumberFormat="1" applyFont="1" applyBorder="1"/>
    <xf numFmtId="164" fontId="1" fillId="0" borderId="21" xfId="0" applyNumberFormat="1" applyFont="1" applyBorder="1"/>
    <xf numFmtId="164" fontId="1" fillId="0" borderId="22" xfId="0" applyNumberFormat="1" applyFont="1" applyBorder="1"/>
    <xf numFmtId="164" fontId="6" fillId="0" borderId="25" xfId="0" applyNumberFormat="1" applyFont="1" applyBorder="1" applyAlignment="1">
      <alignment horizontal="right"/>
    </xf>
    <xf numFmtId="0" fontId="2" fillId="0" borderId="0" xfId="0" applyFont="1" applyAlignment="1">
      <alignment horizontal="center" vertical="center" wrapText="1"/>
    </xf>
    <xf numFmtId="0" fontId="1" fillId="5" borderId="0" xfId="0" applyFont="1" applyFill="1" applyAlignment="1">
      <alignment horizontal="center"/>
    </xf>
    <xf numFmtId="0" fontId="5" fillId="0" borderId="0" xfId="0" applyFont="1"/>
    <xf numFmtId="0" fontId="1" fillId="5" borderId="0" xfId="0" applyFont="1" applyFill="1"/>
    <xf numFmtId="0" fontId="7" fillId="0" borderId="17" xfId="0" applyFont="1" applyBorder="1" applyAlignment="1">
      <alignment horizontal="center"/>
    </xf>
    <xf numFmtId="0" fontId="1" fillId="0" borderId="17" xfId="0" applyFont="1" applyBorder="1" applyAlignment="1">
      <alignment horizontal="center"/>
    </xf>
    <xf numFmtId="37" fontId="4" fillId="6" borderId="11" xfId="1" applyFont="1" applyFill="1" applyBorder="1" applyAlignment="1">
      <alignment horizontal="right" wrapText="1" indent="1"/>
    </xf>
    <xf numFmtId="37" fontId="4" fillId="0" borderId="30" xfId="1" applyFont="1" applyBorder="1" applyAlignment="1">
      <alignment horizontal="right" wrapText="1" indent="1"/>
    </xf>
    <xf numFmtId="39" fontId="4" fillId="0" borderId="17" xfId="1" applyNumberFormat="1" applyFont="1" applyBorder="1" applyAlignment="1">
      <alignment horizontal="right" wrapText="1" indent="1"/>
    </xf>
    <xf numFmtId="39" fontId="4" fillId="5" borderId="0" xfId="1" applyNumberFormat="1" applyFont="1" applyFill="1" applyAlignment="1">
      <alignment horizontal="right" wrapText="1" indent="1"/>
    </xf>
    <xf numFmtId="165" fontId="1" fillId="0" borderId="17" xfId="0" applyNumberFormat="1" applyFont="1" applyBorder="1"/>
    <xf numFmtId="37" fontId="4" fillId="6" borderId="15" xfId="1" applyFont="1" applyFill="1" applyBorder="1" applyAlignment="1">
      <alignment horizontal="right" wrapText="1" indent="1"/>
    </xf>
    <xf numFmtId="37" fontId="4" fillId="0" borderId="19" xfId="1" applyFont="1" applyBorder="1" applyAlignment="1">
      <alignment horizontal="right" wrapText="1" indent="1"/>
    </xf>
    <xf numFmtId="164" fontId="6" fillId="0" borderId="20" xfId="0" applyNumberFormat="1" applyFont="1" applyBorder="1"/>
    <xf numFmtId="164" fontId="9" fillId="0" borderId="0" xfId="0" applyNumberFormat="1" applyFont="1" applyAlignment="1">
      <alignment horizontal="center" vertical="center" textRotation="90"/>
    </xf>
    <xf numFmtId="37" fontId="4" fillId="0" borderId="0" xfId="1" applyFont="1" applyAlignment="1">
      <alignment horizontal="right" wrapText="1" indent="1"/>
    </xf>
    <xf numFmtId="39" fontId="4" fillId="0" borderId="0" xfId="1" applyNumberFormat="1" applyFont="1" applyAlignment="1">
      <alignment horizontal="right" wrapText="1" indent="1"/>
    </xf>
    <xf numFmtId="164" fontId="1" fillId="5" borderId="0" xfId="0" applyNumberFormat="1" applyFont="1" applyFill="1"/>
    <xf numFmtId="165" fontId="1" fillId="5" borderId="0" xfId="0" applyNumberFormat="1" applyFont="1" applyFill="1"/>
    <xf numFmtId="2" fontId="1" fillId="0" borderId="17" xfId="0" applyNumberFormat="1" applyFont="1" applyBorder="1"/>
    <xf numFmtId="37" fontId="4" fillId="0" borderId="51" xfId="1" applyFont="1" applyBorder="1" applyAlignment="1">
      <alignment horizontal="right" wrapText="1" indent="1"/>
    </xf>
    <xf numFmtId="0" fontId="5" fillId="0" borderId="52" xfId="0" applyFont="1" applyBorder="1" applyAlignment="1">
      <alignment horizontal="center"/>
    </xf>
    <xf numFmtId="0" fontId="6" fillId="0" borderId="0" xfId="0" applyFont="1"/>
    <xf numFmtId="0" fontId="5" fillId="0" borderId="21" xfId="0" applyFont="1" applyBorder="1" applyAlignment="1">
      <alignment horizontal="center" vertical="center"/>
    </xf>
    <xf numFmtId="0" fontId="5" fillId="0" borderId="24" xfId="0" applyFont="1" applyBorder="1" applyAlignment="1">
      <alignment horizontal="right" vertical="center" wrapText="1"/>
    </xf>
    <xf numFmtId="0" fontId="5" fillId="0" borderId="15" xfId="0" applyFont="1" applyBorder="1" applyAlignment="1">
      <alignment horizontal="right" vertical="center" wrapText="1"/>
    </xf>
    <xf numFmtId="1" fontId="6" fillId="0" borderId="17" xfId="0" applyNumberFormat="1" applyFont="1" applyBorder="1" applyAlignment="1">
      <alignment horizontal="center"/>
    </xf>
    <xf numFmtId="0" fontId="5" fillId="0" borderId="19" xfId="0" applyFont="1" applyBorder="1" applyAlignment="1">
      <alignment horizontal="right" vertical="center" wrapText="1"/>
    </xf>
    <xf numFmtId="1" fontId="6" fillId="0" borderId="21" xfId="0" applyNumberFormat="1" applyFont="1" applyBorder="1" applyAlignment="1">
      <alignment horizontal="center"/>
    </xf>
    <xf numFmtId="0" fontId="5" fillId="0" borderId="7" xfId="0" applyFont="1" applyBorder="1" applyAlignment="1">
      <alignment horizontal="center" vertical="center"/>
    </xf>
    <xf numFmtId="0" fontId="5" fillId="0" borderId="54" xfId="0" applyFont="1" applyBorder="1" applyAlignment="1">
      <alignment horizontal="center" vertical="center"/>
    </xf>
    <xf numFmtId="0" fontId="6" fillId="0" borderId="33" xfId="0" applyFont="1" applyBorder="1"/>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5" xfId="0" applyFont="1" applyBorder="1" applyAlignment="1">
      <alignment horizontal="right"/>
    </xf>
    <xf numFmtId="1" fontId="6" fillId="0" borderId="28" xfId="4" applyNumberFormat="1" applyFont="1" applyBorder="1" applyAlignment="1">
      <alignment horizontal="center"/>
    </xf>
    <xf numFmtId="2" fontId="6" fillId="0" borderId="18" xfId="4" applyNumberFormat="1" applyFont="1" applyBorder="1" applyAlignment="1">
      <alignment horizontal="center"/>
    </xf>
    <xf numFmtId="0" fontId="5" fillId="0" borderId="19" xfId="0" applyFont="1" applyBorder="1" applyAlignment="1">
      <alignment horizontal="right"/>
    </xf>
    <xf numFmtId="1" fontId="6" fillId="0" borderId="29" xfId="4" applyNumberFormat="1" applyFont="1" applyBorder="1" applyAlignment="1">
      <alignment horizontal="center"/>
    </xf>
    <xf numFmtId="2" fontId="6" fillId="0" borderId="22" xfId="4" applyNumberFormat="1" applyFont="1" applyBorder="1" applyAlignment="1">
      <alignment horizontal="center"/>
    </xf>
    <xf numFmtId="0" fontId="6" fillId="0" borderId="42" xfId="0" applyFont="1" applyBorder="1" applyAlignment="1">
      <alignment horizontal="justify" vertical="center" wrapText="1"/>
    </xf>
    <xf numFmtId="0" fontId="5" fillId="0" borderId="42" xfId="0" applyFont="1" applyBorder="1" applyAlignment="1">
      <alignment horizontal="justify" vertical="center" wrapText="1"/>
    </xf>
    <xf numFmtId="0" fontId="6" fillId="0" borderId="6" xfId="0" applyFont="1" applyBorder="1" applyAlignment="1">
      <alignment horizontal="right" vertical="center" wrapText="1"/>
    </xf>
    <xf numFmtId="0" fontId="6" fillId="0" borderId="42" xfId="0" applyFont="1" applyBorder="1" applyAlignment="1">
      <alignment horizontal="right" vertical="center" wrapText="1" indent="2"/>
    </xf>
    <xf numFmtId="3" fontId="6" fillId="0" borderId="0" xfId="0" applyNumberFormat="1" applyFont="1"/>
    <xf numFmtId="0" fontId="5" fillId="0" borderId="25" xfId="0" applyFont="1" applyBorder="1"/>
    <xf numFmtId="0" fontId="5" fillId="0" borderId="28" xfId="0" applyFont="1" applyBorder="1"/>
    <xf numFmtId="0" fontId="5" fillId="0" borderId="29" xfId="0" applyFont="1" applyBorder="1"/>
    <xf numFmtId="167" fontId="6" fillId="0" borderId="0" xfId="0" applyNumberFormat="1" applyFont="1"/>
    <xf numFmtId="0" fontId="5" fillId="0" borderId="1" xfId="0" applyFont="1" applyBorder="1" applyAlignment="1">
      <alignment horizontal="center" vertical="center" wrapText="1"/>
    </xf>
    <xf numFmtId="0" fontId="5" fillId="0" borderId="33" xfId="0" applyFont="1" applyBorder="1" applyAlignment="1">
      <alignment horizontal="center" vertical="center" wrapText="1"/>
    </xf>
    <xf numFmtId="167" fontId="6" fillId="0" borderId="24" xfId="0" applyNumberFormat="1" applyFont="1" applyBorder="1"/>
    <xf numFmtId="167" fontId="6" fillId="0" borderId="15" xfId="0" applyNumberFormat="1" applyFont="1" applyBorder="1"/>
    <xf numFmtId="167" fontId="6" fillId="0" borderId="19" xfId="0" applyNumberFormat="1" applyFont="1" applyBorder="1"/>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39" xfId="0" applyFont="1" applyBorder="1" applyAlignment="1">
      <alignment horizontal="right"/>
    </xf>
    <xf numFmtId="0" fontId="5" fillId="0" borderId="40" xfId="0" applyFont="1" applyBorder="1" applyAlignment="1">
      <alignment horizontal="right"/>
    </xf>
    <xf numFmtId="0" fontId="5" fillId="0" borderId="24" xfId="0" applyFont="1" applyBorder="1"/>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3" xfId="0" applyFont="1" applyBorder="1" applyAlignment="1">
      <alignment horizontal="center" vertical="center"/>
    </xf>
    <xf numFmtId="0" fontId="6" fillId="0" borderId="3" xfId="0" applyFont="1" applyBorder="1" applyAlignment="1">
      <alignment horizontal="center" vertical="center"/>
    </xf>
    <xf numFmtId="0" fontId="6" fillId="0" borderId="38" xfId="0" applyFont="1" applyBorder="1"/>
    <xf numFmtId="0" fontId="6" fillId="0" borderId="39" xfId="0" applyFont="1" applyBorder="1"/>
    <xf numFmtId="0" fontId="6" fillId="0" borderId="40" xfId="0" applyFont="1" applyBorder="1"/>
    <xf numFmtId="0" fontId="6" fillId="0" borderId="7" xfId="0" applyFont="1" applyBorder="1" applyAlignment="1">
      <alignment horizontal="center" vertical="center" wrapText="1"/>
    </xf>
    <xf numFmtId="0" fontId="13" fillId="0" borderId="21" xfId="0" applyFont="1" applyBorder="1" applyAlignment="1">
      <alignment horizont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4"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6" xfId="0" applyFont="1" applyBorder="1" applyAlignment="1">
      <alignment vertical="center" wrapText="1"/>
    </xf>
    <xf numFmtId="0" fontId="7" fillId="0" borderId="13" xfId="0" applyFont="1" applyBorder="1" applyAlignment="1">
      <alignment horizontal="center"/>
    </xf>
    <xf numFmtId="0" fontId="1" fillId="0" borderId="13" xfId="0" applyFont="1" applyBorder="1" applyAlignment="1">
      <alignment horizontal="center"/>
    </xf>
    <xf numFmtId="37" fontId="4" fillId="0" borderId="65" xfId="1" applyFont="1" applyBorder="1" applyAlignment="1">
      <alignment horizontal="right" wrapText="1" indent="1"/>
    </xf>
    <xf numFmtId="37" fontId="4" fillId="0" borderId="17" xfId="1" applyFont="1" applyBorder="1" applyAlignment="1">
      <alignment horizontal="right" wrapText="1" indent="1"/>
    </xf>
    <xf numFmtId="2" fontId="6" fillId="0" borderId="17" xfId="0" applyNumberFormat="1" applyFont="1" applyBorder="1"/>
    <xf numFmtId="0" fontId="1" fillId="0" borderId="0" xfId="0" applyFont="1" applyFill="1"/>
    <xf numFmtId="0" fontId="5" fillId="0" borderId="7" xfId="0" applyFont="1" applyBorder="1" applyAlignment="1">
      <alignment horizontal="justify" vertical="center" wrapText="1"/>
    </xf>
    <xf numFmtId="164" fontId="6" fillId="0" borderId="29" xfId="0" applyNumberFormat="1" applyFont="1" applyFill="1" applyBorder="1"/>
    <xf numFmtId="164" fontId="6" fillId="0" borderId="21" xfId="0" applyNumberFormat="1" applyFont="1" applyFill="1" applyBorder="1"/>
    <xf numFmtId="164" fontId="6" fillId="0" borderId="31" xfId="0" applyNumberFormat="1" applyFont="1" applyFill="1" applyBorder="1"/>
    <xf numFmtId="164" fontId="1" fillId="0" borderId="19" xfId="0" applyNumberFormat="1" applyFont="1" applyFill="1" applyBorder="1"/>
    <xf numFmtId="164" fontId="6" fillId="0" borderId="25" xfId="0" applyNumberFormat="1" applyFont="1" applyFill="1" applyBorder="1" applyAlignment="1">
      <alignment horizontal="right"/>
    </xf>
    <xf numFmtId="164" fontId="6" fillId="0" borderId="18" xfId="0" applyNumberFormat="1" applyFont="1" applyFill="1" applyBorder="1"/>
    <xf numFmtId="164" fontId="6" fillId="0" borderId="22" xfId="0" applyNumberFormat="1" applyFont="1" applyFill="1" applyBorder="1"/>
    <xf numFmtId="164" fontId="6" fillId="0" borderId="42" xfId="0" applyNumberFormat="1" applyFont="1" applyFill="1" applyBorder="1"/>
    <xf numFmtId="0" fontId="10" fillId="10" borderId="42"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7" xfId="0" applyFont="1" applyBorder="1" applyAlignment="1">
      <alignment horizontal="right"/>
    </xf>
    <xf numFmtId="0" fontId="5" fillId="0" borderId="19" xfId="0" applyFont="1" applyBorder="1" applyAlignment="1">
      <alignment horizontal="center" vertical="center"/>
    </xf>
    <xf numFmtId="164" fontId="1" fillId="0" borderId="24" xfId="0" applyNumberFormat="1" applyFont="1" applyFill="1" applyBorder="1"/>
    <xf numFmtId="164" fontId="1" fillId="0" borderId="15" xfId="0" applyNumberFormat="1" applyFont="1" applyFill="1" applyBorder="1"/>
    <xf numFmtId="0" fontId="16" fillId="7" borderId="0" xfId="0" applyFont="1" applyFill="1"/>
    <xf numFmtId="0" fontId="6" fillId="7" borderId="0" xfId="0" applyFont="1" applyFill="1"/>
    <xf numFmtId="0" fontId="17" fillId="0" borderId="0" xfId="0" applyFont="1"/>
    <xf numFmtId="0" fontId="11" fillId="0" borderId="25" xfId="0" applyFont="1" applyFill="1" applyBorder="1" applyAlignment="1">
      <alignment horizontal="right" vertical="center"/>
    </xf>
    <xf numFmtId="3" fontId="11" fillId="0" borderId="26" xfId="0" applyNumberFormat="1" applyFont="1" applyFill="1" applyBorder="1" applyAlignment="1">
      <alignment horizontal="right" vertical="center"/>
    </xf>
    <xf numFmtId="0" fontId="11" fillId="0" borderId="26" xfId="0" applyFont="1" applyFill="1" applyBorder="1" applyAlignment="1">
      <alignment horizontal="right" vertical="center"/>
    </xf>
    <xf numFmtId="170" fontId="11" fillId="0" borderId="26" xfId="0" applyNumberFormat="1" applyFont="1" applyFill="1" applyBorder="1" applyAlignment="1">
      <alignment horizontal="right" vertical="center"/>
    </xf>
    <xf numFmtId="3" fontId="11" fillId="0" borderId="27" xfId="0" applyNumberFormat="1" applyFont="1" applyFill="1" applyBorder="1" applyAlignment="1">
      <alignment horizontal="right" vertical="center"/>
    </xf>
    <xf numFmtId="0" fontId="11" fillId="0" borderId="28" xfId="0" applyFont="1" applyFill="1" applyBorder="1" applyAlignment="1">
      <alignment horizontal="right" vertical="center"/>
    </xf>
    <xf numFmtId="3" fontId="11" fillId="0" borderId="17" xfId="0" applyNumberFormat="1" applyFont="1" applyFill="1" applyBorder="1" applyAlignment="1">
      <alignment horizontal="right" vertical="center"/>
    </xf>
    <xf numFmtId="0" fontId="11" fillId="0" borderId="17" xfId="0" applyFont="1" applyFill="1" applyBorder="1" applyAlignment="1">
      <alignment horizontal="right" vertical="center"/>
    </xf>
    <xf numFmtId="170" fontId="11" fillId="0" borderId="17" xfId="0" applyNumberFormat="1" applyFont="1" applyFill="1" applyBorder="1" applyAlignment="1">
      <alignment horizontal="right" vertical="center"/>
    </xf>
    <xf numFmtId="3" fontId="11" fillId="0" borderId="18" xfId="0" applyNumberFormat="1" applyFont="1" applyFill="1" applyBorder="1" applyAlignment="1">
      <alignment horizontal="right" vertical="center"/>
    </xf>
    <xf numFmtId="0" fontId="11" fillId="0" borderId="29" xfId="0" applyFont="1" applyFill="1" applyBorder="1" applyAlignment="1">
      <alignment horizontal="right" vertical="center"/>
    </xf>
    <xf numFmtId="3" fontId="11" fillId="0" borderId="21" xfId="0" applyNumberFormat="1" applyFont="1" applyFill="1" applyBorder="1" applyAlignment="1">
      <alignment horizontal="right" vertical="center"/>
    </xf>
    <xf numFmtId="169" fontId="11" fillId="0" borderId="21" xfId="0" applyNumberFormat="1" applyFont="1" applyFill="1" applyBorder="1" applyAlignment="1">
      <alignment horizontal="right" vertical="center"/>
    </xf>
    <xf numFmtId="170" fontId="11" fillId="0" borderId="21" xfId="0" applyNumberFormat="1" applyFont="1" applyFill="1" applyBorder="1" applyAlignment="1">
      <alignment horizontal="right" vertical="center"/>
    </xf>
    <xf numFmtId="3" fontId="11" fillId="0" borderId="22" xfId="0" applyNumberFormat="1" applyFont="1" applyFill="1" applyBorder="1" applyAlignment="1">
      <alignment horizontal="right" vertical="center"/>
    </xf>
    <xf numFmtId="167" fontId="6" fillId="0" borderId="27" xfId="0" applyNumberFormat="1" applyFont="1" applyFill="1" applyBorder="1"/>
    <xf numFmtId="167" fontId="6" fillId="0" borderId="18" xfId="0" applyNumberFormat="1" applyFont="1" applyFill="1" applyBorder="1"/>
    <xf numFmtId="167" fontId="6" fillId="0" borderId="22" xfId="0" applyNumberFormat="1" applyFont="1" applyFill="1" applyBorder="1"/>
    <xf numFmtId="170" fontId="11" fillId="0" borderId="25" xfId="0" applyNumberFormat="1" applyFont="1" applyFill="1" applyBorder="1" applyAlignment="1">
      <alignment horizontal="right" vertical="center"/>
    </xf>
    <xf numFmtId="169" fontId="11" fillId="0" borderId="26" xfId="0" applyNumberFormat="1" applyFont="1" applyFill="1" applyBorder="1" applyAlignment="1">
      <alignment horizontal="right" vertical="center"/>
    </xf>
    <xf numFmtId="170" fontId="11" fillId="0" borderId="28" xfId="0" applyNumberFormat="1" applyFont="1" applyFill="1" applyBorder="1" applyAlignment="1">
      <alignment horizontal="right" vertical="center"/>
    </xf>
    <xf numFmtId="169" fontId="11" fillId="0" borderId="17" xfId="0" applyNumberFormat="1" applyFont="1" applyFill="1" applyBorder="1" applyAlignment="1">
      <alignment horizontal="right" vertical="center"/>
    </xf>
    <xf numFmtId="170" fontId="11" fillId="0" borderId="29" xfId="0" applyNumberFormat="1" applyFont="1" applyFill="1" applyBorder="1" applyAlignment="1">
      <alignment horizontal="right" vertical="center"/>
    </xf>
    <xf numFmtId="0" fontId="6" fillId="0" borderId="60" xfId="0" applyFont="1" applyFill="1" applyBorder="1"/>
    <xf numFmtId="3" fontId="6" fillId="0" borderId="61" xfId="0" applyNumberFormat="1" applyFont="1" applyFill="1" applyBorder="1"/>
    <xf numFmtId="0" fontId="6" fillId="0" borderId="62" xfId="0" applyFont="1" applyFill="1" applyBorder="1"/>
    <xf numFmtId="167" fontId="6" fillId="0" borderId="62" xfId="0" applyNumberFormat="1" applyFont="1" applyFill="1" applyBorder="1"/>
    <xf numFmtId="0" fontId="1" fillId="0" borderId="0" xfId="0" applyFont="1" applyFill="1" applyAlignment="1">
      <alignment horizontal="center" wrapText="1"/>
    </xf>
    <xf numFmtId="171" fontId="1" fillId="0" borderId="0" xfId="0" applyNumberFormat="1" applyFont="1" applyFill="1"/>
    <xf numFmtId="0" fontId="0" fillId="0" borderId="0" xfId="0" applyFill="1"/>
    <xf numFmtId="0" fontId="5" fillId="0" borderId="1" xfId="0" applyFont="1" applyBorder="1" applyAlignment="1">
      <alignment horizontal="center" vertical="center" wrapText="1"/>
    </xf>
    <xf numFmtId="0" fontId="5" fillId="0" borderId="38" xfId="0" applyFont="1" applyBorder="1"/>
    <xf numFmtId="0" fontId="5" fillId="0" borderId="39" xfId="0" applyFont="1" applyBorder="1"/>
    <xf numFmtId="0" fontId="5" fillId="0" borderId="40" xfId="0" applyFont="1" applyBorder="1"/>
    <xf numFmtId="3" fontId="6" fillId="0" borderId="24" xfId="0" applyNumberFormat="1" applyFont="1" applyFill="1" applyBorder="1" applyAlignment="1">
      <alignment horizontal="center"/>
    </xf>
    <xf numFmtId="3" fontId="6" fillId="0" borderId="15" xfId="0" applyNumberFormat="1" applyFont="1" applyFill="1" applyBorder="1" applyAlignment="1">
      <alignment horizontal="center"/>
    </xf>
    <xf numFmtId="3" fontId="6" fillId="0" borderId="19" xfId="0" applyNumberFormat="1" applyFont="1" applyFill="1" applyBorder="1" applyAlignment="1">
      <alignment horizontal="center"/>
    </xf>
    <xf numFmtId="0" fontId="0" fillId="0" borderId="0" xfId="0" applyAlignment="1">
      <alignment horizontal="center"/>
    </xf>
    <xf numFmtId="164" fontId="0" fillId="0" borderId="0" xfId="0" applyNumberFormat="1" applyAlignment="1">
      <alignment horizontal="center"/>
    </xf>
    <xf numFmtId="164" fontId="0" fillId="0" borderId="0" xfId="0" applyNumberFormat="1"/>
    <xf numFmtId="3" fontId="0" fillId="0" borderId="0" xfId="0" applyNumberFormat="1"/>
    <xf numFmtId="172" fontId="0" fillId="0" borderId="0" xfId="0" applyNumberFormat="1"/>
    <xf numFmtId="10" fontId="6" fillId="0" borderId="28" xfId="0" applyNumberFormat="1" applyFont="1" applyFill="1" applyBorder="1" applyAlignment="1">
      <alignment horizontal="center" vertical="center" wrapText="1"/>
    </xf>
    <xf numFmtId="10" fontId="6" fillId="0" borderId="17" xfId="0" applyNumberFormat="1" applyFont="1" applyFill="1" applyBorder="1" applyAlignment="1">
      <alignment horizontal="center" vertical="center" wrapText="1"/>
    </xf>
    <xf numFmtId="10" fontId="6" fillId="0" borderId="18" xfId="0" applyNumberFormat="1" applyFont="1" applyFill="1" applyBorder="1" applyAlignment="1">
      <alignment horizontal="center" vertical="center" wrapText="1"/>
    </xf>
    <xf numFmtId="10" fontId="6" fillId="0" borderId="25" xfId="0" applyNumberFormat="1" applyFont="1" applyFill="1" applyBorder="1" applyAlignment="1">
      <alignment horizontal="center" vertical="center" wrapText="1"/>
    </xf>
    <xf numFmtId="10" fontId="6" fillId="0" borderId="26" xfId="0" applyNumberFormat="1" applyFont="1" applyFill="1" applyBorder="1" applyAlignment="1">
      <alignment horizontal="center" vertical="center" wrapText="1"/>
    </xf>
    <xf numFmtId="10" fontId="6" fillId="0" borderId="27" xfId="0" applyNumberFormat="1" applyFont="1" applyFill="1" applyBorder="1" applyAlignment="1">
      <alignment horizontal="center" vertical="center" wrapText="1"/>
    </xf>
    <xf numFmtId="10" fontId="6" fillId="0" borderId="29" xfId="0" applyNumberFormat="1" applyFont="1" applyFill="1" applyBorder="1" applyAlignment="1">
      <alignment horizontal="center" vertical="center" wrapText="1"/>
    </xf>
    <xf numFmtId="10" fontId="6" fillId="0" borderId="21" xfId="0" applyNumberFormat="1" applyFont="1" applyFill="1" applyBorder="1" applyAlignment="1">
      <alignment horizontal="center" vertical="center" wrapText="1"/>
    </xf>
    <xf numFmtId="10" fontId="6" fillId="0" borderId="22" xfId="0" applyNumberFormat="1" applyFont="1" applyFill="1" applyBorder="1" applyAlignment="1">
      <alignment horizontal="center" vertical="center" wrapText="1"/>
    </xf>
    <xf numFmtId="168" fontId="6" fillId="0" borderId="24" xfId="0" applyNumberFormat="1" applyFont="1" applyFill="1" applyBorder="1" applyAlignment="1">
      <alignment horizontal="center"/>
    </xf>
    <xf numFmtId="168" fontId="6" fillId="0" borderId="15" xfId="0" applyNumberFormat="1" applyFont="1" applyFill="1" applyBorder="1" applyAlignment="1">
      <alignment horizontal="center"/>
    </xf>
    <xf numFmtId="168" fontId="6" fillId="0" borderId="19" xfId="0" applyNumberFormat="1" applyFont="1" applyFill="1" applyBorder="1" applyAlignment="1">
      <alignment horizontal="center"/>
    </xf>
    <xf numFmtId="166" fontId="6" fillId="0" borderId="7" xfId="3" applyNumberFormat="1" applyFont="1" applyFill="1" applyBorder="1"/>
    <xf numFmtId="37" fontId="4" fillId="2" borderId="40" xfId="1" applyFont="1" applyFill="1" applyBorder="1" applyAlignment="1">
      <alignment horizontal="left" wrapText="1" indent="1"/>
    </xf>
    <xf numFmtId="164" fontId="6" fillId="0" borderId="28" xfId="0" applyNumberFormat="1" applyFont="1" applyBorder="1" applyAlignment="1">
      <alignment horizontal="right"/>
    </xf>
    <xf numFmtId="3" fontId="6" fillId="0" borderId="40" xfId="0" applyNumberFormat="1" applyFont="1" applyFill="1" applyBorder="1" applyAlignment="1">
      <alignment horizontal="center"/>
    </xf>
    <xf numFmtId="164" fontId="1" fillId="0" borderId="30" xfId="0" applyNumberFormat="1" applyFont="1" applyBorder="1"/>
    <xf numFmtId="164" fontId="6" fillId="2" borderId="30" xfId="0" applyNumberFormat="1" applyFont="1" applyFill="1" applyBorder="1"/>
    <xf numFmtId="37" fontId="4" fillId="2" borderId="79" xfId="1" applyFont="1" applyFill="1" applyBorder="1" applyAlignment="1">
      <alignment horizontal="left" wrapText="1" indent="1"/>
    </xf>
    <xf numFmtId="37" fontId="4" fillId="0" borderId="37" xfId="1" applyFont="1" applyBorder="1" applyAlignment="1">
      <alignment horizontal="left" wrapText="1" indent="1"/>
    </xf>
    <xf numFmtId="0" fontId="7" fillId="0" borderId="10" xfId="0" applyFont="1" applyBorder="1" applyAlignment="1">
      <alignment horizontal="center"/>
    </xf>
    <xf numFmtId="164" fontId="6" fillId="0" borderId="17" xfId="0" applyNumberFormat="1" applyFont="1" applyBorder="1" applyAlignment="1">
      <alignment horizontal="right"/>
    </xf>
    <xf numFmtId="37" fontId="4" fillId="0" borderId="39" xfId="1" applyFont="1" applyBorder="1" applyAlignment="1">
      <alignment horizontal="left" wrapText="1" indent="1"/>
    </xf>
    <xf numFmtId="0" fontId="5" fillId="0" borderId="78" xfId="0" applyFont="1" applyBorder="1" applyAlignment="1">
      <alignment horizontal="center"/>
    </xf>
    <xf numFmtId="164" fontId="6" fillId="0" borderId="26" xfId="0" applyNumberFormat="1" applyFont="1" applyBorder="1" applyAlignment="1">
      <alignment horizontal="right"/>
    </xf>
    <xf numFmtId="164" fontId="1" fillId="0" borderId="32" xfId="0" applyNumberFormat="1" applyFont="1" applyBorder="1"/>
    <xf numFmtId="0" fontId="5" fillId="0" borderId="54" xfId="0" applyFont="1" applyBorder="1"/>
    <xf numFmtId="164" fontId="1" fillId="0" borderId="31" xfId="0" applyNumberFormat="1" applyFont="1" applyBorder="1"/>
    <xf numFmtId="164" fontId="1" fillId="0" borderId="19" xfId="0" applyNumberFormat="1" applyFont="1" applyBorder="1"/>
    <xf numFmtId="0" fontId="7" fillId="0" borderId="78" xfId="0" applyFont="1" applyBorder="1" applyAlignment="1">
      <alignment horizontal="center"/>
    </xf>
    <xf numFmtId="164" fontId="6" fillId="0" borderId="30" xfId="0" applyNumberFormat="1" applyFont="1" applyBorder="1" applyAlignment="1">
      <alignment horizontal="right"/>
    </xf>
    <xf numFmtId="164" fontId="6" fillId="0" borderId="32" xfId="0" applyNumberFormat="1" applyFont="1" applyBorder="1" applyAlignment="1">
      <alignment horizontal="right"/>
    </xf>
    <xf numFmtId="0" fontId="7" fillId="0" borderId="8" xfId="0" applyFont="1" applyBorder="1" applyAlignment="1">
      <alignment horizontal="center"/>
    </xf>
    <xf numFmtId="37" fontId="4" fillId="2" borderId="39" xfId="1" applyFont="1" applyFill="1" applyBorder="1" applyAlignment="1">
      <alignment horizontal="left" wrapText="1" indent="1"/>
    </xf>
    <xf numFmtId="5" fontId="3" fillId="0" borderId="0" xfId="34" applyNumberFormat="1" applyFont="1" applyFill="1"/>
    <xf numFmtId="5" fontId="3" fillId="0" borderId="0" xfId="34" applyNumberFormat="1" applyFont="1" applyFill="1"/>
    <xf numFmtId="5" fontId="3" fillId="0" borderId="0" xfId="34" applyNumberFormat="1" applyFont="1" applyFill="1"/>
    <xf numFmtId="3" fontId="6" fillId="0" borderId="6" xfId="0" applyNumberFormat="1" applyFont="1" applyFill="1" applyBorder="1" applyAlignment="1">
      <alignment horizontal="right" vertical="center" wrapText="1"/>
    </xf>
    <xf numFmtId="0" fontId="5" fillId="0" borderId="6" xfId="0" applyFont="1" applyBorder="1" applyAlignment="1">
      <alignment horizontal="center" vertical="center" wrapText="1"/>
    </xf>
    <xf numFmtId="166" fontId="6" fillId="0" borderId="25" xfId="3" applyNumberFormat="1" applyFont="1" applyFill="1" applyBorder="1"/>
    <xf numFmtId="166" fontId="6" fillId="0" borderId="26" xfId="3" applyNumberFormat="1" applyFont="1" applyFill="1" applyBorder="1"/>
    <xf numFmtId="166" fontId="6" fillId="0" borderId="28" xfId="3" applyNumberFormat="1" applyFont="1" applyFill="1" applyBorder="1"/>
    <xf numFmtId="166" fontId="6" fillId="0" borderId="17" xfId="3" applyNumberFormat="1" applyFont="1" applyFill="1" applyBorder="1"/>
    <xf numFmtId="166" fontId="6" fillId="0" borderId="29" xfId="3" applyNumberFormat="1" applyFont="1" applyFill="1" applyBorder="1"/>
    <xf numFmtId="166" fontId="6" fillId="0" borderId="21" xfId="3" applyNumberFormat="1" applyFont="1" applyFill="1" applyBorder="1"/>
    <xf numFmtId="0" fontId="6" fillId="0" borderId="26" xfId="0" applyFont="1" applyFill="1" applyBorder="1" applyAlignment="1">
      <alignment horizontal="center"/>
    </xf>
    <xf numFmtId="0" fontId="6" fillId="0" borderId="17" xfId="0" applyFont="1" applyFill="1" applyBorder="1" applyAlignment="1">
      <alignment horizontal="center"/>
    </xf>
    <xf numFmtId="0" fontId="6" fillId="0" borderId="21" xfId="0" applyFont="1" applyFill="1" applyBorder="1" applyAlignment="1">
      <alignment horizontal="center"/>
    </xf>
    <xf numFmtId="0" fontId="6" fillId="0" borderId="27" xfId="0" applyFont="1" applyFill="1" applyBorder="1" applyAlignment="1">
      <alignment horizontal="center"/>
    </xf>
    <xf numFmtId="0" fontId="6" fillId="0" borderId="18" xfId="0" applyFont="1" applyFill="1" applyBorder="1" applyAlignment="1">
      <alignment horizontal="center"/>
    </xf>
    <xf numFmtId="0" fontId="6" fillId="0" borderId="22" xfId="0" applyFont="1" applyFill="1" applyBorder="1" applyAlignment="1">
      <alignment horizontal="center"/>
    </xf>
    <xf numFmtId="37" fontId="4" fillId="0" borderId="37" xfId="1" applyFont="1" applyFill="1" applyBorder="1" applyAlignment="1">
      <alignment horizontal="left" wrapText="1" indent="1"/>
    </xf>
    <xf numFmtId="37" fontId="4" fillId="0" borderId="39" xfId="1" applyFont="1" applyFill="1" applyBorder="1" applyAlignment="1">
      <alignment horizontal="left" wrapText="1" indent="1"/>
    </xf>
    <xf numFmtId="37" fontId="4" fillId="0" borderId="79" xfId="1" applyFont="1" applyFill="1" applyBorder="1" applyAlignment="1">
      <alignment horizontal="left" wrapText="1" indent="1"/>
    </xf>
    <xf numFmtId="37" fontId="4" fillId="0" borderId="7" xfId="1" applyFont="1" applyFill="1" applyBorder="1" applyAlignment="1">
      <alignment horizontal="center"/>
    </xf>
    <xf numFmtId="0" fontId="7" fillId="0" borderId="8" xfId="0" applyFont="1" applyFill="1" applyBorder="1" applyAlignment="1">
      <alignment horizontal="center"/>
    </xf>
    <xf numFmtId="0" fontId="7" fillId="0" borderId="9" xfId="0" applyFont="1" applyFill="1" applyBorder="1" applyAlignment="1">
      <alignment horizontal="center"/>
    </xf>
    <xf numFmtId="0" fontId="7" fillId="0" borderId="78" xfId="0" applyFont="1" applyFill="1" applyBorder="1" applyAlignment="1">
      <alignment horizontal="center"/>
    </xf>
    <xf numFmtId="0" fontId="7" fillId="0" borderId="10" xfId="0" applyFont="1" applyFill="1" applyBorder="1" applyAlignment="1">
      <alignment horizontal="center"/>
    </xf>
    <xf numFmtId="0" fontId="5" fillId="0" borderId="54" xfId="0" applyFont="1" applyFill="1" applyBorder="1"/>
    <xf numFmtId="164" fontId="6" fillId="0" borderId="26" xfId="0" applyNumberFormat="1" applyFont="1" applyFill="1" applyBorder="1" applyAlignment="1">
      <alignment horizontal="right"/>
    </xf>
    <xf numFmtId="164" fontId="6" fillId="0" borderId="32" xfId="0" applyNumberFormat="1" applyFont="1" applyFill="1" applyBorder="1" applyAlignment="1">
      <alignment horizontal="right"/>
    </xf>
    <xf numFmtId="164" fontId="6" fillId="0" borderId="28" xfId="0" applyNumberFormat="1" applyFont="1" applyFill="1" applyBorder="1" applyAlignment="1">
      <alignment horizontal="right"/>
    </xf>
    <xf numFmtId="164" fontId="6" fillId="0" borderId="17" xfId="0" applyNumberFormat="1" applyFont="1" applyFill="1" applyBorder="1" applyAlignment="1">
      <alignment horizontal="right"/>
    </xf>
    <xf numFmtId="164" fontId="6" fillId="0" borderId="30" xfId="0" applyNumberFormat="1" applyFont="1" applyFill="1" applyBorder="1" applyAlignment="1">
      <alignment horizontal="right"/>
    </xf>
    <xf numFmtId="37" fontId="4" fillId="0" borderId="40" xfId="1" applyFont="1" applyFill="1" applyBorder="1" applyAlignment="1">
      <alignment horizontal="left" wrapText="1" indent="1"/>
    </xf>
    <xf numFmtId="164" fontId="1" fillId="0" borderId="47" xfId="0" applyNumberFormat="1" applyFont="1" applyFill="1" applyBorder="1"/>
    <xf numFmtId="164" fontId="1" fillId="0" borderId="48" xfId="0" applyNumberFormat="1" applyFont="1" applyFill="1" applyBorder="1"/>
    <xf numFmtId="0" fontId="5" fillId="0" borderId="10" xfId="0" applyFont="1" applyBorder="1" applyAlignment="1">
      <alignment horizontal="center"/>
    </xf>
    <xf numFmtId="164" fontId="6" fillId="0" borderId="46" xfId="0" applyNumberFormat="1" applyFont="1" applyFill="1" applyBorder="1"/>
    <xf numFmtId="164" fontId="6" fillId="0" borderId="80" xfId="0" applyNumberFormat="1" applyFont="1" applyFill="1" applyBorder="1"/>
    <xf numFmtId="164" fontId="6" fillId="0" borderId="6" xfId="0" applyNumberFormat="1" applyFont="1" applyFill="1" applyBorder="1"/>
    <xf numFmtId="164" fontId="6" fillId="0" borderId="29" xfId="0" applyNumberFormat="1" applyFont="1" applyFill="1" applyBorder="1" applyAlignment="1">
      <alignment horizontal="right"/>
    </xf>
    <xf numFmtId="164" fontId="6" fillId="0" borderId="21" xfId="0" applyNumberFormat="1" applyFont="1" applyFill="1" applyBorder="1" applyAlignment="1">
      <alignment horizontal="right"/>
    </xf>
    <xf numFmtId="164" fontId="6" fillId="0" borderId="31" xfId="0" applyNumberFormat="1" applyFont="1" applyFill="1" applyBorder="1" applyAlignment="1">
      <alignment horizontal="right"/>
    </xf>
    <xf numFmtId="0" fontId="5" fillId="0" borderId="24" xfId="0" applyFont="1" applyBorder="1" applyAlignment="1">
      <alignment horizontal="right"/>
    </xf>
    <xf numFmtId="164" fontId="6" fillId="2" borderId="22" xfId="0" applyNumberFormat="1" applyFont="1" applyFill="1" applyBorder="1"/>
    <xf numFmtId="0" fontId="7" fillId="0" borderId="36" xfId="0" applyFont="1" applyFill="1" applyBorder="1" applyAlignment="1">
      <alignment horizontal="center"/>
    </xf>
    <xf numFmtId="164" fontId="6" fillId="0" borderId="18" xfId="0" applyNumberFormat="1" applyFont="1" applyBorder="1" applyAlignment="1">
      <alignment horizontal="right"/>
    </xf>
    <xf numFmtId="164" fontId="6" fillId="0" borderId="20" xfId="0" applyNumberFormat="1" applyFont="1" applyFill="1" applyBorder="1"/>
    <xf numFmtId="0" fontId="7" fillId="0" borderId="35" xfId="0" applyFont="1" applyBorder="1" applyAlignment="1">
      <alignment horizontal="center"/>
    </xf>
    <xf numFmtId="164" fontId="6" fillId="2" borderId="18" xfId="0" applyNumberFormat="1" applyFont="1" applyFill="1" applyBorder="1"/>
    <xf numFmtId="164" fontId="6" fillId="0" borderId="27" xfId="0" applyNumberFormat="1" applyFont="1" applyFill="1" applyBorder="1"/>
    <xf numFmtId="0" fontId="6" fillId="0" borderId="7" xfId="0" applyFont="1" applyFill="1" applyBorder="1" applyAlignment="1">
      <alignment horizontal="center" wrapText="1"/>
    </xf>
    <xf numFmtId="0" fontId="7" fillId="0" borderId="45" xfId="0" applyFont="1" applyFill="1" applyBorder="1" applyAlignment="1">
      <alignment horizontal="center"/>
    </xf>
    <xf numFmtId="0" fontId="6" fillId="0" borderId="15" xfId="0" applyFont="1" applyBorder="1" applyAlignment="1">
      <alignment vertical="center" wrapText="1"/>
    </xf>
    <xf numFmtId="164" fontId="6" fillId="0" borderId="64" xfId="0" applyNumberFormat="1" applyFont="1" applyFill="1" applyBorder="1"/>
    <xf numFmtId="164" fontId="1" fillId="0" borderId="46" xfId="0" applyNumberFormat="1" applyFont="1" applyBorder="1"/>
    <xf numFmtId="164" fontId="1" fillId="0" borderId="47" xfId="0" applyNumberFormat="1" applyFont="1" applyBorder="1"/>
    <xf numFmtId="0" fontId="7" fillId="0" borderId="44" xfId="0" applyFont="1" applyFill="1" applyBorder="1" applyAlignment="1">
      <alignment horizontal="center"/>
    </xf>
    <xf numFmtId="0" fontId="7" fillId="0" borderId="43" xfId="0" applyFont="1" applyFill="1" applyBorder="1" applyAlignment="1">
      <alignment horizontal="center"/>
    </xf>
    <xf numFmtId="0" fontId="6" fillId="0" borderId="19" xfId="0" applyFont="1" applyBorder="1" applyAlignment="1">
      <alignment horizontal="right"/>
    </xf>
    <xf numFmtId="0" fontId="6" fillId="0" borderId="15" xfId="0" applyFont="1" applyBorder="1" applyAlignment="1">
      <alignment horizontal="right"/>
    </xf>
    <xf numFmtId="164" fontId="6" fillId="2" borderId="6" xfId="0" applyNumberFormat="1" applyFont="1" applyFill="1" applyBorder="1"/>
    <xf numFmtId="0" fontId="6" fillId="0" borderId="48" xfId="0" applyFont="1" applyFill="1" applyBorder="1" applyAlignment="1">
      <alignment horizontal="center" wrapText="1"/>
    </xf>
    <xf numFmtId="164" fontId="6" fillId="0" borderId="27" xfId="0" applyNumberFormat="1" applyFont="1" applyBorder="1" applyAlignment="1">
      <alignment horizontal="right"/>
    </xf>
    <xf numFmtId="6" fontId="5" fillId="0" borderId="6" xfId="0" applyNumberFormat="1" applyFont="1" applyFill="1" applyBorder="1" applyAlignment="1">
      <alignment horizontal="center" vertical="center" wrapText="1"/>
    </xf>
    <xf numFmtId="0" fontId="7" fillId="0" borderId="34" xfId="0" applyFont="1" applyBorder="1" applyAlignment="1">
      <alignment horizontal="center"/>
    </xf>
    <xf numFmtId="0" fontId="6" fillId="0" borderId="24" xfId="0" applyFont="1" applyBorder="1" applyAlignment="1">
      <alignment vertical="center" wrapText="1"/>
    </xf>
    <xf numFmtId="0" fontId="7" fillId="0" borderId="53" xfId="0" applyFont="1" applyBorder="1" applyAlignment="1">
      <alignment horizontal="center"/>
    </xf>
    <xf numFmtId="0" fontId="6" fillId="0" borderId="19" xfId="0" applyFont="1" applyBorder="1" applyAlignment="1">
      <alignment vertical="center" wrapText="1"/>
    </xf>
    <xf numFmtId="0" fontId="7" fillId="0" borderId="41" xfId="0" applyFont="1" applyBorder="1" applyAlignment="1">
      <alignment horizontal="center"/>
    </xf>
    <xf numFmtId="164" fontId="6" fillId="0" borderId="16" xfId="0" applyNumberFormat="1" applyFont="1" applyFill="1" applyBorder="1"/>
    <xf numFmtId="164" fontId="6" fillId="2" borderId="80" xfId="0" applyNumberFormat="1" applyFont="1" applyFill="1" applyBorder="1"/>
    <xf numFmtId="5" fontId="3" fillId="0" borderId="0" xfId="34" applyNumberFormat="1" applyFont="1" applyFill="1"/>
    <xf numFmtId="5" fontId="3" fillId="0" borderId="0" xfId="34" applyNumberFormat="1" applyFont="1" applyFill="1"/>
    <xf numFmtId="167" fontId="6" fillId="0" borderId="6" xfId="0" applyNumberFormat="1" applyFont="1" applyFill="1" applyBorder="1" applyAlignment="1">
      <alignment horizontal="right" vertical="center" wrapText="1"/>
    </xf>
    <xf numFmtId="0" fontId="6" fillId="0" borderId="6" xfId="0" applyFont="1" applyFill="1" applyBorder="1" applyAlignment="1">
      <alignment horizontal="right" vertical="center" wrapText="1"/>
    </xf>
    <xf numFmtId="1" fontId="6" fillId="0" borderId="17" xfId="0" applyNumberFormat="1" applyFont="1" applyFill="1" applyBorder="1" applyAlignment="1">
      <alignment horizontal="center"/>
    </xf>
    <xf numFmtId="1" fontId="6" fillId="0" borderId="63" xfId="4" applyNumberFormat="1" applyFont="1" applyFill="1" applyBorder="1" applyAlignment="1">
      <alignment horizontal="right" wrapText="1"/>
    </xf>
    <xf numFmtId="1" fontId="6" fillId="0" borderId="13" xfId="4" applyNumberFormat="1" applyFont="1" applyFill="1" applyBorder="1" applyAlignment="1">
      <alignment horizontal="center"/>
    </xf>
    <xf numFmtId="0" fontId="6" fillId="0" borderId="13" xfId="0" quotePrefix="1" applyFont="1" applyFill="1" applyBorder="1" applyAlignment="1">
      <alignment horizontal="center" wrapText="1"/>
    </xf>
    <xf numFmtId="173" fontId="6" fillId="0" borderId="13" xfId="3" applyNumberFormat="1" applyFont="1" applyFill="1" applyBorder="1" applyAlignment="1">
      <alignment horizontal="center"/>
    </xf>
    <xf numFmtId="173" fontId="6" fillId="0" borderId="13" xfId="0" applyNumberFormat="1" applyFont="1" applyFill="1" applyBorder="1" applyAlignment="1">
      <alignment horizontal="center"/>
    </xf>
    <xf numFmtId="5" fontId="6" fillId="0" borderId="14" xfId="3" applyNumberFormat="1" applyFont="1" applyFill="1" applyBorder="1" applyAlignment="1"/>
    <xf numFmtId="1" fontId="6" fillId="0" borderId="28" xfId="4" applyNumberFormat="1" applyFont="1" applyFill="1" applyBorder="1" applyAlignment="1">
      <alignment horizontal="right" wrapText="1"/>
    </xf>
    <xf numFmtId="1" fontId="6" fillId="0" borderId="17" xfId="4" applyNumberFormat="1" applyFont="1" applyFill="1" applyBorder="1" applyAlignment="1">
      <alignment horizontal="center"/>
    </xf>
    <xf numFmtId="0" fontId="6" fillId="0" borderId="17" xfId="0" quotePrefix="1" applyFont="1" applyFill="1" applyBorder="1" applyAlignment="1">
      <alignment horizontal="center" wrapText="1"/>
    </xf>
    <xf numFmtId="173" fontId="6" fillId="0" borderId="17" xfId="3" applyNumberFormat="1" applyFont="1" applyFill="1" applyBorder="1" applyAlignment="1">
      <alignment horizontal="center"/>
    </xf>
    <xf numFmtId="173" fontId="6" fillId="0" borderId="17" xfId="0" applyNumberFormat="1" applyFont="1" applyFill="1" applyBorder="1" applyAlignment="1">
      <alignment horizontal="center"/>
    </xf>
    <xf numFmtId="5" fontId="6" fillId="0" borderId="18" xfId="3" applyNumberFormat="1" applyFont="1" applyFill="1" applyBorder="1" applyAlignment="1"/>
    <xf numFmtId="0" fontId="6" fillId="0" borderId="28" xfId="0" applyFont="1" applyFill="1" applyBorder="1" applyAlignment="1">
      <alignment horizontal="right" wrapText="1"/>
    </xf>
    <xf numFmtId="0" fontId="6" fillId="0" borderId="17" xfId="0" applyFont="1" applyFill="1" applyBorder="1" applyAlignment="1">
      <alignment horizontal="center" wrapText="1"/>
    </xf>
    <xf numFmtId="0" fontId="6" fillId="0" borderId="58" xfId="0" applyFont="1" applyFill="1" applyBorder="1" applyAlignment="1">
      <alignment horizontal="right" wrapText="1"/>
    </xf>
    <xf numFmtId="1" fontId="6" fillId="0" borderId="49" xfId="4" applyNumberFormat="1" applyFont="1" applyFill="1" applyBorder="1" applyAlignment="1">
      <alignment horizontal="center"/>
    </xf>
    <xf numFmtId="0" fontId="6" fillId="0" borderId="49" xfId="0" applyFont="1" applyFill="1" applyBorder="1" applyAlignment="1">
      <alignment horizontal="center" wrapText="1"/>
    </xf>
    <xf numFmtId="173" fontId="6" fillId="0" borderId="49" xfId="3" applyNumberFormat="1" applyFont="1" applyFill="1" applyBorder="1" applyAlignment="1">
      <alignment horizontal="center"/>
    </xf>
    <xf numFmtId="173" fontId="6" fillId="0" borderId="49" xfId="0" applyNumberFormat="1" applyFont="1" applyFill="1" applyBorder="1" applyAlignment="1">
      <alignment horizontal="center"/>
    </xf>
    <xf numFmtId="5" fontId="6" fillId="0" borderId="59" xfId="3" applyNumberFormat="1" applyFont="1" applyFill="1" applyBorder="1" applyAlignment="1"/>
    <xf numFmtId="167" fontId="6" fillId="0" borderId="46" xfId="0" applyNumberFormat="1" applyFont="1" applyFill="1" applyBorder="1"/>
    <xf numFmtId="167" fontId="6" fillId="0" borderId="39" xfId="0" applyNumberFormat="1" applyFont="1" applyFill="1" applyBorder="1"/>
    <xf numFmtId="167" fontId="6" fillId="0" borderId="47" xfId="0" applyNumberFormat="1" applyFont="1" applyFill="1" applyBorder="1"/>
    <xf numFmtId="167" fontId="6" fillId="0" borderId="38" xfId="0" applyNumberFormat="1" applyFont="1" applyFill="1" applyBorder="1"/>
    <xf numFmtId="167" fontId="6" fillId="0" borderId="40" xfId="0" applyNumberFormat="1" applyFont="1" applyFill="1" applyBorder="1"/>
    <xf numFmtId="167" fontId="6" fillId="0" borderId="48" xfId="0" applyNumberFormat="1" applyFont="1" applyFill="1" applyBorder="1"/>
    <xf numFmtId="167" fontId="6" fillId="0" borderId="24" xfId="0" applyNumberFormat="1" applyFont="1" applyFill="1" applyBorder="1"/>
    <xf numFmtId="167" fontId="6" fillId="0" borderId="15" xfId="0" applyNumberFormat="1" applyFont="1" applyFill="1" applyBorder="1"/>
    <xf numFmtId="167" fontId="6" fillId="0" borderId="19" xfId="0" applyNumberFormat="1" applyFont="1" applyFill="1" applyBorder="1"/>
    <xf numFmtId="0" fontId="7" fillId="0" borderId="33" xfId="0" applyFont="1" applyFill="1" applyBorder="1" applyAlignment="1">
      <alignment horizontal="center" vertical="center" wrapText="1"/>
    </xf>
    <xf numFmtId="0" fontId="7" fillId="0" borderId="33" xfId="0" applyFont="1" applyFill="1" applyBorder="1" applyAlignment="1">
      <alignment horizontal="left" vertical="center" wrapText="1"/>
    </xf>
    <xf numFmtId="0" fontId="5" fillId="0" borderId="38" xfId="0" applyFont="1" applyBorder="1"/>
    <xf numFmtId="0" fontId="5" fillId="0" borderId="39" xfId="0" applyFont="1" applyBorder="1"/>
    <xf numFmtId="0" fontId="5" fillId="0" borderId="40" xfId="0" applyFont="1" applyBorder="1"/>
    <xf numFmtId="0" fontId="1" fillId="0" borderId="38" xfId="0" applyFont="1" applyFill="1" applyBorder="1" applyAlignment="1">
      <alignment horizontal="left"/>
    </xf>
    <xf numFmtId="0" fontId="1" fillId="0" borderId="39" xfId="0" applyFont="1" applyFill="1" applyBorder="1" applyAlignment="1">
      <alignment horizontal="left"/>
    </xf>
    <xf numFmtId="0" fontId="1" fillId="0" borderId="40" xfId="0" applyFont="1" applyFill="1" applyBorder="1" applyAlignment="1">
      <alignment horizontal="left"/>
    </xf>
    <xf numFmtId="0" fontId="1" fillId="0" borderId="24" xfId="0" applyFont="1" applyFill="1" applyBorder="1" applyAlignment="1">
      <alignment horizontal="center"/>
    </xf>
    <xf numFmtId="0" fontId="1" fillId="0" borderId="15" xfId="0" applyFont="1" applyFill="1" applyBorder="1" applyAlignment="1">
      <alignment horizontal="center"/>
    </xf>
    <xf numFmtId="0" fontId="1" fillId="0" borderId="19" xfId="0" applyFont="1" applyFill="1" applyBorder="1" applyAlignment="1">
      <alignment horizontal="center"/>
    </xf>
    <xf numFmtId="0" fontId="1" fillId="0" borderId="50" xfId="0" applyFont="1" applyFill="1" applyBorder="1"/>
    <xf numFmtId="0" fontId="1" fillId="0" borderId="51" xfId="0" applyFont="1" applyFill="1" applyBorder="1"/>
    <xf numFmtId="0" fontId="1" fillId="0" borderId="55" xfId="0" applyFont="1" applyFill="1" applyBorder="1"/>
    <xf numFmtId="171" fontId="1" fillId="0" borderId="46" xfId="3" applyNumberFormat="1" applyFont="1" applyFill="1" applyBorder="1"/>
    <xf numFmtId="171" fontId="1" fillId="0" borderId="47" xfId="3" applyNumberFormat="1" applyFont="1" applyFill="1" applyBorder="1"/>
    <xf numFmtId="171" fontId="1" fillId="0" borderId="48" xfId="3" applyNumberFormat="1" applyFont="1" applyFill="1" applyBorder="1"/>
    <xf numFmtId="0" fontId="1" fillId="0" borderId="24" xfId="0" applyFont="1" applyFill="1" applyBorder="1"/>
    <xf numFmtId="0" fontId="1" fillId="0" borderId="15" xfId="0" applyFont="1" applyFill="1" applyBorder="1"/>
    <xf numFmtId="0" fontId="1" fillId="0" borderId="19" xfId="0" applyFont="1" applyFill="1" applyBorder="1"/>
    <xf numFmtId="0" fontId="11" fillId="0" borderId="7" xfId="0" applyFont="1" applyFill="1" applyBorder="1" applyAlignment="1">
      <alignment horizontal="center" vertical="center" wrapText="1"/>
    </xf>
    <xf numFmtId="0" fontId="11" fillId="0" borderId="54" xfId="0" applyFont="1" applyFill="1" applyBorder="1" applyAlignment="1">
      <alignment horizontal="center" vertical="center" wrapText="1"/>
    </xf>
    <xf numFmtId="3" fontId="6" fillId="0" borderId="38" xfId="0" applyNumberFormat="1" applyFont="1" applyFill="1" applyBorder="1" applyAlignment="1">
      <alignment horizontal="center"/>
    </xf>
    <xf numFmtId="3" fontId="6" fillId="0" borderId="39" xfId="0" applyNumberFormat="1" applyFont="1" applyFill="1" applyBorder="1" applyAlignment="1">
      <alignment horizontal="center"/>
    </xf>
    <xf numFmtId="1" fontId="6" fillId="0" borderId="7" xfId="0" applyNumberFormat="1" applyFont="1" applyFill="1" applyBorder="1" applyAlignment="1">
      <alignment horizontal="center"/>
    </xf>
    <xf numFmtId="0" fontId="6" fillId="0" borderId="7" xfId="0" applyFont="1" applyFill="1" applyBorder="1" applyAlignment="1">
      <alignment horizontal="center"/>
    </xf>
    <xf numFmtId="1" fontId="6" fillId="0" borderId="21" xfId="0" applyNumberFormat="1" applyFont="1" applyFill="1" applyBorder="1" applyAlignment="1">
      <alignment horizontal="center"/>
    </xf>
    <xf numFmtId="0" fontId="4" fillId="0" borderId="49" xfId="0" applyFont="1" applyFill="1" applyBorder="1" applyAlignment="1">
      <alignment horizontal="center" vertical="center" wrapText="1"/>
    </xf>
    <xf numFmtId="0" fontId="13" fillId="0" borderId="49" xfId="0" applyFont="1" applyFill="1" applyBorder="1" applyAlignment="1">
      <alignment horizontal="center" wrapText="1"/>
    </xf>
    <xf numFmtId="1" fontId="6" fillId="0" borderId="25" xfId="4" applyNumberFormat="1" applyFont="1" applyFill="1" applyBorder="1" applyAlignment="1">
      <alignment horizontal="center" vertical="center" wrapText="1"/>
    </xf>
    <xf numFmtId="1" fontId="6" fillId="0" borderId="26" xfId="4" applyNumberFormat="1" applyFont="1" applyFill="1" applyBorder="1" applyAlignment="1">
      <alignment horizontal="center" vertical="center"/>
    </xf>
    <xf numFmtId="0" fontId="6" fillId="0" borderId="26" xfId="0" quotePrefix="1" applyFont="1" applyFill="1" applyBorder="1" applyAlignment="1">
      <alignment horizontal="center" vertical="center" wrapText="1"/>
    </xf>
    <xf numFmtId="3" fontId="6" fillId="0" borderId="26" xfId="0" applyNumberFormat="1" applyFont="1" applyFill="1" applyBorder="1" applyAlignment="1">
      <alignment horizontal="center" vertical="center"/>
    </xf>
    <xf numFmtId="17" fontId="44" fillId="0" borderId="26" xfId="0" applyNumberFormat="1" applyFont="1" applyFill="1" applyBorder="1" applyAlignment="1">
      <alignment horizontal="center" vertical="center"/>
    </xf>
    <xf numFmtId="17" fontId="6" fillId="0" borderId="26" xfId="0" applyNumberFormat="1" applyFont="1" applyFill="1" applyBorder="1" applyAlignment="1">
      <alignment horizontal="center" vertical="center"/>
    </xf>
    <xf numFmtId="167" fontId="6" fillId="0" borderId="27" xfId="0" applyNumberFormat="1" applyFont="1" applyFill="1" applyBorder="1" applyAlignment="1">
      <alignment horizontal="center" vertical="center"/>
    </xf>
    <xf numFmtId="1" fontId="6" fillId="0" borderId="28" xfId="4" applyNumberFormat="1" applyFont="1" applyFill="1" applyBorder="1" applyAlignment="1">
      <alignment horizontal="center" vertical="center" wrapText="1"/>
    </xf>
    <xf numFmtId="1" fontId="6" fillId="0" borderId="17" xfId="4" applyNumberFormat="1" applyFont="1" applyFill="1" applyBorder="1" applyAlignment="1">
      <alignment horizontal="center" vertical="center"/>
    </xf>
    <xf numFmtId="0" fontId="6" fillId="0" borderId="17" xfId="0" quotePrefix="1" applyFont="1" applyFill="1" applyBorder="1" applyAlignment="1">
      <alignment horizontal="center" vertical="center" wrapText="1"/>
    </xf>
    <xf numFmtId="3" fontId="6" fillId="0" borderId="17" xfId="0" applyNumberFormat="1" applyFont="1" applyFill="1" applyBorder="1" applyAlignment="1">
      <alignment horizontal="center" vertical="center"/>
    </xf>
    <xf numFmtId="17" fontId="44" fillId="0" borderId="17" xfId="0" applyNumberFormat="1" applyFont="1" applyFill="1" applyBorder="1" applyAlignment="1">
      <alignment horizontal="center" vertical="center"/>
    </xf>
    <xf numFmtId="17" fontId="6" fillId="0" borderId="17" xfId="0" applyNumberFormat="1" applyFont="1" applyFill="1" applyBorder="1" applyAlignment="1">
      <alignment horizontal="center" vertical="center"/>
    </xf>
    <xf numFmtId="167" fontId="6" fillId="0" borderId="18" xfId="0" applyNumberFormat="1" applyFont="1" applyFill="1" applyBorder="1" applyAlignment="1">
      <alignment horizontal="center" vertical="center"/>
    </xf>
    <xf numFmtId="17" fontId="44" fillId="0" borderId="17" xfId="0" applyNumberFormat="1" applyFont="1" applyFill="1" applyBorder="1" applyAlignment="1">
      <alignment horizontal="left" vertical="center"/>
    </xf>
    <xf numFmtId="1" fontId="6" fillId="0" borderId="29" xfId="4" applyNumberFormat="1" applyFont="1" applyFill="1" applyBorder="1" applyAlignment="1">
      <alignment horizontal="center" vertical="center" wrapText="1"/>
    </xf>
    <xf numFmtId="1" fontId="6" fillId="0" borderId="21" xfId="4" applyNumberFormat="1" applyFont="1" applyFill="1" applyBorder="1" applyAlignment="1">
      <alignment horizontal="center" vertical="center"/>
    </xf>
    <xf numFmtId="0" fontId="6" fillId="0" borderId="21" xfId="0" quotePrefix="1" applyFont="1" applyFill="1" applyBorder="1" applyAlignment="1">
      <alignment horizontal="center" vertical="center" wrapText="1"/>
    </xf>
    <xf numFmtId="3" fontId="6" fillId="0" borderId="21" xfId="0" applyNumberFormat="1" applyFont="1" applyFill="1" applyBorder="1" applyAlignment="1">
      <alignment horizontal="center" vertical="center"/>
    </xf>
    <xf numFmtId="17" fontId="44" fillId="0" borderId="21" xfId="0" applyNumberFormat="1" applyFont="1" applyFill="1" applyBorder="1" applyAlignment="1">
      <alignment horizontal="center" vertical="center"/>
    </xf>
    <xf numFmtId="17" fontId="6" fillId="0" borderId="21" xfId="0" applyNumberFormat="1" applyFont="1" applyFill="1" applyBorder="1" applyAlignment="1">
      <alignment horizontal="center" vertical="center"/>
    </xf>
    <xf numFmtId="17" fontId="44" fillId="0" borderId="21" xfId="0" applyNumberFormat="1" applyFont="1" applyFill="1" applyBorder="1" applyAlignment="1">
      <alignment horizontal="left" vertical="center"/>
    </xf>
    <xf numFmtId="167" fontId="6" fillId="0" borderId="22" xfId="0" applyNumberFormat="1" applyFont="1" applyFill="1" applyBorder="1" applyAlignment="1">
      <alignment horizontal="center" vertical="center"/>
    </xf>
    <xf numFmtId="174" fontId="0" fillId="0" borderId="0" xfId="338" applyNumberFormat="1" applyFont="1"/>
    <xf numFmtId="0" fontId="30" fillId="0" borderId="0" xfId="0" applyFont="1"/>
    <xf numFmtId="174" fontId="0" fillId="0" borderId="0" xfId="0" applyNumberFormat="1"/>
    <xf numFmtId="0" fontId="30" fillId="0" borderId="0" xfId="0" applyFont="1" applyAlignment="1">
      <alignment horizontal="center"/>
    </xf>
    <xf numFmtId="0" fontId="0" fillId="0" borderId="45" xfId="0" applyBorder="1" applyAlignment="1">
      <alignment horizontal="center"/>
    </xf>
    <xf numFmtId="0" fontId="30" fillId="0" borderId="45" xfId="0" applyFont="1" applyBorder="1" applyAlignment="1">
      <alignment horizontal="center"/>
    </xf>
    <xf numFmtId="0" fontId="0" fillId="0" borderId="81" xfId="0" applyBorder="1" applyAlignment="1">
      <alignment horizontal="center"/>
    </xf>
    <xf numFmtId="0" fontId="30" fillId="0" borderId="81" xfId="0" applyFont="1" applyBorder="1" applyAlignment="1">
      <alignment horizontal="center"/>
    </xf>
    <xf numFmtId="0" fontId="6" fillId="0" borderId="0" xfId="0" applyFont="1" applyBorder="1" applyAlignment="1">
      <alignment horizontal="center" vertical="center" wrapText="1"/>
    </xf>
    <xf numFmtId="167" fontId="6" fillId="0" borderId="17" xfId="0" applyNumberFormat="1" applyFont="1" applyFill="1" applyBorder="1"/>
    <xf numFmtId="167" fontId="6" fillId="0" borderId="17" xfId="0" applyNumberFormat="1" applyFont="1" applyBorder="1"/>
    <xf numFmtId="167" fontId="6" fillId="0" borderId="28" xfId="0" applyNumberFormat="1" applyFont="1" applyFill="1" applyBorder="1" applyAlignment="1">
      <alignment horizontal="right"/>
    </xf>
    <xf numFmtId="167" fontId="6" fillId="0" borderId="17" xfId="0" applyNumberFormat="1" applyFont="1" applyFill="1" applyBorder="1" applyAlignment="1">
      <alignment horizontal="right"/>
    </xf>
    <xf numFmtId="0" fontId="6" fillId="0" borderId="2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6" fillId="0" borderId="0" xfId="0" applyFont="1" applyBorder="1"/>
    <xf numFmtId="0" fontId="6" fillId="0" borderId="82" xfId="0" applyFont="1" applyBorder="1" applyAlignment="1">
      <alignment horizontal="center" vertical="center"/>
    </xf>
    <xf numFmtId="0" fontId="6" fillId="0" borderId="7" xfId="0" applyFont="1" applyBorder="1" applyAlignment="1">
      <alignment horizontal="center" vertical="center"/>
    </xf>
    <xf numFmtId="167" fontId="6" fillId="0" borderId="23" xfId="0" applyNumberFormat="1" applyFont="1" applyBorder="1"/>
    <xf numFmtId="167" fontId="6" fillId="0" borderId="25" xfId="0" applyNumberFormat="1" applyFont="1" applyFill="1" applyBorder="1"/>
    <xf numFmtId="167" fontId="6" fillId="0" borderId="26" xfId="0" applyNumberFormat="1" applyFont="1" applyFill="1" applyBorder="1"/>
    <xf numFmtId="167" fontId="6" fillId="0" borderId="28" xfId="0" applyNumberFormat="1" applyFont="1" applyFill="1" applyBorder="1"/>
    <xf numFmtId="167" fontId="6" fillId="0" borderId="28" xfId="0" applyNumberFormat="1" applyFont="1" applyBorder="1"/>
    <xf numFmtId="167" fontId="6" fillId="0" borderId="18" xfId="0" applyNumberFormat="1" applyFont="1" applyBorder="1"/>
    <xf numFmtId="167" fontId="6" fillId="0" borderId="18" xfId="0" applyNumberFormat="1" applyFont="1" applyFill="1" applyBorder="1" applyAlignment="1">
      <alignment horizontal="right"/>
    </xf>
    <xf numFmtId="167" fontId="6" fillId="0" borderId="29" xfId="0" applyNumberFormat="1" applyFont="1" applyFill="1" applyBorder="1"/>
    <xf numFmtId="167" fontId="6" fillId="0" borderId="21" xfId="0" applyNumberFormat="1" applyFont="1" applyFill="1" applyBorder="1"/>
    <xf numFmtId="0" fontId="0" fillId="0" borderId="0" xfId="0" applyAlignment="1">
      <alignment horizontal="center"/>
    </xf>
    <xf numFmtId="167" fontId="6" fillId="0" borderId="8" xfId="0" applyNumberFormat="1" applyFont="1" applyBorder="1"/>
    <xf numFmtId="167" fontId="6" fillId="0" borderId="54" xfId="0" applyNumberFormat="1" applyFont="1" applyBorder="1"/>
    <xf numFmtId="0" fontId="13" fillId="0" borderId="21" xfId="0" applyFont="1" applyFill="1" applyBorder="1" applyAlignment="1">
      <alignment horizontal="center" vertical="center" wrapText="1"/>
    </xf>
    <xf numFmtId="0" fontId="2" fillId="0" borderId="21" xfId="0" applyFont="1" applyFill="1" applyBorder="1" applyAlignment="1">
      <alignment horizontal="center" vertical="center"/>
    </xf>
    <xf numFmtId="1" fontId="6" fillId="0" borderId="25" xfId="4" applyNumberFormat="1" applyFont="1" applyFill="1" applyBorder="1" applyAlignment="1">
      <alignment horizontal="center"/>
    </xf>
    <xf numFmtId="1" fontId="6" fillId="0" borderId="26" xfId="4" applyNumberFormat="1" applyFont="1" applyFill="1" applyBorder="1" applyAlignment="1">
      <alignment horizontal="center"/>
    </xf>
    <xf numFmtId="2" fontId="6" fillId="0" borderId="26" xfId="4" applyNumberFormat="1" applyFont="1" applyFill="1" applyBorder="1" applyAlignment="1">
      <alignment horizontal="center"/>
    </xf>
    <xf numFmtId="17" fontId="6" fillId="0" borderId="26" xfId="0" applyNumberFormat="1" applyFont="1" applyFill="1" applyBorder="1" applyAlignment="1">
      <alignment horizontal="center"/>
    </xf>
    <xf numFmtId="1" fontId="6" fillId="0" borderId="28" xfId="4" applyNumberFormat="1" applyFont="1" applyFill="1" applyBorder="1" applyAlignment="1">
      <alignment horizontal="center"/>
    </xf>
    <xf numFmtId="2" fontId="6" fillId="0" borderId="17" xfId="4" applyNumberFormat="1" applyFont="1" applyFill="1" applyBorder="1" applyAlignment="1">
      <alignment horizontal="center"/>
    </xf>
    <xf numFmtId="17" fontId="6" fillId="0" borderId="17" xfId="0" applyNumberFormat="1" applyFont="1" applyFill="1" applyBorder="1" applyAlignment="1">
      <alignment horizontal="center"/>
    </xf>
    <xf numFmtId="17" fontId="6" fillId="0" borderId="17" xfId="0" quotePrefix="1" applyNumberFormat="1" applyFont="1" applyFill="1" applyBorder="1" applyAlignment="1">
      <alignment horizontal="center"/>
    </xf>
    <xf numFmtId="1" fontId="6" fillId="0" borderId="29" xfId="4" applyNumberFormat="1" applyFont="1" applyFill="1" applyBorder="1" applyAlignment="1">
      <alignment horizontal="center"/>
    </xf>
    <xf numFmtId="1" fontId="6" fillId="0" borderId="21" xfId="4" applyNumberFormat="1" applyFont="1" applyFill="1" applyBorder="1" applyAlignment="1">
      <alignment horizontal="center"/>
    </xf>
    <xf numFmtId="2" fontId="6" fillId="0" borderId="21" xfId="4" applyNumberFormat="1" applyFont="1" applyFill="1" applyBorder="1" applyAlignment="1">
      <alignment horizontal="center"/>
    </xf>
    <xf numFmtId="17" fontId="6" fillId="0" borderId="21" xfId="0" applyNumberFormat="1" applyFont="1" applyFill="1" applyBorder="1" applyAlignment="1">
      <alignment horizontal="center"/>
    </xf>
    <xf numFmtId="174" fontId="0" fillId="0" borderId="0" xfId="338" applyNumberFormat="1" applyFont="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 fillId="0" borderId="0" xfId="0" applyFont="1" applyAlignment="1">
      <alignment horizontal="center"/>
    </xf>
    <xf numFmtId="0" fontId="7" fillId="9" borderId="66" xfId="0" applyFont="1" applyFill="1" applyBorder="1" applyAlignment="1">
      <alignment horizontal="center"/>
    </xf>
    <xf numFmtId="0" fontId="7" fillId="9" borderId="67" xfId="0" applyFont="1" applyFill="1" applyBorder="1" applyAlignment="1">
      <alignment horizontal="center"/>
    </xf>
    <xf numFmtId="0" fontId="9" fillId="0" borderId="49" xfId="0" applyFont="1" applyBorder="1" applyAlignment="1">
      <alignment horizontal="center" vertical="center" textRotation="90"/>
    </xf>
    <xf numFmtId="0" fontId="9" fillId="0" borderId="44" xfId="0" applyFont="1" applyBorder="1" applyAlignment="1">
      <alignment horizontal="center" vertical="center" textRotation="90"/>
    </xf>
    <xf numFmtId="0" fontId="9" fillId="0" borderId="13" xfId="0" applyFont="1" applyBorder="1" applyAlignment="1">
      <alignment horizontal="center" vertical="center" textRotation="90"/>
    </xf>
    <xf numFmtId="0" fontId="1" fillId="0" borderId="17" xfId="0" applyFont="1" applyBorder="1" applyAlignment="1">
      <alignment horizontal="center"/>
    </xf>
    <xf numFmtId="0" fontId="7" fillId="8" borderId="66" xfId="0" applyFont="1" applyFill="1" applyBorder="1" applyAlignment="1">
      <alignment horizontal="center"/>
    </xf>
    <xf numFmtId="0" fontId="7" fillId="8" borderId="67" xfId="0" applyFont="1" applyFill="1" applyBorder="1" applyAlignment="1">
      <alignment horizontal="center"/>
    </xf>
    <xf numFmtId="164" fontId="9" fillId="0" borderId="17" xfId="0" applyNumberFormat="1" applyFont="1" applyBorder="1" applyAlignment="1">
      <alignment horizontal="center" vertical="center" textRotation="90"/>
    </xf>
    <xf numFmtId="0" fontId="5" fillId="0" borderId="25" xfId="0" applyFont="1" applyBorder="1" applyAlignment="1">
      <alignment horizontal="center" wrapText="1"/>
    </xf>
    <xf numFmtId="0" fontId="5" fillId="0" borderId="27" xfId="0" applyFont="1" applyBorder="1" applyAlignment="1">
      <alignment horizontal="center" wrapText="1"/>
    </xf>
    <xf numFmtId="0" fontId="6" fillId="0" borderId="28" xfId="0" applyFont="1" applyBorder="1" applyAlignment="1">
      <alignment horizontal="center"/>
    </xf>
    <xf numFmtId="0" fontId="6" fillId="0" borderId="30" xfId="0" applyFont="1" applyBorder="1" applyAlignment="1">
      <alignment horizontal="center"/>
    </xf>
    <xf numFmtId="0" fontId="6" fillId="0" borderId="29" xfId="0" applyFont="1" applyBorder="1" applyAlignment="1">
      <alignment horizontal="center"/>
    </xf>
    <xf numFmtId="0" fontId="6" fillId="0" borderId="31" xfId="0" applyFont="1" applyBorder="1" applyAlignment="1">
      <alignment horizontal="center"/>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1" xfId="0" applyFont="1" applyBorder="1" applyAlignment="1">
      <alignment horizontal="center" vertical="center" wrapText="1"/>
    </xf>
    <xf numFmtId="0" fontId="0" fillId="0" borderId="0" xfId="0" applyAlignment="1">
      <alignment horizontal="center"/>
    </xf>
    <xf numFmtId="0" fontId="6" fillId="0" borderId="56" xfId="0" applyFont="1" applyBorder="1" applyAlignment="1">
      <alignment horizontal="center" vertical="center" wrapText="1"/>
    </xf>
    <xf numFmtId="0" fontId="6" fillId="0" borderId="54"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0"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4" xfId="0" applyFont="1" applyBorder="1" applyAlignment="1">
      <alignment horizontal="center" vertical="center" wrapText="1"/>
    </xf>
    <xf numFmtId="0" fontId="6" fillId="0" borderId="56" xfId="0" applyFont="1" applyBorder="1" applyAlignment="1">
      <alignment horizontal="right" vertical="center" wrapText="1"/>
    </xf>
    <xf numFmtId="0" fontId="6" fillId="0" borderId="57" xfId="0" applyFont="1" applyBorder="1" applyAlignment="1">
      <alignment horizontal="right" vertical="center" wrapText="1"/>
    </xf>
    <xf numFmtId="0" fontId="6" fillId="0" borderId="54" xfId="0" applyFont="1" applyBorder="1" applyAlignment="1">
      <alignment horizontal="right" vertical="center" wrapText="1"/>
    </xf>
    <xf numFmtId="167" fontId="6" fillId="0" borderId="56" xfId="0" applyNumberFormat="1" applyFont="1" applyBorder="1" applyAlignment="1">
      <alignment horizontal="right" vertical="center" wrapText="1"/>
    </xf>
    <xf numFmtId="167" fontId="6" fillId="0" borderId="57" xfId="0" applyNumberFormat="1" applyFont="1" applyBorder="1" applyAlignment="1">
      <alignment horizontal="right" vertical="center" wrapText="1"/>
    </xf>
    <xf numFmtId="167" fontId="6" fillId="0" borderId="54" xfId="0" applyNumberFormat="1" applyFont="1" applyBorder="1" applyAlignment="1">
      <alignment horizontal="righ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2" xfId="0" applyFont="1" applyBorder="1" applyAlignment="1">
      <alignment horizontal="center" vertical="center" wrapText="1"/>
    </xf>
    <xf numFmtId="0" fontId="12" fillId="0" borderId="56" xfId="0" applyFont="1" applyFill="1" applyBorder="1" applyAlignment="1">
      <alignment horizontal="center" vertical="center"/>
    </xf>
    <xf numFmtId="0" fontId="12" fillId="0" borderId="57" xfId="0" applyFont="1" applyFill="1" applyBorder="1" applyAlignment="1">
      <alignment horizontal="center" vertical="center"/>
    </xf>
    <xf numFmtId="0" fontId="12" fillId="0" borderId="54" xfId="0" applyFont="1" applyFill="1" applyBorder="1" applyAlignment="1">
      <alignment horizontal="center" vertical="center"/>
    </xf>
    <xf numFmtId="0" fontId="13" fillId="0" borderId="25"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2" fillId="0" borderId="26" xfId="0" applyFont="1" applyFill="1" applyBorder="1" applyAlignment="1">
      <alignment horizontal="center" vertical="center"/>
    </xf>
    <xf numFmtId="0" fontId="13" fillId="0" borderId="27"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6" fillId="0" borderId="8" xfId="0" applyFont="1" applyBorder="1" applyAlignment="1">
      <alignment horizontal="left"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12" fillId="0" borderId="53" xfId="0" applyFont="1" applyBorder="1" applyAlignment="1">
      <alignment horizontal="center"/>
    </xf>
    <xf numFmtId="0" fontId="12" fillId="0" borderId="34" xfId="0" applyFont="1" applyBorder="1" applyAlignment="1">
      <alignment horizontal="center"/>
    </xf>
    <xf numFmtId="0" fontId="12" fillId="0" borderId="41" xfId="0" applyFont="1" applyBorder="1" applyAlignment="1">
      <alignment horizontal="center"/>
    </xf>
    <xf numFmtId="0" fontId="13" fillId="0" borderId="25"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6" xfId="0" applyFont="1" applyBorder="1" applyAlignment="1">
      <alignment horizontal="center" wrapText="1"/>
    </xf>
    <xf numFmtId="0" fontId="13" fillId="0" borderId="21" xfId="0" applyFont="1" applyBorder="1" applyAlignment="1">
      <alignment horizontal="center" wrapText="1"/>
    </xf>
    <xf numFmtId="0" fontId="2" fillId="0" borderId="26" xfId="0" applyFont="1" applyBorder="1" applyAlignment="1">
      <alignment horizontal="center" vertical="center"/>
    </xf>
    <xf numFmtId="0" fontId="13" fillId="0" borderId="27" xfId="0" applyFont="1" applyBorder="1" applyAlignment="1">
      <alignment horizontal="center" vertical="center" wrapText="1"/>
    </xf>
    <xf numFmtId="0" fontId="13" fillId="0" borderId="22" xfId="0" applyFont="1" applyBorder="1" applyAlignment="1">
      <alignment horizontal="center" vertical="center" wrapText="1"/>
    </xf>
    <xf numFmtId="0" fontId="12" fillId="0" borderId="56" xfId="0" applyFont="1" applyFill="1" applyBorder="1" applyAlignment="1">
      <alignment horizontal="center"/>
    </xf>
    <xf numFmtId="0" fontId="12" fillId="0" borderId="57" xfId="0" applyFont="1" applyFill="1" applyBorder="1" applyAlignment="1">
      <alignment horizontal="center"/>
    </xf>
    <xf numFmtId="0" fontId="12" fillId="0" borderId="54" xfId="0" applyFont="1" applyFill="1" applyBorder="1" applyAlignment="1">
      <alignment horizontal="center"/>
    </xf>
    <xf numFmtId="0" fontId="13" fillId="0" borderId="58"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4" xfId="0" applyFont="1" applyFill="1" applyBorder="1" applyAlignment="1">
      <alignment horizontal="center" vertical="center" wrapText="1"/>
    </xf>
    <xf numFmtId="0" fontId="13" fillId="0" borderId="26" xfId="0" applyFont="1" applyFill="1" applyBorder="1" applyAlignment="1">
      <alignment horizontal="center" wrapText="1"/>
    </xf>
    <xf numFmtId="0" fontId="13" fillId="0" borderId="49" xfId="0" applyFont="1" applyFill="1" applyBorder="1" applyAlignment="1">
      <alignment horizontal="center" wrapText="1"/>
    </xf>
    <xf numFmtId="0" fontId="13" fillId="0" borderId="59"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15" fillId="0" borderId="0" xfId="0" applyFont="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5" xfId="0" applyFont="1" applyBorder="1" applyAlignment="1">
      <alignment horizontal="center"/>
    </xf>
    <xf numFmtId="0" fontId="5" fillId="0" borderId="27" xfId="0" applyFont="1" applyBorder="1" applyAlignment="1">
      <alignment horizont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33" xfId="0" applyFont="1" applyBorder="1" applyAlignment="1">
      <alignment horizontal="center" vertical="center" wrapText="1"/>
    </xf>
    <xf numFmtId="0" fontId="5" fillId="0" borderId="42" xfId="0" applyFont="1" applyBorder="1" applyAlignment="1">
      <alignment horizontal="center" vertical="center" wrapText="1"/>
    </xf>
    <xf numFmtId="0" fontId="6" fillId="0" borderId="57" xfId="0" applyFont="1" applyBorder="1" applyAlignment="1">
      <alignment horizontal="center" vertical="center" wrapText="1"/>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54" xfId="0" applyFont="1" applyFill="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4" xfId="0" applyFont="1" applyBorder="1" applyAlignment="1">
      <alignment horizontal="center" vertical="center"/>
    </xf>
  </cellXfs>
  <cellStyles count="339">
    <cellStyle name="20% - Accent1" xfId="17" builtinId="30" customBuiltin="1"/>
    <cellStyle name="20% - Accent1 2" xfId="109" xr:uid="{C4601B2C-6D70-435A-8C83-93314B9399A5}"/>
    <cellStyle name="20% - Accent1 2 2" xfId="165" xr:uid="{AD763DFA-D4BA-400C-A856-0EBAFD417F52}"/>
    <cellStyle name="20% - Accent1 2 3" xfId="262" xr:uid="{C728C443-0ECF-4B3D-B6FB-4D3343FCFD07}"/>
    <cellStyle name="20% - Accent1 3" xfId="122" xr:uid="{92B0FE45-03C6-4684-9EB4-19A829605017}"/>
    <cellStyle name="20% - Accent1 3 2" xfId="178" xr:uid="{1F4492E7-73F0-4787-92A9-2827695BA902}"/>
    <cellStyle name="20% - Accent1 3 3" xfId="275" xr:uid="{CFC5CC9B-D523-44F5-96CE-5857AE02A584}"/>
    <cellStyle name="20% - Accent1 4" xfId="135" xr:uid="{BC0DC025-E2CB-4887-9D4F-F6F9702FFFF1}"/>
    <cellStyle name="20% - Accent1 4 2" xfId="191" xr:uid="{09AAF17A-A81C-4C94-A7E1-068FA17C7944}"/>
    <cellStyle name="20% - Accent1 4 3" xfId="288" xr:uid="{786A0AA1-D9D5-4D44-856A-00754BBC527E}"/>
    <cellStyle name="20% - Accent1 5" xfId="147" xr:uid="{AA31E59A-4914-4276-8FFD-E862C19AF14E}"/>
    <cellStyle name="20% - Accent1 5 2" xfId="312" xr:uid="{662E0F64-D5FD-4ABB-9F07-776E53CE4B25}"/>
    <cellStyle name="20% - Accent1 6" xfId="244" xr:uid="{0F6C6D8C-643A-45B1-8421-58D479DD16AC}"/>
    <cellStyle name="20% - Accent2" xfId="20" builtinId="34" customBuiltin="1"/>
    <cellStyle name="20% - Accent2 2" xfId="111" xr:uid="{EC0363CC-A367-47CB-9E26-27FD837476AF}"/>
    <cellStyle name="20% - Accent2 2 2" xfId="167" xr:uid="{D0BA785B-BEF0-4F5E-813D-D8AF31B4284C}"/>
    <cellStyle name="20% - Accent2 2 3" xfId="264" xr:uid="{0DEFEF3C-94A1-4545-A086-410C26A2610E}"/>
    <cellStyle name="20% - Accent2 3" xfId="124" xr:uid="{B841C8F1-727F-4CFE-A37E-C6F7D201DB06}"/>
    <cellStyle name="20% - Accent2 3 2" xfId="180" xr:uid="{FEA82E52-60B2-4013-B62E-6F9697ECB8D3}"/>
    <cellStyle name="20% - Accent2 3 3" xfId="277" xr:uid="{A516D61D-5181-4A71-8F9D-B3D31B422EA5}"/>
    <cellStyle name="20% - Accent2 4" xfId="137" xr:uid="{16C9147A-2CC6-4DF9-9BAB-F58D8F7B1E45}"/>
    <cellStyle name="20% - Accent2 4 2" xfId="193" xr:uid="{17BE2466-9B39-4C77-B42C-0EF27F19FD42}"/>
    <cellStyle name="20% - Accent2 4 3" xfId="290" xr:uid="{A63780E2-0EFE-4A8E-B493-5CD6D83ABAA6}"/>
    <cellStyle name="20% - Accent2 5" xfId="148" xr:uid="{6FD1AFEF-549A-4510-BA7E-44491BC5CF71}"/>
    <cellStyle name="20% - Accent2 5 2" xfId="314" xr:uid="{8276F9E5-3684-4378-99C9-A0D2EA2845C1}"/>
    <cellStyle name="20% - Accent2 6" xfId="245" xr:uid="{C8A55295-7AB1-4854-AAA2-2563E5C21C19}"/>
    <cellStyle name="20% - Accent3" xfId="23" builtinId="38" customBuiltin="1"/>
    <cellStyle name="20% - Accent3 2" xfId="113" xr:uid="{D601CD7E-C01A-4EB1-A67F-374294A1010E}"/>
    <cellStyle name="20% - Accent3 2 2" xfId="169" xr:uid="{C904BB8A-F2A7-44E7-8C14-3690362D3E59}"/>
    <cellStyle name="20% - Accent3 2 3" xfId="266" xr:uid="{1FBA3379-0B3F-4C04-80CC-FBD70DE33E28}"/>
    <cellStyle name="20% - Accent3 3" xfId="126" xr:uid="{7C02AD8E-1290-4E2C-9BB5-0B34954A6EEF}"/>
    <cellStyle name="20% - Accent3 3 2" xfId="182" xr:uid="{5AB2D062-ED18-4BFE-9EE1-B9AC2C0DBA64}"/>
    <cellStyle name="20% - Accent3 3 3" xfId="279" xr:uid="{87047975-7E6D-46E5-8CC5-C2B14D0D534D}"/>
    <cellStyle name="20% - Accent3 4" xfId="139" xr:uid="{3DBC2DAE-AA84-4486-9FC8-20D6ADC51DD0}"/>
    <cellStyle name="20% - Accent3 4 2" xfId="195" xr:uid="{C5509925-0CB4-4536-9BDB-F3498F37C2BE}"/>
    <cellStyle name="20% - Accent3 4 3" xfId="292" xr:uid="{05D79CD6-74AD-40A6-802B-A982EB162EC1}"/>
    <cellStyle name="20% - Accent3 5" xfId="149" xr:uid="{3D60D62B-293B-4838-9FB7-F8F510A28264}"/>
    <cellStyle name="20% - Accent3 5 2" xfId="316" xr:uid="{8F5C6534-1C46-4ADD-9555-CE189E90EEF0}"/>
    <cellStyle name="20% - Accent3 6" xfId="246" xr:uid="{EEA82DC0-F404-4429-9544-BCCCB594247C}"/>
    <cellStyle name="20% - Accent4" xfId="26" builtinId="42" customBuiltin="1"/>
    <cellStyle name="20% - Accent4 2" xfId="115" xr:uid="{88BBE070-AD1E-421F-B0E4-703517C3DC1E}"/>
    <cellStyle name="20% - Accent4 2 2" xfId="171" xr:uid="{7130AB6F-5976-406E-9240-5730B4CDE4C2}"/>
    <cellStyle name="20% - Accent4 2 3" xfId="268" xr:uid="{4E9526AB-6469-4DBA-A6C0-1B76B077F005}"/>
    <cellStyle name="20% - Accent4 3" xfId="128" xr:uid="{88056AFC-0184-4198-B686-F731274C7473}"/>
    <cellStyle name="20% - Accent4 3 2" xfId="184" xr:uid="{535A0686-0B94-4873-83C1-0D2B09F4CCFB}"/>
    <cellStyle name="20% - Accent4 3 3" xfId="281" xr:uid="{263220F7-C0AB-4D24-9EDF-382E4412CB9A}"/>
    <cellStyle name="20% - Accent4 4" xfId="141" xr:uid="{F88248B4-F1BE-4654-8075-54460F3195B1}"/>
    <cellStyle name="20% - Accent4 4 2" xfId="197" xr:uid="{6F4FFF8B-3E81-4301-AF55-E6C0738A1400}"/>
    <cellStyle name="20% - Accent4 4 3" xfId="294" xr:uid="{15FE8262-CB91-4001-BF9C-55D19AA49CB5}"/>
    <cellStyle name="20% - Accent4 5" xfId="150" xr:uid="{057A8A61-40B2-4C4E-9853-A3D83C582A00}"/>
    <cellStyle name="20% - Accent4 5 2" xfId="318" xr:uid="{98FFF9FA-DE99-4349-B08F-11673640744A}"/>
    <cellStyle name="20% - Accent4 6" xfId="247" xr:uid="{FC19CE4A-E73A-4E4F-98F6-ACFA7CB3497C}"/>
    <cellStyle name="20% - Accent5" xfId="29" builtinId="46" customBuiltin="1"/>
    <cellStyle name="20% - Accent5 2" xfId="117" xr:uid="{69CC3A2E-F692-4428-B9A0-BEE5A26CEFA8}"/>
    <cellStyle name="20% - Accent5 2 2" xfId="173" xr:uid="{279124E6-9559-46EA-B0E8-BAD78F02A35F}"/>
    <cellStyle name="20% - Accent5 2 3" xfId="270" xr:uid="{7FA5781B-A720-4D24-A6C3-102E869713D8}"/>
    <cellStyle name="20% - Accent5 3" xfId="130" xr:uid="{822F0A38-1FEB-424D-8C72-1F445543961D}"/>
    <cellStyle name="20% - Accent5 3 2" xfId="186" xr:uid="{36295C3F-936A-4DC5-BC5F-884745928323}"/>
    <cellStyle name="20% - Accent5 3 3" xfId="283" xr:uid="{6B746B85-9C64-4979-83B7-6BA49DCE1F90}"/>
    <cellStyle name="20% - Accent5 4" xfId="143" xr:uid="{A9BC08F4-D362-46EF-8F33-5CED5CCFE6D0}"/>
    <cellStyle name="20% - Accent5 4 2" xfId="199" xr:uid="{E4BFBC01-0979-4FD2-90DE-824EB2858793}"/>
    <cellStyle name="20% - Accent5 4 3" xfId="296" xr:uid="{A18EDD43-5EE5-4C51-82BF-07B09D7E2239}"/>
    <cellStyle name="20% - Accent5 5" xfId="151" xr:uid="{CAA5B2EC-E32E-4DBF-BC6C-62321D10B6CF}"/>
    <cellStyle name="20% - Accent5 5 2" xfId="320" xr:uid="{52542380-4EC2-4DDD-B503-CA4C8776C54B}"/>
    <cellStyle name="20% - Accent5 6" xfId="248" xr:uid="{4D1DA703-17A7-49BE-AC84-625079D06A7F}"/>
    <cellStyle name="20% - Accent6" xfId="32" builtinId="50" customBuiltin="1"/>
    <cellStyle name="20% - Accent6 2" xfId="119" xr:uid="{2C64429A-6017-4D0D-82C7-0099ECCF1E9D}"/>
    <cellStyle name="20% - Accent6 2 2" xfId="175" xr:uid="{64DB84C3-EFBE-4FB2-87EA-02056FC94CB6}"/>
    <cellStyle name="20% - Accent6 2 3" xfId="272" xr:uid="{F95A8538-1D84-4F9A-B236-0DB62759910E}"/>
    <cellStyle name="20% - Accent6 3" xfId="132" xr:uid="{4297C121-4B8B-4CA2-86E4-D9196781DE70}"/>
    <cellStyle name="20% - Accent6 3 2" xfId="188" xr:uid="{F6FCC019-DAD8-4476-979A-89CE74BE0B9C}"/>
    <cellStyle name="20% - Accent6 3 3" xfId="285" xr:uid="{98BD0564-4FFF-487D-B907-51B3D323B3E3}"/>
    <cellStyle name="20% - Accent6 4" xfId="145" xr:uid="{6D5C632C-2213-4141-9518-6BF685ECD1D5}"/>
    <cellStyle name="20% - Accent6 4 2" xfId="201" xr:uid="{0BDEA235-BEDB-4E99-BC97-CDB786F19932}"/>
    <cellStyle name="20% - Accent6 4 3" xfId="298" xr:uid="{F104FB3A-8635-406C-AC5C-DADF1E78F38D}"/>
    <cellStyle name="20% - Accent6 5" xfId="152" xr:uid="{D9B33C56-B767-4A00-87C1-75E18DBDE717}"/>
    <cellStyle name="20% - Accent6 5 2" xfId="322" xr:uid="{206F82DE-0779-4281-B8BA-8CE7E2140C3C}"/>
    <cellStyle name="20% - Accent6 6" xfId="249" xr:uid="{88E8E420-A372-4A06-B718-2A3A3A205A41}"/>
    <cellStyle name="40% - Accent1" xfId="18" builtinId="31" customBuiltin="1"/>
    <cellStyle name="40% - Accent1 2" xfId="110" xr:uid="{F6064294-22A3-4664-B4F1-7A06334AA425}"/>
    <cellStyle name="40% - Accent1 2 2" xfId="166" xr:uid="{E49872E5-0B5F-4834-B214-3D69B8C6CC33}"/>
    <cellStyle name="40% - Accent1 2 3" xfId="263" xr:uid="{58F7B51D-A13E-4276-B66F-6EA21A1D7CE7}"/>
    <cellStyle name="40% - Accent1 3" xfId="123" xr:uid="{ADC3D2CE-57F1-417F-B10A-4AA2C9CF4178}"/>
    <cellStyle name="40% - Accent1 3 2" xfId="179" xr:uid="{98C7B245-5471-4ECE-9F38-BB56F69FE16C}"/>
    <cellStyle name="40% - Accent1 3 3" xfId="276" xr:uid="{9C2E72B3-1769-4BA7-91CE-EC9D48D1535C}"/>
    <cellStyle name="40% - Accent1 4" xfId="136" xr:uid="{333D0742-A199-4EC5-B349-18BA61418112}"/>
    <cellStyle name="40% - Accent1 4 2" xfId="192" xr:uid="{48707ECB-0B06-4FD1-819C-484B64ED3397}"/>
    <cellStyle name="40% - Accent1 4 3" xfId="289" xr:uid="{DD0B0226-B866-415B-BAFC-9205A0458D01}"/>
    <cellStyle name="40% - Accent1 5" xfId="153" xr:uid="{944ED96A-387D-4C9E-B458-4251F8A77823}"/>
    <cellStyle name="40% - Accent1 5 2" xfId="313" xr:uid="{8B57AC6A-0573-40DD-87B0-13089A673B84}"/>
    <cellStyle name="40% - Accent1 6" xfId="250" xr:uid="{173C46E5-C410-4327-9F00-6AD3C3B350BF}"/>
    <cellStyle name="40% - Accent2" xfId="21" builtinId="35" customBuiltin="1"/>
    <cellStyle name="40% - Accent2 2" xfId="112" xr:uid="{182F01F7-7CB3-4BAD-9E8F-C2C544200CF8}"/>
    <cellStyle name="40% - Accent2 2 2" xfId="168" xr:uid="{E2F79A86-6675-43F2-8D2E-2B8F747EFB35}"/>
    <cellStyle name="40% - Accent2 2 3" xfId="265" xr:uid="{97283397-FEEF-4978-85E2-2E1A30C96119}"/>
    <cellStyle name="40% - Accent2 3" xfId="125" xr:uid="{64DCFD7A-D897-4D39-80B0-9E48E74C046A}"/>
    <cellStyle name="40% - Accent2 3 2" xfId="181" xr:uid="{83E04B76-FFE6-40E3-87E5-EC4C8C8F01DD}"/>
    <cellStyle name="40% - Accent2 3 3" xfId="278" xr:uid="{35DAC49E-5CC4-4D5A-A47F-B2C8803B505C}"/>
    <cellStyle name="40% - Accent2 4" xfId="138" xr:uid="{C306A83E-710A-46D1-A4DD-CC0DD58E30AB}"/>
    <cellStyle name="40% - Accent2 4 2" xfId="194" xr:uid="{FA971D88-FE9B-402F-B37F-A9F6DA3870D7}"/>
    <cellStyle name="40% - Accent2 4 3" xfId="291" xr:uid="{EB40AB9F-5229-4270-B21E-D48A8B5EBBE1}"/>
    <cellStyle name="40% - Accent2 5" xfId="154" xr:uid="{4178969E-317B-47E0-88E8-2FABC97A2B2E}"/>
    <cellStyle name="40% - Accent2 5 2" xfId="315" xr:uid="{5088D9A1-6475-48A1-94E8-7BB381676718}"/>
    <cellStyle name="40% - Accent2 6" xfId="251" xr:uid="{5239793B-B794-4D4E-BF7F-9E9284C2E3B7}"/>
    <cellStyle name="40% - Accent3" xfId="24" builtinId="39" customBuiltin="1"/>
    <cellStyle name="40% - Accent3 2" xfId="114" xr:uid="{2D27E4DD-7C2F-4FBC-9DE9-EFB8C21B7C7D}"/>
    <cellStyle name="40% - Accent3 2 2" xfId="170" xr:uid="{49652D51-10A3-47C2-9198-ECEF5FC462A7}"/>
    <cellStyle name="40% - Accent3 2 3" xfId="267" xr:uid="{6F907798-2833-40E4-8400-CB6227A67342}"/>
    <cellStyle name="40% - Accent3 3" xfId="127" xr:uid="{6C84D95A-27C8-4A1A-A251-8AFDFE1A7037}"/>
    <cellStyle name="40% - Accent3 3 2" xfId="183" xr:uid="{AEC1E2F4-3C83-4E5D-9790-4AEB4862698C}"/>
    <cellStyle name="40% - Accent3 3 3" xfId="280" xr:uid="{57FE93BB-802C-44F6-93DA-47E30D1388D4}"/>
    <cellStyle name="40% - Accent3 4" xfId="140" xr:uid="{EDDB89F6-5B43-42D5-816D-6393B9E91471}"/>
    <cellStyle name="40% - Accent3 4 2" xfId="196" xr:uid="{6BDBE416-D813-4852-A371-7D6E92EDB607}"/>
    <cellStyle name="40% - Accent3 4 3" xfId="293" xr:uid="{0EFD1CD7-5ABD-4CDC-9057-24ABB07EE7B1}"/>
    <cellStyle name="40% - Accent3 5" xfId="155" xr:uid="{2AC92016-9135-4EB5-B03D-B07AC7186B00}"/>
    <cellStyle name="40% - Accent3 5 2" xfId="317" xr:uid="{8FA3A1C5-482E-4F45-AC20-96E3AC97FB6D}"/>
    <cellStyle name="40% - Accent3 6" xfId="252" xr:uid="{2E11F11B-23D8-4A47-A452-84BE2F22C3EF}"/>
    <cellStyle name="40% - Accent4" xfId="27" builtinId="43" customBuiltin="1"/>
    <cellStyle name="40% - Accent4 2" xfId="116" xr:uid="{7B7A959B-A86F-414A-AEDC-4E852F8D6B3F}"/>
    <cellStyle name="40% - Accent4 2 2" xfId="172" xr:uid="{3EFFC41E-802D-42B5-BCAC-BBC2CECE7A5F}"/>
    <cellStyle name="40% - Accent4 2 3" xfId="269" xr:uid="{3DB7CC07-A82F-451D-B7EE-544CFA0E2AA3}"/>
    <cellStyle name="40% - Accent4 3" xfId="129" xr:uid="{883A6BB7-C767-4613-B846-6CDDAE05F453}"/>
    <cellStyle name="40% - Accent4 3 2" xfId="185" xr:uid="{BE79E51D-C360-4996-8684-C2D6F7BC5E91}"/>
    <cellStyle name="40% - Accent4 3 3" xfId="282" xr:uid="{6D5908A8-CFA2-46F6-AE0E-7FB051F35BCB}"/>
    <cellStyle name="40% - Accent4 4" xfId="142" xr:uid="{DF4388DB-730A-4B47-B34C-F5BDD5B985F8}"/>
    <cellStyle name="40% - Accent4 4 2" xfId="198" xr:uid="{10D64D26-E33F-4EED-A203-383054A001B5}"/>
    <cellStyle name="40% - Accent4 4 3" xfId="295" xr:uid="{209CD462-F041-4099-B9FF-AC49E70A8678}"/>
    <cellStyle name="40% - Accent4 5" xfId="156" xr:uid="{3806FBB0-F390-4221-B6FA-2EDD772D25D0}"/>
    <cellStyle name="40% - Accent4 5 2" xfId="319" xr:uid="{14FF5B47-86B9-4148-AA7A-F9B97F3AC1C2}"/>
    <cellStyle name="40% - Accent4 6" xfId="253" xr:uid="{D93B2925-4E42-43B8-AA5B-A64C997665D7}"/>
    <cellStyle name="40% - Accent5" xfId="30" builtinId="47" customBuiltin="1"/>
    <cellStyle name="40% - Accent5 2" xfId="118" xr:uid="{D2B49A50-C63E-45D9-8F7F-6BA1B4475CBA}"/>
    <cellStyle name="40% - Accent5 2 2" xfId="174" xr:uid="{DFB9D109-454E-40A9-A011-536A750D899B}"/>
    <cellStyle name="40% - Accent5 2 3" xfId="271" xr:uid="{69D19C56-67AA-4F6C-AA2B-748727E7CA09}"/>
    <cellStyle name="40% - Accent5 3" xfId="131" xr:uid="{5C58F83D-5BA4-4424-A8E7-D8C3A6B1F7D2}"/>
    <cellStyle name="40% - Accent5 3 2" xfId="187" xr:uid="{D29094ED-DBA7-4E48-AA76-6FE90CA120DD}"/>
    <cellStyle name="40% - Accent5 3 3" xfId="284" xr:uid="{1658DCE6-B312-4FFD-AA48-A99CA593A261}"/>
    <cellStyle name="40% - Accent5 4" xfId="144" xr:uid="{729E4FD5-BDA3-41CE-B759-59700680AB50}"/>
    <cellStyle name="40% - Accent5 4 2" xfId="200" xr:uid="{50314C0B-A41B-42B2-97D0-FD3079D84E19}"/>
    <cellStyle name="40% - Accent5 4 3" xfId="297" xr:uid="{8B85641E-20FF-4071-8C5B-58DC32BA91CB}"/>
    <cellStyle name="40% - Accent5 5" xfId="157" xr:uid="{432B773A-66A9-4B73-9003-250D6E2E1FA3}"/>
    <cellStyle name="40% - Accent5 5 2" xfId="321" xr:uid="{D63EEC38-67DD-44D3-845E-5DBBBDC412EF}"/>
    <cellStyle name="40% - Accent5 6" xfId="254" xr:uid="{E4827648-8831-4019-98E4-B1A17662610C}"/>
    <cellStyle name="40% - Accent6" xfId="33" builtinId="51" customBuiltin="1"/>
    <cellStyle name="40% - Accent6 2" xfId="120" xr:uid="{26CD0708-CF9F-4FFB-B62B-9B5E528B678A}"/>
    <cellStyle name="40% - Accent6 2 2" xfId="176" xr:uid="{675CACA6-B8A5-44D6-A2B8-41CECB8E2AFA}"/>
    <cellStyle name="40% - Accent6 2 3" xfId="273" xr:uid="{E27AFE42-348C-4F2D-8EAD-02D35972B1C9}"/>
    <cellStyle name="40% - Accent6 3" xfId="133" xr:uid="{E5A70A60-A650-4A7E-83DB-FE19EB93ADFD}"/>
    <cellStyle name="40% - Accent6 3 2" xfId="189" xr:uid="{22347689-7BBE-4180-8675-AAF72921ED4F}"/>
    <cellStyle name="40% - Accent6 3 3" xfId="286" xr:uid="{835F4F3C-E23D-4218-9D45-533211F40288}"/>
    <cellStyle name="40% - Accent6 4" xfId="146" xr:uid="{CAACE39B-EE0F-4160-81AD-2FB49B404D43}"/>
    <cellStyle name="40% - Accent6 4 2" xfId="202" xr:uid="{35B4CCFE-6C90-4395-ADBF-EBFABB1FEAD9}"/>
    <cellStyle name="40% - Accent6 4 3" xfId="299" xr:uid="{B199CF95-6EA8-47A9-97AC-E52D4ECD7F87}"/>
    <cellStyle name="40% - Accent6 5" xfId="158" xr:uid="{BEFA5401-B2A2-4B85-9C85-E6AF499A3874}"/>
    <cellStyle name="40% - Accent6 5 2" xfId="323" xr:uid="{2BA024B5-8AB6-4515-A63D-39E065785AB3}"/>
    <cellStyle name="40% - Accent6 6" xfId="255" xr:uid="{308F5A35-9B4C-43E8-9CCE-BC2A25A83C05}"/>
    <cellStyle name="60% - Accent1 2" xfId="92" xr:uid="{538ECF82-949F-4725-94C4-DCEB5D4D7973}"/>
    <cellStyle name="60% - Accent2 2" xfId="93" xr:uid="{06D82D80-CB6E-4C1A-91A7-47343A6D23D4}"/>
    <cellStyle name="60% - Accent3 2" xfId="94" xr:uid="{F9CAC059-2AD5-4CB7-839A-D76A30B5CB62}"/>
    <cellStyle name="60% - Accent4 2" xfId="95" xr:uid="{DBC471D9-6936-41A9-A5A2-11F97788A13B}"/>
    <cellStyle name="60% - Accent5 2" xfId="96" xr:uid="{136B0D6B-E624-4BA1-8F9A-23EFF86287EE}"/>
    <cellStyle name="60% - Accent6 2" xfId="97" xr:uid="{4558730A-51FA-4C52-9981-6456608F4737}"/>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8" builtinId="27" customBuiltin="1"/>
    <cellStyle name="Calculation" xfId="11" builtinId="22" customBuiltin="1"/>
    <cellStyle name="Check Cell" xfId="13" builtinId="23" customBuiltin="1"/>
    <cellStyle name="Comma" xfId="338" builtinId="3"/>
    <cellStyle name="Comma 10" xfId="35" xr:uid="{A645559D-7618-4D43-83A1-A1C83F7754AA}"/>
    <cellStyle name="Comma 2" xfId="51" xr:uid="{11379F2D-6432-4853-AAC7-A937807DD1F8}"/>
    <cellStyle name="Comma 2 10" xfId="159" xr:uid="{C126CB1B-DC3B-4C18-8BF5-BCFBB6E742A9}"/>
    <cellStyle name="Comma 2 11" xfId="205" xr:uid="{E42EA305-5781-4356-93ED-9E43420A0FFB}"/>
    <cellStyle name="Comma 2 12" xfId="256" xr:uid="{05B9AF13-87C2-4794-B728-9CCB8623D588}"/>
    <cellStyle name="Comma 2 2" xfId="53" xr:uid="{30BC4571-F865-4F7B-95CC-1CD83C3B6625}"/>
    <cellStyle name="Comma 2 2 2" xfId="59" xr:uid="{D91CD7CD-5AB7-4142-B85B-9FBE924297A0}"/>
    <cellStyle name="Comma 2 2 2 2" xfId="76" xr:uid="{496AD60C-B72D-4A25-B8DE-8C3E93194EE2}"/>
    <cellStyle name="Comma 2 2 2 3" xfId="214" xr:uid="{610B5DA6-0529-4B66-BD2A-64463C9396AC}"/>
    <cellStyle name="Comma 2 2 2 4" xfId="306" xr:uid="{A60FFDC6-80BA-4559-9D9B-6A01DFA78B59}"/>
    <cellStyle name="Comma 2 2 3" xfId="70" xr:uid="{30D219DD-CA67-4A95-A9CE-D8A03FD92BCB}"/>
    <cellStyle name="Comma 2 2 4" xfId="82" xr:uid="{02FE2490-C53B-4BE6-A253-860EFC478FE6}"/>
    <cellStyle name="Comma 2 2 5" xfId="99" xr:uid="{00A5DFA4-F833-45B9-85DC-14C0DFAE0135}"/>
    <cellStyle name="Comma 2 2 6" xfId="160" xr:uid="{13D4AB85-6BFD-4798-96E7-94E44F575A3B}"/>
    <cellStyle name="Comma 2 2 7" xfId="209" xr:uid="{68769132-CECF-4E52-BD6C-41C8B8642104}"/>
    <cellStyle name="Comma 2 2 8" xfId="257" xr:uid="{7EA84709-82AE-4E67-9792-7BC708B0275D}"/>
    <cellStyle name="Comma 2 3" xfId="55" xr:uid="{647DD9A2-CFAE-4C85-9FAF-492000255B0F}"/>
    <cellStyle name="Comma 2 3 2" xfId="61" xr:uid="{0895FF31-F282-41DE-B1EA-BD34FFF6EDEB}"/>
    <cellStyle name="Comma 2 3 2 2" xfId="78" xr:uid="{57664541-D12F-4FD0-A2BE-8B7D7015BF80}"/>
    <cellStyle name="Comma 2 3 3" xfId="72" xr:uid="{EEAA12DD-FC27-479B-9C8F-73436512E526}"/>
    <cellStyle name="Comma 2 3 4" xfId="84" xr:uid="{952363B9-E9C2-4041-A681-7D7B1EF17E31}"/>
    <cellStyle name="Comma 2 3 5" xfId="213" xr:uid="{CA7D2C61-321C-449A-B614-E481904C9BEB}"/>
    <cellStyle name="Comma 2 3 6" xfId="310" xr:uid="{3333AA32-235D-46DD-9DF4-D62250FBEF75}"/>
    <cellStyle name="Comma 2 4" xfId="57" xr:uid="{CE2607E8-C4BD-40DC-BAC1-59537D1B5DAA}"/>
    <cellStyle name="Comma 2 4 2" xfId="74" xr:uid="{B7C17184-BB7F-4A75-8804-53AC079D676E}"/>
    <cellStyle name="Comma 2 4 3" xfId="301" xr:uid="{B211F97F-F66E-455A-9AF3-19E11F405DF6}"/>
    <cellStyle name="Comma 2 5" xfId="64" xr:uid="{7BCA2F86-A279-4F77-B5CB-56E2FD976CF8}"/>
    <cellStyle name="Comma 2 6" xfId="68" xr:uid="{66FAA747-39E3-477E-B5EB-BEF3A88359BE}"/>
    <cellStyle name="Comma 2 7" xfId="80" xr:uid="{610AD181-10A2-4C21-B58F-2E56DFFA5DA7}"/>
    <cellStyle name="Comma 2 8" xfId="88" xr:uid="{E3C9C670-3A48-4E68-95AC-EC78A9B69C85}"/>
    <cellStyle name="Comma 2 9" xfId="98" xr:uid="{7C613478-A43F-4344-81A8-C1B5CE3C3EB0}"/>
    <cellStyle name="Comma 3" xfId="65" xr:uid="{93760203-D919-4E29-B014-0835DC4BF00F}"/>
    <cellStyle name="Comma 3 2" xfId="217" xr:uid="{A5AF6806-4CF8-45D3-A54F-1197F8706D28}"/>
    <cellStyle name="Comma 4" xfId="218" xr:uid="{3D7FA1E5-73DB-4853-8CC2-96122666BD0F}"/>
    <cellStyle name="Comma 5" xfId="219" xr:uid="{05AE4815-35BC-4A90-8889-33F7D16573D5}"/>
    <cellStyle name="Comma 6" xfId="220" xr:uid="{3EE1244F-6042-4F9F-B03A-2E2AF369A66A}"/>
    <cellStyle name="Comma 7" xfId="221" xr:uid="{8C5FD118-22B9-49F2-86E6-4B1937449C2D}"/>
    <cellStyle name="Comma 8" xfId="328" xr:uid="{ED0D5E42-BDAA-4EC0-A233-AA31C5BD6C11}"/>
    <cellStyle name="Comma 9" xfId="333" xr:uid="{258DE198-273D-4925-8FDA-FD2CBA93EA07}"/>
    <cellStyle name="Comma0" xfId="36" xr:uid="{82406A86-F505-4121-A803-49FD3740E9DD}"/>
    <cellStyle name="Currency" xfId="3" builtinId="4"/>
    <cellStyle name="Currency 2" xfId="89" xr:uid="{E161F709-9950-45A2-B62F-03B471A9BAD6}"/>
    <cellStyle name="Currency 2 2" xfId="107" xr:uid="{100D1440-EA70-44E2-87BA-947A23D45259}"/>
    <cellStyle name="Currency 2 2 2" xfId="210" xr:uid="{8D42ADF6-BCE0-45E7-97A3-D18C9527DA38}"/>
    <cellStyle name="Currency 2 3" xfId="206" xr:uid="{EA0B33CB-F31D-4731-B987-DE67314FA2BB}"/>
    <cellStyle name="Currency 3" xfId="2" xr:uid="{620A5094-7808-4D4B-9C02-1E373F92749B}"/>
    <cellStyle name="Currency 4" xfId="37" xr:uid="{02A6BBD0-C1CC-424D-B3BE-FF3304D5ADA6}"/>
    <cellStyle name="Currency0" xfId="38" xr:uid="{485F9BBF-192B-4337-B3AD-EF77AEFBEFC5}"/>
    <cellStyle name="Date" xfId="39" xr:uid="{AB43D3A0-2C6F-4BE5-83E5-BFC67003049F}"/>
    <cellStyle name="Explanatory Text" xfId="15" builtinId="53" customBuiltin="1"/>
    <cellStyle name="F2" xfId="40" xr:uid="{9D1657A6-A4E5-4A2C-9ABA-AE7097A7D590}"/>
    <cellStyle name="F3" xfId="41" xr:uid="{2D19903F-87FE-49D4-B372-16FE34A9426D}"/>
    <cellStyle name="F8" xfId="42" xr:uid="{5587F87A-7210-4062-B237-BA22EDB9D93F}"/>
    <cellStyle name="Fixed" xfId="43" xr:uid="{E374DD2F-8C7E-47A0-AC1D-49EAE52DA352}"/>
    <cellStyle name="Good" xfId="7" builtinId="26" customBuiltin="1"/>
    <cellStyle name="Heading 1 2" xfId="100" xr:uid="{1211A4E2-F1F8-47E4-9FFD-611BA457447C}"/>
    <cellStyle name="Heading 1 3" xfId="44" xr:uid="{E24049FD-67A3-48A6-880A-8CDF4830990A}"/>
    <cellStyle name="Heading 2 2" xfId="50" xr:uid="{AACF5A46-DBC4-42B0-9A81-37155EC83811}"/>
    <cellStyle name="Heading 2 3" xfId="49" xr:uid="{E9CC0304-DEA5-483F-A30C-42D1DD5409AC}"/>
    <cellStyle name="Heading 2 4" xfId="101" xr:uid="{17BC7396-634D-428A-AFC0-539CF91720E8}"/>
    <cellStyle name="Heading 2 5" xfId="45" xr:uid="{938A1E0F-C85C-4F1C-8AD4-6C1F5F116B95}"/>
    <cellStyle name="Heading 3" xfId="5" builtinId="18" customBuiltin="1"/>
    <cellStyle name="Heading 4" xfId="6" builtinId="19" customBuiltin="1"/>
    <cellStyle name="Hyperlink 2" xfId="326" xr:uid="{E8DA8D4B-01D8-4CD1-8032-F6F3923EAE77}"/>
    <cellStyle name="Input" xfId="9" builtinId="20" customBuiltin="1"/>
    <cellStyle name="Linked Cell" xfId="12" builtinId="24" customBuiltin="1"/>
    <cellStyle name="Neutral 2" xfId="91" xr:uid="{4F8771E4-C40F-4880-9BF3-A238CA353BF0}"/>
    <cellStyle name="Normal" xfId="0" builtinId="0"/>
    <cellStyle name="Normal 10" xfId="222" xr:uid="{2D5CC08D-A2BE-4A37-8D5D-854F593CC6CE}"/>
    <cellStyle name="Normal 11" xfId="223" xr:uid="{991B9D2C-4B0F-40FE-A0D7-7A40195F29A4}"/>
    <cellStyle name="Normal 12" xfId="224" xr:uid="{6F030C87-5D96-46AD-A09C-E9AB6D24B8C9}"/>
    <cellStyle name="Normal 13" xfId="225" xr:uid="{9365DFA8-55B3-428B-9968-FB5428E795DA}"/>
    <cellStyle name="Normal 14" xfId="226" xr:uid="{1EE393F0-A3FD-49CE-BB7F-959E08C1C887}"/>
    <cellStyle name="Normal 15" xfId="227" xr:uid="{BB5AB20E-0032-4DAD-8709-1ABC5BBA7578}"/>
    <cellStyle name="Normal 16" xfId="228" xr:uid="{337DB9EA-A0AC-4723-AD14-59C318A898D8}"/>
    <cellStyle name="Normal 17" xfId="229" xr:uid="{C3732191-21AD-48E0-920F-B55C587F9730}"/>
    <cellStyle name="Normal 18" xfId="230" xr:uid="{121482D3-D60F-48E5-B645-435EBB2A2BB3}"/>
    <cellStyle name="Normal 19" xfId="231" xr:uid="{C8ED0459-506B-43FF-A6FF-DF50BDC3AE97}"/>
    <cellStyle name="Normal 2" xfId="1" xr:uid="{ACE18AC5-0F9C-4566-8FD7-3D1F1DF697BB}"/>
    <cellStyle name="Normal 2 2" xfId="66" xr:uid="{37C7FB9D-B2BE-46FE-9761-DB421F3058A7}"/>
    <cellStyle name="Normal 2 2 2" xfId="103" xr:uid="{370B7476-9585-4C85-94DF-6FCD3A13DEEE}"/>
    <cellStyle name="Normal 2 2 3" xfId="162" xr:uid="{AEC0BA5A-B1AE-481C-84CB-824C2A8D3431}"/>
    <cellStyle name="Normal 2 2 4" xfId="215" xr:uid="{4B41B966-23A2-4AA9-9D9E-246B17DFB457}"/>
    <cellStyle name="Normal 2 2 5" xfId="259" xr:uid="{67E7D288-77C2-4B05-B2F2-4D07AB864710}"/>
    <cellStyle name="Normal 2 2 6" xfId="329" xr:uid="{8454C520-8FBE-4141-913C-61FA9DD3B555}"/>
    <cellStyle name="Normal 2 2 6 4 5" xfId="337" xr:uid="{F231D9FF-C31F-4F5B-8DF5-52DC0BE38A85}"/>
    <cellStyle name="Normal 2 3" xfId="102" xr:uid="{4EC71F4F-400F-4CE8-9939-569F45D9F100}"/>
    <cellStyle name="Normal 2 3 2" xfId="212" xr:uid="{0BEE5AFA-4907-4929-BE95-9E06902533BF}"/>
    <cellStyle name="Normal 2 3 3" xfId="302" xr:uid="{5CF422D9-FBA4-4C90-8E42-FBB1E5963E6D}"/>
    <cellStyle name="Normal 2 4" xfId="161" xr:uid="{A12D92DB-C849-47E7-B512-F898254AD8BD}"/>
    <cellStyle name="Normal 2 5" xfId="258" xr:uid="{216DCC12-7C68-4BAE-AE0D-9E8627365DBC}"/>
    <cellStyle name="Normal 20" xfId="232" xr:uid="{83860184-63B0-42B1-8ABC-0131D5E7A9DF}"/>
    <cellStyle name="Normal 21" xfId="233" xr:uid="{0C860F74-F563-4AD4-B54C-FCCB9101001B}"/>
    <cellStyle name="Normal 22" xfId="234" xr:uid="{743CCD7B-95E8-4C07-A2AD-D67D9816A36F}"/>
    <cellStyle name="Normal 23" xfId="243" xr:uid="{2F09BA4A-E27F-4E4E-A77D-77EF0038111A}"/>
    <cellStyle name="Normal 24" xfId="327" xr:uid="{04A99031-8881-4BA5-BDC5-9CDC3F44B88E}"/>
    <cellStyle name="Normal 25" xfId="330" xr:uid="{6AC37C11-7AB1-4733-B184-51616FC061DA}"/>
    <cellStyle name="Normal 26" xfId="332" xr:uid="{DD2C9C9E-9BAC-4058-AB1D-B301B4E9632D}"/>
    <cellStyle name="Normal 26 2" xfId="335" xr:uid="{2966FBA1-C21E-4EC6-A3F1-C45B22E74077}"/>
    <cellStyle name="Normal 27" xfId="34" xr:uid="{2531283E-6155-492F-AC82-76D7E40DCA7E}"/>
    <cellStyle name="Normal 3" xfId="52" xr:uid="{DB55C99C-8A38-4FCA-A091-59A276E13994}"/>
    <cellStyle name="Normal 3 10" xfId="203" xr:uid="{2029FDAF-1D3B-4BCB-BAB9-2E980A1CA83D}"/>
    <cellStyle name="Normal 3 2" xfId="54" xr:uid="{667CAAFA-1D70-4690-910F-A1F7A79ED171}"/>
    <cellStyle name="Normal 3 2 2" xfId="60" xr:uid="{30704CED-5F80-474C-975E-B285488A0429}"/>
    <cellStyle name="Normal 3 2 2 2" xfId="77" xr:uid="{8981178E-1F00-404E-81B9-C0CDC3491FF6}"/>
    <cellStyle name="Normal 3 2 3" xfId="71" xr:uid="{30F47181-BE35-49C1-94F1-0EC235FBB10E}"/>
    <cellStyle name="Normal 3 2 4" xfId="83" xr:uid="{2DFA575B-E570-4EB7-983F-4024AFE4B5CD}"/>
    <cellStyle name="Normal 3 2 5" xfId="207" xr:uid="{B43EAD2E-9AF4-43A5-98F3-FCC4EC73B2B8}"/>
    <cellStyle name="Normal 3 2 6" xfId="235" xr:uid="{838D1C66-FEFA-408C-8512-3A6FC8282EEF}"/>
    <cellStyle name="Normal 3 3" xfId="56" xr:uid="{28EBE457-5080-421D-8D33-E3DDD4E8F172}"/>
    <cellStyle name="Normal 3 3 2" xfId="62" xr:uid="{148E243F-BEC7-431D-B7F3-EB93C7D64032}"/>
    <cellStyle name="Normal 3 3 2 2" xfId="79" xr:uid="{3A970F38-3AE7-41E1-A7F7-1825E5E24222}"/>
    <cellStyle name="Normal 3 3 3" xfId="73" xr:uid="{80B7D8D8-5927-4722-9479-18B72A68CA20}"/>
    <cellStyle name="Normal 3 3 4" xfId="85" xr:uid="{536FFD89-9E7E-42B9-8566-2B64BBC8EC0D}"/>
    <cellStyle name="Normal 3 3 5" xfId="211" xr:uid="{F367BB00-50BD-41DA-A558-A4DCE2688588}"/>
    <cellStyle name="Normal 3 4" xfId="58" xr:uid="{9F037999-E3F7-45DD-8091-8B486EB75DB9}"/>
    <cellStyle name="Normal 3 4 2" xfId="75" xr:uid="{C8ECBFF1-EA54-4E0B-8C5A-B872BF997422}"/>
    <cellStyle name="Normal 3 5" xfId="67" xr:uid="{9C7E0544-E90C-4355-8E92-50FFD8B3A07A}"/>
    <cellStyle name="Normal 3 6" xfId="69" xr:uid="{11C1AB97-B743-4DF8-B725-E93A4FE4F404}"/>
    <cellStyle name="Normal 3 7" xfId="81" xr:uid="{C7FBF336-C31E-41FD-ACE2-67C483F60B40}"/>
    <cellStyle name="Normal 3 8" xfId="86" xr:uid="{93349D6D-4920-4264-BFD0-B4B7B194A794}"/>
    <cellStyle name="Normal 3 9" xfId="104" xr:uid="{CD65489F-2CC8-4C68-99FF-66CC63819C3A}"/>
    <cellStyle name="Normal 4" xfId="48" xr:uid="{78166474-BC60-421D-8CC1-04024481698D}"/>
    <cellStyle name="Normal 4 2" xfId="87" xr:uid="{ECCF0B97-50CE-4CAA-85BE-C14937BBF5FA}"/>
    <cellStyle name="Normal 4 2 2" xfId="208" xr:uid="{9FE898A6-4D06-4414-A7D2-A25623C02F27}"/>
    <cellStyle name="Normal 4 2 3" xfId="307" xr:uid="{7CB56351-DD5E-4676-833A-2C0FBFA37534}"/>
    <cellStyle name="Normal 4 3" xfId="204" xr:uid="{DCC9D711-B1AE-4A56-B4D9-F30224C1830F}"/>
    <cellStyle name="Normal 4 3 2" xfId="324" xr:uid="{A574F6D4-6213-4A8C-B64D-1873636F0557}"/>
    <cellStyle name="Normal 4 4" xfId="236" xr:uid="{559638B2-1EEB-4D80-B4AF-8DD738E51B83}"/>
    <cellStyle name="Normal 4 5" xfId="237" xr:uid="{04A41A34-D5C2-41F6-9329-8F41EB6AB451}"/>
    <cellStyle name="Normal 4 6" xfId="305" xr:uid="{9CD7D9C2-823D-4611-B3C5-FD91ACA15EA5}"/>
    <cellStyle name="Normal 5" xfId="63" xr:uid="{81F91C2F-8C43-4087-AD13-BECD1A496CD8}"/>
    <cellStyle name="Normal 5 2" xfId="238" xr:uid="{35E98B95-F169-4307-A3A1-FF4D153B7CD9}"/>
    <cellStyle name="Normal 6" xfId="239" xr:uid="{B2FFD3CF-BEA7-4453-86EE-5F15CE27E13A}"/>
    <cellStyle name="Normal 6 2" xfId="309" xr:uid="{084146A1-6B56-40B6-9501-A535F2A43937}"/>
    <cellStyle name="Normal 7" xfId="240" xr:uid="{94D7EB3F-FF9F-4A4D-990B-A7E232B72982}"/>
    <cellStyle name="Normal 7 2" xfId="300" xr:uid="{28C4FF31-6521-4D37-A097-EC1732DEF59A}"/>
    <cellStyle name="Normal 8" xfId="241" xr:uid="{36402DA8-2376-4FA9-883B-1A929097B6E3}"/>
    <cellStyle name="Normal 9" xfId="242" xr:uid="{13AAD526-4855-4B3F-BBE4-F8AFF55A6981}"/>
    <cellStyle name="Note 2" xfId="105" xr:uid="{8E3153E7-9A28-4E31-83AD-25141891A256}"/>
    <cellStyle name="Note 2 2" xfId="163" xr:uid="{FCC40CC2-F002-4537-B9CC-00777261193A}"/>
    <cellStyle name="Note 2 3" xfId="216" xr:uid="{4A88709E-8EFF-4879-B598-83ACC3E06F9A}"/>
    <cellStyle name="Note 2 4" xfId="260" xr:uid="{C20990BC-BA72-48ED-A1B4-BF40C3E4CDF6}"/>
    <cellStyle name="Note 3" xfId="108" xr:uid="{7942B5A1-F473-44BF-8D2D-7A2586538292}"/>
    <cellStyle name="Note 3 2" xfId="164" xr:uid="{86607D57-600C-46A8-9570-4CCD3B2905EA}"/>
    <cellStyle name="Note 3 3" xfId="261" xr:uid="{DCE9901F-C15D-4125-B777-3C4F5C817A9B}"/>
    <cellStyle name="Note 4" xfId="121" xr:uid="{AB4F8FF7-275C-4DA2-93E9-69585E2B5B8F}"/>
    <cellStyle name="Note 4 2" xfId="177" xr:uid="{6555E39D-3B1B-4A93-8ED2-0AEBD82DD02D}"/>
    <cellStyle name="Note 4 3" xfId="274" xr:uid="{C27D8494-FACD-4E76-BF11-0E6542325FAD}"/>
    <cellStyle name="Note 5" xfId="134" xr:uid="{9A31A650-7B75-401A-90AF-7AC0F5AA8771}"/>
    <cellStyle name="Note 5 2" xfId="190" xr:uid="{7A793AB8-82D8-4463-B9DC-5C18E51FA4DF}"/>
    <cellStyle name="Note 5 3" xfId="287" xr:uid="{6C19C8BC-B472-4FFA-8FD2-9F72F87E8069}"/>
    <cellStyle name="Note 6" xfId="311" xr:uid="{20DBDBC0-170B-4D9B-BAD1-00C6D531D02F}"/>
    <cellStyle name="Output" xfId="10" builtinId="21" customBuiltin="1"/>
    <cellStyle name="Percent" xfId="4" builtinId="5"/>
    <cellStyle name="Percent 2" xfId="303" xr:uid="{1044CC92-AC49-40EF-8198-D0CF284411E3}"/>
    <cellStyle name="Percent 3" xfId="304" xr:uid="{64D84702-A78B-4A12-AD3A-DD5142B7AFF4}"/>
    <cellStyle name="Percent 4" xfId="308" xr:uid="{419F522A-6559-4D50-A2A4-15D6710ED710}"/>
    <cellStyle name="Percent 4 2" xfId="325" xr:uid="{2C0C6B11-B8BF-4D54-A197-B04E78EA7266}"/>
    <cellStyle name="Percent 5" xfId="331" xr:uid="{A1D5802A-436C-4D91-AB2F-4A6DF9DAA847}"/>
    <cellStyle name="Percent 6" xfId="334" xr:uid="{88C70799-1E2A-41B8-A6A2-01C7CA545325}"/>
    <cellStyle name="Percent 6 2" xfId="336" xr:uid="{8BACA7B0-A26A-434C-9254-57824632E7C6}"/>
    <cellStyle name="Percent 7" xfId="46" xr:uid="{A0610741-EB0C-40F6-89D1-0C56DA978E9F}"/>
    <cellStyle name="Title 2" xfId="90" xr:uid="{5AB7FAAE-9B09-4AE5-B5F5-A5B8502B697B}"/>
    <cellStyle name="Total 2" xfId="106" xr:uid="{511B866D-5ED2-425A-8449-525047461514}"/>
    <cellStyle name="Total 3" xfId="47" xr:uid="{5642F299-0F28-4593-A7B8-7072448D4605}"/>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83820</xdr:colOff>
      <xdr:row>1</xdr:row>
      <xdr:rowOff>6092</xdr:rowOff>
    </xdr:from>
    <xdr:to>
      <xdr:col>13</xdr:col>
      <xdr:colOff>280930</xdr:colOff>
      <xdr:row>23</xdr:row>
      <xdr:rowOff>142305</xdr:rowOff>
    </xdr:to>
    <xdr:pic>
      <xdr:nvPicPr>
        <xdr:cNvPr id="2" name="Picture 1">
          <a:extLst>
            <a:ext uri="{FF2B5EF4-FFF2-40B4-BE49-F238E27FC236}">
              <a16:creationId xmlns:a16="http://schemas.microsoft.com/office/drawing/2014/main" id="{33B07AF4-DAE0-467D-B20E-B1A100F9A555}"/>
            </a:ext>
          </a:extLst>
        </xdr:cNvPr>
        <xdr:cNvPicPr>
          <a:picLocks noChangeAspect="1"/>
        </xdr:cNvPicPr>
      </xdr:nvPicPr>
      <xdr:blipFill>
        <a:blip xmlns:r="http://schemas.openxmlformats.org/officeDocument/2006/relationships" r:embed="rId1"/>
        <a:stretch>
          <a:fillRect/>
        </a:stretch>
      </xdr:blipFill>
      <xdr:spPr>
        <a:xfrm>
          <a:off x="693420" y="188972"/>
          <a:ext cx="7512310" cy="42433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27242</xdr:colOff>
      <xdr:row>0</xdr:row>
      <xdr:rowOff>167640</xdr:rowOff>
    </xdr:from>
    <xdr:to>
      <xdr:col>12</xdr:col>
      <xdr:colOff>187577</xdr:colOff>
      <xdr:row>31</xdr:row>
      <xdr:rowOff>27743</xdr:rowOff>
    </xdr:to>
    <xdr:pic>
      <xdr:nvPicPr>
        <xdr:cNvPr id="2" name="Picture 1">
          <a:extLst>
            <a:ext uri="{FF2B5EF4-FFF2-40B4-BE49-F238E27FC236}">
              <a16:creationId xmlns:a16="http://schemas.microsoft.com/office/drawing/2014/main" id="{EA65CC25-B555-40FC-9C6F-8C1C171CBAF3}"/>
            </a:ext>
          </a:extLst>
        </xdr:cNvPr>
        <xdr:cNvPicPr>
          <a:picLocks noChangeAspect="1"/>
        </xdr:cNvPicPr>
      </xdr:nvPicPr>
      <xdr:blipFill>
        <a:blip xmlns:r="http://schemas.openxmlformats.org/officeDocument/2006/relationships" r:embed="rId1"/>
        <a:stretch>
          <a:fillRect/>
        </a:stretch>
      </xdr:blipFill>
      <xdr:spPr>
        <a:xfrm>
          <a:off x="636842" y="167640"/>
          <a:ext cx="6865935" cy="56132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600A9-4E51-433D-B3AB-6D05B4F09DE2}">
  <sheetPr>
    <tabColor rgb="FF00B050"/>
  </sheetPr>
  <dimension ref="B1:V31"/>
  <sheetViews>
    <sheetView workbookViewId="0">
      <selection activeCell="E12" sqref="E12:G15"/>
    </sheetView>
  </sheetViews>
  <sheetFormatPr defaultColWidth="9.28515625" defaultRowHeight="15" x14ac:dyDescent="0.25"/>
  <cols>
    <col min="1" max="1" width="9.28515625" style="1"/>
    <col min="2" max="2" width="47.28515625" style="1" customWidth="1"/>
    <col min="3" max="3" width="9.5703125" style="1" customWidth="1"/>
    <col min="4" max="4" width="11.28515625" style="1" bestFit="1" customWidth="1"/>
    <col min="5" max="12" width="11.42578125" style="1" bestFit="1" customWidth="1"/>
    <col min="13" max="13" width="14.28515625" style="1" bestFit="1" customWidth="1"/>
    <col min="14" max="14" width="9.28515625" style="1"/>
    <col min="15" max="15" width="12.85546875" style="1" bestFit="1" customWidth="1"/>
    <col min="16" max="16" width="15.5703125" style="1" bestFit="1" customWidth="1"/>
    <col min="17" max="17" width="9.28515625" style="1"/>
    <col min="18" max="18" width="10.28515625" style="1" bestFit="1" customWidth="1"/>
    <col min="19" max="19" width="15.5703125" style="1" bestFit="1" customWidth="1"/>
    <col min="20" max="16384" width="9.28515625" style="1"/>
  </cols>
  <sheetData>
    <row r="1" spans="2:22" ht="15.75" thickBot="1" x14ac:dyDescent="0.3"/>
    <row r="2" spans="2:22" ht="15" customHeight="1" x14ac:dyDescent="0.25">
      <c r="B2" s="462" t="s">
        <v>0</v>
      </c>
      <c r="C2" s="463"/>
      <c r="D2" s="463"/>
      <c r="E2" s="463"/>
      <c r="F2" s="463"/>
      <c r="G2" s="463"/>
      <c r="H2" s="463"/>
      <c r="I2" s="463"/>
      <c r="J2" s="463"/>
      <c r="K2" s="463"/>
      <c r="L2" s="463"/>
      <c r="M2" s="464"/>
    </row>
    <row r="3" spans="2:22" ht="15" customHeight="1" thickBot="1" x14ac:dyDescent="0.3">
      <c r="B3" s="465"/>
      <c r="C3" s="466"/>
      <c r="D3" s="466"/>
      <c r="E3" s="466"/>
      <c r="F3" s="466"/>
      <c r="G3" s="466"/>
      <c r="H3" s="466"/>
      <c r="I3" s="466"/>
      <c r="J3" s="466"/>
      <c r="K3" s="466"/>
      <c r="L3" s="466"/>
      <c r="M3" s="467"/>
      <c r="O3" s="468" t="s">
        <v>1</v>
      </c>
      <c r="P3" s="468"/>
      <c r="R3" s="468" t="s">
        <v>2</v>
      </c>
      <c r="S3" s="468"/>
    </row>
    <row r="4" spans="2:22" ht="17.25" thickBot="1" x14ac:dyDescent="0.35">
      <c r="B4" s="2" t="s">
        <v>3</v>
      </c>
      <c r="C4" s="3">
        <v>2020</v>
      </c>
      <c r="D4" s="4">
        <v>2021</v>
      </c>
      <c r="E4" s="4">
        <v>2022</v>
      </c>
      <c r="F4" s="4">
        <v>2023</v>
      </c>
      <c r="G4" s="4">
        <v>2024</v>
      </c>
      <c r="H4" s="4">
        <v>2025</v>
      </c>
      <c r="I4" s="4">
        <v>2026</v>
      </c>
      <c r="J4" s="4">
        <v>2027</v>
      </c>
      <c r="K4" s="4">
        <v>2028</v>
      </c>
      <c r="L4" s="4">
        <v>2029</v>
      </c>
      <c r="M4" s="5" t="s">
        <v>4</v>
      </c>
      <c r="O4" s="6">
        <v>2020</v>
      </c>
      <c r="P4" s="6">
        <v>2021</v>
      </c>
      <c r="R4" s="6">
        <v>2020</v>
      </c>
      <c r="S4" s="6">
        <v>2021</v>
      </c>
    </row>
    <row r="5" spans="2:22" ht="33" x14ac:dyDescent="0.3">
      <c r="B5" s="7" t="s">
        <v>5</v>
      </c>
      <c r="C5" s="8">
        <v>8</v>
      </c>
      <c r="D5" s="9">
        <v>79.450084932599907</v>
      </c>
      <c r="E5" s="9">
        <v>108.07603559096387</v>
      </c>
      <c r="F5" s="9">
        <v>101.44064414640874</v>
      </c>
      <c r="G5" s="9">
        <v>106.9999796233909</v>
      </c>
      <c r="H5" s="9">
        <v>110.77515502519012</v>
      </c>
      <c r="I5" s="9">
        <v>113.95996607555244</v>
      </c>
      <c r="J5" s="9">
        <v>111.42292702204892</v>
      </c>
      <c r="K5" s="9">
        <v>115.52375472322406</v>
      </c>
      <c r="L5" s="9">
        <v>121.16621532613016</v>
      </c>
      <c r="M5" s="10">
        <f>SUM(C5:L5)</f>
        <v>976.81476246550915</v>
      </c>
      <c r="O5" s="11">
        <v>9.8360000000000003</v>
      </c>
      <c r="P5" s="11">
        <v>85.600999999999999</v>
      </c>
      <c r="R5" s="12">
        <f>C5-O5</f>
        <v>-1.8360000000000003</v>
      </c>
      <c r="S5" s="12">
        <f t="shared" ref="S5:S20" si="0">D5-P5</f>
        <v>-6.1509150674000921</v>
      </c>
    </row>
    <row r="6" spans="2:22" ht="16.5" x14ac:dyDescent="0.3">
      <c r="B6" s="13" t="s">
        <v>6</v>
      </c>
      <c r="C6" s="14">
        <v>5.5</v>
      </c>
      <c r="D6" s="15">
        <v>15.210372599999999</v>
      </c>
      <c r="E6" s="15">
        <v>14.984766755999999</v>
      </c>
      <c r="F6" s="15">
        <v>16.513319730959999</v>
      </c>
      <c r="G6" s="15">
        <v>11.994051913704</v>
      </c>
      <c r="H6" s="15">
        <v>19.044620998637761</v>
      </c>
      <c r="I6" s="15">
        <v>17.924113681247754</v>
      </c>
      <c r="J6" s="15">
        <v>16.27676104202353</v>
      </c>
      <c r="K6" s="15">
        <v>19.562142191151924</v>
      </c>
      <c r="L6" s="15">
        <v>12.105570664602835</v>
      </c>
      <c r="M6" s="16">
        <f t="shared" ref="M6:M22" si="1">SUM(C6:L6)</f>
        <v>149.1157195783278</v>
      </c>
      <c r="O6" s="11">
        <v>5.5170000000000003</v>
      </c>
      <c r="P6" s="11">
        <v>15.151999999999999</v>
      </c>
      <c r="R6" s="12">
        <f t="shared" ref="R6:R9" si="2">C6-O6</f>
        <v>-1.7000000000000348E-2</v>
      </c>
      <c r="S6" s="12">
        <f t="shared" si="0"/>
        <v>5.8372600000000219E-2</v>
      </c>
    </row>
    <row r="7" spans="2:22" ht="33" x14ac:dyDescent="0.3">
      <c r="B7" s="13" t="s">
        <v>7</v>
      </c>
      <c r="C7" s="14">
        <v>0</v>
      </c>
      <c r="D7" s="15">
        <v>0</v>
      </c>
      <c r="E7" s="15">
        <v>0</v>
      </c>
      <c r="F7" s="15">
        <v>0</v>
      </c>
      <c r="G7" s="15">
        <v>7.3388900448000003</v>
      </c>
      <c r="H7" s="15">
        <v>5.5380693088511999</v>
      </c>
      <c r="I7" s="15">
        <v>4.6656909030107521</v>
      </c>
      <c r="J7" s="15">
        <v>6.7129190417423912</v>
      </c>
      <c r="K7" s="15">
        <v>5.2373174330801264</v>
      </c>
      <c r="L7" s="15">
        <v>2.8753927201052796</v>
      </c>
      <c r="M7" s="16">
        <f t="shared" si="1"/>
        <v>32.36827945158975</v>
      </c>
      <c r="O7" s="11">
        <v>0</v>
      </c>
      <c r="P7" s="11">
        <v>0</v>
      </c>
      <c r="R7" s="12">
        <f t="shared" si="2"/>
        <v>0</v>
      </c>
      <c r="S7" s="12">
        <f t="shared" si="0"/>
        <v>0</v>
      </c>
    </row>
    <row r="8" spans="2:22" ht="33" x14ac:dyDescent="0.3">
      <c r="B8" s="13" t="s">
        <v>8</v>
      </c>
      <c r="C8" s="14">
        <v>6.5</v>
      </c>
      <c r="D8" s="15">
        <v>15.383744040000002</v>
      </c>
      <c r="E8" s="15">
        <v>29.581441423200001</v>
      </c>
      <c r="F8" s="15">
        <v>33.388385106167995</v>
      </c>
      <c r="G8" s="15">
        <v>32.4869444113464</v>
      </c>
      <c r="H8" s="15">
        <v>33.19300687766777</v>
      </c>
      <c r="I8" s="15">
        <v>33.824216188199408</v>
      </c>
      <c r="J8" s="15">
        <v>32.756329430784547</v>
      </c>
      <c r="K8" s="15">
        <v>36.364312999480489</v>
      </c>
      <c r="L8" s="15">
        <v>36.249118753219797</v>
      </c>
      <c r="M8" s="16">
        <f t="shared" si="1"/>
        <v>289.72749923006643</v>
      </c>
      <c r="O8" s="11">
        <v>6.3609999999999998</v>
      </c>
      <c r="P8" s="11">
        <v>15.334</v>
      </c>
      <c r="R8" s="12">
        <f t="shared" si="2"/>
        <v>0.13900000000000023</v>
      </c>
      <c r="S8" s="12">
        <f t="shared" si="0"/>
        <v>4.9744040000001988E-2</v>
      </c>
      <c r="U8" s="1" t="s">
        <v>9</v>
      </c>
    </row>
    <row r="9" spans="2:22" ht="33" x14ac:dyDescent="0.3">
      <c r="B9" s="13" t="s">
        <v>10</v>
      </c>
      <c r="C9" s="14">
        <v>0</v>
      </c>
      <c r="D9" s="15">
        <v>1.38325974</v>
      </c>
      <c r="E9" s="15">
        <v>1.5179352767999998</v>
      </c>
      <c r="F9" s="15">
        <v>1.5591034470239999</v>
      </c>
      <c r="G9" s="15">
        <v>1.66089148332912</v>
      </c>
      <c r="H9" s="15">
        <v>1.3967074833609312</v>
      </c>
      <c r="I9" s="15">
        <v>0.54058386298236305</v>
      </c>
      <c r="J9" s="15">
        <v>3.1703023728862858</v>
      </c>
      <c r="K9" s="15">
        <v>1.926007668613573</v>
      </c>
      <c r="L9" s="15">
        <v>1.5715515081086133</v>
      </c>
      <c r="M9" s="16">
        <f t="shared" si="1"/>
        <v>14.726342843104888</v>
      </c>
      <c r="O9" s="11">
        <v>0</v>
      </c>
      <c r="P9" s="11">
        <v>1.3280000000000001</v>
      </c>
      <c r="R9" s="12">
        <f t="shared" si="2"/>
        <v>0</v>
      </c>
      <c r="S9" s="12">
        <f t="shared" si="0"/>
        <v>5.5259739999999891E-2</v>
      </c>
      <c r="U9" s="12">
        <f>SUM(R5:R9)</f>
        <v>-1.7140000000000004</v>
      </c>
      <c r="V9" s="12">
        <f>SUM(S5:S9)</f>
        <v>-5.9875386874000895</v>
      </c>
    </row>
    <row r="10" spans="2:22" ht="17.25" thickBot="1" x14ac:dyDescent="0.35">
      <c r="B10" s="17" t="s">
        <v>11</v>
      </c>
      <c r="C10" s="18">
        <v>9.4192126768083408</v>
      </c>
      <c r="D10" s="19">
        <v>11.18328</v>
      </c>
      <c r="E10" s="19">
        <v>14.716493471273772</v>
      </c>
      <c r="F10" s="19">
        <v>15.160931574106188</v>
      </c>
      <c r="G10" s="19">
        <v>15.618791707644204</v>
      </c>
      <c r="H10" s="19">
        <v>16.09047921721508</v>
      </c>
      <c r="I10" s="19">
        <v>10.6422348620448</v>
      </c>
      <c r="J10" s="19">
        <v>10.855079559285693</v>
      </c>
      <c r="K10" s="19">
        <v>11.072181150471408</v>
      </c>
      <c r="L10" s="19">
        <v>11.293624773480836</v>
      </c>
      <c r="M10" s="20">
        <f t="shared" si="1"/>
        <v>126.05230899233032</v>
      </c>
      <c r="O10" s="11"/>
      <c r="P10" s="11"/>
      <c r="R10" s="21"/>
      <c r="S10" s="21"/>
    </row>
    <row r="11" spans="2:22" ht="17.25" thickBot="1" x14ac:dyDescent="0.35">
      <c r="B11" s="2" t="s">
        <v>12</v>
      </c>
      <c r="C11" s="22">
        <v>2020</v>
      </c>
      <c r="D11" s="23">
        <v>2021</v>
      </c>
      <c r="E11" s="23">
        <v>2022</v>
      </c>
      <c r="F11" s="23">
        <v>2023</v>
      </c>
      <c r="G11" s="23">
        <v>2024</v>
      </c>
      <c r="H11" s="23">
        <v>2025</v>
      </c>
      <c r="I11" s="23">
        <v>2026</v>
      </c>
      <c r="J11" s="23">
        <v>2027</v>
      </c>
      <c r="K11" s="23">
        <v>2028</v>
      </c>
      <c r="L11" s="23">
        <v>2029</v>
      </c>
      <c r="M11" s="5" t="s">
        <v>4</v>
      </c>
      <c r="O11" s="11"/>
      <c r="P11" s="11"/>
    </row>
    <row r="12" spans="2:22" ht="33" customHeight="1" x14ac:dyDescent="0.3">
      <c r="B12" s="24" t="s">
        <v>13</v>
      </c>
      <c r="C12" s="25">
        <v>16.487881000000002</v>
      </c>
      <c r="D12" s="26">
        <v>19.758638620000003</v>
      </c>
      <c r="E12" s="26">
        <v>21.179811392399998</v>
      </c>
      <c r="F12" s="26">
        <v>24.001407620248003</v>
      </c>
      <c r="G12" s="26">
        <v>24.223435772652962</v>
      </c>
      <c r="H12" s="26">
        <v>25.545904488106022</v>
      </c>
      <c r="I12" s="26">
        <v>26.768822577868139</v>
      </c>
      <c r="J12" s="26">
        <v>27.992199029425503</v>
      </c>
      <c r="K12" s="26">
        <v>29.416043010014011</v>
      </c>
      <c r="L12" s="26">
        <v>30.940363870214295</v>
      </c>
      <c r="M12" s="27">
        <f t="shared" si="1"/>
        <v>246.31450738092897</v>
      </c>
      <c r="O12" s="11">
        <v>9.8070000000000004</v>
      </c>
      <c r="P12" s="11">
        <v>19.792000000000002</v>
      </c>
      <c r="R12" s="12">
        <f>C12/2-O12</f>
        <v>-1.5630594999999996</v>
      </c>
      <c r="S12" s="12">
        <f t="shared" si="0"/>
        <v>-3.3361379999998775E-2</v>
      </c>
    </row>
    <row r="13" spans="2:22" ht="33" customHeight="1" x14ac:dyDescent="0.3">
      <c r="B13" s="28" t="s">
        <v>14</v>
      </c>
      <c r="C13" s="29">
        <v>1.3</v>
      </c>
      <c r="D13" s="30">
        <v>1.3</v>
      </c>
      <c r="E13" s="30">
        <v>1.2</v>
      </c>
      <c r="F13" s="30">
        <v>1.1000000000000001</v>
      </c>
      <c r="G13" s="30">
        <v>1.1000000000000001</v>
      </c>
      <c r="H13" s="30">
        <v>1.1000000000000001</v>
      </c>
      <c r="I13" s="30">
        <v>1.2</v>
      </c>
      <c r="J13" s="30">
        <v>1.2</v>
      </c>
      <c r="K13" s="30">
        <v>1.3</v>
      </c>
      <c r="L13" s="30">
        <v>1.3</v>
      </c>
      <c r="M13" s="31">
        <f t="shared" si="1"/>
        <v>12.1</v>
      </c>
      <c r="O13" s="11"/>
      <c r="P13" s="11"/>
      <c r="R13" s="32"/>
      <c r="S13" s="21"/>
    </row>
    <row r="14" spans="2:22" ht="33" customHeight="1" x14ac:dyDescent="0.3">
      <c r="B14" s="13" t="s">
        <v>15</v>
      </c>
      <c r="C14" s="33">
        <v>2.6324429999999999</v>
      </c>
      <c r="D14" s="15">
        <v>3.5272318600000006</v>
      </c>
      <c r="E14" s="15">
        <v>3.5933214971999994</v>
      </c>
      <c r="F14" s="15">
        <v>3.6609690521439999</v>
      </c>
      <c r="G14" s="15">
        <v>3.0352115863118794</v>
      </c>
      <c r="H14" s="15">
        <v>3.1303768276616419</v>
      </c>
      <c r="I14" s="15">
        <v>3.2270592877713717</v>
      </c>
      <c r="J14" s="15">
        <v>3.3022866240975515</v>
      </c>
      <c r="K14" s="15">
        <v>3.3792856609145225</v>
      </c>
      <c r="L14" s="15">
        <v>3.458098511076209</v>
      </c>
      <c r="M14" s="16">
        <f t="shared" si="1"/>
        <v>32.946283907177182</v>
      </c>
      <c r="O14" s="11">
        <v>0.68500000000000005</v>
      </c>
      <c r="P14" s="11">
        <v>3.5350000000000001</v>
      </c>
      <c r="R14" s="12">
        <f>C14/2-O14</f>
        <v>0.63122149999999988</v>
      </c>
      <c r="S14" s="12">
        <f t="shared" si="0"/>
        <v>-7.7681399999995904E-3</v>
      </c>
    </row>
    <row r="15" spans="2:22" ht="33" customHeight="1" x14ac:dyDescent="0.3">
      <c r="B15" s="28" t="s">
        <v>16</v>
      </c>
      <c r="C15" s="29">
        <v>0</v>
      </c>
      <c r="D15" s="30">
        <v>0</v>
      </c>
      <c r="E15" s="30">
        <v>0</v>
      </c>
      <c r="F15" s="30">
        <v>0</v>
      </c>
      <c r="G15" s="30">
        <v>0</v>
      </c>
      <c r="H15" s="30">
        <v>0</v>
      </c>
      <c r="I15" s="30">
        <v>0</v>
      </c>
      <c r="J15" s="30">
        <v>0</v>
      </c>
      <c r="K15" s="30">
        <v>0</v>
      </c>
      <c r="L15" s="30">
        <v>0</v>
      </c>
      <c r="M15" s="31">
        <f t="shared" si="1"/>
        <v>0</v>
      </c>
      <c r="O15" s="11"/>
      <c r="P15" s="11"/>
      <c r="R15" s="32"/>
      <c r="S15" s="21"/>
    </row>
    <row r="16" spans="2:22" ht="33" customHeight="1" x14ac:dyDescent="0.3">
      <c r="B16" s="13" t="s">
        <v>6</v>
      </c>
      <c r="C16" s="33">
        <v>0.11</v>
      </c>
      <c r="D16" s="15">
        <v>0.30420745199999999</v>
      </c>
      <c r="E16" s="15">
        <v>0.29969533511999996</v>
      </c>
      <c r="F16" s="15">
        <v>0.33026639461919999</v>
      </c>
      <c r="G16" s="15">
        <v>0.23988103827408</v>
      </c>
      <c r="H16" s="15">
        <v>0.38089241997275525</v>
      </c>
      <c r="I16" s="15">
        <v>0.35848227362495505</v>
      </c>
      <c r="J16" s="15">
        <v>0.3255352208404706</v>
      </c>
      <c r="K16" s="15">
        <v>0.39124284382303848</v>
      </c>
      <c r="L16" s="15">
        <v>0.24211141329205671</v>
      </c>
      <c r="M16" s="16">
        <f t="shared" si="1"/>
        <v>2.9823143915665558</v>
      </c>
      <c r="O16" s="11">
        <v>0.16500000000000001</v>
      </c>
      <c r="P16" s="11">
        <v>0.44900000000000001</v>
      </c>
      <c r="R16" s="12">
        <f t="shared" ref="R16:R20" si="3">C16/2-O16</f>
        <v>-0.11000000000000001</v>
      </c>
      <c r="S16" s="12">
        <f t="shared" si="0"/>
        <v>-0.14479254800000002</v>
      </c>
    </row>
    <row r="17" spans="2:22" ht="33" customHeight="1" x14ac:dyDescent="0.3">
      <c r="B17" s="13" t="s">
        <v>8</v>
      </c>
      <c r="C17" s="33">
        <v>0.21</v>
      </c>
      <c r="D17" s="15">
        <v>0.38147999999999999</v>
      </c>
      <c r="E17" s="15">
        <v>0.40055400000000002</v>
      </c>
      <c r="F17" s="15">
        <v>0.79378358399999993</v>
      </c>
      <c r="G17" s="15">
        <v>0.82156600944000002</v>
      </c>
      <c r="H17" s="15">
        <v>1.0201706621568001</v>
      </c>
      <c r="I17" s="15">
        <v>1.0591557553177922</v>
      </c>
      <c r="J17" s="15">
        <v>1.1687876668331423</v>
      </c>
      <c r="K17" s="15">
        <v>1.4241519776082538</v>
      </c>
      <c r="L17" s="15">
        <v>1.6366792727282546</v>
      </c>
      <c r="M17" s="16">
        <f t="shared" si="1"/>
        <v>8.9163289280842442</v>
      </c>
      <c r="O17" s="11">
        <v>0.17599999999999999</v>
      </c>
      <c r="P17" s="11">
        <v>0.34499999999999997</v>
      </c>
      <c r="R17" s="12">
        <f t="shared" si="3"/>
        <v>-7.0999999999999994E-2</v>
      </c>
      <c r="S17" s="12">
        <f t="shared" si="0"/>
        <v>3.6480000000000012E-2</v>
      </c>
    </row>
    <row r="18" spans="2:22" ht="33" customHeight="1" x14ac:dyDescent="0.3">
      <c r="B18" s="13" t="s">
        <v>17</v>
      </c>
      <c r="C18" s="33">
        <v>0.70799999999999996</v>
      </c>
      <c r="D18" s="15">
        <v>1</v>
      </c>
      <c r="E18" s="15">
        <v>1.02</v>
      </c>
      <c r="F18" s="15">
        <v>1.0404</v>
      </c>
      <c r="G18" s="15">
        <v>1.0612079999999999</v>
      </c>
      <c r="H18" s="15">
        <v>1.08243216</v>
      </c>
      <c r="I18" s="15">
        <v>1.1040808032</v>
      </c>
      <c r="J18" s="15">
        <v>1.1261624192640001</v>
      </c>
      <c r="K18" s="15">
        <v>1.14868566764928</v>
      </c>
      <c r="L18" s="15">
        <v>1.1716593810022657</v>
      </c>
      <c r="M18" s="16">
        <f t="shared" si="1"/>
        <v>10.462628431115546</v>
      </c>
      <c r="O18" s="11">
        <v>1.4999999999999999E-2</v>
      </c>
      <c r="P18" s="11">
        <v>1.0029999999999999</v>
      </c>
      <c r="R18" s="12">
        <f t="shared" si="3"/>
        <v>0.33899999999999997</v>
      </c>
      <c r="S18" s="12">
        <f t="shared" si="0"/>
        <v>-2.9999999999998916E-3</v>
      </c>
    </row>
    <row r="19" spans="2:22" ht="33" customHeight="1" x14ac:dyDescent="0.3">
      <c r="B19" s="13" t="s">
        <v>18</v>
      </c>
      <c r="C19" s="33">
        <v>0.46500000000000002</v>
      </c>
      <c r="D19" s="15">
        <v>0.47429999999999994</v>
      </c>
      <c r="E19" s="15">
        <v>0.48378600000000005</v>
      </c>
      <c r="F19" s="15">
        <v>0.4934617200000001</v>
      </c>
      <c r="G19" s="15">
        <v>0.50333095439999997</v>
      </c>
      <c r="H19" s="15">
        <v>0.51339757348800008</v>
      </c>
      <c r="I19" s="15">
        <v>0.52366552495775998</v>
      </c>
      <c r="J19" s="15">
        <v>0.53413883545691532</v>
      </c>
      <c r="K19" s="15">
        <v>0.54482161216605351</v>
      </c>
      <c r="L19" s="15">
        <v>0.55571804440937467</v>
      </c>
      <c r="M19" s="16">
        <f t="shared" si="1"/>
        <v>5.0916202648781033</v>
      </c>
      <c r="O19" s="11">
        <v>0.375</v>
      </c>
      <c r="P19" s="11">
        <v>0.58099999999999996</v>
      </c>
      <c r="R19" s="12">
        <f t="shared" si="3"/>
        <v>-0.14249999999999999</v>
      </c>
      <c r="S19" s="12">
        <f t="shared" si="0"/>
        <v>-0.10670000000000002</v>
      </c>
    </row>
    <row r="20" spans="2:22" ht="33" customHeight="1" x14ac:dyDescent="0.3">
      <c r="B20" s="13" t="s">
        <v>19</v>
      </c>
      <c r="C20" s="33">
        <v>0.99399999999999999</v>
      </c>
      <c r="D20" s="15">
        <v>0.38872000000000001</v>
      </c>
      <c r="E20" s="15">
        <v>0.19975679999999993</v>
      </c>
      <c r="F20" s="15">
        <v>0.20375193599999991</v>
      </c>
      <c r="G20" s="15">
        <v>0.20782697471999989</v>
      </c>
      <c r="H20" s="15">
        <v>0.21198351421439993</v>
      </c>
      <c r="I20" s="15">
        <v>0.21622318449868794</v>
      </c>
      <c r="J20" s="15">
        <v>0.22054764818866165</v>
      </c>
      <c r="K20" s="15">
        <v>0.22495860115243493</v>
      </c>
      <c r="L20" s="15">
        <v>0.22945777317548358</v>
      </c>
      <c r="M20" s="16">
        <f t="shared" si="1"/>
        <v>3.0972264319496676</v>
      </c>
      <c r="O20" s="11">
        <v>0.26300000000000001</v>
      </c>
      <c r="P20" s="11">
        <v>0.40200000000000002</v>
      </c>
      <c r="R20" s="12">
        <f t="shared" si="3"/>
        <v>0.23399999999999999</v>
      </c>
      <c r="S20" s="12">
        <f t="shared" si="0"/>
        <v>-1.3280000000000014E-2</v>
      </c>
    </row>
    <row r="21" spans="2:22" ht="33" customHeight="1" x14ac:dyDescent="0.3">
      <c r="B21" s="28" t="s">
        <v>20</v>
      </c>
      <c r="C21" s="29">
        <v>0.27500000000000002</v>
      </c>
      <c r="D21" s="30">
        <v>0.28050000000000003</v>
      </c>
      <c r="E21" s="30">
        <v>0.28611000000000003</v>
      </c>
      <c r="F21" s="30">
        <v>0.2918322000000001</v>
      </c>
      <c r="G21" s="30">
        <v>0.29766884400000004</v>
      </c>
      <c r="H21" s="30">
        <v>0.30362222088000007</v>
      </c>
      <c r="I21" s="30">
        <v>0.30969466529760009</v>
      </c>
      <c r="J21" s="30">
        <v>0.31588855860355214</v>
      </c>
      <c r="K21" s="30">
        <v>0.32220632977562313</v>
      </c>
      <c r="L21" s="30">
        <v>0.3286504563711356</v>
      </c>
      <c r="M21" s="31">
        <f t="shared" si="1"/>
        <v>3.0111732749279114</v>
      </c>
      <c r="N21" s="1" t="s">
        <v>21</v>
      </c>
      <c r="O21" s="11">
        <v>0</v>
      </c>
      <c r="P21" s="11">
        <v>0.25</v>
      </c>
      <c r="R21" s="12">
        <v>0</v>
      </c>
      <c r="S21" s="12">
        <f>P21</f>
        <v>0.25</v>
      </c>
      <c r="U21" s="1" t="s">
        <v>22</v>
      </c>
    </row>
    <row r="22" spans="2:22" ht="33" customHeight="1" thickBot="1" x14ac:dyDescent="0.35">
      <c r="B22" s="17" t="s">
        <v>11</v>
      </c>
      <c r="C22" s="34">
        <v>0.5180566972244588</v>
      </c>
      <c r="D22" s="19">
        <v>0.61508039999999997</v>
      </c>
      <c r="E22" s="19">
        <v>0.8094071409200575</v>
      </c>
      <c r="F22" s="19">
        <v>0.83385123657584037</v>
      </c>
      <c r="G22" s="19">
        <v>0.8590335439204313</v>
      </c>
      <c r="H22" s="19">
        <v>0.88497635694682941</v>
      </c>
      <c r="I22" s="19">
        <v>0.58532291741246401</v>
      </c>
      <c r="J22" s="19">
        <v>0.59702937576071313</v>
      </c>
      <c r="K22" s="19">
        <v>0.60896996327592745</v>
      </c>
      <c r="L22" s="19">
        <v>0.62114936254144604</v>
      </c>
      <c r="M22" s="20">
        <f t="shared" si="1"/>
        <v>6.9328769945781676</v>
      </c>
      <c r="O22" s="11">
        <v>0</v>
      </c>
      <c r="P22" s="11">
        <v>0</v>
      </c>
      <c r="R22" s="32"/>
      <c r="S22" s="32"/>
      <c r="U22" s="12">
        <f>R12+R14+R16+R17+R18+R19+R20+R21</f>
        <v>-0.68233799999999978</v>
      </c>
      <c r="V22" s="12">
        <f>S12+S14+S16+S17+S18+S19+S20+S21</f>
        <v>-2.2422067999998296E-2</v>
      </c>
    </row>
    <row r="24" spans="2:22" x14ac:dyDescent="0.25">
      <c r="B24" s="1" t="s">
        <v>23</v>
      </c>
      <c r="C24" s="12">
        <f>C5+C6+C7+C8+C9+C12+C14+C16+C17+C18+C19+C20</f>
        <v>41.607324000000006</v>
      </c>
      <c r="D24" s="12">
        <f t="shared" ref="D24:L24" si="4">D5+D6+D7+D8+D9+D12+D14+D16+D17+D18+D19+D20</f>
        <v>137.26203924459992</v>
      </c>
      <c r="E24" s="12">
        <f t="shared" si="4"/>
        <v>181.33710407168388</v>
      </c>
      <c r="F24" s="12">
        <f t="shared" si="4"/>
        <v>183.42549273757194</v>
      </c>
      <c r="G24" s="12">
        <f t="shared" si="4"/>
        <v>190.57321781236939</v>
      </c>
      <c r="H24" s="12">
        <f t="shared" si="4"/>
        <v>201.83271733930738</v>
      </c>
      <c r="I24" s="12">
        <f t="shared" si="4"/>
        <v>204.17206011823143</v>
      </c>
      <c r="J24" s="12">
        <f t="shared" si="4"/>
        <v>205.00889635359195</v>
      </c>
      <c r="K24" s="12">
        <f t="shared" si="4"/>
        <v>215.14272438887781</v>
      </c>
      <c r="L24" s="12">
        <f t="shared" si="4"/>
        <v>212.20193723806463</v>
      </c>
      <c r="M24" s="12">
        <f>SUM(C24:L24)</f>
        <v>1772.5635133042983</v>
      </c>
      <c r="O24" s="11">
        <f>SUM(O5:O22)</f>
        <v>33.200000000000003</v>
      </c>
      <c r="P24" s="11">
        <f>SUM(P5:P22)</f>
        <v>143.77199999999996</v>
      </c>
      <c r="R24" s="12"/>
      <c r="S24" s="12">
        <f t="shared" ref="S24" si="5">D24-P24</f>
        <v>-6.5099607554000443</v>
      </c>
    </row>
    <row r="25" spans="2:22" x14ac:dyDescent="0.25">
      <c r="B25" s="1" t="s">
        <v>24</v>
      </c>
      <c r="C25" s="1">
        <v>-10.4</v>
      </c>
      <c r="D25" s="1">
        <v>-15</v>
      </c>
      <c r="E25" s="1">
        <v>-15</v>
      </c>
      <c r="F25" s="1">
        <v>-15</v>
      </c>
      <c r="G25" s="1">
        <v>-15</v>
      </c>
      <c r="H25" s="1">
        <v>-15</v>
      </c>
      <c r="I25" s="1">
        <v>-15</v>
      </c>
      <c r="J25" s="1">
        <v>-15</v>
      </c>
      <c r="K25" s="1">
        <v>-15</v>
      </c>
      <c r="L25" s="1">
        <v>-15</v>
      </c>
      <c r="M25" s="1">
        <f>SUM(C25:L25)</f>
        <v>-145.4</v>
      </c>
    </row>
    <row r="27" spans="2:22" x14ac:dyDescent="0.25">
      <c r="M27" s="12">
        <f>SUM(M24:M26)</f>
        <v>1627.1635133042982</v>
      </c>
    </row>
    <row r="29" spans="2:22" x14ac:dyDescent="0.25">
      <c r="N29" s="35" t="s">
        <v>25</v>
      </c>
      <c r="O29" s="1">
        <v>41.607324000000006</v>
      </c>
      <c r="P29" s="1">
        <v>137.26203924459992</v>
      </c>
    </row>
    <row r="31" spans="2:22" x14ac:dyDescent="0.25">
      <c r="L31" s="1" t="s">
        <v>26</v>
      </c>
      <c r="O31" s="11">
        <f>O12+O14+O18+O19</f>
        <v>10.882000000000001</v>
      </c>
      <c r="P31" s="11">
        <f>P12+P14+P18+P19</f>
        <v>24.911000000000001</v>
      </c>
    </row>
  </sheetData>
  <mergeCells count="3">
    <mergeCell ref="B2:M3"/>
    <mergeCell ref="O3:P3"/>
    <mergeCell ref="R3:S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B2388-0386-4CA9-89AA-DCD615E743CB}">
  <dimension ref="B5:J34"/>
  <sheetViews>
    <sheetView topLeftCell="A4" workbookViewId="0">
      <selection activeCell="N14" sqref="N14"/>
    </sheetView>
  </sheetViews>
  <sheetFormatPr defaultRowHeight="15" x14ac:dyDescent="0.25"/>
  <cols>
    <col min="4" max="4" width="11.140625" customWidth="1"/>
    <col min="5" max="5" width="16" bestFit="1" customWidth="1"/>
    <col min="6" max="6" width="13.7109375" bestFit="1" customWidth="1"/>
    <col min="7" max="8" width="12.85546875" bestFit="1" customWidth="1"/>
  </cols>
  <sheetData>
    <row r="5" spans="2:8" x14ac:dyDescent="0.25">
      <c r="D5" s="221" t="s">
        <v>229</v>
      </c>
      <c r="E5" s="490" t="s">
        <v>230</v>
      </c>
      <c r="F5" s="490"/>
      <c r="G5" s="490"/>
    </row>
    <row r="6" spans="2:8" x14ac:dyDescent="0.25">
      <c r="D6" s="221" t="s">
        <v>231</v>
      </c>
      <c r="E6" s="221" t="s">
        <v>232</v>
      </c>
      <c r="F6" s="221" t="s">
        <v>233</v>
      </c>
      <c r="G6" s="221" t="s">
        <v>234</v>
      </c>
    </row>
    <row r="7" spans="2:8" x14ac:dyDescent="0.25">
      <c r="D7" s="222">
        <v>3.29</v>
      </c>
      <c r="E7" s="222">
        <v>0.59</v>
      </c>
      <c r="F7" s="222">
        <v>0.53</v>
      </c>
      <c r="G7" s="222">
        <v>0.06</v>
      </c>
    </row>
    <row r="8" spans="2:8" x14ac:dyDescent="0.25">
      <c r="C8">
        <v>2022</v>
      </c>
      <c r="D8" s="222">
        <v>3.26</v>
      </c>
      <c r="E8" s="222">
        <v>0.64</v>
      </c>
      <c r="F8" s="222">
        <v>0.56999999999999995</v>
      </c>
      <c r="G8" s="222">
        <v>0.06</v>
      </c>
    </row>
    <row r="9" spans="2:8" x14ac:dyDescent="0.25">
      <c r="C9">
        <v>2023</v>
      </c>
      <c r="D9" s="222">
        <v>4.99</v>
      </c>
      <c r="E9" s="222">
        <v>0.7</v>
      </c>
      <c r="F9" s="222">
        <v>0.63</v>
      </c>
      <c r="G9" s="222">
        <v>0.09</v>
      </c>
    </row>
    <row r="10" spans="2:8" x14ac:dyDescent="0.25">
      <c r="C10">
        <v>2024</v>
      </c>
      <c r="D10" s="222">
        <v>6.42</v>
      </c>
      <c r="E10" s="222">
        <v>0.75</v>
      </c>
      <c r="F10" s="222">
        <v>0.68</v>
      </c>
      <c r="G10" s="222">
        <v>0.11</v>
      </c>
    </row>
    <row r="11" spans="2:8" x14ac:dyDescent="0.25">
      <c r="D11" s="222"/>
      <c r="E11" s="222"/>
      <c r="F11" s="222"/>
      <c r="G11" s="222"/>
    </row>
    <row r="12" spans="2:8" x14ac:dyDescent="0.25">
      <c r="D12" s="221" t="s">
        <v>231</v>
      </c>
      <c r="E12" s="221" t="s">
        <v>231</v>
      </c>
      <c r="F12" s="221" t="s">
        <v>232</v>
      </c>
      <c r="G12" s="221" t="s">
        <v>233</v>
      </c>
      <c r="H12" s="221" t="s">
        <v>234</v>
      </c>
    </row>
    <row r="13" spans="2:8" x14ac:dyDescent="0.25">
      <c r="C13" t="s">
        <v>235</v>
      </c>
      <c r="D13" t="s">
        <v>236</v>
      </c>
      <c r="E13" t="s">
        <v>237</v>
      </c>
      <c r="F13" t="s">
        <v>238</v>
      </c>
      <c r="G13" t="s">
        <v>239</v>
      </c>
      <c r="H13" t="s">
        <v>240</v>
      </c>
    </row>
    <row r="14" spans="2:8" x14ac:dyDescent="0.25">
      <c r="B14" t="s">
        <v>241</v>
      </c>
      <c r="D14" s="222">
        <v>120.91</v>
      </c>
      <c r="E14" s="223">
        <f>D14/1000*1250</f>
        <v>151.13749999999999</v>
      </c>
    </row>
    <row r="15" spans="2:8" x14ac:dyDescent="0.25">
      <c r="C15">
        <v>2022</v>
      </c>
      <c r="D15" s="225">
        <f>D8/$D$14</f>
        <v>2.6962203291704574E-2</v>
      </c>
      <c r="E15" s="225">
        <f>(D8/1000*1250)/$E$14</f>
        <v>2.6962203291704578E-2</v>
      </c>
    </row>
    <row r="16" spans="2:8" x14ac:dyDescent="0.25">
      <c r="C16">
        <v>2023</v>
      </c>
      <c r="D16" s="225">
        <f t="shared" ref="D16:D17" si="0">D9/$D$14</f>
        <v>4.1270366388222651E-2</v>
      </c>
      <c r="E16" s="225">
        <f t="shared" ref="E16:E17" si="1">(D9/1000*1250)/$E$14</f>
        <v>4.1270366388222651E-2</v>
      </c>
    </row>
    <row r="17" spans="3:10" x14ac:dyDescent="0.25">
      <c r="C17">
        <v>2024</v>
      </c>
      <c r="D17" s="225">
        <f t="shared" si="0"/>
        <v>5.3097345132743362E-2</v>
      </c>
      <c r="E17" s="225">
        <f t="shared" si="1"/>
        <v>5.3097345132743369E-2</v>
      </c>
    </row>
    <row r="18" spans="3:10" x14ac:dyDescent="0.25">
      <c r="F18" t="s">
        <v>232</v>
      </c>
      <c r="G18" t="s">
        <v>233</v>
      </c>
      <c r="H18" t="s">
        <v>234</v>
      </c>
    </row>
    <row r="19" spans="3:10" x14ac:dyDescent="0.25">
      <c r="E19" t="s">
        <v>249</v>
      </c>
      <c r="F19">
        <v>900</v>
      </c>
      <c r="G19" s="224">
        <v>10000</v>
      </c>
      <c r="H19">
        <v>10000</v>
      </c>
      <c r="I19" t="s">
        <v>251</v>
      </c>
    </row>
    <row r="20" spans="3:10" x14ac:dyDescent="0.25">
      <c r="E20" t="s">
        <v>255</v>
      </c>
      <c r="F20">
        <f>F19*720*0.6</f>
        <v>388800</v>
      </c>
      <c r="G20">
        <f t="shared" ref="G20:H20" si="2">G19*720*0.6</f>
        <v>4320000</v>
      </c>
      <c r="H20">
        <f t="shared" si="2"/>
        <v>4320000</v>
      </c>
      <c r="I20" t="s">
        <v>256</v>
      </c>
    </row>
    <row r="21" spans="3:10" x14ac:dyDescent="0.25">
      <c r="E21" t="s">
        <v>242</v>
      </c>
      <c r="F21">
        <v>3.0569999999999999</v>
      </c>
      <c r="G21">
        <v>3.0259999999999998</v>
      </c>
      <c r="H21">
        <v>2.996</v>
      </c>
      <c r="I21" t="s">
        <v>246</v>
      </c>
      <c r="J21" t="s">
        <v>252</v>
      </c>
    </row>
    <row r="22" spans="3:10" x14ac:dyDescent="0.25">
      <c r="E22" t="s">
        <v>243</v>
      </c>
      <c r="F22">
        <v>0.13</v>
      </c>
      <c r="G22">
        <v>0.123</v>
      </c>
      <c r="H22">
        <v>0.12</v>
      </c>
      <c r="I22" t="s">
        <v>246</v>
      </c>
      <c r="J22" t="s">
        <v>252</v>
      </c>
    </row>
    <row r="23" spans="3:10" x14ac:dyDescent="0.25">
      <c r="E23" t="s">
        <v>244</v>
      </c>
      <c r="F23">
        <v>0.81</v>
      </c>
      <c r="G23">
        <v>0.84</v>
      </c>
      <c r="H23">
        <v>0.74</v>
      </c>
      <c r="I23" t="s">
        <v>247</v>
      </c>
      <c r="J23" t="s">
        <v>253</v>
      </c>
    </row>
    <row r="24" spans="3:10" x14ac:dyDescent="0.25">
      <c r="E24" t="s">
        <v>245</v>
      </c>
      <c r="F24">
        <v>0.59</v>
      </c>
      <c r="G24">
        <v>0.53</v>
      </c>
      <c r="H24">
        <v>0.06</v>
      </c>
      <c r="I24" t="s">
        <v>248</v>
      </c>
      <c r="J24" t="s">
        <v>253</v>
      </c>
    </row>
    <row r="25" spans="3:10" x14ac:dyDescent="0.25">
      <c r="E25" t="s">
        <v>249</v>
      </c>
      <c r="F25">
        <v>13.75</v>
      </c>
      <c r="G25">
        <v>11.5</v>
      </c>
      <c r="H25">
        <v>8.99</v>
      </c>
      <c r="I25" t="s">
        <v>251</v>
      </c>
      <c r="J25" t="s">
        <v>253</v>
      </c>
    </row>
    <row r="26" spans="3:10" x14ac:dyDescent="0.25">
      <c r="E26" t="s">
        <v>250</v>
      </c>
      <c r="F26">
        <v>0.73</v>
      </c>
      <c r="G26">
        <v>1.034</v>
      </c>
      <c r="H26">
        <v>1.1419999999999999</v>
      </c>
      <c r="I26" t="s">
        <v>246</v>
      </c>
      <c r="J26" t="s">
        <v>252</v>
      </c>
    </row>
    <row r="27" spans="3:10" x14ac:dyDescent="0.25">
      <c r="F27">
        <f>(F19*(F23+F24+F25))+(F20*((F21+F22+F26)/100))</f>
        <v>28864.295999999998</v>
      </c>
      <c r="G27">
        <f t="shared" ref="G27:H27" si="3">(G19*(G23+G24+G25))+(G20*((G21+G22+G26)/100))</f>
        <v>309405.60000000003</v>
      </c>
      <c r="H27">
        <f t="shared" si="3"/>
        <v>281845.60000000003</v>
      </c>
    </row>
    <row r="29" spans="3:10" x14ac:dyDescent="0.25">
      <c r="E29" t="s">
        <v>254</v>
      </c>
      <c r="F29">
        <v>2.5641000000000001E-2</v>
      </c>
      <c r="G29">
        <v>2.5641000000000001E-2</v>
      </c>
      <c r="H29">
        <v>2.5641000000000001E-2</v>
      </c>
    </row>
    <row r="30" spans="3:10" x14ac:dyDescent="0.25">
      <c r="E30" t="s">
        <v>257</v>
      </c>
      <c r="F30">
        <f>F27*(1+F29)</f>
        <v>29604.405413736</v>
      </c>
      <c r="G30">
        <f t="shared" ref="G30:H30" si="4">G27*(1+G29)</f>
        <v>317339.06898960005</v>
      </c>
      <c r="H30">
        <f t="shared" si="4"/>
        <v>289072.40302960004</v>
      </c>
    </row>
    <row r="32" spans="3:10" x14ac:dyDescent="0.25">
      <c r="D32">
        <v>2022</v>
      </c>
      <c r="F32" s="225">
        <f>(F19*E8*0.6)/F30</f>
        <v>1.1673938225411774E-2</v>
      </c>
      <c r="G32" s="225">
        <f>(G19*0.6*F8)/G30</f>
        <v>1.0777116132877042E-2</v>
      </c>
      <c r="H32" s="225">
        <f>(H19*G8*0.6)/H30</f>
        <v>1.2453627403620996E-3</v>
      </c>
    </row>
    <row r="33" spans="4:8" x14ac:dyDescent="0.25">
      <c r="D33">
        <v>2023</v>
      </c>
      <c r="F33" s="225">
        <f>(F19*E9*0.6)/F30</f>
        <v>1.276836993404413E-2</v>
      </c>
      <c r="G33" s="225">
        <f>(G19*0.6*F9)/G30</f>
        <v>1.1911549410021996E-2</v>
      </c>
      <c r="H33" s="225">
        <f>(H19*G9*0.6)/H30</f>
        <v>1.8680441105431494E-3</v>
      </c>
    </row>
    <row r="34" spans="4:8" x14ac:dyDescent="0.25">
      <c r="D34">
        <v>2024</v>
      </c>
      <c r="F34" s="225">
        <f>(F19*E10*0.6)/F30</f>
        <v>1.3680396357904424E-2</v>
      </c>
      <c r="G34" s="225">
        <f>(G19*0.6*F10)/G30</f>
        <v>1.2856910474309457E-2</v>
      </c>
      <c r="H34" s="225">
        <f>(H19*G10*0.6)/H30</f>
        <v>2.2831650239971825E-3</v>
      </c>
    </row>
  </sheetData>
  <mergeCells count="1">
    <mergeCell ref="E5:G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C866E-92B0-4B49-87EA-87836468C058}">
  <sheetPr>
    <tabColor rgb="FF00B050"/>
  </sheetPr>
  <dimension ref="B3:D8"/>
  <sheetViews>
    <sheetView showGridLines="0" workbookViewId="0">
      <selection activeCell="K12" sqref="K12"/>
    </sheetView>
  </sheetViews>
  <sheetFormatPr defaultColWidth="9.140625" defaultRowHeight="15.75" x14ac:dyDescent="0.25"/>
  <cols>
    <col min="1" max="2" width="9.140625" style="98"/>
    <col min="3" max="3" width="28.42578125" style="98" customWidth="1"/>
    <col min="4" max="4" width="27.42578125" style="98" customWidth="1"/>
    <col min="5" max="16384" width="9.140625" style="98"/>
  </cols>
  <sheetData>
    <row r="3" spans="2:4" ht="16.5" thickBot="1" x14ac:dyDescent="0.3"/>
    <row r="4" spans="2:4" ht="85.5" customHeight="1" thickBot="1" x14ac:dyDescent="0.3">
      <c r="C4" s="491" t="s">
        <v>1091</v>
      </c>
      <c r="D4" s="492"/>
    </row>
    <row r="5" spans="2:4" ht="16.5" thickBot="1" x14ac:dyDescent="0.3">
      <c r="C5" s="139" t="s">
        <v>109</v>
      </c>
      <c r="D5" s="140" t="s">
        <v>110</v>
      </c>
    </row>
    <row r="6" spans="2:4" x14ac:dyDescent="0.25">
      <c r="B6" s="63">
        <v>2022</v>
      </c>
      <c r="C6" s="218">
        <v>646</v>
      </c>
      <c r="D6" s="235">
        <f>'2022-2031 SPP Total Costs'!C5+'2022-2031 SPP Total Costs'!C13</f>
        <v>105.84338720937507</v>
      </c>
    </row>
    <row r="7" spans="2:4" x14ac:dyDescent="0.25">
      <c r="B7" s="64">
        <f>B6+1</f>
        <v>2023</v>
      </c>
      <c r="C7" s="219">
        <v>399</v>
      </c>
      <c r="D7" s="236">
        <f>'2022-2031 SPP Total Costs'!D5+'2022-2031 SPP Total Costs'!D13</f>
        <v>104.71891424751161</v>
      </c>
    </row>
    <row r="8" spans="2:4" ht="16.5" thickBot="1" x14ac:dyDescent="0.3">
      <c r="B8" s="65">
        <f t="shared" ref="B8" si="0">B7+1</f>
        <v>2024</v>
      </c>
      <c r="C8" s="220">
        <v>436</v>
      </c>
      <c r="D8" s="237">
        <f>'2022-2031 SPP Total Costs'!E5+'2022-2031 SPP Total Costs'!E13</f>
        <v>105.18102584295001</v>
      </c>
    </row>
  </sheetData>
  <mergeCells count="1">
    <mergeCell ref="C4:D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CB445-6BF9-411A-BDB8-302F56515D42}">
  <sheetPr>
    <tabColor rgb="FF00B050"/>
    <pageSetUpPr fitToPage="1"/>
  </sheetPr>
  <dimension ref="B1:H5"/>
  <sheetViews>
    <sheetView workbookViewId="0">
      <selection activeCell="B2" sqref="B2:H5"/>
    </sheetView>
  </sheetViews>
  <sheetFormatPr defaultColWidth="9.140625" defaultRowHeight="15.75" x14ac:dyDescent="0.25"/>
  <cols>
    <col min="1" max="1" width="9.140625" style="98"/>
    <col min="2" max="2" width="21.28515625" style="98" customWidth="1"/>
    <col min="3" max="3" width="11.42578125" style="98" customWidth="1"/>
    <col min="4" max="4" width="8.85546875" style="98" customWidth="1"/>
    <col min="5" max="5" width="18.42578125" style="98" customWidth="1"/>
    <col min="6" max="6" width="18.5703125" style="98" customWidth="1"/>
    <col min="7" max="7" width="11.140625" style="98" customWidth="1"/>
    <col min="8" max="8" width="11.5703125" style="98" customWidth="1"/>
    <col min="9" max="16384" width="9.140625" style="98"/>
  </cols>
  <sheetData>
    <row r="1" spans="2:8" ht="16.5" thickBot="1" x14ac:dyDescent="0.3"/>
    <row r="2" spans="2:8" ht="65.25" customHeight="1" thickBot="1" x14ac:dyDescent="0.3">
      <c r="B2" s="493" t="s">
        <v>165</v>
      </c>
      <c r="C2" s="494"/>
      <c r="D2" s="494"/>
      <c r="E2" s="494"/>
      <c r="F2" s="494"/>
      <c r="G2" s="494"/>
      <c r="H2" s="495"/>
    </row>
    <row r="3" spans="2:8" ht="81" customHeight="1" thickBot="1" x14ac:dyDescent="0.3">
      <c r="B3" s="496" t="s">
        <v>41</v>
      </c>
      <c r="C3" s="498" t="s">
        <v>52</v>
      </c>
      <c r="D3" s="499"/>
      <c r="E3" s="500" t="s">
        <v>43</v>
      </c>
      <c r="F3" s="502" t="s">
        <v>44</v>
      </c>
      <c r="G3" s="502" t="s">
        <v>45</v>
      </c>
      <c r="H3" s="504" t="s">
        <v>46</v>
      </c>
    </row>
    <row r="4" spans="2:8" ht="54.6" customHeight="1" thickBot="1" x14ac:dyDescent="0.3">
      <c r="B4" s="497"/>
      <c r="C4" s="105" t="s">
        <v>3</v>
      </c>
      <c r="D4" s="106" t="s">
        <v>12</v>
      </c>
      <c r="E4" s="501"/>
      <c r="F4" s="503"/>
      <c r="G4" s="503"/>
      <c r="H4" s="505"/>
    </row>
    <row r="5" spans="2:8" ht="49.5" customHeight="1" thickBot="1" x14ac:dyDescent="0.3">
      <c r="B5" s="103" t="s">
        <v>10</v>
      </c>
      <c r="C5" s="238">
        <f>'2022-2031 SPP Total Costs'!M10</f>
        <v>31.453824960000002</v>
      </c>
      <c r="D5" s="238">
        <f>'2022-2031 SPP Total Costs'!M22</f>
        <v>0</v>
      </c>
      <c r="E5" s="388">
        <v>28</v>
      </c>
      <c r="F5" s="389">
        <v>55</v>
      </c>
      <c r="G5" s="309" t="s">
        <v>51</v>
      </c>
      <c r="H5" s="320" t="s">
        <v>260</v>
      </c>
    </row>
  </sheetData>
  <mergeCells count="7">
    <mergeCell ref="B2:H2"/>
    <mergeCell ref="B3:B4"/>
    <mergeCell ref="C3:D3"/>
    <mergeCell ref="E3:E4"/>
    <mergeCell ref="F3:F4"/>
    <mergeCell ref="G3:G4"/>
    <mergeCell ref="H3:H4"/>
  </mergeCells>
  <pageMargins left="0.7" right="0.7" top="0.75" bottom="0.75" header="0.3" footer="0.3"/>
  <pageSetup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451B5-3A2F-4BB4-A355-4FB7D30F890E}">
  <sheetPr>
    <tabColor rgb="FF00B050"/>
  </sheetPr>
  <dimension ref="B3:D13"/>
  <sheetViews>
    <sheetView showGridLines="0" tabSelected="1" workbookViewId="0">
      <selection activeCell="C8" sqref="C8"/>
    </sheetView>
  </sheetViews>
  <sheetFormatPr defaultRowHeight="15" x14ac:dyDescent="0.25"/>
  <cols>
    <col min="3" max="4" width="31.7109375" customWidth="1"/>
  </cols>
  <sheetData>
    <row r="3" spans="2:4" ht="15.75" thickBot="1" x14ac:dyDescent="0.3"/>
    <row r="4" spans="2:4" ht="70.150000000000006" customHeight="1" thickBot="1" x14ac:dyDescent="0.3">
      <c r="B4" s="98"/>
      <c r="C4" s="491" t="s">
        <v>226</v>
      </c>
      <c r="D4" s="492"/>
    </row>
    <row r="5" spans="2:4" ht="16.5" thickBot="1" x14ac:dyDescent="0.3">
      <c r="B5" s="98"/>
      <c r="C5" s="139" t="s">
        <v>109</v>
      </c>
      <c r="D5" s="140" t="s">
        <v>110</v>
      </c>
    </row>
    <row r="6" spans="2:4" ht="15.75" x14ac:dyDescent="0.25">
      <c r="B6" s="143">
        <v>2022</v>
      </c>
      <c r="C6" s="386">
        <v>25</v>
      </c>
      <c r="D6" s="235">
        <f>'2022-2031 SPP Total Costs'!C10+'2022-2031 SPP Total Costs'!C22</f>
        <v>2.4099560799999997</v>
      </c>
    </row>
    <row r="7" spans="2:4" ht="15.75" x14ac:dyDescent="0.25">
      <c r="B7" s="144">
        <f>B6+1</f>
        <v>2023</v>
      </c>
      <c r="C7" s="387">
        <v>25</v>
      </c>
      <c r="D7" s="236">
        <f>'2022-2031 SPP Total Costs'!D10+'2022-2031 SPP Total Costs'!D22</f>
        <v>3.0374458800000008</v>
      </c>
    </row>
    <row r="8" spans="2:4" ht="16.5" thickBot="1" x14ac:dyDescent="0.3">
      <c r="B8" s="145">
        <f t="shared" ref="B8" si="0">B7+1</f>
        <v>2024</v>
      </c>
      <c r="C8" s="241">
        <v>13</v>
      </c>
      <c r="D8" s="237">
        <f>'2022-2031 SPP Total Costs'!E10+'2022-2031 SPP Total Costs'!E22</f>
        <v>3.0065800000000005</v>
      </c>
    </row>
    <row r="13" spans="2:4" x14ac:dyDescent="0.25">
      <c r="D13" t="s">
        <v>202</v>
      </c>
    </row>
  </sheetData>
  <mergeCells count="1">
    <mergeCell ref="C4:D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248F3-BD4D-4C4A-AB4B-AC68E61A03B1}">
  <sheetPr>
    <tabColor rgb="FF00B050"/>
  </sheetPr>
  <dimension ref="B1:E15"/>
  <sheetViews>
    <sheetView showGridLines="0" workbookViewId="0">
      <selection activeCell="B2" sqref="B2:E13"/>
    </sheetView>
  </sheetViews>
  <sheetFormatPr defaultColWidth="9.140625" defaultRowHeight="15.75" x14ac:dyDescent="0.25"/>
  <cols>
    <col min="1" max="2" width="9.140625" style="98"/>
    <col min="3" max="4" width="22.7109375" style="98" customWidth="1"/>
    <col min="5" max="5" width="29.85546875" style="98" customWidth="1"/>
    <col min="6" max="6" width="17.140625" style="98" bestFit="1" customWidth="1"/>
    <col min="7" max="8" width="15.7109375" style="98" bestFit="1" customWidth="1"/>
    <col min="9" max="14" width="11.28515625" style="98" bestFit="1" customWidth="1"/>
    <col min="15" max="16384" width="9.140625" style="98"/>
  </cols>
  <sheetData>
    <row r="1" spans="2:5" ht="16.5" thickBot="1" x14ac:dyDescent="0.3"/>
    <row r="2" spans="2:5" ht="35.25" customHeight="1" thickBot="1" x14ac:dyDescent="0.3">
      <c r="C2" s="506" t="s">
        <v>359</v>
      </c>
      <c r="D2" s="507"/>
      <c r="E2" s="508"/>
    </row>
    <row r="3" spans="2:5" ht="47.25" customHeight="1" thickBot="1" x14ac:dyDescent="0.3">
      <c r="C3" s="126" t="s">
        <v>74</v>
      </c>
      <c r="D3" s="214" t="s">
        <v>75</v>
      </c>
      <c r="E3" s="127" t="s">
        <v>76</v>
      </c>
    </row>
    <row r="4" spans="2:5" ht="16.5" x14ac:dyDescent="0.3">
      <c r="B4" s="215">
        <v>2022</v>
      </c>
      <c r="C4" s="358">
        <v>724</v>
      </c>
      <c r="D4" s="361">
        <v>1686</v>
      </c>
      <c r="E4" s="355">
        <f>SUM(C4:D4)</f>
        <v>2410</v>
      </c>
    </row>
    <row r="5" spans="2:5" ht="16.5" x14ac:dyDescent="0.3">
      <c r="B5" s="216">
        <f>B4+1</f>
        <v>2023</v>
      </c>
      <c r="C5" s="356">
        <v>879</v>
      </c>
      <c r="D5" s="362">
        <v>2158</v>
      </c>
      <c r="E5" s="357">
        <f t="shared" ref="E5:E13" si="0">SUM(C5:D5)</f>
        <v>3037</v>
      </c>
    </row>
    <row r="6" spans="2:5" ht="16.5" x14ac:dyDescent="0.3">
      <c r="B6" s="216">
        <f t="shared" ref="B6:B13" si="1">B5+1</f>
        <v>2024</v>
      </c>
      <c r="C6" s="356">
        <v>1844.0170000000001</v>
      </c>
      <c r="D6" s="362">
        <v>1162.5630000000001</v>
      </c>
      <c r="E6" s="357">
        <f t="shared" si="0"/>
        <v>3006.58</v>
      </c>
    </row>
    <row r="7" spans="2:5" ht="16.5" x14ac:dyDescent="0.3">
      <c r="B7" s="216">
        <f t="shared" si="1"/>
        <v>2025</v>
      </c>
      <c r="C7" s="356">
        <v>1613.7619999999999</v>
      </c>
      <c r="D7" s="362">
        <v>2089.1309999999999</v>
      </c>
      <c r="E7" s="357">
        <f t="shared" si="0"/>
        <v>3702.893</v>
      </c>
    </row>
    <row r="8" spans="2:5" ht="16.5" x14ac:dyDescent="0.3">
      <c r="B8" s="216">
        <f t="shared" si="1"/>
        <v>2026</v>
      </c>
      <c r="C8" s="356">
        <v>2838.058</v>
      </c>
      <c r="D8" s="362">
        <v>608.45799999999997</v>
      </c>
      <c r="E8" s="357">
        <f t="shared" si="0"/>
        <v>3446.5160000000001</v>
      </c>
    </row>
    <row r="9" spans="2:5" ht="16.5" x14ac:dyDescent="0.3">
      <c r="B9" s="216">
        <f t="shared" si="1"/>
        <v>2027</v>
      </c>
      <c r="C9" s="356">
        <v>3403.7260000000001</v>
      </c>
      <c r="D9" s="362">
        <v>0</v>
      </c>
      <c r="E9" s="357">
        <f t="shared" si="0"/>
        <v>3403.7260000000001</v>
      </c>
    </row>
    <row r="10" spans="2:5" ht="16.5" x14ac:dyDescent="0.3">
      <c r="B10" s="216">
        <f t="shared" si="1"/>
        <v>2028</v>
      </c>
      <c r="C10" s="356">
        <v>1931.6869999999999</v>
      </c>
      <c r="D10" s="362">
        <v>1210.654</v>
      </c>
      <c r="E10" s="357">
        <f t="shared" si="0"/>
        <v>3142.3409999999999</v>
      </c>
    </row>
    <row r="11" spans="2:5" ht="16.5" x14ac:dyDescent="0.3">
      <c r="B11" s="216">
        <f t="shared" si="1"/>
        <v>2029</v>
      </c>
      <c r="C11" s="356">
        <v>1166.5740000000001</v>
      </c>
      <c r="D11" s="362">
        <v>1672.1969999999999</v>
      </c>
      <c r="E11" s="357">
        <f t="shared" si="0"/>
        <v>2838.7709999999997</v>
      </c>
    </row>
    <row r="12" spans="2:5" ht="16.5" x14ac:dyDescent="0.3">
      <c r="B12" s="216">
        <f t="shared" si="1"/>
        <v>2030</v>
      </c>
      <c r="C12" s="356">
        <v>997.36099999999999</v>
      </c>
      <c r="D12" s="362">
        <v>1043.463</v>
      </c>
      <c r="E12" s="357">
        <f t="shared" si="0"/>
        <v>2040.8240000000001</v>
      </c>
    </row>
    <row r="13" spans="2:5" ht="17.25" thickBot="1" x14ac:dyDescent="0.35">
      <c r="B13" s="217">
        <f t="shared" si="1"/>
        <v>2031</v>
      </c>
      <c r="C13" s="359">
        <v>4424.7719999999999</v>
      </c>
      <c r="D13" s="363">
        <v>0</v>
      </c>
      <c r="E13" s="360">
        <f t="shared" si="0"/>
        <v>4424.7719999999999</v>
      </c>
    </row>
    <row r="15" spans="2:5" x14ac:dyDescent="0.25">
      <c r="C15" s="125"/>
    </row>
  </sheetData>
  <mergeCells count="1">
    <mergeCell ref="C2:E2"/>
  </mergeCells>
  <pageMargins left="0.7" right="0.7" top="0.75" bottom="0.75" header="0.3" footer="0.3"/>
  <pageSetup orientation="portrait" r:id="rId1"/>
  <ignoredErrors>
    <ignoredError sqref="E4"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9E8DD-0BA3-4598-8F6A-8008EDC3CA5D}">
  <sheetPr>
    <tabColor rgb="FF00B050"/>
  </sheetPr>
  <dimension ref="B3:D8"/>
  <sheetViews>
    <sheetView showGridLines="0" workbookViewId="0">
      <selection activeCell="B4" sqref="B4:D8"/>
    </sheetView>
  </sheetViews>
  <sheetFormatPr defaultRowHeight="15" x14ac:dyDescent="0.25"/>
  <cols>
    <col min="3" max="3" width="28.42578125" customWidth="1"/>
    <col min="4" max="4" width="27.42578125" customWidth="1"/>
  </cols>
  <sheetData>
    <row r="3" spans="2:4" ht="15.75" thickBot="1" x14ac:dyDescent="0.3"/>
    <row r="4" spans="2:4" ht="85.5" customHeight="1" thickBot="1" x14ac:dyDescent="0.3">
      <c r="B4" s="98"/>
      <c r="C4" s="491" t="s">
        <v>225</v>
      </c>
      <c r="D4" s="492"/>
    </row>
    <row r="5" spans="2:4" ht="16.5" thickBot="1" x14ac:dyDescent="0.3">
      <c r="B5" s="98"/>
      <c r="C5" s="139" t="s">
        <v>109</v>
      </c>
      <c r="D5" s="140" t="s">
        <v>110</v>
      </c>
    </row>
    <row r="6" spans="2:4" ht="15.75" x14ac:dyDescent="0.25">
      <c r="B6" s="63">
        <v>2022</v>
      </c>
      <c r="C6" s="218">
        <v>37</v>
      </c>
      <c r="D6" s="235">
        <f>'2022-2031 SPP Total Costs'!C6+'2022-2031 SPP Total Costs'!C18</f>
        <v>16.973367743969998</v>
      </c>
    </row>
    <row r="7" spans="2:4" ht="15.75" x14ac:dyDescent="0.25">
      <c r="B7" s="64">
        <f>B6+1</f>
        <v>2023</v>
      </c>
      <c r="C7" s="219">
        <v>26</v>
      </c>
      <c r="D7" s="236">
        <f>'2022-2031 SPP Total Costs'!D6+'2022-2031 SPP Total Costs'!D18</f>
        <v>17.987700816</v>
      </c>
    </row>
    <row r="8" spans="2:4" ht="16.5" thickBot="1" x14ac:dyDescent="0.3">
      <c r="B8" s="65">
        <f t="shared" ref="B8" si="0">B7+1</f>
        <v>2024</v>
      </c>
      <c r="C8" s="220">
        <v>10</v>
      </c>
      <c r="D8" s="237">
        <f>'2022-2031 SPP Total Costs'!E6+'2022-2031 SPP Total Costs'!E18</f>
        <v>18.074431888319999</v>
      </c>
    </row>
  </sheetData>
  <mergeCells count="1">
    <mergeCell ref="C4:D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3EF88-81D5-4402-AC2B-E15DBE87E52A}">
  <sheetPr>
    <tabColor rgb="FF00B050"/>
  </sheetPr>
  <dimension ref="B3:D8"/>
  <sheetViews>
    <sheetView showGridLines="0" workbookViewId="0">
      <selection activeCell="H11" sqref="H11"/>
    </sheetView>
  </sheetViews>
  <sheetFormatPr defaultRowHeight="15" x14ac:dyDescent="0.25"/>
  <cols>
    <col min="3" max="3" width="28.42578125" customWidth="1"/>
    <col min="4" max="4" width="27.42578125" customWidth="1"/>
  </cols>
  <sheetData>
    <row r="3" spans="2:4" ht="15.75" thickBot="1" x14ac:dyDescent="0.3"/>
    <row r="4" spans="2:4" ht="85.5" customHeight="1" thickBot="1" x14ac:dyDescent="0.3">
      <c r="B4" s="98"/>
      <c r="C4" s="491" t="s">
        <v>1092</v>
      </c>
      <c r="D4" s="492"/>
    </row>
    <row r="5" spans="2:4" ht="16.5" thickBot="1" x14ac:dyDescent="0.3">
      <c r="B5" s="98"/>
      <c r="C5" s="139" t="s">
        <v>109</v>
      </c>
      <c r="D5" s="140" t="s">
        <v>110</v>
      </c>
    </row>
    <row r="6" spans="2:4" ht="15.75" x14ac:dyDescent="0.25">
      <c r="B6" s="63">
        <v>2022</v>
      </c>
      <c r="C6" s="218">
        <v>36</v>
      </c>
      <c r="D6" s="235">
        <f>'2022-2031 SPP Total Costs'!C9+'2022-2031 SPP Total Costs'!C21</f>
        <v>33.399510594075004</v>
      </c>
    </row>
    <row r="7" spans="2:4" ht="15.75" x14ac:dyDescent="0.25">
      <c r="B7" s="64">
        <f>B6+1</f>
        <v>2023</v>
      </c>
      <c r="C7" s="219">
        <v>31</v>
      </c>
      <c r="D7" s="236">
        <f>'2022-2031 SPP Total Costs'!D9+'2022-2031 SPP Total Costs'!D21</f>
        <v>30.733836999999998</v>
      </c>
    </row>
    <row r="8" spans="2:4" ht="16.5" thickBot="1" x14ac:dyDescent="0.3">
      <c r="B8" s="65">
        <f t="shared" ref="B8" si="0">B7+1</f>
        <v>2024</v>
      </c>
      <c r="C8" s="220">
        <v>23</v>
      </c>
      <c r="D8" s="237">
        <f>'2022-2031 SPP Total Costs'!E9+'2022-2031 SPP Total Costs'!E21</f>
        <v>30.668465118799894</v>
      </c>
    </row>
  </sheetData>
  <mergeCells count="1">
    <mergeCell ref="C4:D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DF65-8B3F-414C-A836-BF7D8CE1A867}">
  <sheetPr>
    <tabColor rgb="FF00B050"/>
  </sheetPr>
  <dimension ref="C1:F15"/>
  <sheetViews>
    <sheetView workbookViewId="0">
      <selection activeCell="H15" sqref="H15"/>
    </sheetView>
  </sheetViews>
  <sheetFormatPr defaultColWidth="9.140625" defaultRowHeight="15.75" x14ac:dyDescent="0.25"/>
  <cols>
    <col min="1" max="2" width="9.140625" style="98"/>
    <col min="3" max="3" width="38.28515625" style="98" customWidth="1"/>
    <col min="4" max="6" width="16.7109375" style="98" customWidth="1"/>
    <col min="7" max="16384" width="9.140625" style="98"/>
  </cols>
  <sheetData>
    <row r="1" spans="3:6" ht="9.75" customHeight="1" x14ac:dyDescent="0.25"/>
    <row r="4" spans="3:6" ht="16.5" thickBot="1" x14ac:dyDescent="0.3"/>
    <row r="5" spans="3:6" ht="27" customHeight="1" thickBot="1" x14ac:dyDescent="0.3">
      <c r="C5" s="506" t="s">
        <v>59</v>
      </c>
      <c r="D5" s="507"/>
      <c r="E5" s="507"/>
      <c r="F5" s="508"/>
    </row>
    <row r="6" spans="3:6" ht="18" customHeight="1" thickBot="1" x14ac:dyDescent="0.3">
      <c r="C6" s="117"/>
      <c r="D6" s="264">
        <v>2022</v>
      </c>
      <c r="E6" s="264">
        <f>D6+1</f>
        <v>2023</v>
      </c>
      <c r="F6" s="264">
        <f>E6+1</f>
        <v>2024</v>
      </c>
    </row>
    <row r="7" spans="3:6" ht="18" customHeight="1" thickBot="1" x14ac:dyDescent="0.3">
      <c r="C7" s="118" t="s">
        <v>60</v>
      </c>
      <c r="D7" s="119" t="s">
        <v>61</v>
      </c>
      <c r="E7" s="119"/>
      <c r="F7" s="119"/>
    </row>
    <row r="8" spans="3:6" ht="18" customHeight="1" thickBot="1" x14ac:dyDescent="0.3">
      <c r="C8" s="118" t="s">
        <v>62</v>
      </c>
      <c r="D8" s="509"/>
      <c r="E8" s="510"/>
      <c r="F8" s="511"/>
    </row>
    <row r="9" spans="3:6" ht="18" customHeight="1" thickBot="1" x14ac:dyDescent="0.3">
      <c r="C9" s="120" t="s">
        <v>63</v>
      </c>
      <c r="D9" s="263">
        <v>35625</v>
      </c>
      <c r="E9" s="263">
        <v>35625</v>
      </c>
      <c r="F9" s="263">
        <v>16625</v>
      </c>
    </row>
    <row r="10" spans="3:6" ht="18" customHeight="1" thickBot="1" x14ac:dyDescent="0.3">
      <c r="C10" s="118" t="s">
        <v>64</v>
      </c>
      <c r="D10" s="509"/>
      <c r="E10" s="510"/>
      <c r="F10" s="511"/>
    </row>
    <row r="11" spans="3:6" ht="34.5" customHeight="1" thickBot="1" x14ac:dyDescent="0.3">
      <c r="C11" s="120" t="s">
        <v>65</v>
      </c>
      <c r="D11" s="333">
        <v>663</v>
      </c>
      <c r="E11" s="333">
        <v>479</v>
      </c>
      <c r="F11" s="333">
        <v>401</v>
      </c>
    </row>
    <row r="12" spans="3:6" ht="18" customHeight="1" thickBot="1" x14ac:dyDescent="0.3">
      <c r="C12" s="120" t="s">
        <v>66</v>
      </c>
      <c r="D12" s="263">
        <v>3386</v>
      </c>
      <c r="E12" s="263">
        <v>2641</v>
      </c>
      <c r="F12" s="263">
        <v>2702</v>
      </c>
    </row>
    <row r="13" spans="3:6" ht="18" customHeight="1" thickBot="1" x14ac:dyDescent="0.3">
      <c r="C13" s="120" t="s">
        <v>67</v>
      </c>
      <c r="D13" s="333" t="s">
        <v>68</v>
      </c>
      <c r="E13" s="333" t="s">
        <v>68</v>
      </c>
      <c r="F13" s="333" t="s">
        <v>68</v>
      </c>
    </row>
    <row r="14" spans="3:6" ht="18" customHeight="1" thickBot="1" x14ac:dyDescent="0.3">
      <c r="C14" s="120" t="s">
        <v>69</v>
      </c>
      <c r="D14" s="119" t="s">
        <v>68</v>
      </c>
      <c r="E14" s="119" t="s">
        <v>70</v>
      </c>
      <c r="F14" s="119" t="s">
        <v>68</v>
      </c>
    </row>
    <row r="15" spans="3:6" ht="18" customHeight="1" thickBot="1" x14ac:dyDescent="0.3">
      <c r="C15" s="120" t="s">
        <v>71</v>
      </c>
      <c r="D15" s="119" t="s">
        <v>68</v>
      </c>
      <c r="E15" s="119" t="s">
        <v>68</v>
      </c>
      <c r="F15" s="119" t="s">
        <v>68</v>
      </c>
    </row>
  </sheetData>
  <mergeCells count="3">
    <mergeCell ref="C5:F5"/>
    <mergeCell ref="D8:F8"/>
    <mergeCell ref="D10:F10"/>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A795D-A114-4F9D-BEFF-F6BF93A06D23}">
  <sheetPr>
    <tabColor rgb="FF00B050"/>
  </sheetPr>
  <dimension ref="C1:F21"/>
  <sheetViews>
    <sheetView topLeftCell="A7" workbookViewId="0">
      <selection activeCell="E21" sqref="E21"/>
    </sheetView>
  </sheetViews>
  <sheetFormatPr defaultColWidth="9.140625" defaultRowHeight="15.75" x14ac:dyDescent="0.25"/>
  <cols>
    <col min="1" max="2" width="9.140625" style="98"/>
    <col min="3" max="3" width="38.7109375" style="98" customWidth="1"/>
    <col min="4" max="6" width="15.28515625" style="98" customWidth="1"/>
    <col min="7" max="16384" width="9.140625" style="98"/>
  </cols>
  <sheetData>
    <row r="1" spans="3:6" ht="9.75" customHeight="1" x14ac:dyDescent="0.25"/>
    <row r="4" spans="3:6" ht="16.5" thickBot="1" x14ac:dyDescent="0.3"/>
    <row r="5" spans="3:6" ht="35.25" customHeight="1" thickBot="1" x14ac:dyDescent="0.3">
      <c r="C5" s="506" t="s">
        <v>265</v>
      </c>
      <c r="D5" s="507"/>
      <c r="E5" s="507"/>
      <c r="F5" s="508"/>
    </row>
    <row r="6" spans="3:6" ht="18" customHeight="1" thickBot="1" x14ac:dyDescent="0.3">
      <c r="C6" s="117"/>
      <c r="D6" s="264">
        <v>2022</v>
      </c>
      <c r="E6" s="264">
        <f>D6+1</f>
        <v>2023</v>
      </c>
      <c r="F6" s="264">
        <f>E6+1</f>
        <v>2024</v>
      </c>
    </row>
    <row r="7" spans="3:6" ht="18" customHeight="1" thickBot="1" x14ac:dyDescent="0.3">
      <c r="C7" s="118" t="s">
        <v>62</v>
      </c>
      <c r="D7" s="509"/>
      <c r="E7" s="510"/>
      <c r="F7" s="511"/>
    </row>
    <row r="8" spans="3:6" ht="34.5" customHeight="1" thickBot="1" x14ac:dyDescent="0.3">
      <c r="C8" s="120" t="s">
        <v>63</v>
      </c>
      <c r="D8" s="332">
        <v>1020</v>
      </c>
      <c r="E8" s="332">
        <v>1040</v>
      </c>
      <c r="F8" s="332">
        <v>1061</v>
      </c>
    </row>
    <row r="9" spans="3:6" ht="18" customHeight="1" thickBot="1" x14ac:dyDescent="0.3">
      <c r="C9" s="118" t="s">
        <v>64</v>
      </c>
      <c r="D9" s="512"/>
      <c r="E9" s="513"/>
      <c r="F9" s="514"/>
    </row>
    <row r="10" spans="3:6" ht="34.5" customHeight="1" thickBot="1" x14ac:dyDescent="0.3">
      <c r="C10" s="120" t="s">
        <v>65</v>
      </c>
      <c r="D10" s="332">
        <v>62</v>
      </c>
      <c r="E10" s="332">
        <v>64</v>
      </c>
      <c r="F10" s="332">
        <v>65</v>
      </c>
    </row>
    <row r="11" spans="3:6" ht="18" customHeight="1" thickBot="1" x14ac:dyDescent="0.3">
      <c r="C11" s="120" t="s">
        <v>66</v>
      </c>
      <c r="D11" s="332">
        <v>10</v>
      </c>
      <c r="E11" s="332">
        <v>11</v>
      </c>
      <c r="F11" s="332">
        <v>11</v>
      </c>
    </row>
    <row r="12" spans="3:6" ht="18" customHeight="1" thickBot="1" x14ac:dyDescent="0.3">
      <c r="C12" s="120" t="s">
        <v>67</v>
      </c>
      <c r="D12" s="332">
        <v>114</v>
      </c>
      <c r="E12" s="332">
        <v>117</v>
      </c>
      <c r="F12" s="332">
        <v>119</v>
      </c>
    </row>
    <row r="13" spans="3:6" ht="18" customHeight="1" thickBot="1" x14ac:dyDescent="0.3">
      <c r="C13" s="120" t="s">
        <v>69</v>
      </c>
      <c r="D13" s="332">
        <v>201</v>
      </c>
      <c r="E13" s="332">
        <v>154</v>
      </c>
      <c r="F13" s="332">
        <v>157</v>
      </c>
    </row>
    <row r="14" spans="3:6" ht="18" customHeight="1" thickBot="1" x14ac:dyDescent="0.3">
      <c r="C14" s="120" t="s">
        <v>71</v>
      </c>
      <c r="D14" s="332">
        <v>146</v>
      </c>
      <c r="E14" s="332">
        <v>146</v>
      </c>
      <c r="F14" s="332">
        <v>148</v>
      </c>
    </row>
    <row r="16" spans="3:6" x14ac:dyDescent="0.25">
      <c r="D16" s="121"/>
      <c r="E16" s="121"/>
      <c r="F16" s="121"/>
    </row>
    <row r="18" spans="4:6" x14ac:dyDescent="0.25">
      <c r="D18" s="125">
        <f>D8+D10+D11+D12+D13+D14</f>
        <v>1553</v>
      </c>
      <c r="E18" s="125">
        <f t="shared" ref="E18:F18" si="0">E8+E10+E11+E12+E13+E14</f>
        <v>1532</v>
      </c>
      <c r="F18" s="125">
        <f t="shared" si="0"/>
        <v>1561</v>
      </c>
    </row>
    <row r="21" spans="4:6" x14ac:dyDescent="0.25">
      <c r="D21" s="98" t="s">
        <v>202</v>
      </c>
    </row>
  </sheetData>
  <mergeCells count="3">
    <mergeCell ref="C5:F5"/>
    <mergeCell ref="D7:F7"/>
    <mergeCell ref="D9:F9"/>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402C5-60E7-43CC-85B0-F55389B7A321}">
  <sheetPr>
    <tabColor rgb="FF00B050"/>
  </sheetPr>
  <dimension ref="B3:D8"/>
  <sheetViews>
    <sheetView showGridLines="0" workbookViewId="0">
      <selection activeCell="B4" sqref="B4:D8"/>
    </sheetView>
  </sheetViews>
  <sheetFormatPr defaultColWidth="9.140625" defaultRowHeight="15.75" x14ac:dyDescent="0.25"/>
  <cols>
    <col min="1" max="2" width="9.140625" style="98"/>
    <col min="3" max="4" width="31.7109375" style="98" customWidth="1"/>
    <col min="5" max="16384" width="9.140625" style="98"/>
  </cols>
  <sheetData>
    <row r="3" spans="2:4" ht="16.5" thickBot="1" x14ac:dyDescent="0.3"/>
    <row r="4" spans="2:4" ht="71.25" customHeight="1" thickBot="1" x14ac:dyDescent="0.3">
      <c r="C4" s="491" t="s">
        <v>227</v>
      </c>
      <c r="D4" s="492"/>
    </row>
    <row r="5" spans="2:4" ht="48" thickBot="1" x14ac:dyDescent="0.3">
      <c r="C5" s="140" t="s">
        <v>112</v>
      </c>
      <c r="D5" s="146" t="s">
        <v>11</v>
      </c>
    </row>
    <row r="6" spans="2:4" x14ac:dyDescent="0.25">
      <c r="B6" s="63">
        <v>2022</v>
      </c>
      <c r="C6" s="235">
        <f>0.3</f>
        <v>0.3</v>
      </c>
      <c r="D6" s="235">
        <f>'2022-2031 SPP Total Costs'!C11+'2022-2031 SPP Total Costs'!C27</f>
        <v>13.318426591502764</v>
      </c>
    </row>
    <row r="7" spans="2:4" x14ac:dyDescent="0.25">
      <c r="B7" s="64">
        <f>B6+1</f>
        <v>2023</v>
      </c>
      <c r="C7" s="236">
        <v>0.3</v>
      </c>
      <c r="D7" s="236">
        <f>'2022-2031 SPP Total Costs'!D11+'2022-2031 SPP Total Costs'!D27</f>
        <v>13.720643074566102</v>
      </c>
    </row>
    <row r="8" spans="2:4" ht="16.5" thickBot="1" x14ac:dyDescent="0.3">
      <c r="B8" s="65">
        <f t="shared" ref="B8" si="0">B7+1</f>
        <v>2024</v>
      </c>
      <c r="C8" s="237">
        <v>0.3</v>
      </c>
      <c r="D8" s="237">
        <f>'2022-2031 SPP Total Costs'!E11+'2022-2031 SPP Total Costs'!E27</f>
        <v>14.135006495418006</v>
      </c>
    </row>
  </sheetData>
  <mergeCells count="1">
    <mergeCell ref="C4:D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96F0D-6029-487F-862E-8B66006F58EF}">
  <sheetPr>
    <tabColor rgb="FF00B050"/>
  </sheetPr>
  <dimension ref="B1:Y35"/>
  <sheetViews>
    <sheetView workbookViewId="0">
      <selection activeCell="C14" sqref="C14:E14"/>
    </sheetView>
  </sheetViews>
  <sheetFormatPr defaultColWidth="9.28515625" defaultRowHeight="15" x14ac:dyDescent="0.25"/>
  <cols>
    <col min="1" max="1" width="9.28515625" style="1"/>
    <col min="2" max="2" width="78.7109375" style="1" customWidth="1"/>
    <col min="3" max="12" width="11.7109375" style="1" customWidth="1"/>
    <col min="13" max="13" width="14.28515625" style="1" bestFit="1" customWidth="1"/>
    <col min="14" max="15" width="9.28515625" style="1"/>
    <col min="16" max="25" width="16.140625" style="1" bestFit="1" customWidth="1"/>
    <col min="26" max="16384" width="9.28515625" style="1"/>
  </cols>
  <sheetData>
    <row r="1" spans="2:25" ht="15.75" thickBot="1" x14ac:dyDescent="0.3"/>
    <row r="2" spans="2:25" ht="15" customHeight="1" x14ac:dyDescent="0.25">
      <c r="B2" s="462" t="s">
        <v>33</v>
      </c>
      <c r="C2" s="463"/>
      <c r="D2" s="463"/>
      <c r="E2" s="463"/>
      <c r="F2" s="463"/>
      <c r="G2" s="463"/>
      <c r="H2" s="463"/>
      <c r="I2" s="463"/>
      <c r="J2" s="463"/>
      <c r="K2" s="463"/>
      <c r="L2" s="463"/>
      <c r="M2" s="464"/>
    </row>
    <row r="3" spans="2:25" ht="15" customHeight="1" thickBot="1" x14ac:dyDescent="0.3">
      <c r="B3" s="465"/>
      <c r="C3" s="466"/>
      <c r="D3" s="466"/>
      <c r="E3" s="466"/>
      <c r="F3" s="466"/>
      <c r="G3" s="466"/>
      <c r="H3" s="466"/>
      <c r="I3" s="466"/>
      <c r="J3" s="466"/>
      <c r="K3" s="466"/>
      <c r="L3" s="466"/>
      <c r="M3" s="467"/>
    </row>
    <row r="4" spans="2:25" ht="17.25" thickBot="1" x14ac:dyDescent="0.35">
      <c r="B4" s="2" t="s">
        <v>3</v>
      </c>
      <c r="C4" s="4">
        <v>2022</v>
      </c>
      <c r="D4" s="4">
        <v>2023</v>
      </c>
      <c r="E4" s="4">
        <v>2024</v>
      </c>
      <c r="F4" s="4">
        <v>2025</v>
      </c>
      <c r="G4" s="4">
        <v>2026</v>
      </c>
      <c r="H4" s="4">
        <v>2027</v>
      </c>
      <c r="I4" s="4">
        <v>2028</v>
      </c>
      <c r="J4" s="4">
        <v>2029</v>
      </c>
      <c r="K4" s="249">
        <v>2030</v>
      </c>
      <c r="L4" s="249">
        <v>2031</v>
      </c>
      <c r="M4" s="5" t="s">
        <v>4</v>
      </c>
    </row>
    <row r="5" spans="2:25" ht="16.5" x14ac:dyDescent="0.3">
      <c r="B5" s="245" t="s">
        <v>5</v>
      </c>
      <c r="C5" s="42">
        <f>P5/1000000</f>
        <v>105.66267139999997</v>
      </c>
      <c r="D5" s="43">
        <f t="shared" ref="D5:D11" si="0">Q5/1000000</f>
        <v>104.54272771352991</v>
      </c>
      <c r="E5" s="43">
        <f t="shared" ref="E5:E11" si="1">R5/1000000</f>
        <v>105</v>
      </c>
      <c r="F5" s="43">
        <f t="shared" ref="F5:F11" si="2">S5/1000000</f>
        <v>105</v>
      </c>
      <c r="G5" s="43">
        <f t="shared" ref="G5:G11" si="3">T5/1000000</f>
        <v>105</v>
      </c>
      <c r="H5" s="43">
        <f t="shared" ref="H5:H11" si="4">U5/1000000</f>
        <v>105</v>
      </c>
      <c r="I5" s="43">
        <f t="shared" ref="I5:I11" si="5">V5/1000000</f>
        <v>105</v>
      </c>
      <c r="J5" s="43">
        <f t="shared" ref="J5:J11" si="6">W5/1000000</f>
        <v>105</v>
      </c>
      <c r="K5" s="43">
        <f t="shared" ref="K5:K11" si="7">X5/1000000</f>
        <v>114.99999999999999</v>
      </c>
      <c r="L5" s="44">
        <f t="shared" ref="L5:L11" si="8">Y5/1000000</f>
        <v>114.99999999999999</v>
      </c>
      <c r="M5" s="52">
        <f>SUM(C5:L5)</f>
        <v>1070.2053991135299</v>
      </c>
      <c r="P5" s="261">
        <v>105662671.39999996</v>
      </c>
      <c r="Q5" s="261">
        <v>104542727.71352991</v>
      </c>
      <c r="R5" s="261">
        <v>105000000</v>
      </c>
      <c r="S5" s="261">
        <v>105000000</v>
      </c>
      <c r="T5" s="261">
        <v>105000000</v>
      </c>
      <c r="U5" s="261">
        <v>105000000</v>
      </c>
      <c r="V5" s="261">
        <v>105000000</v>
      </c>
      <c r="W5" s="261">
        <v>105000000</v>
      </c>
      <c r="X5" s="261">
        <v>114999999.99999999</v>
      </c>
      <c r="Y5" s="261">
        <v>114999999.99999999</v>
      </c>
    </row>
    <row r="6" spans="2:25" ht="16.5" x14ac:dyDescent="0.3">
      <c r="B6" s="248" t="s">
        <v>6</v>
      </c>
      <c r="C6" s="45">
        <f t="shared" ref="C6:C11" si="9">P6/1000000</f>
        <v>16.478997809999999</v>
      </c>
      <c r="D6" s="46">
        <f t="shared" si="0"/>
        <v>17.463787199999999</v>
      </c>
      <c r="E6" s="46">
        <f t="shared" si="1"/>
        <v>17.540040000000001</v>
      </c>
      <c r="F6" s="46">
        <f t="shared" si="2"/>
        <v>17.916840000000001</v>
      </c>
      <c r="G6" s="46">
        <f t="shared" si="3"/>
        <v>18.240120000000001</v>
      </c>
      <c r="H6" s="46">
        <f t="shared" si="4"/>
        <v>16.889759999999999</v>
      </c>
      <c r="I6" s="46">
        <f t="shared" si="5"/>
        <v>17.347560000000001</v>
      </c>
      <c r="J6" s="46">
        <f t="shared" si="6"/>
        <v>17.242439999999998</v>
      </c>
      <c r="K6" s="46">
        <f t="shared" si="7"/>
        <v>0</v>
      </c>
      <c r="L6" s="47">
        <f t="shared" si="8"/>
        <v>0</v>
      </c>
      <c r="M6" s="53">
        <f t="shared" ref="M6:M27" si="10">SUM(C6:L6)</f>
        <v>139.11954501</v>
      </c>
      <c r="P6" s="261">
        <v>16478997.810000001</v>
      </c>
      <c r="Q6" s="261">
        <v>17463787.199999999</v>
      </c>
      <c r="R6" s="261">
        <v>17540040</v>
      </c>
      <c r="S6" s="261">
        <v>17916840</v>
      </c>
      <c r="T6" s="261">
        <v>18240120</v>
      </c>
      <c r="U6" s="261">
        <v>16889760</v>
      </c>
      <c r="V6" s="261">
        <v>17347560</v>
      </c>
      <c r="W6" s="261">
        <v>17242440</v>
      </c>
      <c r="X6" s="261">
        <v>0</v>
      </c>
      <c r="Y6" s="261">
        <v>0</v>
      </c>
    </row>
    <row r="7" spans="2:25" ht="16.5" customHeight="1" x14ac:dyDescent="0.3">
      <c r="B7" s="248" t="s">
        <v>258</v>
      </c>
      <c r="C7" s="45">
        <f t="shared" si="9"/>
        <v>0</v>
      </c>
      <c r="D7" s="46">
        <f t="shared" si="0"/>
        <v>0.7</v>
      </c>
      <c r="E7" s="46">
        <f t="shared" si="1"/>
        <v>2.221174377224199</v>
      </c>
      <c r="F7" s="46">
        <f t="shared" si="2"/>
        <v>1.3820640569395017</v>
      </c>
      <c r="G7" s="46">
        <f t="shared" si="3"/>
        <v>1.7275800711743774</v>
      </c>
      <c r="H7" s="46">
        <f t="shared" si="4"/>
        <v>1.5301423487544479</v>
      </c>
      <c r="I7" s="46">
        <f t="shared" si="5"/>
        <v>2.4679715302491103</v>
      </c>
      <c r="J7" s="46">
        <f t="shared" si="6"/>
        <v>0.71051601423487543</v>
      </c>
      <c r="K7" s="46">
        <f t="shared" si="7"/>
        <v>3.7513167259786484</v>
      </c>
      <c r="L7" s="47">
        <f t="shared" si="8"/>
        <v>0.80923487544483963</v>
      </c>
      <c r="M7" s="53">
        <f t="shared" si="10"/>
        <v>15.3</v>
      </c>
      <c r="P7" s="261">
        <v>0</v>
      </c>
      <c r="Q7" s="261">
        <v>700000</v>
      </c>
      <c r="R7" s="261">
        <v>2221174.377224199</v>
      </c>
      <c r="S7" s="261">
        <v>1382064.0569395018</v>
      </c>
      <c r="T7" s="261">
        <v>1727580.0711743773</v>
      </c>
      <c r="U7" s="261">
        <v>1530142.3487544479</v>
      </c>
      <c r="V7" s="261">
        <v>2467971.5302491104</v>
      </c>
      <c r="W7" s="261">
        <v>710516.01423487545</v>
      </c>
      <c r="X7" s="261">
        <v>3751316.7259786483</v>
      </c>
      <c r="Y7" s="261">
        <v>809234.87544483959</v>
      </c>
    </row>
    <row r="8" spans="2:25" ht="16.5" customHeight="1" x14ac:dyDescent="0.3">
      <c r="B8" s="248" t="s">
        <v>259</v>
      </c>
      <c r="C8" s="45">
        <f t="shared" si="9"/>
        <v>0</v>
      </c>
      <c r="D8" s="46">
        <f t="shared" si="0"/>
        <v>0</v>
      </c>
      <c r="E8" s="46">
        <f t="shared" si="1"/>
        <v>2.0538256227758014</v>
      </c>
      <c r="F8" s="46">
        <f t="shared" si="2"/>
        <v>1.277935943060498</v>
      </c>
      <c r="G8" s="46">
        <f t="shared" si="3"/>
        <v>1.5974199288256237</v>
      </c>
      <c r="H8" s="46">
        <f t="shared" si="4"/>
        <v>1.4148576512455515</v>
      </c>
      <c r="I8" s="46">
        <f t="shared" si="5"/>
        <v>2.2820284697508892</v>
      </c>
      <c r="J8" s="46">
        <f t="shared" si="6"/>
        <v>0.65698398576512462</v>
      </c>
      <c r="K8" s="46">
        <f t="shared" si="7"/>
        <v>3.4686832740213518</v>
      </c>
      <c r="L8" s="47">
        <f t="shared" si="8"/>
        <v>0.74826512455516014</v>
      </c>
      <c r="M8" s="53">
        <f t="shared" si="10"/>
        <v>13.500000000000002</v>
      </c>
      <c r="P8" s="261">
        <v>0</v>
      </c>
      <c r="Q8" s="261">
        <v>0</v>
      </c>
      <c r="R8" s="261">
        <v>2053825.6227758012</v>
      </c>
      <c r="S8" s="261">
        <v>1277935.943060498</v>
      </c>
      <c r="T8" s="261">
        <v>1597419.9288256236</v>
      </c>
      <c r="U8" s="261">
        <v>1414857.6512455514</v>
      </c>
      <c r="V8" s="261">
        <v>2282028.4697508891</v>
      </c>
      <c r="W8" s="261">
        <v>656983.98576512467</v>
      </c>
      <c r="X8" s="261">
        <v>3468683.2740213517</v>
      </c>
      <c r="Y8" s="261">
        <v>748265.12455516018</v>
      </c>
    </row>
    <row r="9" spans="2:25" ht="16.5" customHeight="1" x14ac:dyDescent="0.3">
      <c r="B9" s="248" t="s">
        <v>8</v>
      </c>
      <c r="C9" s="45">
        <f t="shared" si="9"/>
        <v>32.842657446250001</v>
      </c>
      <c r="D9" s="46">
        <f t="shared" si="0"/>
        <v>30.115182999999998</v>
      </c>
      <c r="E9" s="46">
        <f t="shared" si="1"/>
        <v>29.998165038799893</v>
      </c>
      <c r="F9" s="46">
        <f t="shared" si="2"/>
        <v>29.988469854200002</v>
      </c>
      <c r="G9" s="46">
        <f t="shared" si="3"/>
        <v>29.989699957899894</v>
      </c>
      <c r="H9" s="46">
        <f t="shared" si="4"/>
        <v>29.996667752199997</v>
      </c>
      <c r="I9" s="46">
        <f t="shared" si="5"/>
        <v>29.993019549399907</v>
      </c>
      <c r="J9" s="46">
        <f t="shared" si="6"/>
        <v>29.987340385099994</v>
      </c>
      <c r="K9" s="46">
        <f t="shared" si="7"/>
        <v>36.994874848599999</v>
      </c>
      <c r="L9" s="47">
        <f t="shared" si="8"/>
        <v>36.992343985599994</v>
      </c>
      <c r="M9" s="53">
        <f t="shared" si="10"/>
        <v>316.89842181804966</v>
      </c>
      <c r="P9" s="261">
        <v>32842657.446249999</v>
      </c>
      <c r="Q9" s="261">
        <v>30115183</v>
      </c>
      <c r="R9" s="261">
        <v>29998165.038799893</v>
      </c>
      <c r="S9" s="261">
        <v>29988469.854200002</v>
      </c>
      <c r="T9" s="261">
        <v>29989699.957899895</v>
      </c>
      <c r="U9" s="261">
        <v>29996667.752199996</v>
      </c>
      <c r="V9" s="261">
        <v>29993019.549399909</v>
      </c>
      <c r="W9" s="261">
        <v>29987340.385099996</v>
      </c>
      <c r="X9" s="261">
        <v>36994874.8486</v>
      </c>
      <c r="Y9" s="261">
        <v>36992343.985599995</v>
      </c>
    </row>
    <row r="10" spans="2:25" ht="16.5" customHeight="1" x14ac:dyDescent="0.3">
      <c r="B10" s="248" t="s">
        <v>10</v>
      </c>
      <c r="C10" s="45">
        <f t="shared" si="9"/>
        <v>2.4099560799999997</v>
      </c>
      <c r="D10" s="46">
        <f t="shared" si="0"/>
        <v>3.0374458800000008</v>
      </c>
      <c r="E10" s="46">
        <f t="shared" si="1"/>
        <v>3.0065800000000005</v>
      </c>
      <c r="F10" s="46">
        <f t="shared" si="2"/>
        <v>3.7028929999999995</v>
      </c>
      <c r="G10" s="46">
        <f t="shared" si="3"/>
        <v>3.4465159999999995</v>
      </c>
      <c r="H10" s="46">
        <f t="shared" si="4"/>
        <v>3.4037260000000003</v>
      </c>
      <c r="I10" s="46">
        <f t="shared" si="5"/>
        <v>3.1423410000000001</v>
      </c>
      <c r="J10" s="46">
        <f t="shared" si="6"/>
        <v>2.8387709999999999</v>
      </c>
      <c r="K10" s="46">
        <f t="shared" si="7"/>
        <v>2.0408240000000002</v>
      </c>
      <c r="L10" s="47">
        <f t="shared" si="8"/>
        <v>4.4247719999999999</v>
      </c>
      <c r="M10" s="53">
        <f t="shared" si="10"/>
        <v>31.453824960000002</v>
      </c>
      <c r="P10" s="261">
        <v>2409956.0799999996</v>
      </c>
      <c r="Q10" s="261">
        <v>3037445.8800000008</v>
      </c>
      <c r="R10" s="261">
        <v>3006580.0000000005</v>
      </c>
      <c r="S10" s="261">
        <v>3702892.9999999995</v>
      </c>
      <c r="T10" s="261">
        <v>3446515.9999999995</v>
      </c>
      <c r="U10" s="261">
        <v>3403726.0000000005</v>
      </c>
      <c r="V10" s="261">
        <v>3142341</v>
      </c>
      <c r="W10" s="261">
        <v>2838771</v>
      </c>
      <c r="X10" s="261">
        <v>2040824.0000000002</v>
      </c>
      <c r="Y10" s="261">
        <v>4424772</v>
      </c>
    </row>
    <row r="11" spans="2:25" ht="17.25" thickBot="1" x14ac:dyDescent="0.35">
      <c r="B11" s="244" t="s">
        <v>11</v>
      </c>
      <c r="C11" s="34">
        <f t="shared" si="9"/>
        <v>12.509019450582706</v>
      </c>
      <c r="D11" s="19">
        <f t="shared" si="0"/>
        <v>12.886791837990261</v>
      </c>
      <c r="E11" s="19">
        <f t="shared" si="1"/>
        <v>13.275972951497575</v>
      </c>
      <c r="F11" s="19">
        <f t="shared" si="2"/>
        <v>13.676907334632819</v>
      </c>
      <c r="G11" s="19">
        <f t="shared" si="3"/>
        <v>9.045899632738081</v>
      </c>
      <c r="H11" s="19">
        <f t="shared" si="4"/>
        <v>9.2268176253928385</v>
      </c>
      <c r="I11" s="19">
        <f t="shared" si="5"/>
        <v>9.4113539779006974</v>
      </c>
      <c r="J11" s="19">
        <f t="shared" si="6"/>
        <v>9.5995810574587122</v>
      </c>
      <c r="K11" s="19">
        <f t="shared" si="7"/>
        <v>11.22343578670572</v>
      </c>
      <c r="L11" s="36">
        <f t="shared" si="8"/>
        <v>11.399848024952037</v>
      </c>
      <c r="M11" s="54">
        <f t="shared" si="10"/>
        <v>112.25562767985144</v>
      </c>
      <c r="P11" s="261">
        <v>12509019.450582705</v>
      </c>
      <c r="Q11" s="261">
        <v>12886791.837990262</v>
      </c>
      <c r="R11" s="261">
        <v>13275972.951497575</v>
      </c>
      <c r="S11" s="261">
        <v>13676907.33463282</v>
      </c>
      <c r="T11" s="261">
        <v>9045899.6327380817</v>
      </c>
      <c r="U11" s="261">
        <v>9226817.6253928393</v>
      </c>
      <c r="V11" s="261">
        <v>9411353.9779006969</v>
      </c>
      <c r="W11" s="261">
        <v>9599581.0574587118</v>
      </c>
      <c r="X11" s="261">
        <v>11223435.786705719</v>
      </c>
      <c r="Y11" s="261">
        <v>11399848.024952037</v>
      </c>
    </row>
    <row r="12" spans="2:25" ht="17.25" thickBot="1" x14ac:dyDescent="0.35">
      <c r="B12" s="2" t="s">
        <v>12</v>
      </c>
      <c r="C12" s="258">
        <v>2022</v>
      </c>
      <c r="D12" s="23">
        <v>2023</v>
      </c>
      <c r="E12" s="23">
        <v>2024</v>
      </c>
      <c r="F12" s="23">
        <v>2025</v>
      </c>
      <c r="G12" s="23">
        <v>2026</v>
      </c>
      <c r="H12" s="23">
        <v>2027</v>
      </c>
      <c r="I12" s="23">
        <v>2028</v>
      </c>
      <c r="J12" s="23">
        <v>2029</v>
      </c>
      <c r="K12" s="255">
        <v>2030</v>
      </c>
      <c r="L12" s="246">
        <v>2031</v>
      </c>
      <c r="M12" s="252" t="s">
        <v>4</v>
      </c>
      <c r="P12" s="260"/>
      <c r="Q12" s="260"/>
      <c r="R12" s="260"/>
      <c r="S12" s="260"/>
      <c r="T12" s="260"/>
      <c r="U12" s="260"/>
      <c r="V12" s="260"/>
      <c r="W12" s="260"/>
      <c r="X12" s="260"/>
      <c r="Y12" s="260"/>
    </row>
    <row r="13" spans="2:25" ht="16.5" customHeight="1" x14ac:dyDescent="0.3">
      <c r="B13" s="245" t="s">
        <v>5</v>
      </c>
      <c r="C13" s="75">
        <f>P13/1000000</f>
        <v>0.18071580937510187</v>
      </c>
      <c r="D13" s="250">
        <f t="shared" ref="D13:D15" si="11">Q13/1000000</f>
        <v>0.17618653398168838</v>
      </c>
      <c r="E13" s="250">
        <f t="shared" ref="E13:E15" si="12">R13/1000000</f>
        <v>0.18102584295000146</v>
      </c>
      <c r="F13" s="250">
        <f t="shared" ref="F13:F15" si="13">S13/1000000</f>
        <v>0.1479373168270306</v>
      </c>
      <c r="G13" s="250">
        <f t="shared" ref="G13:G15" si="14">T13/1000000</f>
        <v>0.19071886991544681</v>
      </c>
      <c r="H13" s="250">
        <f t="shared" ref="H13:H15" si="15">U13/1000000</f>
        <v>0.195569104026378</v>
      </c>
      <c r="I13" s="250">
        <f t="shared" ref="I13:I15" si="16">V13/1000000</f>
        <v>0.20041937601286142</v>
      </c>
      <c r="J13" s="250">
        <f t="shared" ref="J13:J15" si="17">W13/1000000</f>
        <v>0.20526776354075563</v>
      </c>
      <c r="K13" s="250">
        <f t="shared" ref="K13:K15" si="18">X13/1000000</f>
        <v>0.21011226084042689</v>
      </c>
      <c r="L13" s="257">
        <f t="shared" ref="L13:L15" si="19">Y13/1000000</f>
        <v>0.33041563954134101</v>
      </c>
      <c r="M13" s="38">
        <f t="shared" si="10"/>
        <v>2.0183685170110319</v>
      </c>
      <c r="P13" s="262">
        <v>180715.80937510188</v>
      </c>
      <c r="Q13" s="262">
        <v>176186.53398168838</v>
      </c>
      <c r="R13" s="262">
        <v>181025.84295000145</v>
      </c>
      <c r="S13" s="262">
        <v>147937.31682703059</v>
      </c>
      <c r="T13" s="262">
        <v>190718.86991544682</v>
      </c>
      <c r="U13" s="262">
        <v>195569.10402637802</v>
      </c>
      <c r="V13" s="262">
        <v>200419.37601286141</v>
      </c>
      <c r="W13" s="262">
        <v>205267.76354075564</v>
      </c>
      <c r="X13" s="262">
        <v>210112.2608404269</v>
      </c>
      <c r="Y13" s="262">
        <v>330415.63954134099</v>
      </c>
    </row>
    <row r="14" spans="2:25" ht="16.5" customHeight="1" x14ac:dyDescent="0.3">
      <c r="B14" s="248" t="s">
        <v>13</v>
      </c>
      <c r="C14" s="240">
        <f t="shared" ref="C14" si="20">P14/1000000</f>
        <v>21.160688</v>
      </c>
      <c r="D14" s="247">
        <f t="shared" si="11"/>
        <v>24.001407620248003</v>
      </c>
      <c r="E14" s="247">
        <f t="shared" si="12"/>
        <v>24.223435772652962</v>
      </c>
      <c r="F14" s="247">
        <f t="shared" si="13"/>
        <v>25.645904488106019</v>
      </c>
      <c r="G14" s="247">
        <f t="shared" si="14"/>
        <v>26.768822577868139</v>
      </c>
      <c r="H14" s="247">
        <f t="shared" si="15"/>
        <v>27.992199029425503</v>
      </c>
      <c r="I14" s="247">
        <f t="shared" si="16"/>
        <v>29.516043010014013</v>
      </c>
      <c r="J14" s="247">
        <f t="shared" si="17"/>
        <v>30.940363870214295</v>
      </c>
      <c r="K14" s="247">
        <f t="shared" si="18"/>
        <v>32.502382063725008</v>
      </c>
      <c r="L14" s="256">
        <f t="shared" si="19"/>
        <v>34.267501166911259</v>
      </c>
      <c r="M14" s="39">
        <f t="shared" si="10"/>
        <v>277.01874759916518</v>
      </c>
      <c r="P14" s="262">
        <v>21160688</v>
      </c>
      <c r="Q14" s="262">
        <v>24001407.620248001</v>
      </c>
      <c r="R14" s="262">
        <v>24223435.772652961</v>
      </c>
      <c r="S14" s="262">
        <v>25645904.48810602</v>
      </c>
      <c r="T14" s="262">
        <v>26768822.577868138</v>
      </c>
      <c r="U14" s="262">
        <v>27992199.029425502</v>
      </c>
      <c r="V14" s="262">
        <v>29516043.010014012</v>
      </c>
      <c r="W14" s="262">
        <v>30940363.870214295</v>
      </c>
      <c r="X14" s="262">
        <v>32502382.06372501</v>
      </c>
      <c r="Y14" s="262">
        <v>34267501.166911259</v>
      </c>
    </row>
    <row r="15" spans="2:25" ht="16.5" customHeight="1" x14ac:dyDescent="0.3">
      <c r="B15" s="259" t="s">
        <v>14</v>
      </c>
      <c r="C15" s="29">
        <f>P15/1000000</f>
        <v>1.4</v>
      </c>
      <c r="D15" s="30">
        <f t="shared" si="11"/>
        <v>1.4</v>
      </c>
      <c r="E15" s="30">
        <f t="shared" si="12"/>
        <v>1.4</v>
      </c>
      <c r="F15" s="30">
        <f t="shared" si="13"/>
        <v>1.3</v>
      </c>
      <c r="G15" s="30">
        <f t="shared" si="14"/>
        <v>1.3</v>
      </c>
      <c r="H15" s="30">
        <f t="shared" si="15"/>
        <v>1.3</v>
      </c>
      <c r="I15" s="30">
        <f t="shared" si="16"/>
        <v>1.4</v>
      </c>
      <c r="J15" s="30">
        <f t="shared" si="17"/>
        <v>1.4</v>
      </c>
      <c r="K15" s="30">
        <f t="shared" si="18"/>
        <v>1.3</v>
      </c>
      <c r="L15" s="243">
        <f t="shared" si="19"/>
        <v>1.3</v>
      </c>
      <c r="M15" s="40">
        <f t="shared" si="10"/>
        <v>13.500000000000002</v>
      </c>
      <c r="P15" s="262">
        <v>1400000</v>
      </c>
      <c r="Q15" s="262">
        <v>1400000</v>
      </c>
      <c r="R15" s="262">
        <v>1400000</v>
      </c>
      <c r="S15" s="262">
        <v>1300000</v>
      </c>
      <c r="T15" s="262">
        <v>1300000</v>
      </c>
      <c r="U15" s="262">
        <v>1300000</v>
      </c>
      <c r="V15" s="262">
        <v>1400000</v>
      </c>
      <c r="W15" s="262">
        <v>1400000</v>
      </c>
      <c r="X15" s="262">
        <v>1300000</v>
      </c>
      <c r="Y15" s="262">
        <v>1300000</v>
      </c>
    </row>
    <row r="16" spans="2:25" ht="16.5" customHeight="1" x14ac:dyDescent="0.3">
      <c r="B16" s="248" t="s">
        <v>15</v>
      </c>
      <c r="C16" s="240">
        <f t="shared" ref="C16:L17" si="21">P16/1000000</f>
        <v>3.6124450000000001</v>
      </c>
      <c r="D16" s="247">
        <f t="shared" si="21"/>
        <v>3.6609690521439999</v>
      </c>
      <c r="E16" s="247">
        <f t="shared" si="21"/>
        <v>3.0352115863118794</v>
      </c>
      <c r="F16" s="247">
        <f t="shared" si="21"/>
        <v>3.1303768276616419</v>
      </c>
      <c r="G16" s="247">
        <f t="shared" si="21"/>
        <v>3.2270592877713717</v>
      </c>
      <c r="H16" s="247">
        <f t="shared" si="21"/>
        <v>3.3022866240975515</v>
      </c>
      <c r="I16" s="247">
        <f t="shared" si="21"/>
        <v>3.3792856609145225</v>
      </c>
      <c r="J16" s="247">
        <f t="shared" si="21"/>
        <v>3.458098511076209</v>
      </c>
      <c r="K16" s="247">
        <f t="shared" si="21"/>
        <v>3.6310034366300195</v>
      </c>
      <c r="L16" s="256">
        <f t="shared" si="21"/>
        <v>3.812553608461521</v>
      </c>
      <c r="M16" s="39">
        <f t="shared" si="10"/>
        <v>34.249289595068717</v>
      </c>
      <c r="P16" s="262">
        <v>3612445</v>
      </c>
      <c r="Q16" s="262">
        <v>3660969.0521439998</v>
      </c>
      <c r="R16" s="262">
        <v>3035211.5863118796</v>
      </c>
      <c r="S16" s="262">
        <v>3130376.8276616419</v>
      </c>
      <c r="T16" s="262">
        <v>3227059.2877713717</v>
      </c>
      <c r="U16" s="262">
        <v>3302286.6240975517</v>
      </c>
      <c r="V16" s="262">
        <v>3379285.6609145226</v>
      </c>
      <c r="W16" s="262">
        <v>3458098.5110762091</v>
      </c>
      <c r="X16" s="262">
        <v>3631003.4366300195</v>
      </c>
      <c r="Y16" s="262">
        <v>3812553.6084615211</v>
      </c>
    </row>
    <row r="17" spans="2:25" ht="16.5" customHeight="1" x14ac:dyDescent="0.3">
      <c r="B17" s="259" t="s">
        <v>16</v>
      </c>
      <c r="C17" s="29">
        <f t="shared" si="21"/>
        <v>0</v>
      </c>
      <c r="D17" s="30">
        <f t="shared" si="21"/>
        <v>0</v>
      </c>
      <c r="E17" s="30">
        <f t="shared" si="21"/>
        <v>0</v>
      </c>
      <c r="F17" s="30">
        <f t="shared" si="21"/>
        <v>0</v>
      </c>
      <c r="G17" s="30">
        <f t="shared" si="21"/>
        <v>0</v>
      </c>
      <c r="H17" s="30">
        <f t="shared" si="21"/>
        <v>0</v>
      </c>
      <c r="I17" s="30">
        <f t="shared" si="21"/>
        <v>0</v>
      </c>
      <c r="J17" s="30">
        <f t="shared" si="21"/>
        <v>0</v>
      </c>
      <c r="K17" s="30">
        <f t="shared" si="21"/>
        <v>0</v>
      </c>
      <c r="L17" s="243">
        <f t="shared" si="21"/>
        <v>0</v>
      </c>
      <c r="M17" s="40">
        <f t="shared" si="10"/>
        <v>0</v>
      </c>
      <c r="P17" s="262">
        <v>0</v>
      </c>
      <c r="Q17" s="262">
        <v>0</v>
      </c>
      <c r="R17" s="262">
        <v>0</v>
      </c>
      <c r="S17" s="262">
        <v>0</v>
      </c>
      <c r="T17" s="262">
        <v>0</v>
      </c>
      <c r="U17" s="262">
        <v>0</v>
      </c>
      <c r="V17" s="262">
        <v>0</v>
      </c>
      <c r="W17" s="262">
        <v>0</v>
      </c>
      <c r="X17" s="262">
        <v>0</v>
      </c>
      <c r="Y17" s="262">
        <v>0</v>
      </c>
    </row>
    <row r="18" spans="2:25" ht="16.5" customHeight="1" x14ac:dyDescent="0.3">
      <c r="B18" s="248" t="s">
        <v>6</v>
      </c>
      <c r="C18" s="240">
        <f t="shared" ref="C18:C27" si="22">P18/1000000</f>
        <v>0.49436993396999995</v>
      </c>
      <c r="D18" s="247">
        <f t="shared" ref="D18:D27" si="23">Q18/1000000</f>
        <v>0.52391361599999997</v>
      </c>
      <c r="E18" s="247">
        <f t="shared" ref="E18:E27" si="24">R18/1000000</f>
        <v>0.53439188831999995</v>
      </c>
      <c r="F18" s="247">
        <f t="shared" ref="F18:F27" si="25">S18/1000000</f>
        <v>0.54507972608639998</v>
      </c>
      <c r="G18" s="247">
        <f t="shared" ref="G18:G27" si="26">T18/1000000</f>
        <v>0.55598132060812799</v>
      </c>
      <c r="H18" s="247">
        <f t="shared" ref="H18:H27" si="27">U18/1000000</f>
        <v>0.56710094702029057</v>
      </c>
      <c r="I18" s="247">
        <f t="shared" ref="I18:I27" si="28">V18/1000000</f>
        <v>0.57844296596069644</v>
      </c>
      <c r="J18" s="247">
        <f t="shared" ref="J18:J27" si="29">W18/1000000</f>
        <v>0.59001182527991036</v>
      </c>
      <c r="K18" s="247">
        <f t="shared" ref="K18:K27" si="30">X18/1000000</f>
        <v>0.60181206178550861</v>
      </c>
      <c r="L18" s="256">
        <f t="shared" ref="L18:L27" si="31">Y18/1000000</f>
        <v>0.61384830302121884</v>
      </c>
      <c r="M18" s="39">
        <f t="shared" si="10"/>
        <v>5.6049525880521536</v>
      </c>
      <c r="P18" s="262">
        <v>494369.93396999995</v>
      </c>
      <c r="Q18" s="262">
        <v>523913.61599999998</v>
      </c>
      <c r="R18" s="262">
        <v>534391.88831999991</v>
      </c>
      <c r="S18" s="262">
        <v>545079.72608639998</v>
      </c>
      <c r="T18" s="262">
        <v>555981.32060812798</v>
      </c>
      <c r="U18" s="262">
        <v>567100.94702029054</v>
      </c>
      <c r="V18" s="262">
        <v>578442.96596069646</v>
      </c>
      <c r="W18" s="262">
        <v>590011.82527991035</v>
      </c>
      <c r="X18" s="262">
        <v>601812.06178550865</v>
      </c>
      <c r="Y18" s="262">
        <v>613848.30302121886</v>
      </c>
    </row>
    <row r="19" spans="2:25" ht="16.5" customHeight="1" x14ac:dyDescent="0.3">
      <c r="B19" s="248" t="s">
        <v>258</v>
      </c>
      <c r="C19" s="240">
        <f t="shared" si="22"/>
        <v>0</v>
      </c>
      <c r="D19" s="247">
        <f t="shared" si="23"/>
        <v>0</v>
      </c>
      <c r="E19" s="247">
        <f t="shared" si="24"/>
        <v>0</v>
      </c>
      <c r="F19" s="247">
        <f t="shared" si="25"/>
        <v>0</v>
      </c>
      <c r="G19" s="247">
        <f t="shared" si="26"/>
        <v>0</v>
      </c>
      <c r="H19" s="247">
        <f t="shared" si="27"/>
        <v>0</v>
      </c>
      <c r="I19" s="247">
        <f t="shared" si="28"/>
        <v>0</v>
      </c>
      <c r="J19" s="247">
        <f t="shared" si="29"/>
        <v>0</v>
      </c>
      <c r="K19" s="247">
        <f t="shared" si="30"/>
        <v>0</v>
      </c>
      <c r="L19" s="256">
        <f t="shared" si="31"/>
        <v>0</v>
      </c>
      <c r="M19" s="39">
        <f t="shared" si="10"/>
        <v>0</v>
      </c>
      <c r="P19" s="262">
        <v>0</v>
      </c>
      <c r="Q19" s="262">
        <v>0</v>
      </c>
      <c r="R19" s="262">
        <v>0</v>
      </c>
      <c r="S19" s="262">
        <v>0</v>
      </c>
      <c r="T19" s="262">
        <v>0</v>
      </c>
      <c r="U19" s="262">
        <v>0</v>
      </c>
      <c r="V19" s="262">
        <v>0</v>
      </c>
      <c r="W19" s="262">
        <v>0</v>
      </c>
      <c r="X19" s="262">
        <v>0</v>
      </c>
      <c r="Y19" s="262">
        <v>0</v>
      </c>
    </row>
    <row r="20" spans="2:25" ht="16.5" customHeight="1" x14ac:dyDescent="0.3">
      <c r="B20" s="248" t="s">
        <v>259</v>
      </c>
      <c r="C20" s="240">
        <f t="shared" si="22"/>
        <v>0</v>
      </c>
      <c r="D20" s="247">
        <f t="shared" si="23"/>
        <v>0</v>
      </c>
      <c r="E20" s="247">
        <f t="shared" si="24"/>
        <v>0</v>
      </c>
      <c r="F20" s="247">
        <f t="shared" si="25"/>
        <v>0</v>
      </c>
      <c r="G20" s="247">
        <f t="shared" si="26"/>
        <v>0</v>
      </c>
      <c r="H20" s="247">
        <f t="shared" si="27"/>
        <v>0</v>
      </c>
      <c r="I20" s="247">
        <f t="shared" si="28"/>
        <v>0</v>
      </c>
      <c r="J20" s="247">
        <f t="shared" si="29"/>
        <v>0</v>
      </c>
      <c r="K20" s="247">
        <f t="shared" si="30"/>
        <v>0</v>
      </c>
      <c r="L20" s="256">
        <f t="shared" si="31"/>
        <v>0</v>
      </c>
      <c r="M20" s="39">
        <f t="shared" si="10"/>
        <v>0</v>
      </c>
      <c r="P20" s="262">
        <v>0</v>
      </c>
      <c r="Q20" s="262">
        <v>0</v>
      </c>
      <c r="R20" s="262">
        <v>0</v>
      </c>
      <c r="S20" s="262">
        <v>0</v>
      </c>
      <c r="T20" s="262">
        <v>0</v>
      </c>
      <c r="U20" s="262">
        <v>0</v>
      </c>
      <c r="V20" s="262">
        <v>0</v>
      </c>
      <c r="W20" s="262">
        <v>0</v>
      </c>
      <c r="X20" s="262">
        <v>0</v>
      </c>
      <c r="Y20" s="262">
        <v>0</v>
      </c>
    </row>
    <row r="21" spans="2:25" ht="16.5" customHeight="1" x14ac:dyDescent="0.3">
      <c r="B21" s="248" t="s">
        <v>8</v>
      </c>
      <c r="C21" s="240">
        <f t="shared" si="22"/>
        <v>0.55685314782499995</v>
      </c>
      <c r="D21" s="247">
        <f t="shared" si="23"/>
        <v>0.61865400000000004</v>
      </c>
      <c r="E21" s="247">
        <f t="shared" si="24"/>
        <v>0.67030008000000008</v>
      </c>
      <c r="F21" s="247">
        <f t="shared" si="25"/>
        <v>0.7201830816</v>
      </c>
      <c r="G21" s="247">
        <f t="shared" si="26"/>
        <v>0.77030774323200002</v>
      </c>
      <c r="H21" s="247">
        <f t="shared" si="27"/>
        <v>0.82067889809663996</v>
      </c>
      <c r="I21" s="247">
        <f t="shared" si="28"/>
        <v>0.87130147605857289</v>
      </c>
      <c r="J21" s="247">
        <f t="shared" si="29"/>
        <v>0.91818050557974396</v>
      </c>
      <c r="K21" s="247">
        <f t="shared" si="30"/>
        <v>0.97332111569133906</v>
      </c>
      <c r="L21" s="256">
        <f t="shared" si="31"/>
        <v>1.0247285380051658</v>
      </c>
      <c r="M21" s="39">
        <f t="shared" si="10"/>
        <v>7.9445085860884603</v>
      </c>
      <c r="P21" s="262">
        <v>556853.14782499999</v>
      </c>
      <c r="Q21" s="262">
        <v>618654</v>
      </c>
      <c r="R21" s="262">
        <v>670300.08000000007</v>
      </c>
      <c r="S21" s="262">
        <v>720183.08160000003</v>
      </c>
      <c r="T21" s="262">
        <v>770307.74323200004</v>
      </c>
      <c r="U21" s="262">
        <v>820678.89809664001</v>
      </c>
      <c r="V21" s="262">
        <v>871301.47605857288</v>
      </c>
      <c r="W21" s="262">
        <v>918180.505579744</v>
      </c>
      <c r="X21" s="262">
        <v>973321.11569133902</v>
      </c>
      <c r="Y21" s="262">
        <v>1024728.5380051659</v>
      </c>
    </row>
    <row r="22" spans="2:25" ht="16.5" customHeight="1" x14ac:dyDescent="0.3">
      <c r="B22" s="248" t="s">
        <v>10</v>
      </c>
      <c r="C22" s="240">
        <f t="shared" si="22"/>
        <v>0</v>
      </c>
      <c r="D22" s="247">
        <f t="shared" si="23"/>
        <v>0</v>
      </c>
      <c r="E22" s="247">
        <f t="shared" si="24"/>
        <v>0</v>
      </c>
      <c r="F22" s="247">
        <f t="shared" si="25"/>
        <v>0</v>
      </c>
      <c r="G22" s="247">
        <f t="shared" si="26"/>
        <v>0</v>
      </c>
      <c r="H22" s="247">
        <f t="shared" si="27"/>
        <v>0</v>
      </c>
      <c r="I22" s="247">
        <f t="shared" si="28"/>
        <v>0</v>
      </c>
      <c r="J22" s="247">
        <f t="shared" si="29"/>
        <v>0</v>
      </c>
      <c r="K22" s="247">
        <f t="shared" si="30"/>
        <v>0</v>
      </c>
      <c r="L22" s="256">
        <f t="shared" si="31"/>
        <v>0</v>
      </c>
      <c r="M22" s="39">
        <f t="shared" si="10"/>
        <v>0</v>
      </c>
      <c r="P22" s="262">
        <v>0</v>
      </c>
      <c r="Q22" s="262">
        <v>0</v>
      </c>
      <c r="R22" s="262">
        <v>0</v>
      </c>
      <c r="S22" s="262">
        <v>0</v>
      </c>
      <c r="T22" s="262">
        <v>0</v>
      </c>
      <c r="U22" s="262">
        <v>0</v>
      </c>
      <c r="V22" s="262">
        <v>0</v>
      </c>
      <c r="W22" s="262">
        <v>0</v>
      </c>
      <c r="X22" s="262">
        <v>0</v>
      </c>
      <c r="Y22" s="262">
        <v>0</v>
      </c>
    </row>
    <row r="23" spans="2:25" ht="16.5" customHeight="1" x14ac:dyDescent="0.3">
      <c r="B23" s="248" t="s">
        <v>17</v>
      </c>
      <c r="C23" s="240">
        <f t="shared" si="22"/>
        <v>1.02</v>
      </c>
      <c r="D23" s="247">
        <f t="shared" si="23"/>
        <v>1.0403579999999999</v>
      </c>
      <c r="E23" s="247">
        <f t="shared" si="24"/>
        <v>1.0611651599999998</v>
      </c>
      <c r="F23" s="247">
        <f t="shared" si="25"/>
        <v>1.0823884631999998</v>
      </c>
      <c r="G23" s="247">
        <f t="shared" si="26"/>
        <v>1.1040362324639998</v>
      </c>
      <c r="H23" s="247">
        <f t="shared" si="27"/>
        <v>1.1261169571132799</v>
      </c>
      <c r="I23" s="247">
        <f t="shared" si="28"/>
        <v>1.1486392962555454</v>
      </c>
      <c r="J23" s="247">
        <f t="shared" si="29"/>
        <v>1.1716120821806566</v>
      </c>
      <c r="K23" s="247">
        <f t="shared" si="30"/>
        <v>1.1950443238242696</v>
      </c>
      <c r="L23" s="256">
        <f t="shared" si="31"/>
        <v>1.218945210300755</v>
      </c>
      <c r="M23" s="39">
        <f t="shared" si="10"/>
        <v>11.168305725338506</v>
      </c>
      <c r="P23" s="262">
        <v>1020000</v>
      </c>
      <c r="Q23" s="262">
        <v>1040357.9999999999</v>
      </c>
      <c r="R23" s="262">
        <v>1061165.1599999999</v>
      </c>
      <c r="S23" s="262">
        <v>1082388.4631999999</v>
      </c>
      <c r="T23" s="262">
        <v>1104036.2324639999</v>
      </c>
      <c r="U23" s="262">
        <v>1126116.95711328</v>
      </c>
      <c r="V23" s="262">
        <v>1148639.2962555455</v>
      </c>
      <c r="W23" s="262">
        <v>1171612.0821806565</v>
      </c>
      <c r="X23" s="262">
        <v>1195044.3238242697</v>
      </c>
      <c r="Y23" s="262">
        <v>1218945.210300755</v>
      </c>
    </row>
    <row r="24" spans="2:25" ht="16.5" customHeight="1" x14ac:dyDescent="0.3">
      <c r="B24" s="248" t="s">
        <v>18</v>
      </c>
      <c r="C24" s="240">
        <f t="shared" si="22"/>
        <v>0.58298500000000009</v>
      </c>
      <c r="D24" s="247">
        <f t="shared" si="23"/>
        <v>0.54364410000000007</v>
      </c>
      <c r="E24" s="247">
        <f t="shared" si="24"/>
        <v>0.55451698199999999</v>
      </c>
      <c r="F24" s="247">
        <f t="shared" si="25"/>
        <v>0.56560732164000005</v>
      </c>
      <c r="G24" s="247">
        <f t="shared" si="26"/>
        <v>0.57691946807280003</v>
      </c>
      <c r="H24" s="247">
        <f t="shared" si="27"/>
        <v>0.58845785743425605</v>
      </c>
      <c r="I24" s="247">
        <f t="shared" si="28"/>
        <v>0.60022701458294125</v>
      </c>
      <c r="J24" s="247">
        <f t="shared" si="29"/>
        <v>0.61223155487460013</v>
      </c>
      <c r="K24" s="247">
        <f t="shared" si="30"/>
        <v>0.62447618597209209</v>
      </c>
      <c r="L24" s="256">
        <f t="shared" si="31"/>
        <v>0.63696570969153399</v>
      </c>
      <c r="M24" s="39">
        <f t="shared" si="10"/>
        <v>5.8860311942682237</v>
      </c>
      <c r="P24" s="262">
        <v>582985.00000000012</v>
      </c>
      <c r="Q24" s="262">
        <v>543644.10000000009</v>
      </c>
      <c r="R24" s="262">
        <v>554516.98199999996</v>
      </c>
      <c r="S24" s="262">
        <v>565607.3216400001</v>
      </c>
      <c r="T24" s="262">
        <v>576919.46807280008</v>
      </c>
      <c r="U24" s="262">
        <v>588457.857434256</v>
      </c>
      <c r="V24" s="262">
        <v>600227.01458294131</v>
      </c>
      <c r="W24" s="262">
        <v>612231.55487460014</v>
      </c>
      <c r="X24" s="262">
        <v>624476.18597209209</v>
      </c>
      <c r="Y24" s="262">
        <v>636965.70969153394</v>
      </c>
    </row>
    <row r="25" spans="2:25" ht="16.5" customHeight="1" x14ac:dyDescent="0.3">
      <c r="B25" s="248" t="s">
        <v>19</v>
      </c>
      <c r="C25" s="240">
        <f t="shared" si="22"/>
        <v>0.92430000000000001</v>
      </c>
      <c r="D25" s="247">
        <f t="shared" si="23"/>
        <v>0.86629999999999996</v>
      </c>
      <c r="E25" s="247">
        <f t="shared" si="24"/>
        <v>0.88362600000000002</v>
      </c>
      <c r="F25" s="247">
        <f t="shared" si="25"/>
        <v>0.90129851999999999</v>
      </c>
      <c r="G25" s="247">
        <f t="shared" si="26"/>
        <v>0.91932449039999997</v>
      </c>
      <c r="H25" s="247">
        <f t="shared" si="27"/>
        <v>0.93771098020800003</v>
      </c>
      <c r="I25" s="247">
        <f t="shared" si="28"/>
        <v>0.95646519981216016</v>
      </c>
      <c r="J25" s="247">
        <f t="shared" si="29"/>
        <v>0.97559450380840329</v>
      </c>
      <c r="K25" s="247">
        <f t="shared" si="30"/>
        <v>0.99510639388457134</v>
      </c>
      <c r="L25" s="256">
        <f t="shared" si="31"/>
        <v>1.0150085217622629</v>
      </c>
      <c r="M25" s="39">
        <f t="shared" si="10"/>
        <v>9.3747346098753983</v>
      </c>
      <c r="P25" s="262">
        <v>924300</v>
      </c>
      <c r="Q25" s="262">
        <v>866300</v>
      </c>
      <c r="R25" s="262">
        <v>883626</v>
      </c>
      <c r="S25" s="262">
        <v>901298.52</v>
      </c>
      <c r="T25" s="262">
        <v>919324.49040000001</v>
      </c>
      <c r="U25" s="262">
        <v>937710.98020800005</v>
      </c>
      <c r="V25" s="262">
        <v>956465.19981216011</v>
      </c>
      <c r="W25" s="262">
        <v>975594.50380840327</v>
      </c>
      <c r="X25" s="262">
        <v>995106.39388457139</v>
      </c>
      <c r="Y25" s="262">
        <v>1015008.5217622629</v>
      </c>
    </row>
    <row r="26" spans="2:25" ht="16.5" customHeight="1" x14ac:dyDescent="0.3">
      <c r="B26" s="259" t="s">
        <v>20</v>
      </c>
      <c r="C26" s="29">
        <f t="shared" si="22"/>
        <v>0.28611000000000003</v>
      </c>
      <c r="D26" s="30">
        <f t="shared" si="23"/>
        <v>0.2918322000000001</v>
      </c>
      <c r="E26" s="30">
        <f t="shared" si="24"/>
        <v>0.29766884400000004</v>
      </c>
      <c r="F26" s="30">
        <f t="shared" si="25"/>
        <v>0.30362222088000007</v>
      </c>
      <c r="G26" s="30">
        <f t="shared" si="26"/>
        <v>0.30969466529760009</v>
      </c>
      <c r="H26" s="30">
        <f t="shared" si="27"/>
        <v>0.31588855860355214</v>
      </c>
      <c r="I26" s="30">
        <f t="shared" si="28"/>
        <v>0.32220632977562313</v>
      </c>
      <c r="J26" s="30">
        <f t="shared" si="29"/>
        <v>0.3286504563711356</v>
      </c>
      <c r="K26" s="30">
        <f t="shared" si="30"/>
        <v>0.34</v>
      </c>
      <c r="L26" s="243">
        <f t="shared" si="31"/>
        <v>0.34</v>
      </c>
      <c r="M26" s="40">
        <f t="shared" si="10"/>
        <v>3.1356732749279108</v>
      </c>
      <c r="P26" s="262">
        <v>286110.00000000006</v>
      </c>
      <c r="Q26" s="262">
        <v>291832.20000000007</v>
      </c>
      <c r="R26" s="262">
        <v>297668.84400000004</v>
      </c>
      <c r="S26" s="262">
        <v>303622.2208800001</v>
      </c>
      <c r="T26" s="262">
        <v>309694.66529760009</v>
      </c>
      <c r="U26" s="262">
        <v>315888.55860355211</v>
      </c>
      <c r="V26" s="262">
        <v>322206.32977562316</v>
      </c>
      <c r="W26" s="262">
        <v>328650.4563711356</v>
      </c>
      <c r="X26" s="262">
        <v>340000</v>
      </c>
      <c r="Y26" s="262">
        <v>340000</v>
      </c>
    </row>
    <row r="27" spans="2:25" ht="16.5" customHeight="1" thickBot="1" x14ac:dyDescent="0.35">
      <c r="B27" s="239" t="s">
        <v>11</v>
      </c>
      <c r="C27" s="34">
        <f t="shared" si="22"/>
        <v>0.8094071409200575</v>
      </c>
      <c r="D27" s="19">
        <f t="shared" si="23"/>
        <v>0.83385123657584037</v>
      </c>
      <c r="E27" s="19">
        <f t="shared" si="24"/>
        <v>0.8590335439204313</v>
      </c>
      <c r="F27" s="19">
        <f t="shared" si="25"/>
        <v>0.88497635694682941</v>
      </c>
      <c r="G27" s="19">
        <f t="shared" si="26"/>
        <v>0.58532291741246401</v>
      </c>
      <c r="H27" s="19">
        <f t="shared" si="27"/>
        <v>0.59702937576071313</v>
      </c>
      <c r="I27" s="19">
        <f t="shared" si="28"/>
        <v>0.60896996327592745</v>
      </c>
      <c r="J27" s="19">
        <f t="shared" si="29"/>
        <v>0.62114936254144604</v>
      </c>
      <c r="K27" s="19">
        <f t="shared" si="30"/>
        <v>0.71</v>
      </c>
      <c r="L27" s="36">
        <f t="shared" si="31"/>
        <v>0.72</v>
      </c>
      <c r="M27" s="41">
        <f t="shared" si="10"/>
        <v>7.229739897353709</v>
      </c>
      <c r="P27" s="262">
        <v>809407.14092005754</v>
      </c>
      <c r="Q27" s="262">
        <v>833851.23657584039</v>
      </c>
      <c r="R27" s="262">
        <v>859033.54392043129</v>
      </c>
      <c r="S27" s="262">
        <v>884976.35694682936</v>
      </c>
      <c r="T27" s="262">
        <v>585322.91741246404</v>
      </c>
      <c r="U27" s="262">
        <v>597029.37576071313</v>
      </c>
      <c r="V27" s="262">
        <v>608969.96327592747</v>
      </c>
      <c r="W27" s="262">
        <v>621149.362541446</v>
      </c>
      <c r="X27" s="262">
        <v>710000</v>
      </c>
      <c r="Y27" s="262">
        <v>720000</v>
      </c>
    </row>
    <row r="28" spans="2:25" ht="15.75" thickBot="1" x14ac:dyDescent="0.3"/>
    <row r="29" spans="2:25" ht="15.75" x14ac:dyDescent="0.25">
      <c r="B29" s="63" t="s">
        <v>27</v>
      </c>
      <c r="C29" s="25">
        <f>SUM(C5:C11)</f>
        <v>169.90330218683266</v>
      </c>
      <c r="D29" s="26">
        <f t="shared" ref="D29:L29" si="32">SUM(D5:D11)</f>
        <v>168.74593563152018</v>
      </c>
      <c r="E29" s="26">
        <f t="shared" si="32"/>
        <v>173.0957579902975</v>
      </c>
      <c r="F29" s="26">
        <f t="shared" si="32"/>
        <v>172.94511018883281</v>
      </c>
      <c r="G29" s="26">
        <f t="shared" si="32"/>
        <v>169.04723559063797</v>
      </c>
      <c r="H29" s="26">
        <f t="shared" si="32"/>
        <v>167.46197137759285</v>
      </c>
      <c r="I29" s="26">
        <f t="shared" si="32"/>
        <v>169.64427452730058</v>
      </c>
      <c r="J29" s="26">
        <f t="shared" si="32"/>
        <v>166.03563244255872</v>
      </c>
      <c r="K29" s="26">
        <f t="shared" si="32"/>
        <v>172.47913463530571</v>
      </c>
      <c r="L29" s="55">
        <f t="shared" si="32"/>
        <v>169.374464010552</v>
      </c>
      <c r="M29" s="59">
        <f>SUM(C29:L29)</f>
        <v>1698.732818581431</v>
      </c>
    </row>
    <row r="30" spans="2:25" ht="15.75" x14ac:dyDescent="0.25">
      <c r="B30" s="64" t="s">
        <v>28</v>
      </c>
      <c r="C30" s="33">
        <f>SUM(C13:C27)</f>
        <v>31.027874032090157</v>
      </c>
      <c r="D30" s="15">
        <f t="shared" ref="D30:L30" si="33">SUM(D13:D27)</f>
        <v>33.957116358949534</v>
      </c>
      <c r="E30" s="15">
        <f t="shared" si="33"/>
        <v>33.700375700155277</v>
      </c>
      <c r="F30" s="15">
        <f t="shared" si="33"/>
        <v>35.227374322947917</v>
      </c>
      <c r="G30" s="15">
        <f t="shared" si="33"/>
        <v>36.308187573041948</v>
      </c>
      <c r="H30" s="15">
        <f t="shared" si="33"/>
        <v>37.743038331786174</v>
      </c>
      <c r="I30" s="15">
        <f t="shared" si="33"/>
        <v>39.582000292662862</v>
      </c>
      <c r="J30" s="15">
        <f t="shared" si="33"/>
        <v>41.221160435467148</v>
      </c>
      <c r="K30" s="15">
        <f t="shared" si="33"/>
        <v>43.083257842353234</v>
      </c>
      <c r="L30" s="37">
        <f t="shared" si="33"/>
        <v>45.279966697695052</v>
      </c>
      <c r="M30" s="60">
        <f>SUM(C30:L30)</f>
        <v>377.13035158714933</v>
      </c>
    </row>
    <row r="31" spans="2:25" ht="16.5" thickBot="1" x14ac:dyDescent="0.3">
      <c r="B31" s="65" t="s">
        <v>31</v>
      </c>
      <c r="C31" s="56">
        <f>SUM(C29:C30)</f>
        <v>200.93117621892281</v>
      </c>
      <c r="D31" s="57">
        <f t="shared" ref="D31:M31" si="34">SUM(D29:D30)</f>
        <v>202.7030519904697</v>
      </c>
      <c r="E31" s="57">
        <f t="shared" si="34"/>
        <v>206.79613369045279</v>
      </c>
      <c r="F31" s="57">
        <f t="shared" si="34"/>
        <v>208.17248451178074</v>
      </c>
      <c r="G31" s="57">
        <f t="shared" si="34"/>
        <v>205.35542316367992</v>
      </c>
      <c r="H31" s="57">
        <f t="shared" si="34"/>
        <v>205.20500970937903</v>
      </c>
      <c r="I31" s="57">
        <f t="shared" si="34"/>
        <v>209.22627481996344</v>
      </c>
      <c r="J31" s="57">
        <f t="shared" si="34"/>
        <v>207.25679287802586</v>
      </c>
      <c r="K31" s="57">
        <f t="shared" si="34"/>
        <v>215.56239247765893</v>
      </c>
      <c r="L31" s="58">
        <f t="shared" si="34"/>
        <v>214.65443070824705</v>
      </c>
      <c r="M31" s="61">
        <f t="shared" si="34"/>
        <v>2075.8631701685804</v>
      </c>
    </row>
    <row r="32" spans="2:25" ht="7.5" customHeight="1" thickBot="1" x14ac:dyDescent="0.3">
      <c r="B32" s="62"/>
      <c r="C32" s="62"/>
      <c r="D32" s="62"/>
      <c r="E32" s="62"/>
      <c r="F32" s="62"/>
      <c r="G32" s="62"/>
      <c r="H32" s="62"/>
      <c r="I32" s="62"/>
      <c r="J32" s="62"/>
      <c r="K32" s="62"/>
      <c r="L32" s="62"/>
      <c r="M32" s="62"/>
    </row>
    <row r="33" spans="2:14" x14ac:dyDescent="0.25">
      <c r="B33" s="66" t="s">
        <v>30</v>
      </c>
      <c r="C33" s="69">
        <f>SUM(C5:C10)</f>
        <v>157.39428273624995</v>
      </c>
      <c r="D33" s="70">
        <f t="shared" ref="D33:L33" si="35">SUM(D5:D10)</f>
        <v>155.85914379352991</v>
      </c>
      <c r="E33" s="70">
        <f t="shared" si="35"/>
        <v>159.81978503879992</v>
      </c>
      <c r="F33" s="70">
        <f t="shared" si="35"/>
        <v>159.26820285419998</v>
      </c>
      <c r="G33" s="70">
        <f t="shared" si="35"/>
        <v>160.0013359578999</v>
      </c>
      <c r="H33" s="70">
        <f t="shared" si="35"/>
        <v>158.23515375220001</v>
      </c>
      <c r="I33" s="70">
        <f t="shared" si="35"/>
        <v>160.23292054939989</v>
      </c>
      <c r="J33" s="70">
        <f t="shared" si="35"/>
        <v>156.4360513851</v>
      </c>
      <c r="K33" s="70">
        <f t="shared" si="35"/>
        <v>161.25569884859999</v>
      </c>
      <c r="L33" s="251">
        <f t="shared" si="35"/>
        <v>157.97461598559997</v>
      </c>
      <c r="M33" s="52">
        <f>SUM(C33:L33)</f>
        <v>1586.4771909015794</v>
      </c>
    </row>
    <row r="34" spans="2:14" x14ac:dyDescent="0.25">
      <c r="B34" s="67" t="s">
        <v>29</v>
      </c>
      <c r="C34" s="71">
        <f>C13+C14+C16+C18+C19+C21+C23+C24+C25</f>
        <v>28.5323568911701</v>
      </c>
      <c r="D34" s="51">
        <f t="shared" ref="D34:L34" si="36">D13+D14+D16+D18+D19+D21+D23+D24+D25</f>
        <v>31.431432922373695</v>
      </c>
      <c r="E34" s="51">
        <f t="shared" si="36"/>
        <v>31.143673312234842</v>
      </c>
      <c r="F34" s="51">
        <f t="shared" si="36"/>
        <v>32.738775745121089</v>
      </c>
      <c r="G34" s="51">
        <f t="shared" si="36"/>
        <v>34.11316999033189</v>
      </c>
      <c r="H34" s="51">
        <f t="shared" si="36"/>
        <v>35.530120397421904</v>
      </c>
      <c r="I34" s="51">
        <f t="shared" si="36"/>
        <v>37.250823999611306</v>
      </c>
      <c r="J34" s="51">
        <f t="shared" si="36"/>
        <v>38.871360616554568</v>
      </c>
      <c r="K34" s="51">
        <f t="shared" si="36"/>
        <v>40.733257842353233</v>
      </c>
      <c r="L34" s="242">
        <f t="shared" si="36"/>
        <v>42.919966697695052</v>
      </c>
      <c r="M34" s="53">
        <f>SUM(C34:L34)</f>
        <v>353.26493841486769</v>
      </c>
    </row>
    <row r="35" spans="2:14" ht="15.75" thickBot="1" x14ac:dyDescent="0.3">
      <c r="B35" s="68" t="s">
        <v>32</v>
      </c>
      <c r="C35" s="72">
        <f>SUM(C33:C34)</f>
        <v>185.92663962742006</v>
      </c>
      <c r="D35" s="73">
        <f t="shared" ref="D35:M35" si="37">SUM(D33:D34)</f>
        <v>187.2905767159036</v>
      </c>
      <c r="E35" s="73">
        <f t="shared" si="37"/>
        <v>190.96345835103477</v>
      </c>
      <c r="F35" s="73">
        <f t="shared" si="37"/>
        <v>192.00697859932109</v>
      </c>
      <c r="G35" s="73">
        <f t="shared" si="37"/>
        <v>194.11450594823179</v>
      </c>
      <c r="H35" s="73">
        <f t="shared" si="37"/>
        <v>193.76527414962192</v>
      </c>
      <c r="I35" s="73">
        <f t="shared" si="37"/>
        <v>197.48374454901119</v>
      </c>
      <c r="J35" s="73">
        <f t="shared" si="37"/>
        <v>195.30741200165457</v>
      </c>
      <c r="K35" s="73">
        <f t="shared" si="37"/>
        <v>201.98895669095322</v>
      </c>
      <c r="L35" s="253">
        <f t="shared" si="37"/>
        <v>200.89458268329503</v>
      </c>
      <c r="M35" s="254">
        <f t="shared" si="37"/>
        <v>1939.7421293164471</v>
      </c>
      <c r="N35" s="35"/>
    </row>
  </sheetData>
  <mergeCells count="1">
    <mergeCell ref="B2:M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17C99-44B4-4359-9B40-5FE05BE3DF78}">
  <sheetPr>
    <tabColor rgb="FF00B050"/>
    <pageSetUpPr fitToPage="1"/>
  </sheetPr>
  <dimension ref="B1:H10"/>
  <sheetViews>
    <sheetView workbookViewId="0">
      <selection activeCell="B2" sqref="B2:H10"/>
    </sheetView>
  </sheetViews>
  <sheetFormatPr defaultColWidth="9.140625" defaultRowHeight="15.75" x14ac:dyDescent="0.25"/>
  <cols>
    <col min="1" max="1" width="9.140625" style="98"/>
    <col min="2" max="2" width="21.5703125" style="98" customWidth="1"/>
    <col min="3" max="3" width="14.28515625" style="98" bestFit="1" customWidth="1"/>
    <col min="4" max="4" width="12.7109375" style="98" customWidth="1"/>
    <col min="5" max="5" width="26.42578125" style="98" customWidth="1"/>
    <col min="6" max="6" width="24.7109375" style="98" customWidth="1"/>
    <col min="7" max="7" width="14.85546875" style="98" customWidth="1"/>
    <col min="8" max="8" width="16.42578125" style="98" customWidth="1"/>
    <col min="9" max="16384" width="9.140625" style="98"/>
  </cols>
  <sheetData>
    <row r="1" spans="2:8" ht="16.5" thickBot="1" x14ac:dyDescent="0.3"/>
    <row r="2" spans="2:8" ht="48" customHeight="1" thickBot="1" x14ac:dyDescent="0.3">
      <c r="B2" s="515" t="s">
        <v>267</v>
      </c>
      <c r="C2" s="516"/>
      <c r="D2" s="516"/>
      <c r="E2" s="516"/>
      <c r="F2" s="516"/>
      <c r="G2" s="516"/>
      <c r="H2" s="517"/>
    </row>
    <row r="3" spans="2:8" ht="81.75" customHeight="1" x14ac:dyDescent="0.25">
      <c r="B3" s="518" t="s">
        <v>41</v>
      </c>
      <c r="C3" s="520" t="s">
        <v>42</v>
      </c>
      <c r="D3" s="520"/>
      <c r="E3" s="520" t="s">
        <v>43</v>
      </c>
      <c r="F3" s="520" t="s">
        <v>44</v>
      </c>
      <c r="G3" s="520" t="s">
        <v>45</v>
      </c>
      <c r="H3" s="522" t="s">
        <v>46</v>
      </c>
    </row>
    <row r="4" spans="2:8" ht="39.75" customHeight="1" thickBot="1" x14ac:dyDescent="0.3">
      <c r="B4" s="519"/>
      <c r="C4" s="99" t="s">
        <v>3</v>
      </c>
      <c r="D4" s="99" t="s">
        <v>12</v>
      </c>
      <c r="E4" s="521"/>
      <c r="F4" s="521"/>
      <c r="G4" s="521"/>
      <c r="H4" s="523"/>
    </row>
    <row r="5" spans="2:8" ht="49.5" customHeight="1" x14ac:dyDescent="0.25">
      <c r="B5" s="100" t="s">
        <v>5</v>
      </c>
      <c r="C5" s="265">
        <f>'2022-2031 SPP Total Costs'!M5</f>
        <v>1070.2053991135299</v>
      </c>
      <c r="D5" s="266">
        <f>'2022-2031 SPP Total Costs'!M13</f>
        <v>2.0183685170110319</v>
      </c>
      <c r="E5" s="271">
        <v>32</v>
      </c>
      <c r="F5" s="271">
        <v>45</v>
      </c>
      <c r="G5" s="271" t="s">
        <v>47</v>
      </c>
      <c r="H5" s="274" t="s">
        <v>260</v>
      </c>
    </row>
    <row r="6" spans="2:8" ht="49.5" customHeight="1" x14ac:dyDescent="0.25">
      <c r="B6" s="101" t="s">
        <v>48</v>
      </c>
      <c r="C6" s="267">
        <v>0</v>
      </c>
      <c r="D6" s="268">
        <f>'2022-2031 SPP Total Costs'!M14+'2022-2031 SPP Total Costs'!M15+'2022-2031 SPP Total Costs'!M16+'2022-2031 SPP Total Costs'!M17</f>
        <v>324.7680371942339</v>
      </c>
      <c r="E6" s="272">
        <v>21</v>
      </c>
      <c r="F6" s="272" t="s">
        <v>49</v>
      </c>
      <c r="G6" s="272" t="s">
        <v>47</v>
      </c>
      <c r="H6" s="275" t="s">
        <v>260</v>
      </c>
    </row>
    <row r="7" spans="2:8" ht="49.5" customHeight="1" x14ac:dyDescent="0.25">
      <c r="B7" s="101" t="s">
        <v>6</v>
      </c>
      <c r="C7" s="267">
        <f>'2022-2031 SPP Total Costs'!M6</f>
        <v>139.11954501</v>
      </c>
      <c r="D7" s="268">
        <f>'2022-2031 SPP Total Costs'!M18</f>
        <v>5.6049525880521536</v>
      </c>
      <c r="E7" s="272">
        <v>85</v>
      </c>
      <c r="F7" s="272">
        <v>14</v>
      </c>
      <c r="G7" s="272" t="s">
        <v>47</v>
      </c>
      <c r="H7" s="275">
        <v>2029</v>
      </c>
    </row>
    <row r="8" spans="2:8" ht="49.5" customHeight="1" x14ac:dyDescent="0.25">
      <c r="B8" s="101" t="s">
        <v>50</v>
      </c>
      <c r="C8" s="267">
        <f>'2022-2031 SPP Total Costs'!M7+'2022-2031 SPP Total Costs'!M8</f>
        <v>28.800000000000004</v>
      </c>
      <c r="D8" s="268">
        <f>'2022-2031 SPP Total Costs'!M19+'2022-2031 SPP Total Costs'!M20</f>
        <v>0</v>
      </c>
      <c r="E8" s="272" t="s">
        <v>308</v>
      </c>
      <c r="F8" s="272" t="s">
        <v>309</v>
      </c>
      <c r="G8" s="272" t="s">
        <v>51</v>
      </c>
      <c r="H8" s="275" t="s">
        <v>260</v>
      </c>
    </row>
    <row r="9" spans="2:8" ht="49.5" customHeight="1" x14ac:dyDescent="0.25">
      <c r="B9" s="101" t="s">
        <v>8</v>
      </c>
      <c r="C9" s="267">
        <f>'2022-2031 SPP Total Costs'!M9</f>
        <v>316.89842181804966</v>
      </c>
      <c r="D9" s="268">
        <f>'2022-2031 SPP Total Costs'!M21</f>
        <v>7.9445085860884603</v>
      </c>
      <c r="E9" s="272">
        <v>54</v>
      </c>
      <c r="F9" s="334">
        <v>46</v>
      </c>
      <c r="G9" s="272" t="s">
        <v>47</v>
      </c>
      <c r="H9" s="275" t="s">
        <v>260</v>
      </c>
    </row>
    <row r="10" spans="2:8" ht="49.5" customHeight="1" thickBot="1" x14ac:dyDescent="0.3">
      <c r="B10" s="103" t="s">
        <v>10</v>
      </c>
      <c r="C10" s="269">
        <f>'2022-2031 SPP Total Costs'!M10</f>
        <v>31.453824960000002</v>
      </c>
      <c r="D10" s="270">
        <f>'2022-2031 SPP Total Costs'!M22</f>
        <v>0</v>
      </c>
      <c r="E10" s="390">
        <v>28</v>
      </c>
      <c r="F10" s="273">
        <v>55</v>
      </c>
      <c r="G10" s="273" t="s">
        <v>51</v>
      </c>
      <c r="H10" s="276" t="s">
        <v>260</v>
      </c>
    </row>
  </sheetData>
  <mergeCells count="7">
    <mergeCell ref="B2:H2"/>
    <mergeCell ref="B3:B4"/>
    <mergeCell ref="C3:D3"/>
    <mergeCell ref="E3:E4"/>
    <mergeCell ref="F3:F4"/>
    <mergeCell ref="G3:G4"/>
    <mergeCell ref="H3:H4"/>
  </mergeCells>
  <pageMargins left="0.7" right="0.7" top="0.75" bottom="0.75" header="0.3" footer="0.3"/>
  <pageSetup scale="7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F2067-03DF-4682-9897-2086E9A845D7}">
  <sheetPr>
    <tabColor rgb="FF00B050"/>
  </sheetPr>
  <dimension ref="B3:N652"/>
  <sheetViews>
    <sheetView topLeftCell="A639" workbookViewId="0">
      <selection activeCell="B7" sqref="B7:B652"/>
    </sheetView>
  </sheetViews>
  <sheetFormatPr defaultColWidth="9.140625" defaultRowHeight="15" x14ac:dyDescent="0.25"/>
  <cols>
    <col min="1" max="1" width="9.140625" style="162"/>
    <col min="2" max="2" width="46.5703125" style="162" customWidth="1"/>
    <col min="3" max="3" width="12.7109375" style="162" customWidth="1"/>
    <col min="4" max="4" width="18.7109375" style="162" customWidth="1"/>
    <col min="5" max="5" width="11.28515625" style="162" customWidth="1"/>
    <col min="6" max="6" width="18.5703125" style="162" customWidth="1"/>
    <col min="7" max="8" width="12.140625" style="162" customWidth="1"/>
    <col min="9" max="9" width="12" style="162" customWidth="1"/>
    <col min="10" max="10" width="15.5703125" style="162" customWidth="1"/>
    <col min="11" max="13" width="13.7109375" style="162" customWidth="1"/>
    <col min="14" max="14" width="15.7109375" style="162" bestFit="1" customWidth="1"/>
    <col min="15" max="16384" width="9.140625" style="162"/>
  </cols>
  <sheetData>
    <row r="3" spans="2:14" ht="15.75" thickBot="1" x14ac:dyDescent="0.3"/>
    <row r="4" spans="2:14" ht="26.25" customHeight="1" thickBot="1" x14ac:dyDescent="0.3">
      <c r="B4" s="524" t="s">
        <v>166</v>
      </c>
      <c r="C4" s="525"/>
      <c r="D4" s="525"/>
      <c r="E4" s="525"/>
      <c r="F4" s="525"/>
      <c r="G4" s="525"/>
      <c r="H4" s="525"/>
      <c r="I4" s="525"/>
      <c r="J4" s="525"/>
      <c r="K4" s="525"/>
      <c r="L4" s="525"/>
      <c r="M4" s="525"/>
      <c r="N4" s="526"/>
    </row>
    <row r="5" spans="2:14" ht="39.75" customHeight="1" x14ac:dyDescent="0.25">
      <c r="B5" s="527" t="s">
        <v>113</v>
      </c>
      <c r="C5" s="529" t="s">
        <v>114</v>
      </c>
      <c r="D5" s="529" t="s">
        <v>115</v>
      </c>
      <c r="E5" s="529"/>
      <c r="F5" s="529" t="s">
        <v>80</v>
      </c>
      <c r="G5" s="529"/>
      <c r="H5" s="529"/>
      <c r="I5" s="529"/>
      <c r="J5" s="529" t="s">
        <v>116</v>
      </c>
      <c r="K5" s="529" t="s">
        <v>117</v>
      </c>
      <c r="L5" s="531" t="s">
        <v>118</v>
      </c>
      <c r="M5" s="531"/>
      <c r="N5" s="532" t="s">
        <v>206</v>
      </c>
    </row>
    <row r="6" spans="2:14" ht="83.25" customHeight="1" thickBot="1" x14ac:dyDescent="0.3">
      <c r="B6" s="528"/>
      <c r="C6" s="530"/>
      <c r="D6" s="447" t="s">
        <v>120</v>
      </c>
      <c r="E6" s="448" t="s">
        <v>121</v>
      </c>
      <c r="F6" s="447" t="s">
        <v>122</v>
      </c>
      <c r="G6" s="447" t="s">
        <v>123</v>
      </c>
      <c r="H6" s="447" t="s">
        <v>124</v>
      </c>
      <c r="I6" s="447" t="s">
        <v>4</v>
      </c>
      <c r="J6" s="530"/>
      <c r="K6" s="530"/>
      <c r="L6" s="447" t="s">
        <v>125</v>
      </c>
      <c r="M6" s="447" t="s">
        <v>126</v>
      </c>
      <c r="N6" s="533"/>
    </row>
    <row r="7" spans="2:14" ht="16.5" customHeight="1" x14ac:dyDescent="0.25">
      <c r="B7" s="449" t="s">
        <v>420</v>
      </c>
      <c r="C7" s="450">
        <v>13021</v>
      </c>
      <c r="D7" s="451">
        <v>0.30681818181818099</v>
      </c>
      <c r="E7" s="271">
        <v>28</v>
      </c>
      <c r="F7" s="396">
        <v>130</v>
      </c>
      <c r="G7" s="396">
        <v>11</v>
      </c>
      <c r="H7" s="396">
        <v>1</v>
      </c>
      <c r="I7" s="396">
        <f>SUM(F7:H7)</f>
        <v>142</v>
      </c>
      <c r="J7" s="396">
        <v>3</v>
      </c>
      <c r="K7" s="452" t="s">
        <v>421</v>
      </c>
      <c r="L7" s="398" t="s">
        <v>422</v>
      </c>
      <c r="M7" s="398" t="s">
        <v>423</v>
      </c>
      <c r="N7" s="199">
        <v>634109.09095999994</v>
      </c>
    </row>
    <row r="8" spans="2:14" ht="16.5" customHeight="1" x14ac:dyDescent="0.25">
      <c r="B8" s="453" t="s">
        <v>424</v>
      </c>
      <c r="C8" s="342">
        <v>13021</v>
      </c>
      <c r="D8" s="454">
        <v>0.31780303030302998</v>
      </c>
      <c r="E8" s="272">
        <v>27</v>
      </c>
      <c r="F8" s="403">
        <v>14</v>
      </c>
      <c r="G8" s="403">
        <v>11</v>
      </c>
      <c r="H8" s="403">
        <v>0</v>
      </c>
      <c r="I8" s="403">
        <f t="shared" ref="I8:I71" si="0">SUM(F8:H8)</f>
        <v>25</v>
      </c>
      <c r="J8" s="403">
        <v>12</v>
      </c>
      <c r="K8" s="455" t="s">
        <v>421</v>
      </c>
      <c r="L8" s="405" t="s">
        <v>425</v>
      </c>
      <c r="M8" s="405" t="s">
        <v>426</v>
      </c>
      <c r="N8" s="200">
        <v>140500</v>
      </c>
    </row>
    <row r="9" spans="2:14" ht="16.5" customHeight="1" x14ac:dyDescent="0.25">
      <c r="B9" s="453" t="s">
        <v>427</v>
      </c>
      <c r="C9" s="342">
        <v>13026</v>
      </c>
      <c r="D9" s="454">
        <v>0.16382575757575699</v>
      </c>
      <c r="E9" s="272">
        <v>11</v>
      </c>
      <c r="F9" s="403">
        <v>64</v>
      </c>
      <c r="G9" s="403">
        <v>7</v>
      </c>
      <c r="H9" s="403">
        <v>2</v>
      </c>
      <c r="I9" s="403">
        <f t="shared" si="0"/>
        <v>73</v>
      </c>
      <c r="J9" s="403">
        <v>0</v>
      </c>
      <c r="K9" s="455" t="s">
        <v>421</v>
      </c>
      <c r="L9" s="405" t="s">
        <v>428</v>
      </c>
      <c r="M9" s="405" t="s">
        <v>422</v>
      </c>
      <c r="N9" s="200">
        <v>152871.21223999999</v>
      </c>
    </row>
    <row r="10" spans="2:14" ht="16.5" customHeight="1" x14ac:dyDescent="0.25">
      <c r="B10" s="453" t="s">
        <v>429</v>
      </c>
      <c r="C10" s="342">
        <v>13026</v>
      </c>
      <c r="D10" s="454">
        <v>0.20814393939393899</v>
      </c>
      <c r="E10" s="272">
        <v>15</v>
      </c>
      <c r="F10" s="403">
        <v>24</v>
      </c>
      <c r="G10" s="403">
        <v>13</v>
      </c>
      <c r="H10" s="403">
        <v>0</v>
      </c>
      <c r="I10" s="403">
        <f t="shared" si="0"/>
        <v>37</v>
      </c>
      <c r="J10" s="403">
        <v>0</v>
      </c>
      <c r="K10" s="455" t="s">
        <v>421</v>
      </c>
      <c r="L10" s="405" t="s">
        <v>428</v>
      </c>
      <c r="M10" s="405" t="s">
        <v>422</v>
      </c>
      <c r="N10" s="200">
        <v>208780.30291999999</v>
      </c>
    </row>
    <row r="11" spans="2:14" ht="16.5" customHeight="1" x14ac:dyDescent="0.25">
      <c r="B11" s="453" t="s">
        <v>430</v>
      </c>
      <c r="C11" s="342">
        <v>13026</v>
      </c>
      <c r="D11" s="454">
        <v>8.5795454545454494E-2</v>
      </c>
      <c r="E11" s="272">
        <v>8</v>
      </c>
      <c r="F11" s="403">
        <v>84</v>
      </c>
      <c r="G11" s="403">
        <v>11</v>
      </c>
      <c r="H11" s="403">
        <v>2</v>
      </c>
      <c r="I11" s="403">
        <f t="shared" si="0"/>
        <v>97</v>
      </c>
      <c r="J11" s="403">
        <v>0</v>
      </c>
      <c r="K11" s="455" t="s">
        <v>421</v>
      </c>
      <c r="L11" s="405" t="s">
        <v>422</v>
      </c>
      <c r="M11" s="405" t="s">
        <v>423</v>
      </c>
      <c r="N11" s="200">
        <v>86294.447400000005</v>
      </c>
    </row>
    <row r="12" spans="2:14" ht="16.5" customHeight="1" x14ac:dyDescent="0.25">
      <c r="B12" s="453" t="s">
        <v>431</v>
      </c>
      <c r="C12" s="342">
        <v>13026</v>
      </c>
      <c r="D12" s="454">
        <v>0.189393939393939</v>
      </c>
      <c r="E12" s="272">
        <v>16</v>
      </c>
      <c r="F12" s="272">
        <v>115</v>
      </c>
      <c r="G12" s="272">
        <v>13</v>
      </c>
      <c r="H12" s="272">
        <v>0</v>
      </c>
      <c r="I12" s="403">
        <f t="shared" si="0"/>
        <v>128</v>
      </c>
      <c r="J12" s="272">
        <v>0</v>
      </c>
      <c r="K12" s="455" t="s">
        <v>421</v>
      </c>
      <c r="L12" s="272" t="s">
        <v>422</v>
      </c>
      <c r="M12" s="405" t="s">
        <v>432</v>
      </c>
      <c r="N12" s="200">
        <v>484875.727439999</v>
      </c>
    </row>
    <row r="13" spans="2:14" ht="16.5" customHeight="1" x14ac:dyDescent="0.25">
      <c r="B13" s="453" t="s">
        <v>433</v>
      </c>
      <c r="C13" s="342">
        <v>13093</v>
      </c>
      <c r="D13" s="454">
        <v>0.185037878787878</v>
      </c>
      <c r="E13" s="272">
        <v>17</v>
      </c>
      <c r="F13" s="272">
        <v>143</v>
      </c>
      <c r="G13" s="272">
        <v>29</v>
      </c>
      <c r="H13" s="272">
        <v>3</v>
      </c>
      <c r="I13" s="403">
        <f t="shared" si="0"/>
        <v>175</v>
      </c>
      <c r="J13" s="272">
        <v>18</v>
      </c>
      <c r="K13" s="455" t="s">
        <v>434</v>
      </c>
      <c r="L13" s="272" t="s">
        <v>426</v>
      </c>
      <c r="M13" s="405" t="s">
        <v>428</v>
      </c>
      <c r="N13" s="200">
        <v>664204.54547999997</v>
      </c>
    </row>
    <row r="14" spans="2:14" ht="16.5" customHeight="1" x14ac:dyDescent="0.25">
      <c r="B14" s="453" t="s">
        <v>435</v>
      </c>
      <c r="C14" s="342">
        <v>13099</v>
      </c>
      <c r="D14" s="454">
        <v>0.24242424242424199</v>
      </c>
      <c r="E14" s="272">
        <v>13</v>
      </c>
      <c r="F14" s="272">
        <v>2</v>
      </c>
      <c r="G14" s="272">
        <v>3</v>
      </c>
      <c r="H14" s="272">
        <v>0</v>
      </c>
      <c r="I14" s="403">
        <f t="shared" si="0"/>
        <v>5</v>
      </c>
      <c r="J14" s="272">
        <v>0</v>
      </c>
      <c r="K14" s="455" t="s">
        <v>421</v>
      </c>
      <c r="L14" s="272" t="s">
        <v>422</v>
      </c>
      <c r="M14" s="405" t="s">
        <v>423</v>
      </c>
      <c r="N14" s="200">
        <v>238465.40775999901</v>
      </c>
    </row>
    <row r="15" spans="2:14" ht="16.5" customHeight="1" x14ac:dyDescent="0.25">
      <c r="B15" s="453" t="s">
        <v>436</v>
      </c>
      <c r="C15" s="342">
        <v>13099</v>
      </c>
      <c r="D15" s="454">
        <v>0.43446969696969601</v>
      </c>
      <c r="E15" s="272">
        <v>24</v>
      </c>
      <c r="F15" s="272">
        <v>68</v>
      </c>
      <c r="G15" s="272">
        <v>5</v>
      </c>
      <c r="H15" s="272">
        <v>0</v>
      </c>
      <c r="I15" s="403">
        <f t="shared" si="0"/>
        <v>73</v>
      </c>
      <c r="J15" s="272">
        <v>0</v>
      </c>
      <c r="K15" s="455" t="s">
        <v>421</v>
      </c>
      <c r="L15" s="272" t="s">
        <v>422</v>
      </c>
      <c r="M15" s="405" t="s">
        <v>437</v>
      </c>
      <c r="N15" s="200">
        <v>747872.12515999901</v>
      </c>
    </row>
    <row r="16" spans="2:14" ht="16.5" customHeight="1" x14ac:dyDescent="0.25">
      <c r="B16" s="453" t="s">
        <v>438</v>
      </c>
      <c r="C16" s="342">
        <v>13099</v>
      </c>
      <c r="D16" s="454">
        <v>0.237310606060606</v>
      </c>
      <c r="E16" s="272">
        <v>18</v>
      </c>
      <c r="F16" s="272">
        <v>128</v>
      </c>
      <c r="G16" s="272">
        <v>9</v>
      </c>
      <c r="H16" s="272">
        <v>2</v>
      </c>
      <c r="I16" s="403">
        <f t="shared" si="0"/>
        <v>139</v>
      </c>
      <c r="J16" s="272">
        <v>0</v>
      </c>
      <c r="K16" s="455" t="s">
        <v>434</v>
      </c>
      <c r="L16" s="405" t="s">
        <v>428</v>
      </c>
      <c r="M16" s="405" t="s">
        <v>422</v>
      </c>
      <c r="N16" s="200">
        <v>577003.03032000002</v>
      </c>
    </row>
    <row r="17" spans="2:14" ht="16.5" customHeight="1" x14ac:dyDescent="0.25">
      <c r="B17" s="453" t="s">
        <v>439</v>
      </c>
      <c r="C17" s="342">
        <v>13100</v>
      </c>
      <c r="D17" s="454">
        <v>0.41193181818181801</v>
      </c>
      <c r="E17" s="272">
        <v>28</v>
      </c>
      <c r="F17" s="272">
        <v>403</v>
      </c>
      <c r="G17" s="272">
        <v>7</v>
      </c>
      <c r="H17" s="272">
        <v>3</v>
      </c>
      <c r="I17" s="403">
        <f t="shared" si="0"/>
        <v>413</v>
      </c>
      <c r="J17" s="272">
        <v>0</v>
      </c>
      <c r="K17" s="455" t="s">
        <v>440</v>
      </c>
      <c r="L17" s="272" t="s">
        <v>423</v>
      </c>
      <c r="M17" s="405" t="s">
        <v>441</v>
      </c>
      <c r="N17" s="200">
        <v>154710.579999999</v>
      </c>
    </row>
    <row r="18" spans="2:14" ht="16.5" customHeight="1" x14ac:dyDescent="0.25">
      <c r="B18" s="453" t="s">
        <v>442</v>
      </c>
      <c r="C18" s="342">
        <v>13102</v>
      </c>
      <c r="D18" s="454">
        <v>0.19034090909090901</v>
      </c>
      <c r="E18" s="272">
        <v>15</v>
      </c>
      <c r="F18" s="272">
        <v>72</v>
      </c>
      <c r="G18" s="272">
        <v>1</v>
      </c>
      <c r="H18" s="272">
        <v>2</v>
      </c>
      <c r="I18" s="403">
        <f t="shared" si="0"/>
        <v>75</v>
      </c>
      <c r="J18" s="272">
        <v>0</v>
      </c>
      <c r="K18" s="455" t="s">
        <v>434</v>
      </c>
      <c r="L18" s="272" t="s">
        <v>443</v>
      </c>
      <c r="M18" s="405" t="s">
        <v>426</v>
      </c>
      <c r="N18" s="200">
        <v>55000</v>
      </c>
    </row>
    <row r="19" spans="2:14" ht="16.5" customHeight="1" x14ac:dyDescent="0.25">
      <c r="B19" s="453" t="s">
        <v>444</v>
      </c>
      <c r="C19" s="342">
        <v>13102</v>
      </c>
      <c r="D19" s="454">
        <v>0.233333333333333</v>
      </c>
      <c r="E19" s="272">
        <v>23</v>
      </c>
      <c r="F19" s="272">
        <v>29</v>
      </c>
      <c r="G19" s="272">
        <v>2</v>
      </c>
      <c r="H19" s="272">
        <v>1</v>
      </c>
      <c r="I19" s="403">
        <f t="shared" si="0"/>
        <v>32</v>
      </c>
      <c r="J19" s="272">
        <v>0</v>
      </c>
      <c r="K19" s="455" t="s">
        <v>445</v>
      </c>
      <c r="L19" s="272" t="s">
        <v>422</v>
      </c>
      <c r="M19" s="405" t="s">
        <v>423</v>
      </c>
      <c r="N19" s="200">
        <v>854885.37583999999</v>
      </c>
    </row>
    <row r="20" spans="2:14" ht="16.5" customHeight="1" x14ac:dyDescent="0.25">
      <c r="B20" s="453" t="s">
        <v>446</v>
      </c>
      <c r="C20" s="342">
        <v>13102</v>
      </c>
      <c r="D20" s="454">
        <v>0.116287878787878</v>
      </c>
      <c r="E20" s="272">
        <v>10</v>
      </c>
      <c r="F20" s="272">
        <v>47</v>
      </c>
      <c r="G20" s="272">
        <v>13</v>
      </c>
      <c r="H20" s="272">
        <v>4</v>
      </c>
      <c r="I20" s="403">
        <f t="shared" si="0"/>
        <v>64</v>
      </c>
      <c r="J20" s="272">
        <v>1</v>
      </c>
      <c r="K20" s="455" t="s">
        <v>421</v>
      </c>
      <c r="L20" s="272" t="s">
        <v>428</v>
      </c>
      <c r="M20" s="405" t="s">
        <v>422</v>
      </c>
      <c r="N20" s="200">
        <v>123608.366119999</v>
      </c>
    </row>
    <row r="21" spans="2:14" ht="16.5" customHeight="1" x14ac:dyDescent="0.25">
      <c r="B21" s="453" t="s">
        <v>447</v>
      </c>
      <c r="C21" s="342">
        <v>13104</v>
      </c>
      <c r="D21" s="454">
        <v>0.38030303030302998</v>
      </c>
      <c r="E21" s="272">
        <v>30</v>
      </c>
      <c r="F21" s="272">
        <v>67</v>
      </c>
      <c r="G21" s="272">
        <v>20</v>
      </c>
      <c r="H21" s="272">
        <v>3</v>
      </c>
      <c r="I21" s="403">
        <f t="shared" si="0"/>
        <v>90</v>
      </c>
      <c r="J21" s="272">
        <v>0</v>
      </c>
      <c r="K21" s="455" t="s">
        <v>421</v>
      </c>
      <c r="L21" s="272" t="s">
        <v>422</v>
      </c>
      <c r="M21" s="405" t="s">
        <v>432</v>
      </c>
      <c r="N21" s="200">
        <v>497526.36355999898</v>
      </c>
    </row>
    <row r="22" spans="2:14" ht="16.5" customHeight="1" x14ac:dyDescent="0.25">
      <c r="B22" s="453" t="s">
        <v>448</v>
      </c>
      <c r="C22" s="342">
        <v>13104</v>
      </c>
      <c r="D22" s="454">
        <v>0.150378787878787</v>
      </c>
      <c r="E22" s="272">
        <v>18</v>
      </c>
      <c r="F22" s="272">
        <v>19</v>
      </c>
      <c r="G22" s="272">
        <v>2</v>
      </c>
      <c r="H22" s="272">
        <v>2</v>
      </c>
      <c r="I22" s="403">
        <f t="shared" si="0"/>
        <v>23</v>
      </c>
      <c r="J22" s="272">
        <v>0</v>
      </c>
      <c r="K22" s="455" t="s">
        <v>421</v>
      </c>
      <c r="L22" s="272" t="s">
        <v>422</v>
      </c>
      <c r="M22" s="405" t="s">
        <v>423</v>
      </c>
      <c r="N22" s="200">
        <v>148692.26063999999</v>
      </c>
    </row>
    <row r="23" spans="2:14" ht="16.5" customHeight="1" x14ac:dyDescent="0.25">
      <c r="B23" s="453" t="s">
        <v>449</v>
      </c>
      <c r="C23" s="342">
        <v>13104</v>
      </c>
      <c r="D23" s="454">
        <v>0.33844696969696902</v>
      </c>
      <c r="E23" s="272">
        <v>33</v>
      </c>
      <c r="F23" s="272">
        <v>74</v>
      </c>
      <c r="G23" s="272">
        <v>19</v>
      </c>
      <c r="H23" s="272">
        <v>1</v>
      </c>
      <c r="I23" s="403">
        <f t="shared" si="0"/>
        <v>94</v>
      </c>
      <c r="J23" s="272">
        <v>0</v>
      </c>
      <c r="K23" s="455" t="s">
        <v>421</v>
      </c>
      <c r="L23" s="272" t="s">
        <v>422</v>
      </c>
      <c r="M23" s="405" t="s">
        <v>432</v>
      </c>
      <c r="N23" s="200">
        <v>430741.98159999901</v>
      </c>
    </row>
    <row r="24" spans="2:14" ht="16.5" customHeight="1" x14ac:dyDescent="0.25">
      <c r="B24" s="453" t="s">
        <v>450</v>
      </c>
      <c r="C24" s="342">
        <v>13104</v>
      </c>
      <c r="D24" s="454">
        <v>0.202651515151515</v>
      </c>
      <c r="E24" s="272">
        <v>17</v>
      </c>
      <c r="F24" s="272">
        <v>16</v>
      </c>
      <c r="G24" s="272">
        <v>8</v>
      </c>
      <c r="H24" s="272">
        <v>0</v>
      </c>
      <c r="I24" s="403">
        <f t="shared" si="0"/>
        <v>24</v>
      </c>
      <c r="J24" s="272">
        <v>0</v>
      </c>
      <c r="K24" s="455" t="s">
        <v>421</v>
      </c>
      <c r="L24" s="272" t="s">
        <v>428</v>
      </c>
      <c r="M24" s="405" t="s">
        <v>422</v>
      </c>
      <c r="N24" s="200">
        <v>187342.42420000001</v>
      </c>
    </row>
    <row r="25" spans="2:14" ht="16.5" customHeight="1" x14ac:dyDescent="0.25">
      <c r="B25" s="453" t="s">
        <v>451</v>
      </c>
      <c r="C25" s="342">
        <v>13105</v>
      </c>
      <c r="D25" s="454">
        <v>0.132386363636363</v>
      </c>
      <c r="E25" s="272">
        <v>13</v>
      </c>
      <c r="F25" s="272">
        <v>14</v>
      </c>
      <c r="G25" s="272">
        <v>3</v>
      </c>
      <c r="H25" s="272">
        <v>0</v>
      </c>
      <c r="I25" s="403">
        <f t="shared" si="0"/>
        <v>17</v>
      </c>
      <c r="J25" s="272">
        <v>0</v>
      </c>
      <c r="K25" s="455" t="s">
        <v>421</v>
      </c>
      <c r="L25" s="272" t="s">
        <v>443</v>
      </c>
      <c r="M25" s="405" t="s">
        <v>426</v>
      </c>
      <c r="N25" s="200">
        <v>14000</v>
      </c>
    </row>
    <row r="26" spans="2:14" ht="16.5" customHeight="1" x14ac:dyDescent="0.25">
      <c r="B26" s="453" t="s">
        <v>452</v>
      </c>
      <c r="C26" s="342">
        <v>13105</v>
      </c>
      <c r="D26" s="454">
        <v>0.12765151515151499</v>
      </c>
      <c r="E26" s="272">
        <v>10</v>
      </c>
      <c r="F26" s="272">
        <v>44</v>
      </c>
      <c r="G26" s="272">
        <v>3</v>
      </c>
      <c r="H26" s="272">
        <v>0</v>
      </c>
      <c r="I26" s="403">
        <f t="shared" si="0"/>
        <v>47</v>
      </c>
      <c r="J26" s="272">
        <v>0</v>
      </c>
      <c r="K26" s="455" t="s">
        <v>421</v>
      </c>
      <c r="L26" s="272" t="s">
        <v>426</v>
      </c>
      <c r="M26" s="405" t="s">
        <v>428</v>
      </c>
      <c r="N26" s="200">
        <v>120742.42419999999</v>
      </c>
    </row>
    <row r="27" spans="2:14" ht="16.5" customHeight="1" x14ac:dyDescent="0.25">
      <c r="B27" s="453" t="s">
        <v>453</v>
      </c>
      <c r="C27" s="342">
        <v>13105</v>
      </c>
      <c r="D27" s="454">
        <v>0.23314393939393899</v>
      </c>
      <c r="E27" s="272">
        <v>21</v>
      </c>
      <c r="F27" s="272">
        <v>122</v>
      </c>
      <c r="G27" s="272">
        <v>15</v>
      </c>
      <c r="H27" s="272">
        <v>1</v>
      </c>
      <c r="I27" s="403">
        <f t="shared" si="0"/>
        <v>138</v>
      </c>
      <c r="J27" s="272">
        <v>0</v>
      </c>
      <c r="K27" s="455" t="s">
        <v>421</v>
      </c>
      <c r="L27" s="272" t="s">
        <v>422</v>
      </c>
      <c r="M27" s="405" t="s">
        <v>423</v>
      </c>
      <c r="N27" s="200">
        <v>238847.44292</v>
      </c>
    </row>
    <row r="28" spans="2:14" ht="16.5" customHeight="1" x14ac:dyDescent="0.25">
      <c r="B28" s="453" t="s">
        <v>454</v>
      </c>
      <c r="C28" s="342">
        <v>13105</v>
      </c>
      <c r="D28" s="454">
        <v>0.11439393939393901</v>
      </c>
      <c r="E28" s="272">
        <v>10</v>
      </c>
      <c r="F28" s="272">
        <v>79</v>
      </c>
      <c r="G28" s="272">
        <v>5</v>
      </c>
      <c r="H28" s="272">
        <v>1</v>
      </c>
      <c r="I28" s="403">
        <f t="shared" si="0"/>
        <v>85</v>
      </c>
      <c r="J28" s="272">
        <v>0</v>
      </c>
      <c r="K28" s="455" t="s">
        <v>421</v>
      </c>
      <c r="L28" s="272" t="s">
        <v>428</v>
      </c>
      <c r="M28" s="405" t="s">
        <v>422</v>
      </c>
      <c r="N28" s="200">
        <v>104230.30292</v>
      </c>
    </row>
    <row r="29" spans="2:14" ht="16.5" customHeight="1" x14ac:dyDescent="0.25">
      <c r="B29" s="453" t="s">
        <v>455</v>
      </c>
      <c r="C29" s="342">
        <v>13106</v>
      </c>
      <c r="D29" s="454">
        <v>0.74848484848484798</v>
      </c>
      <c r="E29" s="272">
        <v>52</v>
      </c>
      <c r="F29" s="272">
        <v>274</v>
      </c>
      <c r="G29" s="272">
        <v>21</v>
      </c>
      <c r="H29" s="272">
        <v>0</v>
      </c>
      <c r="I29" s="403">
        <f t="shared" si="0"/>
        <v>295</v>
      </c>
      <c r="J29" s="272">
        <v>0</v>
      </c>
      <c r="K29" s="455" t="s">
        <v>421</v>
      </c>
      <c r="L29" s="272" t="s">
        <v>425</v>
      </c>
      <c r="M29" s="405" t="s">
        <v>428</v>
      </c>
      <c r="N29" s="200">
        <v>188155.12</v>
      </c>
    </row>
    <row r="30" spans="2:14" ht="16.5" customHeight="1" x14ac:dyDescent="0.25">
      <c r="B30" s="453" t="s">
        <v>456</v>
      </c>
      <c r="C30" s="342">
        <v>13106</v>
      </c>
      <c r="D30" s="454">
        <v>0.10852272727272699</v>
      </c>
      <c r="E30" s="272">
        <v>9</v>
      </c>
      <c r="F30" s="272">
        <v>166</v>
      </c>
      <c r="G30" s="272">
        <v>10</v>
      </c>
      <c r="H30" s="272">
        <v>1</v>
      </c>
      <c r="I30" s="403">
        <f t="shared" si="0"/>
        <v>177</v>
      </c>
      <c r="J30" s="272">
        <v>0</v>
      </c>
      <c r="K30" s="455" t="s">
        <v>421</v>
      </c>
      <c r="L30" s="272" t="s">
        <v>428</v>
      </c>
      <c r="M30" s="405" t="s">
        <v>422</v>
      </c>
      <c r="N30" s="200">
        <v>259986.36356</v>
      </c>
    </row>
    <row r="31" spans="2:14" ht="15.75" x14ac:dyDescent="0.25">
      <c r="B31" s="453" t="s">
        <v>457</v>
      </c>
      <c r="C31" s="342">
        <v>13107</v>
      </c>
      <c r="D31" s="454">
        <v>0.43541666666666601</v>
      </c>
      <c r="E31" s="272">
        <v>28</v>
      </c>
      <c r="F31" s="272">
        <v>119</v>
      </c>
      <c r="G31" s="272">
        <v>27</v>
      </c>
      <c r="H31" s="272">
        <v>2</v>
      </c>
      <c r="I31" s="403">
        <f t="shared" si="0"/>
        <v>148</v>
      </c>
      <c r="J31" s="272">
        <v>0</v>
      </c>
      <c r="K31" s="455" t="s">
        <v>440</v>
      </c>
      <c r="L31" s="272" t="s">
        <v>428</v>
      </c>
      <c r="M31" s="405" t="s">
        <v>423</v>
      </c>
      <c r="N31" s="200">
        <v>389526.71</v>
      </c>
    </row>
    <row r="32" spans="2:14" ht="15.75" x14ac:dyDescent="0.25">
      <c r="B32" s="453" t="s">
        <v>458</v>
      </c>
      <c r="C32" s="342">
        <v>13107</v>
      </c>
      <c r="D32" s="454">
        <v>0.123484848484848</v>
      </c>
      <c r="E32" s="272">
        <v>10</v>
      </c>
      <c r="F32" s="272">
        <v>179</v>
      </c>
      <c r="G32" s="272">
        <v>4</v>
      </c>
      <c r="H32" s="272">
        <v>0</v>
      </c>
      <c r="I32" s="403">
        <f t="shared" si="0"/>
        <v>183</v>
      </c>
      <c r="J32" s="272">
        <v>0</v>
      </c>
      <c r="K32" s="455" t="s">
        <v>421</v>
      </c>
      <c r="L32" s="272" t="s">
        <v>425</v>
      </c>
      <c r="M32" s="405" t="s">
        <v>426</v>
      </c>
      <c r="N32" s="200">
        <v>28000</v>
      </c>
    </row>
    <row r="33" spans="2:14" ht="15.75" x14ac:dyDescent="0.25">
      <c r="B33" s="453" t="s">
        <v>459</v>
      </c>
      <c r="C33" s="342">
        <v>13107</v>
      </c>
      <c r="D33" s="454">
        <v>0.134848484848484</v>
      </c>
      <c r="E33" s="272">
        <v>10</v>
      </c>
      <c r="F33" s="272">
        <v>8</v>
      </c>
      <c r="G33" s="272">
        <v>1</v>
      </c>
      <c r="H33" s="272">
        <v>0</v>
      </c>
      <c r="I33" s="403">
        <f t="shared" si="0"/>
        <v>9</v>
      </c>
      <c r="J33" s="272">
        <v>0</v>
      </c>
      <c r="K33" s="455" t="s">
        <v>421</v>
      </c>
      <c r="L33" s="272" t="s">
        <v>422</v>
      </c>
      <c r="M33" s="405" t="s">
        <v>423</v>
      </c>
      <c r="N33" s="200">
        <v>130871.375799998</v>
      </c>
    </row>
    <row r="34" spans="2:14" ht="15.75" x14ac:dyDescent="0.25">
      <c r="B34" s="453" t="s">
        <v>460</v>
      </c>
      <c r="C34" s="342">
        <v>13158</v>
      </c>
      <c r="D34" s="454">
        <v>0.75795454545454499</v>
      </c>
      <c r="E34" s="272">
        <v>56</v>
      </c>
      <c r="F34" s="272">
        <v>226</v>
      </c>
      <c r="G34" s="272">
        <v>10</v>
      </c>
      <c r="H34" s="272">
        <v>1</v>
      </c>
      <c r="I34" s="403">
        <f t="shared" si="0"/>
        <v>237</v>
      </c>
      <c r="J34" s="272">
        <v>1</v>
      </c>
      <c r="K34" s="455" t="s">
        <v>421</v>
      </c>
      <c r="L34" s="272" t="s">
        <v>426</v>
      </c>
      <c r="M34" s="405" t="s">
        <v>428</v>
      </c>
      <c r="N34" s="200">
        <v>245476.3</v>
      </c>
    </row>
    <row r="35" spans="2:14" ht="15.75" x14ac:dyDescent="0.25">
      <c r="B35" s="453" t="s">
        <v>461</v>
      </c>
      <c r="C35" s="342">
        <v>13158</v>
      </c>
      <c r="D35" s="454">
        <v>0.25018939393939299</v>
      </c>
      <c r="E35" s="272">
        <v>18</v>
      </c>
      <c r="F35" s="272">
        <v>123</v>
      </c>
      <c r="G35" s="272">
        <v>4</v>
      </c>
      <c r="H35" s="272">
        <v>1</v>
      </c>
      <c r="I35" s="403">
        <f t="shared" si="0"/>
        <v>128</v>
      </c>
      <c r="J35" s="272">
        <v>0</v>
      </c>
      <c r="K35" s="455" t="s">
        <v>421</v>
      </c>
      <c r="L35" s="272" t="s">
        <v>422</v>
      </c>
      <c r="M35" s="405" t="s">
        <v>432</v>
      </c>
      <c r="N35" s="200">
        <v>612548.48484000005</v>
      </c>
    </row>
    <row r="36" spans="2:14" ht="15.75" x14ac:dyDescent="0.25">
      <c r="B36" s="453" t="s">
        <v>462</v>
      </c>
      <c r="C36" s="342">
        <v>13158</v>
      </c>
      <c r="D36" s="454">
        <v>0.33428030303030298</v>
      </c>
      <c r="E36" s="272">
        <v>30</v>
      </c>
      <c r="F36" s="272">
        <v>39</v>
      </c>
      <c r="G36" s="272">
        <v>3</v>
      </c>
      <c r="H36" s="272">
        <v>0</v>
      </c>
      <c r="I36" s="403">
        <f t="shared" si="0"/>
        <v>42</v>
      </c>
      <c r="J36" s="272">
        <v>0</v>
      </c>
      <c r="K36" s="455" t="s">
        <v>421</v>
      </c>
      <c r="L36" s="272" t="s">
        <v>428</v>
      </c>
      <c r="M36" s="405" t="s">
        <v>423</v>
      </c>
      <c r="N36" s="200">
        <v>314198.48483999999</v>
      </c>
    </row>
    <row r="37" spans="2:14" ht="15.75" x14ac:dyDescent="0.25">
      <c r="B37" s="453" t="s">
        <v>463</v>
      </c>
      <c r="C37" s="342">
        <v>13176</v>
      </c>
      <c r="D37" s="454">
        <v>0.65700757575757496</v>
      </c>
      <c r="E37" s="272">
        <v>57</v>
      </c>
      <c r="F37" s="272">
        <v>11</v>
      </c>
      <c r="G37" s="272">
        <v>9</v>
      </c>
      <c r="H37" s="272">
        <v>11</v>
      </c>
      <c r="I37" s="403">
        <f t="shared" si="0"/>
        <v>31</v>
      </c>
      <c r="J37" s="272">
        <v>2</v>
      </c>
      <c r="K37" s="455" t="s">
        <v>421</v>
      </c>
      <c r="L37" s="272" t="s">
        <v>428</v>
      </c>
      <c r="M37" s="405" t="s">
        <v>423</v>
      </c>
      <c r="N37" s="200">
        <v>621962.12127999996</v>
      </c>
    </row>
    <row r="38" spans="2:14" ht="15.75" x14ac:dyDescent="0.25">
      <c r="B38" s="453" t="s">
        <v>464</v>
      </c>
      <c r="C38" s="342">
        <v>13176</v>
      </c>
      <c r="D38" s="454">
        <v>0.62348484848484798</v>
      </c>
      <c r="E38" s="272">
        <v>51</v>
      </c>
      <c r="F38" s="272">
        <v>89</v>
      </c>
      <c r="G38" s="272">
        <v>9</v>
      </c>
      <c r="H38" s="272">
        <v>4</v>
      </c>
      <c r="I38" s="403">
        <f t="shared" si="0"/>
        <v>102</v>
      </c>
      <c r="J38" s="272">
        <v>8</v>
      </c>
      <c r="K38" s="455" t="s">
        <v>421</v>
      </c>
      <c r="L38" s="272" t="s">
        <v>423</v>
      </c>
      <c r="M38" s="405" t="s">
        <v>437</v>
      </c>
      <c r="N38" s="200">
        <v>78658.06</v>
      </c>
    </row>
    <row r="39" spans="2:14" ht="15.75" x14ac:dyDescent="0.25">
      <c r="B39" s="453" t="s">
        <v>465</v>
      </c>
      <c r="C39" s="342">
        <v>13176</v>
      </c>
      <c r="D39" s="454">
        <v>0.48087121212121198</v>
      </c>
      <c r="E39" s="272">
        <v>54</v>
      </c>
      <c r="F39" s="272">
        <v>26</v>
      </c>
      <c r="G39" s="272">
        <v>5</v>
      </c>
      <c r="H39" s="272">
        <v>3</v>
      </c>
      <c r="I39" s="403">
        <f t="shared" si="0"/>
        <v>34</v>
      </c>
      <c r="J39" s="272">
        <v>0</v>
      </c>
      <c r="K39" s="455" t="s">
        <v>421</v>
      </c>
      <c r="L39" s="272" t="s">
        <v>425</v>
      </c>
      <c r="M39" s="405" t="s">
        <v>428</v>
      </c>
      <c r="N39" s="200">
        <v>131000</v>
      </c>
    </row>
    <row r="40" spans="2:14" ht="15.75" x14ac:dyDescent="0.25">
      <c r="B40" s="453" t="s">
        <v>466</v>
      </c>
      <c r="C40" s="342">
        <v>13188</v>
      </c>
      <c r="D40" s="454">
        <v>0.122348484848484</v>
      </c>
      <c r="E40" s="272">
        <v>15</v>
      </c>
      <c r="F40" s="272">
        <v>46</v>
      </c>
      <c r="G40" s="272">
        <v>15</v>
      </c>
      <c r="H40" s="272">
        <v>3</v>
      </c>
      <c r="I40" s="403">
        <f t="shared" si="0"/>
        <v>64</v>
      </c>
      <c r="J40" s="272">
        <v>9</v>
      </c>
      <c r="K40" s="455" t="s">
        <v>440</v>
      </c>
      <c r="L40" s="272" t="s">
        <v>422</v>
      </c>
      <c r="M40" s="405" t="s">
        <v>423</v>
      </c>
      <c r="N40" s="200">
        <v>116100</v>
      </c>
    </row>
    <row r="41" spans="2:14" ht="15.75" x14ac:dyDescent="0.25">
      <c r="B41" s="453" t="s">
        <v>467</v>
      </c>
      <c r="C41" s="342">
        <v>13188</v>
      </c>
      <c r="D41" s="454">
        <v>0.16969696969696901</v>
      </c>
      <c r="E41" s="272">
        <v>11</v>
      </c>
      <c r="F41" s="272">
        <v>17</v>
      </c>
      <c r="G41" s="272">
        <v>2</v>
      </c>
      <c r="H41" s="272">
        <v>0</v>
      </c>
      <c r="I41" s="403">
        <f t="shared" si="0"/>
        <v>19</v>
      </c>
      <c r="J41" s="272">
        <v>0</v>
      </c>
      <c r="K41" s="455" t="s">
        <v>421</v>
      </c>
      <c r="L41" s="272" t="s">
        <v>423</v>
      </c>
      <c r="M41" s="405" t="s">
        <v>432</v>
      </c>
      <c r="N41" s="200">
        <v>83831.42</v>
      </c>
    </row>
    <row r="42" spans="2:14" ht="15.75" x14ac:dyDescent="0.25">
      <c r="B42" s="453" t="s">
        <v>468</v>
      </c>
      <c r="C42" s="342">
        <v>13204</v>
      </c>
      <c r="D42" s="454">
        <v>0.379924242424242</v>
      </c>
      <c r="E42" s="272">
        <v>31</v>
      </c>
      <c r="F42" s="272">
        <v>113</v>
      </c>
      <c r="G42" s="272">
        <v>8</v>
      </c>
      <c r="H42" s="272">
        <v>1</v>
      </c>
      <c r="I42" s="403">
        <f t="shared" si="0"/>
        <v>122</v>
      </c>
      <c r="J42" s="272">
        <v>12</v>
      </c>
      <c r="K42" s="455" t="s">
        <v>421</v>
      </c>
      <c r="L42" s="272" t="s">
        <v>428</v>
      </c>
      <c r="M42" s="405" t="s">
        <v>422</v>
      </c>
      <c r="N42" s="200">
        <v>522778.78775999998</v>
      </c>
    </row>
    <row r="43" spans="2:14" ht="15.75" x14ac:dyDescent="0.25">
      <c r="B43" s="453" t="s">
        <v>469</v>
      </c>
      <c r="C43" s="342">
        <v>13205</v>
      </c>
      <c r="D43" s="454">
        <v>0.20151515151515101</v>
      </c>
      <c r="E43" s="272">
        <v>18</v>
      </c>
      <c r="F43" s="272">
        <v>20</v>
      </c>
      <c r="G43" s="272">
        <v>5</v>
      </c>
      <c r="H43" s="272">
        <v>1</v>
      </c>
      <c r="I43" s="403">
        <f t="shared" si="0"/>
        <v>26</v>
      </c>
      <c r="J43" s="272">
        <v>6</v>
      </c>
      <c r="K43" s="455" t="s">
        <v>421</v>
      </c>
      <c r="L43" s="272" t="s">
        <v>428</v>
      </c>
      <c r="M43" s="405" t="s">
        <v>422</v>
      </c>
      <c r="N43" s="200">
        <v>262324.24255999998</v>
      </c>
    </row>
    <row r="44" spans="2:14" ht="15.75" x14ac:dyDescent="0.25">
      <c r="B44" s="453" t="s">
        <v>470</v>
      </c>
      <c r="C44" s="342">
        <v>13205</v>
      </c>
      <c r="D44" s="454">
        <v>0.25170454545454501</v>
      </c>
      <c r="E44" s="272">
        <v>25</v>
      </c>
      <c r="F44" s="272">
        <v>60</v>
      </c>
      <c r="G44" s="272">
        <v>0</v>
      </c>
      <c r="H44" s="272">
        <v>3</v>
      </c>
      <c r="I44" s="403">
        <f t="shared" si="0"/>
        <v>63</v>
      </c>
      <c r="J44" s="272">
        <v>0</v>
      </c>
      <c r="K44" s="455" t="s">
        <v>421</v>
      </c>
      <c r="L44" s="272" t="s">
        <v>422</v>
      </c>
      <c r="M44" s="405" t="s">
        <v>432</v>
      </c>
      <c r="N44" s="200">
        <v>506543.47259999998</v>
      </c>
    </row>
    <row r="45" spans="2:14" ht="15.75" x14ac:dyDescent="0.25">
      <c r="B45" s="453" t="s">
        <v>471</v>
      </c>
      <c r="C45" s="342">
        <v>13205</v>
      </c>
      <c r="D45" s="454">
        <v>0.19943181818181799</v>
      </c>
      <c r="E45" s="272">
        <v>15</v>
      </c>
      <c r="F45" s="272">
        <v>32</v>
      </c>
      <c r="G45" s="272">
        <v>19</v>
      </c>
      <c r="H45" s="272">
        <v>2</v>
      </c>
      <c r="I45" s="403">
        <f t="shared" si="0"/>
        <v>53</v>
      </c>
      <c r="J45" s="272">
        <v>0</v>
      </c>
      <c r="K45" s="455" t="s">
        <v>421</v>
      </c>
      <c r="L45" s="272" t="s">
        <v>428</v>
      </c>
      <c r="M45" s="405" t="s">
        <v>422</v>
      </c>
      <c r="N45" s="200">
        <v>380640.90904</v>
      </c>
    </row>
    <row r="46" spans="2:14" ht="15.75" x14ac:dyDescent="0.25">
      <c r="B46" s="453" t="s">
        <v>472</v>
      </c>
      <c r="C46" s="342">
        <v>13354</v>
      </c>
      <c r="D46" s="454">
        <v>0.19204545454545399</v>
      </c>
      <c r="E46" s="272">
        <v>21</v>
      </c>
      <c r="F46" s="272">
        <v>281</v>
      </c>
      <c r="G46" s="272">
        <v>15</v>
      </c>
      <c r="H46" s="272">
        <v>0</v>
      </c>
      <c r="I46" s="403">
        <f t="shared" si="0"/>
        <v>296</v>
      </c>
      <c r="J46" s="272">
        <v>0</v>
      </c>
      <c r="K46" s="455" t="s">
        <v>421</v>
      </c>
      <c r="L46" s="272" t="s">
        <v>426</v>
      </c>
      <c r="M46" s="405" t="s">
        <v>422</v>
      </c>
      <c r="N46" s="200">
        <v>40179.72</v>
      </c>
    </row>
    <row r="47" spans="2:14" ht="15.75" x14ac:dyDescent="0.25">
      <c r="B47" s="453" t="s">
        <v>473</v>
      </c>
      <c r="C47" s="342">
        <v>13399</v>
      </c>
      <c r="D47" s="454">
        <v>0.189015151515151</v>
      </c>
      <c r="E47" s="272">
        <v>19</v>
      </c>
      <c r="F47" s="272">
        <v>19</v>
      </c>
      <c r="G47" s="272">
        <v>13</v>
      </c>
      <c r="H47" s="272">
        <v>4</v>
      </c>
      <c r="I47" s="403">
        <f t="shared" si="0"/>
        <v>36</v>
      </c>
      <c r="J47" s="272">
        <v>11</v>
      </c>
      <c r="K47" s="455" t="s">
        <v>421</v>
      </c>
      <c r="L47" s="272" t="s">
        <v>428</v>
      </c>
      <c r="M47" s="405" t="s">
        <v>422</v>
      </c>
      <c r="N47" s="200">
        <v>400026.44256</v>
      </c>
    </row>
    <row r="48" spans="2:14" ht="15.75" x14ac:dyDescent="0.25">
      <c r="B48" s="453" t="s">
        <v>474</v>
      </c>
      <c r="C48" s="342">
        <v>13418</v>
      </c>
      <c r="D48" s="454">
        <v>0.21515151515151501</v>
      </c>
      <c r="E48" s="272">
        <v>20</v>
      </c>
      <c r="F48" s="272">
        <v>25</v>
      </c>
      <c r="G48" s="272">
        <v>12</v>
      </c>
      <c r="H48" s="272">
        <v>0</v>
      </c>
      <c r="I48" s="403">
        <f t="shared" si="0"/>
        <v>37</v>
      </c>
      <c r="J48" s="272">
        <v>0</v>
      </c>
      <c r="K48" s="455" t="s">
        <v>421</v>
      </c>
      <c r="L48" s="272" t="s">
        <v>422</v>
      </c>
      <c r="M48" s="405" t="s">
        <v>423</v>
      </c>
      <c r="N48" s="200">
        <v>220188.04419999901</v>
      </c>
    </row>
    <row r="49" spans="2:14" ht="15.75" x14ac:dyDescent="0.25">
      <c r="B49" s="453" t="s">
        <v>475</v>
      </c>
      <c r="C49" s="342">
        <v>13418</v>
      </c>
      <c r="D49" s="454">
        <v>0.32897727272727201</v>
      </c>
      <c r="E49" s="272">
        <v>21</v>
      </c>
      <c r="F49" s="272">
        <v>79</v>
      </c>
      <c r="G49" s="272">
        <v>5</v>
      </c>
      <c r="H49" s="272">
        <v>1</v>
      </c>
      <c r="I49" s="403">
        <f t="shared" si="0"/>
        <v>85</v>
      </c>
      <c r="J49" s="272">
        <v>6</v>
      </c>
      <c r="K49" s="455" t="s">
        <v>421</v>
      </c>
      <c r="L49" s="272" t="s">
        <v>428</v>
      </c>
      <c r="M49" s="405" t="s">
        <v>423</v>
      </c>
      <c r="N49" s="200">
        <v>323959.49643999903</v>
      </c>
    </row>
    <row r="50" spans="2:14" ht="15.75" x14ac:dyDescent="0.25">
      <c r="B50" s="453" t="s">
        <v>476</v>
      </c>
      <c r="C50" s="342">
        <v>13418</v>
      </c>
      <c r="D50" s="454">
        <v>0.47045454545454501</v>
      </c>
      <c r="E50" s="272">
        <v>33</v>
      </c>
      <c r="F50" s="272">
        <v>61</v>
      </c>
      <c r="G50" s="272">
        <v>28</v>
      </c>
      <c r="H50" s="272">
        <v>1</v>
      </c>
      <c r="I50" s="403">
        <f t="shared" si="0"/>
        <v>90</v>
      </c>
      <c r="J50" s="272">
        <v>0</v>
      </c>
      <c r="K50" s="455" t="s">
        <v>440</v>
      </c>
      <c r="L50" s="272" t="s">
        <v>422</v>
      </c>
      <c r="M50" s="405" t="s">
        <v>432</v>
      </c>
      <c r="N50" s="200">
        <v>655600</v>
      </c>
    </row>
    <row r="51" spans="2:14" ht="15.75" x14ac:dyDescent="0.25">
      <c r="B51" s="453" t="s">
        <v>477</v>
      </c>
      <c r="C51" s="342">
        <v>13468</v>
      </c>
      <c r="D51" s="454">
        <v>0.53409090909090895</v>
      </c>
      <c r="E51" s="272">
        <v>38</v>
      </c>
      <c r="F51" s="272">
        <v>147</v>
      </c>
      <c r="G51" s="272">
        <v>32</v>
      </c>
      <c r="H51" s="272">
        <v>0</v>
      </c>
      <c r="I51" s="403">
        <f t="shared" si="0"/>
        <v>179</v>
      </c>
      <c r="J51" s="272">
        <v>0</v>
      </c>
      <c r="K51" s="455" t="s">
        <v>421</v>
      </c>
      <c r="L51" s="272" t="s">
        <v>426</v>
      </c>
      <c r="M51" s="405" t="s">
        <v>422</v>
      </c>
      <c r="N51" s="200">
        <v>494945.45452000003</v>
      </c>
    </row>
    <row r="52" spans="2:14" ht="15.75" x14ac:dyDescent="0.25">
      <c r="B52" s="453" t="s">
        <v>478</v>
      </c>
      <c r="C52" s="342">
        <v>13468</v>
      </c>
      <c r="D52" s="454">
        <v>0.753977272727272</v>
      </c>
      <c r="E52" s="272">
        <v>56</v>
      </c>
      <c r="F52" s="272">
        <v>444</v>
      </c>
      <c r="G52" s="272">
        <v>17</v>
      </c>
      <c r="H52" s="272">
        <v>0</v>
      </c>
      <c r="I52" s="403">
        <f t="shared" si="0"/>
        <v>461</v>
      </c>
      <c r="J52" s="272">
        <v>0</v>
      </c>
      <c r="K52" s="455" t="s">
        <v>421</v>
      </c>
      <c r="L52" s="272" t="s">
        <v>426</v>
      </c>
      <c r="M52" s="405" t="s">
        <v>422</v>
      </c>
      <c r="N52" s="200">
        <v>564226.34</v>
      </c>
    </row>
    <row r="53" spans="2:14" ht="15.75" x14ac:dyDescent="0.25">
      <c r="B53" s="453" t="s">
        <v>479</v>
      </c>
      <c r="C53" s="342">
        <v>13468</v>
      </c>
      <c r="D53" s="454">
        <v>0.10681818181818099</v>
      </c>
      <c r="E53" s="272">
        <v>7</v>
      </c>
      <c r="F53" s="272">
        <v>6</v>
      </c>
      <c r="G53" s="272">
        <v>4</v>
      </c>
      <c r="H53" s="272">
        <v>0</v>
      </c>
      <c r="I53" s="403">
        <f t="shared" si="0"/>
        <v>10</v>
      </c>
      <c r="J53" s="272">
        <v>0</v>
      </c>
      <c r="K53" s="455" t="s">
        <v>421</v>
      </c>
      <c r="L53" s="272" t="s">
        <v>423</v>
      </c>
      <c r="M53" s="405" t="s">
        <v>432</v>
      </c>
      <c r="N53" s="200">
        <v>113931.81096</v>
      </c>
    </row>
    <row r="54" spans="2:14" ht="15.75" x14ac:dyDescent="0.25">
      <c r="B54" s="453" t="s">
        <v>480</v>
      </c>
      <c r="C54" s="342">
        <v>13590</v>
      </c>
      <c r="D54" s="454">
        <v>0.34204545454545399</v>
      </c>
      <c r="E54" s="272">
        <v>29</v>
      </c>
      <c r="F54" s="272">
        <v>47</v>
      </c>
      <c r="G54" s="272">
        <v>11</v>
      </c>
      <c r="H54" s="272">
        <v>2</v>
      </c>
      <c r="I54" s="403">
        <f t="shared" si="0"/>
        <v>60</v>
      </c>
      <c r="J54" s="272">
        <v>0</v>
      </c>
      <c r="K54" s="455" t="s">
        <v>421</v>
      </c>
      <c r="L54" s="272" t="s">
        <v>425</v>
      </c>
      <c r="M54" s="405" t="s">
        <v>426</v>
      </c>
      <c r="N54" s="200">
        <v>142000</v>
      </c>
    </row>
    <row r="55" spans="2:14" ht="15.75" x14ac:dyDescent="0.25">
      <c r="B55" s="453" t="s">
        <v>481</v>
      </c>
      <c r="C55" s="342">
        <v>13592</v>
      </c>
      <c r="D55" s="454">
        <v>0.30776515151515099</v>
      </c>
      <c r="E55" s="272">
        <v>25</v>
      </c>
      <c r="F55" s="272">
        <v>121</v>
      </c>
      <c r="G55" s="272">
        <v>12</v>
      </c>
      <c r="H55" s="272">
        <v>0</v>
      </c>
      <c r="I55" s="403">
        <f t="shared" si="0"/>
        <v>133</v>
      </c>
      <c r="J55" s="272">
        <v>0</v>
      </c>
      <c r="K55" s="455" t="s">
        <v>421</v>
      </c>
      <c r="L55" s="272" t="s">
        <v>422</v>
      </c>
      <c r="M55" s="405" t="s">
        <v>432</v>
      </c>
      <c r="N55" s="200">
        <v>616480.54255999997</v>
      </c>
    </row>
    <row r="56" spans="2:14" ht="15.75" x14ac:dyDescent="0.25">
      <c r="B56" s="453" t="s">
        <v>482</v>
      </c>
      <c r="C56" s="342">
        <v>13593</v>
      </c>
      <c r="D56" s="454">
        <v>0.45454545454545398</v>
      </c>
      <c r="E56" s="272">
        <v>39</v>
      </c>
      <c r="F56" s="272">
        <v>83</v>
      </c>
      <c r="G56" s="272">
        <v>52</v>
      </c>
      <c r="H56" s="272">
        <v>4</v>
      </c>
      <c r="I56" s="403">
        <f t="shared" si="0"/>
        <v>139</v>
      </c>
      <c r="J56" s="272">
        <v>0</v>
      </c>
      <c r="K56" s="455" t="s">
        <v>440</v>
      </c>
      <c r="L56" s="272" t="s">
        <v>426</v>
      </c>
      <c r="M56" s="405" t="s">
        <v>422</v>
      </c>
      <c r="N56" s="200">
        <v>368400</v>
      </c>
    </row>
    <row r="57" spans="2:14" ht="15.75" x14ac:dyDescent="0.25">
      <c r="B57" s="453" t="s">
        <v>483</v>
      </c>
      <c r="C57" s="342">
        <v>13632</v>
      </c>
      <c r="D57" s="454">
        <v>9.7727272727272704E-2</v>
      </c>
      <c r="E57" s="272">
        <v>9</v>
      </c>
      <c r="F57" s="272">
        <v>12</v>
      </c>
      <c r="G57" s="272">
        <v>8</v>
      </c>
      <c r="H57" s="272">
        <v>0</v>
      </c>
      <c r="I57" s="403">
        <f t="shared" si="0"/>
        <v>20</v>
      </c>
      <c r="J57" s="272">
        <v>0</v>
      </c>
      <c r="K57" s="455" t="s">
        <v>421</v>
      </c>
      <c r="L57" s="272" t="s">
        <v>423</v>
      </c>
      <c r="M57" s="405" t="s">
        <v>432</v>
      </c>
      <c r="N57" s="200">
        <v>93642.519999999902</v>
      </c>
    </row>
    <row r="58" spans="2:14" ht="15.75" x14ac:dyDescent="0.25">
      <c r="B58" s="453" t="s">
        <v>484</v>
      </c>
      <c r="C58" s="342">
        <v>13632</v>
      </c>
      <c r="D58" s="454">
        <v>1.0176136363636299</v>
      </c>
      <c r="E58" s="272">
        <v>55</v>
      </c>
      <c r="F58" s="272">
        <v>245</v>
      </c>
      <c r="G58" s="272">
        <v>10</v>
      </c>
      <c r="H58" s="272">
        <v>0</v>
      </c>
      <c r="I58" s="403">
        <f t="shared" si="0"/>
        <v>255</v>
      </c>
      <c r="J58" s="272">
        <v>0</v>
      </c>
      <c r="K58" s="455" t="s">
        <v>421</v>
      </c>
      <c r="L58" s="272" t="s">
        <v>423</v>
      </c>
      <c r="M58" s="405" t="s">
        <v>441</v>
      </c>
      <c r="N58" s="200">
        <v>948857.22</v>
      </c>
    </row>
    <row r="59" spans="2:14" ht="15.75" x14ac:dyDescent="0.25">
      <c r="B59" s="453" t="s">
        <v>485</v>
      </c>
      <c r="C59" s="342">
        <v>13632</v>
      </c>
      <c r="D59" s="454">
        <v>0.40416666666666601</v>
      </c>
      <c r="E59" s="272">
        <v>33</v>
      </c>
      <c r="F59" s="272">
        <v>43</v>
      </c>
      <c r="G59" s="272">
        <v>15</v>
      </c>
      <c r="H59" s="272">
        <v>0</v>
      </c>
      <c r="I59" s="403">
        <f t="shared" si="0"/>
        <v>58</v>
      </c>
      <c r="J59" s="272">
        <v>0</v>
      </c>
      <c r="K59" s="455" t="s">
        <v>421</v>
      </c>
      <c r="L59" s="272" t="s">
        <v>423</v>
      </c>
      <c r="M59" s="405" t="s">
        <v>437</v>
      </c>
      <c r="N59" s="200">
        <v>196308.43</v>
      </c>
    </row>
    <row r="60" spans="2:14" ht="15.75" x14ac:dyDescent="0.25">
      <c r="B60" s="453" t="s">
        <v>486</v>
      </c>
      <c r="C60" s="342">
        <v>13633</v>
      </c>
      <c r="D60" s="454">
        <v>7.3106060606060605E-2</v>
      </c>
      <c r="E60" s="272">
        <v>3</v>
      </c>
      <c r="F60" s="272">
        <v>2</v>
      </c>
      <c r="G60" s="272">
        <v>1</v>
      </c>
      <c r="H60" s="272">
        <v>0</v>
      </c>
      <c r="I60" s="403">
        <f t="shared" si="0"/>
        <v>3</v>
      </c>
      <c r="J60" s="272">
        <v>0</v>
      </c>
      <c r="K60" s="455" t="s">
        <v>445</v>
      </c>
      <c r="L60" s="272" t="s">
        <v>426</v>
      </c>
      <c r="M60" s="405" t="s">
        <v>428</v>
      </c>
      <c r="N60" s="200">
        <v>60945.17</v>
      </c>
    </row>
    <row r="61" spans="2:14" ht="15.75" x14ac:dyDescent="0.25">
      <c r="B61" s="453" t="s">
        <v>487</v>
      </c>
      <c r="C61" s="342">
        <v>13633</v>
      </c>
      <c r="D61" s="454">
        <v>8.6174242424242403E-2</v>
      </c>
      <c r="E61" s="272">
        <v>7</v>
      </c>
      <c r="F61" s="272">
        <v>1</v>
      </c>
      <c r="G61" s="272">
        <v>10</v>
      </c>
      <c r="H61" s="272">
        <v>0</v>
      </c>
      <c r="I61" s="403">
        <f t="shared" si="0"/>
        <v>11</v>
      </c>
      <c r="J61" s="272">
        <v>5</v>
      </c>
      <c r="K61" s="455" t="s">
        <v>421</v>
      </c>
      <c r="L61" s="272" t="s">
        <v>423</v>
      </c>
      <c r="M61" s="405" t="s">
        <v>437</v>
      </c>
      <c r="N61" s="200">
        <v>5185.08</v>
      </c>
    </row>
    <row r="62" spans="2:14" ht="15.75" x14ac:dyDescent="0.25">
      <c r="B62" s="453" t="s">
        <v>488</v>
      </c>
      <c r="C62" s="342">
        <v>13826</v>
      </c>
      <c r="D62" s="454">
        <v>0.27329545454545401</v>
      </c>
      <c r="E62" s="272">
        <v>13</v>
      </c>
      <c r="F62" s="272">
        <v>243</v>
      </c>
      <c r="G62" s="272">
        <v>17</v>
      </c>
      <c r="H62" s="272">
        <v>2</v>
      </c>
      <c r="I62" s="403">
        <f t="shared" si="0"/>
        <v>262</v>
      </c>
      <c r="J62" s="272">
        <v>1</v>
      </c>
      <c r="K62" s="455" t="s">
        <v>445</v>
      </c>
      <c r="L62" s="272" t="s">
        <v>422</v>
      </c>
      <c r="M62" s="405" t="s">
        <v>423</v>
      </c>
      <c r="N62" s="200">
        <v>81217.33</v>
      </c>
    </row>
    <row r="63" spans="2:14" ht="15.75" x14ac:dyDescent="0.25">
      <c r="B63" s="453" t="s">
        <v>489</v>
      </c>
      <c r="C63" s="342">
        <v>13831</v>
      </c>
      <c r="D63" s="454">
        <v>0.25416666666666599</v>
      </c>
      <c r="E63" s="272">
        <v>18</v>
      </c>
      <c r="F63" s="272">
        <v>313</v>
      </c>
      <c r="G63" s="272">
        <v>18</v>
      </c>
      <c r="H63" s="272">
        <v>0</v>
      </c>
      <c r="I63" s="403">
        <f t="shared" si="0"/>
        <v>331</v>
      </c>
      <c r="J63" s="272">
        <v>6</v>
      </c>
      <c r="K63" s="455" t="s">
        <v>421</v>
      </c>
      <c r="L63" s="272" t="s">
        <v>428</v>
      </c>
      <c r="M63" s="405" t="s">
        <v>422</v>
      </c>
      <c r="N63" s="200">
        <v>233666.66675999999</v>
      </c>
    </row>
    <row r="64" spans="2:14" ht="15.75" x14ac:dyDescent="0.25">
      <c r="B64" s="453" t="s">
        <v>490</v>
      </c>
      <c r="C64" s="342">
        <v>13835</v>
      </c>
      <c r="D64" s="454">
        <v>0.20303030303030301</v>
      </c>
      <c r="E64" s="272">
        <v>17</v>
      </c>
      <c r="F64" s="272">
        <v>41</v>
      </c>
      <c r="G64" s="272">
        <v>5</v>
      </c>
      <c r="H64" s="272">
        <v>2</v>
      </c>
      <c r="I64" s="403">
        <f t="shared" si="0"/>
        <v>48</v>
      </c>
      <c r="J64" s="272">
        <v>0</v>
      </c>
      <c r="K64" s="455" t="s">
        <v>421</v>
      </c>
      <c r="L64" s="272" t="s">
        <v>428</v>
      </c>
      <c r="M64" s="405" t="s">
        <v>423</v>
      </c>
      <c r="N64" s="200">
        <v>541440.90904000006</v>
      </c>
    </row>
    <row r="65" spans="2:14" ht="15.75" x14ac:dyDescent="0.25">
      <c r="B65" s="453" t="s">
        <v>491</v>
      </c>
      <c r="C65" s="342">
        <v>13835</v>
      </c>
      <c r="D65" s="454">
        <v>0.69015151515151496</v>
      </c>
      <c r="E65" s="272">
        <v>41</v>
      </c>
      <c r="F65" s="272">
        <v>163</v>
      </c>
      <c r="G65" s="272">
        <v>8</v>
      </c>
      <c r="H65" s="272">
        <v>1</v>
      </c>
      <c r="I65" s="403">
        <f t="shared" si="0"/>
        <v>172</v>
      </c>
      <c r="J65" s="272">
        <v>1</v>
      </c>
      <c r="K65" s="455" t="s">
        <v>421</v>
      </c>
      <c r="L65" s="272" t="s">
        <v>428</v>
      </c>
      <c r="M65" s="405" t="s">
        <v>432</v>
      </c>
      <c r="N65" s="200">
        <v>1215306.4842000001</v>
      </c>
    </row>
    <row r="66" spans="2:14" ht="15.75" x14ac:dyDescent="0.25">
      <c r="B66" s="453" t="s">
        <v>492</v>
      </c>
      <c r="C66" s="342">
        <v>13835</v>
      </c>
      <c r="D66" s="454">
        <v>0.21458333333333299</v>
      </c>
      <c r="E66" s="272">
        <v>18</v>
      </c>
      <c r="F66" s="272">
        <v>256</v>
      </c>
      <c r="G66" s="272">
        <v>15</v>
      </c>
      <c r="H66" s="272">
        <v>1</v>
      </c>
      <c r="I66" s="403">
        <f t="shared" si="0"/>
        <v>272</v>
      </c>
      <c r="J66" s="272">
        <v>0</v>
      </c>
      <c r="K66" s="455" t="s">
        <v>421</v>
      </c>
      <c r="L66" s="272" t="s">
        <v>423</v>
      </c>
      <c r="M66" s="405" t="s">
        <v>432</v>
      </c>
      <c r="N66" s="200">
        <v>102547.94</v>
      </c>
    </row>
    <row r="67" spans="2:14" ht="15.75" x14ac:dyDescent="0.25">
      <c r="B67" s="453" t="s">
        <v>493</v>
      </c>
      <c r="C67" s="342">
        <v>13836</v>
      </c>
      <c r="D67" s="454">
        <v>0.59166666666666601</v>
      </c>
      <c r="E67" s="272">
        <v>41</v>
      </c>
      <c r="F67" s="272">
        <v>276</v>
      </c>
      <c r="G67" s="272">
        <v>22</v>
      </c>
      <c r="H67" s="272">
        <v>2</v>
      </c>
      <c r="I67" s="403">
        <f t="shared" si="0"/>
        <v>300</v>
      </c>
      <c r="J67" s="272">
        <v>9</v>
      </c>
      <c r="K67" s="455" t="s">
        <v>434</v>
      </c>
      <c r="L67" s="272" t="s">
        <v>423</v>
      </c>
      <c r="M67" s="405" t="s">
        <v>432</v>
      </c>
      <c r="N67" s="200">
        <v>102040.98</v>
      </c>
    </row>
    <row r="68" spans="2:14" ht="15.75" x14ac:dyDescent="0.25">
      <c r="B68" s="453" t="s">
        <v>494</v>
      </c>
      <c r="C68" s="342">
        <v>13934</v>
      </c>
      <c r="D68" s="454">
        <v>9.1287878787878696E-2</v>
      </c>
      <c r="E68" s="272">
        <v>6</v>
      </c>
      <c r="F68" s="272">
        <v>1</v>
      </c>
      <c r="G68" s="272">
        <v>3</v>
      </c>
      <c r="H68" s="272">
        <v>3</v>
      </c>
      <c r="I68" s="403">
        <f t="shared" si="0"/>
        <v>7</v>
      </c>
      <c r="J68" s="272">
        <v>3</v>
      </c>
      <c r="K68" s="455" t="s">
        <v>421</v>
      </c>
      <c r="L68" s="272" t="s">
        <v>425</v>
      </c>
      <c r="M68" s="405" t="s">
        <v>426</v>
      </c>
      <c r="N68" s="200">
        <v>33500</v>
      </c>
    </row>
    <row r="69" spans="2:14" ht="15.75" x14ac:dyDescent="0.25">
      <c r="B69" s="453" t="s">
        <v>495</v>
      </c>
      <c r="C69" s="342">
        <v>13934</v>
      </c>
      <c r="D69" s="454">
        <v>0.55871212121212099</v>
      </c>
      <c r="E69" s="272">
        <v>30</v>
      </c>
      <c r="F69" s="272">
        <v>51</v>
      </c>
      <c r="G69" s="272">
        <v>0</v>
      </c>
      <c r="H69" s="272">
        <v>2</v>
      </c>
      <c r="I69" s="403">
        <f t="shared" si="0"/>
        <v>53</v>
      </c>
      <c r="J69" s="272">
        <v>1</v>
      </c>
      <c r="K69" s="455" t="s">
        <v>421</v>
      </c>
      <c r="L69" s="272" t="s">
        <v>428</v>
      </c>
      <c r="M69" s="405" t="s">
        <v>423</v>
      </c>
      <c r="N69" s="200">
        <v>525439.39387999999</v>
      </c>
    </row>
    <row r="70" spans="2:14" ht="15.75" x14ac:dyDescent="0.25">
      <c r="B70" s="453" t="s">
        <v>496</v>
      </c>
      <c r="C70" s="342">
        <v>13939</v>
      </c>
      <c r="D70" s="454">
        <v>0.12121212121212099</v>
      </c>
      <c r="E70" s="272">
        <v>8</v>
      </c>
      <c r="F70" s="272">
        <v>38</v>
      </c>
      <c r="G70" s="272">
        <v>6</v>
      </c>
      <c r="H70" s="272">
        <v>4</v>
      </c>
      <c r="I70" s="403">
        <f t="shared" si="0"/>
        <v>48</v>
      </c>
      <c r="J70" s="272">
        <v>5</v>
      </c>
      <c r="K70" s="455" t="s">
        <v>421</v>
      </c>
      <c r="L70" s="272" t="s">
        <v>428</v>
      </c>
      <c r="M70" s="405" t="s">
        <v>422</v>
      </c>
      <c r="N70" s="200">
        <v>112739.39388</v>
      </c>
    </row>
    <row r="71" spans="2:14" ht="15.75" x14ac:dyDescent="0.25">
      <c r="B71" s="453" t="s">
        <v>497</v>
      </c>
      <c r="C71" s="342">
        <v>13939</v>
      </c>
      <c r="D71" s="454">
        <v>0.149431818181818</v>
      </c>
      <c r="E71" s="272">
        <v>15</v>
      </c>
      <c r="F71" s="272">
        <v>2</v>
      </c>
      <c r="G71" s="272">
        <v>4</v>
      </c>
      <c r="H71" s="272">
        <v>2</v>
      </c>
      <c r="I71" s="403">
        <f t="shared" si="0"/>
        <v>8</v>
      </c>
      <c r="J71" s="272">
        <v>0</v>
      </c>
      <c r="K71" s="455" t="s">
        <v>421</v>
      </c>
      <c r="L71" s="272" t="s">
        <v>425</v>
      </c>
      <c r="M71" s="405" t="s">
        <v>426</v>
      </c>
      <c r="N71" s="200">
        <v>97000</v>
      </c>
    </row>
    <row r="72" spans="2:14" ht="15.75" x14ac:dyDescent="0.25">
      <c r="B72" s="453" t="s">
        <v>498</v>
      </c>
      <c r="C72" s="342">
        <v>13948</v>
      </c>
      <c r="D72" s="454">
        <v>0.13787878787878699</v>
      </c>
      <c r="E72" s="272">
        <v>12</v>
      </c>
      <c r="F72" s="272">
        <v>5</v>
      </c>
      <c r="G72" s="272">
        <v>0</v>
      </c>
      <c r="H72" s="272">
        <v>1</v>
      </c>
      <c r="I72" s="403">
        <f t="shared" ref="I72:I135" si="1">SUM(F72:H72)</f>
        <v>6</v>
      </c>
      <c r="J72" s="272">
        <v>1</v>
      </c>
      <c r="K72" s="455" t="s">
        <v>443</v>
      </c>
      <c r="L72" s="272" t="s">
        <v>422</v>
      </c>
      <c r="M72" s="405" t="s">
        <v>423</v>
      </c>
      <c r="N72" s="200">
        <v>137902.20064</v>
      </c>
    </row>
    <row r="73" spans="2:14" ht="15.75" x14ac:dyDescent="0.25">
      <c r="B73" s="453" t="s">
        <v>499</v>
      </c>
      <c r="C73" s="342">
        <v>13948</v>
      </c>
      <c r="D73" s="454">
        <v>0.215340909090909</v>
      </c>
      <c r="E73" s="272">
        <v>13</v>
      </c>
      <c r="F73" s="272">
        <v>23</v>
      </c>
      <c r="G73" s="272">
        <v>6</v>
      </c>
      <c r="H73" s="272">
        <v>0</v>
      </c>
      <c r="I73" s="403">
        <f t="shared" si="1"/>
        <v>29</v>
      </c>
      <c r="J73" s="272">
        <v>0</v>
      </c>
      <c r="K73" s="455" t="s">
        <v>421</v>
      </c>
      <c r="L73" s="272" t="s">
        <v>428</v>
      </c>
      <c r="M73" s="405" t="s">
        <v>422</v>
      </c>
      <c r="N73" s="200">
        <v>266895.45452000003</v>
      </c>
    </row>
    <row r="74" spans="2:14" ht="15.75" x14ac:dyDescent="0.25">
      <c r="B74" s="453" t="s">
        <v>500</v>
      </c>
      <c r="C74" s="342">
        <v>13993</v>
      </c>
      <c r="D74" s="454">
        <v>0.42367424242424201</v>
      </c>
      <c r="E74" s="272">
        <v>27</v>
      </c>
      <c r="F74" s="272">
        <v>31</v>
      </c>
      <c r="G74" s="272">
        <v>3</v>
      </c>
      <c r="H74" s="272">
        <v>2</v>
      </c>
      <c r="I74" s="403">
        <f t="shared" si="1"/>
        <v>36</v>
      </c>
      <c r="J74" s="272">
        <v>1</v>
      </c>
      <c r="K74" s="455" t="s">
        <v>421</v>
      </c>
      <c r="L74" s="272" t="s">
        <v>426</v>
      </c>
      <c r="M74" s="405" t="s">
        <v>422</v>
      </c>
      <c r="N74" s="200">
        <v>429828.78775999998</v>
      </c>
    </row>
    <row r="75" spans="2:14" ht="15.75" x14ac:dyDescent="0.25">
      <c r="B75" s="453" t="s">
        <v>501</v>
      </c>
      <c r="C75" s="342">
        <v>13993</v>
      </c>
      <c r="D75" s="454">
        <v>0.119128787878787</v>
      </c>
      <c r="E75" s="272">
        <v>10</v>
      </c>
      <c r="F75" s="272">
        <v>123</v>
      </c>
      <c r="G75" s="272">
        <v>2</v>
      </c>
      <c r="H75" s="272">
        <v>0</v>
      </c>
      <c r="I75" s="403">
        <f t="shared" si="1"/>
        <v>125</v>
      </c>
      <c r="J75" s="272">
        <v>6</v>
      </c>
      <c r="K75" s="455" t="s">
        <v>421</v>
      </c>
      <c r="L75" s="272" t="s">
        <v>426</v>
      </c>
      <c r="M75" s="405" t="s">
        <v>428</v>
      </c>
      <c r="N75" s="200">
        <v>90517.79</v>
      </c>
    </row>
    <row r="76" spans="2:14" ht="15.75" x14ac:dyDescent="0.25">
      <c r="B76" s="453" t="s">
        <v>502</v>
      </c>
      <c r="C76" s="342">
        <v>14040</v>
      </c>
      <c r="D76" s="454">
        <v>0.42727272727272703</v>
      </c>
      <c r="E76" s="272">
        <v>19</v>
      </c>
      <c r="F76" s="272">
        <v>12</v>
      </c>
      <c r="G76" s="272">
        <v>3</v>
      </c>
      <c r="H76" s="272">
        <v>0</v>
      </c>
      <c r="I76" s="403">
        <f t="shared" si="1"/>
        <v>15</v>
      </c>
      <c r="J76" s="272">
        <v>0</v>
      </c>
      <c r="K76" s="455" t="s">
        <v>421</v>
      </c>
      <c r="L76" s="272" t="s">
        <v>426</v>
      </c>
      <c r="M76" s="405" t="s">
        <v>422</v>
      </c>
      <c r="N76" s="200">
        <v>137792.82999999999</v>
      </c>
    </row>
    <row r="77" spans="2:14" ht="15.75" x14ac:dyDescent="0.25">
      <c r="B77" s="453" t="s">
        <v>503</v>
      </c>
      <c r="C77" s="342">
        <v>14040</v>
      </c>
      <c r="D77" s="454">
        <v>0.23409090909090899</v>
      </c>
      <c r="E77" s="272">
        <v>13</v>
      </c>
      <c r="F77" s="272">
        <v>98</v>
      </c>
      <c r="G77" s="272">
        <v>6</v>
      </c>
      <c r="H77" s="272">
        <v>2</v>
      </c>
      <c r="I77" s="403">
        <f t="shared" si="1"/>
        <v>106</v>
      </c>
      <c r="J77" s="272">
        <v>10</v>
      </c>
      <c r="K77" s="455" t="s">
        <v>504</v>
      </c>
      <c r="L77" s="272" t="s">
        <v>426</v>
      </c>
      <c r="M77" s="405" t="s">
        <v>422</v>
      </c>
      <c r="N77" s="200">
        <v>213950</v>
      </c>
    </row>
    <row r="78" spans="2:14" ht="15.75" x14ac:dyDescent="0.25">
      <c r="B78" s="453" t="s">
        <v>505</v>
      </c>
      <c r="C78" s="342">
        <v>14102</v>
      </c>
      <c r="D78" s="454">
        <v>0.29640151515151503</v>
      </c>
      <c r="E78" s="272">
        <v>18</v>
      </c>
      <c r="F78" s="272">
        <v>136</v>
      </c>
      <c r="G78" s="272">
        <v>6</v>
      </c>
      <c r="H78" s="272">
        <v>0</v>
      </c>
      <c r="I78" s="403">
        <f t="shared" si="1"/>
        <v>142</v>
      </c>
      <c r="J78" s="272">
        <v>0</v>
      </c>
      <c r="K78" s="455" t="s">
        <v>421</v>
      </c>
      <c r="L78" s="272" t="s">
        <v>428</v>
      </c>
      <c r="M78" s="405" t="s">
        <v>422</v>
      </c>
      <c r="N78" s="200">
        <v>278492.42420000001</v>
      </c>
    </row>
    <row r="79" spans="2:14" ht="15.75" x14ac:dyDescent="0.25">
      <c r="B79" s="453" t="s">
        <v>506</v>
      </c>
      <c r="C79" s="342">
        <v>13006</v>
      </c>
      <c r="D79" s="454">
        <v>1.2863636363636299</v>
      </c>
      <c r="E79" s="272">
        <v>48</v>
      </c>
      <c r="F79" s="272">
        <v>41</v>
      </c>
      <c r="G79" s="272">
        <v>2</v>
      </c>
      <c r="H79" s="272">
        <v>3</v>
      </c>
      <c r="I79" s="403">
        <f t="shared" si="1"/>
        <v>46</v>
      </c>
      <c r="J79" s="272">
        <v>2</v>
      </c>
      <c r="K79" s="455" t="s">
        <v>421</v>
      </c>
      <c r="L79" s="272" t="s">
        <v>422</v>
      </c>
      <c r="M79" s="405" t="s">
        <v>441</v>
      </c>
      <c r="N79" s="200">
        <v>546981.81808</v>
      </c>
    </row>
    <row r="80" spans="2:14" ht="15.75" x14ac:dyDescent="0.25">
      <c r="B80" s="453" t="s">
        <v>507</v>
      </c>
      <c r="C80" s="342">
        <v>13432</v>
      </c>
      <c r="D80" s="454">
        <v>1.21060606060606</v>
      </c>
      <c r="E80" s="272">
        <v>38</v>
      </c>
      <c r="F80" s="272">
        <v>21</v>
      </c>
      <c r="G80" s="272">
        <v>8</v>
      </c>
      <c r="H80" s="272">
        <v>1</v>
      </c>
      <c r="I80" s="403">
        <f t="shared" si="1"/>
        <v>30</v>
      </c>
      <c r="J80" s="272">
        <v>0</v>
      </c>
      <c r="K80" s="455" t="s">
        <v>445</v>
      </c>
      <c r="L80" s="272" t="s">
        <v>426</v>
      </c>
      <c r="M80" s="405" t="s">
        <v>423</v>
      </c>
      <c r="N80" s="200">
        <v>821237.75</v>
      </c>
    </row>
    <row r="81" spans="2:14" ht="15.75" x14ac:dyDescent="0.25">
      <c r="B81" s="453" t="s">
        <v>508</v>
      </c>
      <c r="C81" s="342">
        <v>13815</v>
      </c>
      <c r="D81" s="454">
        <v>0.49488636363636301</v>
      </c>
      <c r="E81" s="272">
        <v>15</v>
      </c>
      <c r="F81" s="272">
        <v>27</v>
      </c>
      <c r="G81" s="272">
        <v>2</v>
      </c>
      <c r="H81" s="272">
        <v>0</v>
      </c>
      <c r="I81" s="403">
        <f t="shared" si="1"/>
        <v>29</v>
      </c>
      <c r="J81" s="272">
        <v>0</v>
      </c>
      <c r="K81" s="455" t="s">
        <v>434</v>
      </c>
      <c r="L81" s="272" t="s">
        <v>425</v>
      </c>
      <c r="M81" s="405" t="s">
        <v>422</v>
      </c>
      <c r="N81" s="200">
        <v>1205600</v>
      </c>
    </row>
    <row r="82" spans="2:14" ht="15.75" x14ac:dyDescent="0.25">
      <c r="B82" s="453" t="s">
        <v>509</v>
      </c>
      <c r="C82" s="342">
        <v>13127</v>
      </c>
      <c r="D82" s="454">
        <v>0.36060606060605999</v>
      </c>
      <c r="E82" s="272">
        <v>24</v>
      </c>
      <c r="F82" s="272">
        <v>150</v>
      </c>
      <c r="G82" s="272">
        <v>4</v>
      </c>
      <c r="H82" s="272">
        <v>0</v>
      </c>
      <c r="I82" s="403">
        <f t="shared" si="1"/>
        <v>154</v>
      </c>
      <c r="J82" s="272">
        <v>11</v>
      </c>
      <c r="K82" s="455" t="s">
        <v>421</v>
      </c>
      <c r="L82" s="272" t="s">
        <v>437</v>
      </c>
      <c r="M82" s="405" t="s">
        <v>510</v>
      </c>
      <c r="N82" s="200">
        <v>60345.16</v>
      </c>
    </row>
    <row r="83" spans="2:14" ht="15.75" x14ac:dyDescent="0.25">
      <c r="B83" s="453" t="s">
        <v>511</v>
      </c>
      <c r="C83" s="342">
        <v>13127</v>
      </c>
      <c r="D83" s="454">
        <v>0.43825757575757501</v>
      </c>
      <c r="E83" s="272">
        <v>22</v>
      </c>
      <c r="F83" s="272">
        <v>56</v>
      </c>
      <c r="G83" s="272">
        <v>1</v>
      </c>
      <c r="H83" s="272">
        <v>0</v>
      </c>
      <c r="I83" s="403">
        <f t="shared" si="1"/>
        <v>57</v>
      </c>
      <c r="J83" s="272">
        <v>3</v>
      </c>
      <c r="K83" s="455" t="s">
        <v>421</v>
      </c>
      <c r="L83" s="272" t="s">
        <v>428</v>
      </c>
      <c r="M83" s="405" t="s">
        <v>422</v>
      </c>
      <c r="N83" s="200">
        <v>434237.88</v>
      </c>
    </row>
    <row r="84" spans="2:14" ht="15.75" x14ac:dyDescent="0.25">
      <c r="B84" s="453" t="s">
        <v>512</v>
      </c>
      <c r="C84" s="342">
        <v>13127</v>
      </c>
      <c r="D84" s="454">
        <v>0.53409090909090895</v>
      </c>
      <c r="E84" s="272">
        <v>34</v>
      </c>
      <c r="F84" s="272">
        <v>170</v>
      </c>
      <c r="G84" s="272">
        <v>3</v>
      </c>
      <c r="H84" s="272">
        <v>0</v>
      </c>
      <c r="I84" s="403">
        <f t="shared" si="1"/>
        <v>173</v>
      </c>
      <c r="J84" s="272">
        <v>1</v>
      </c>
      <c r="K84" s="455" t="s">
        <v>440</v>
      </c>
      <c r="L84" s="272" t="s">
        <v>432</v>
      </c>
      <c r="M84" s="405" t="s">
        <v>441</v>
      </c>
      <c r="N84" s="200">
        <v>25000</v>
      </c>
    </row>
    <row r="85" spans="2:14" ht="15.75" x14ac:dyDescent="0.25">
      <c r="B85" s="453" t="s">
        <v>513</v>
      </c>
      <c r="C85" s="342">
        <v>13127</v>
      </c>
      <c r="D85" s="454">
        <v>0.61761363636363598</v>
      </c>
      <c r="E85" s="272">
        <v>42</v>
      </c>
      <c r="F85" s="272">
        <v>33</v>
      </c>
      <c r="G85" s="272">
        <v>7</v>
      </c>
      <c r="H85" s="272">
        <v>1</v>
      </c>
      <c r="I85" s="403">
        <f t="shared" si="1"/>
        <v>41</v>
      </c>
      <c r="J85" s="272">
        <v>0</v>
      </c>
      <c r="K85" s="455" t="s">
        <v>421</v>
      </c>
      <c r="L85" s="272" t="s">
        <v>432</v>
      </c>
      <c r="M85" s="405" t="s">
        <v>510</v>
      </c>
      <c r="N85" s="200">
        <v>28500</v>
      </c>
    </row>
    <row r="86" spans="2:14" ht="15.75" x14ac:dyDescent="0.25">
      <c r="B86" s="453" t="s">
        <v>514</v>
      </c>
      <c r="C86" s="342">
        <v>13171</v>
      </c>
      <c r="D86" s="454">
        <v>0.12462121212121199</v>
      </c>
      <c r="E86" s="272">
        <v>11</v>
      </c>
      <c r="F86" s="272">
        <v>5</v>
      </c>
      <c r="G86" s="272">
        <v>18</v>
      </c>
      <c r="H86" s="272">
        <v>1</v>
      </c>
      <c r="I86" s="403">
        <f t="shared" si="1"/>
        <v>24</v>
      </c>
      <c r="J86" s="272">
        <v>0</v>
      </c>
      <c r="K86" s="455" t="s">
        <v>421</v>
      </c>
      <c r="L86" s="272" t="s">
        <v>437</v>
      </c>
      <c r="M86" s="405" t="s">
        <v>510</v>
      </c>
      <c r="N86" s="200">
        <v>30449.119999999999</v>
      </c>
    </row>
    <row r="87" spans="2:14" ht="15.75" x14ac:dyDescent="0.25">
      <c r="B87" s="453" t="s">
        <v>515</v>
      </c>
      <c r="C87" s="342">
        <v>13171</v>
      </c>
      <c r="D87" s="454">
        <v>0.213825757575757</v>
      </c>
      <c r="E87" s="272">
        <v>11</v>
      </c>
      <c r="F87" s="272">
        <v>370</v>
      </c>
      <c r="G87" s="272">
        <v>19</v>
      </c>
      <c r="H87" s="272">
        <v>3</v>
      </c>
      <c r="I87" s="403">
        <f t="shared" si="1"/>
        <v>392</v>
      </c>
      <c r="J87" s="272">
        <v>25</v>
      </c>
      <c r="K87" s="455" t="s">
        <v>434</v>
      </c>
      <c r="L87" s="272" t="s">
        <v>437</v>
      </c>
      <c r="M87" s="405" t="s">
        <v>516</v>
      </c>
      <c r="N87" s="200">
        <v>53000</v>
      </c>
    </row>
    <row r="88" spans="2:14" ht="15.75" x14ac:dyDescent="0.25">
      <c r="B88" s="453" t="s">
        <v>517</v>
      </c>
      <c r="C88" s="342">
        <v>13171</v>
      </c>
      <c r="D88" s="454">
        <v>0.36344696969696899</v>
      </c>
      <c r="E88" s="272">
        <v>21</v>
      </c>
      <c r="F88" s="272">
        <v>48</v>
      </c>
      <c r="G88" s="272">
        <v>2</v>
      </c>
      <c r="H88" s="272">
        <v>2</v>
      </c>
      <c r="I88" s="403">
        <f t="shared" si="1"/>
        <v>52</v>
      </c>
      <c r="J88" s="272">
        <v>4</v>
      </c>
      <c r="K88" s="455" t="s">
        <v>440</v>
      </c>
      <c r="L88" s="272" t="s">
        <v>437</v>
      </c>
      <c r="M88" s="405" t="s">
        <v>516</v>
      </c>
      <c r="N88" s="200">
        <v>11000</v>
      </c>
    </row>
    <row r="89" spans="2:14" ht="15.75" x14ac:dyDescent="0.25">
      <c r="B89" s="453" t="s">
        <v>518</v>
      </c>
      <c r="C89" s="342">
        <v>13174</v>
      </c>
      <c r="D89" s="454">
        <v>0.21268939393939301</v>
      </c>
      <c r="E89" s="272">
        <v>8</v>
      </c>
      <c r="F89" s="272">
        <v>241</v>
      </c>
      <c r="G89" s="272">
        <v>14</v>
      </c>
      <c r="H89" s="272">
        <v>4</v>
      </c>
      <c r="I89" s="403">
        <f t="shared" si="1"/>
        <v>259</v>
      </c>
      <c r="J89" s="272">
        <v>4</v>
      </c>
      <c r="K89" s="455" t="s">
        <v>434</v>
      </c>
      <c r="L89" s="272" t="s">
        <v>422</v>
      </c>
      <c r="M89" s="405" t="s">
        <v>432</v>
      </c>
      <c r="N89" s="200">
        <v>1609359</v>
      </c>
    </row>
    <row r="90" spans="2:14" ht="15.75" x14ac:dyDescent="0.25">
      <c r="B90" s="453" t="s">
        <v>519</v>
      </c>
      <c r="C90" s="342">
        <v>13174</v>
      </c>
      <c r="D90" s="454">
        <v>0.29090909090909001</v>
      </c>
      <c r="E90" s="272">
        <v>15</v>
      </c>
      <c r="F90" s="272">
        <v>374</v>
      </c>
      <c r="G90" s="272">
        <v>34</v>
      </c>
      <c r="H90" s="272">
        <v>1</v>
      </c>
      <c r="I90" s="403">
        <f t="shared" si="1"/>
        <v>409</v>
      </c>
      <c r="J90" s="272">
        <v>1</v>
      </c>
      <c r="K90" s="455" t="s">
        <v>434</v>
      </c>
      <c r="L90" s="272" t="s">
        <v>428</v>
      </c>
      <c r="M90" s="405" t="s">
        <v>422</v>
      </c>
      <c r="N90" s="200">
        <v>165000</v>
      </c>
    </row>
    <row r="91" spans="2:14" ht="15.75" x14ac:dyDescent="0.25">
      <c r="B91" s="453" t="s">
        <v>520</v>
      </c>
      <c r="C91" s="342">
        <v>13211</v>
      </c>
      <c r="D91" s="454">
        <v>0.52746212121212099</v>
      </c>
      <c r="E91" s="272">
        <v>43</v>
      </c>
      <c r="F91" s="272">
        <v>395</v>
      </c>
      <c r="G91" s="272">
        <v>27</v>
      </c>
      <c r="H91" s="272">
        <v>3</v>
      </c>
      <c r="I91" s="403">
        <f t="shared" si="1"/>
        <v>425</v>
      </c>
      <c r="J91" s="272">
        <v>0</v>
      </c>
      <c r="K91" s="455" t="s">
        <v>434</v>
      </c>
      <c r="L91" s="272" t="s">
        <v>428</v>
      </c>
      <c r="M91" s="405" t="s">
        <v>423</v>
      </c>
      <c r="N91" s="200">
        <v>521400</v>
      </c>
    </row>
    <row r="92" spans="2:14" ht="15.75" x14ac:dyDescent="0.25">
      <c r="B92" s="453" t="s">
        <v>521</v>
      </c>
      <c r="C92" s="342">
        <v>13225</v>
      </c>
      <c r="D92" s="454">
        <v>0.80549242424242395</v>
      </c>
      <c r="E92" s="272">
        <v>54</v>
      </c>
      <c r="F92" s="272">
        <v>41</v>
      </c>
      <c r="G92" s="272">
        <v>26</v>
      </c>
      <c r="H92" s="272">
        <v>6</v>
      </c>
      <c r="I92" s="403">
        <f t="shared" si="1"/>
        <v>73</v>
      </c>
      <c r="J92" s="272">
        <v>8</v>
      </c>
      <c r="K92" s="455" t="s">
        <v>434</v>
      </c>
      <c r="L92" s="272" t="s">
        <v>432</v>
      </c>
      <c r="M92" s="405" t="s">
        <v>510</v>
      </c>
      <c r="N92" s="200">
        <v>101000</v>
      </c>
    </row>
    <row r="93" spans="2:14" ht="15.75" x14ac:dyDescent="0.25">
      <c r="B93" s="453" t="s">
        <v>522</v>
      </c>
      <c r="C93" s="342">
        <v>13226</v>
      </c>
      <c r="D93" s="454">
        <v>0.121780303030303</v>
      </c>
      <c r="E93" s="272">
        <v>19</v>
      </c>
      <c r="F93" s="272">
        <v>190</v>
      </c>
      <c r="G93" s="272">
        <v>19</v>
      </c>
      <c r="H93" s="272">
        <v>2</v>
      </c>
      <c r="I93" s="403">
        <f t="shared" si="1"/>
        <v>211</v>
      </c>
      <c r="J93" s="272">
        <v>0</v>
      </c>
      <c r="K93" s="455" t="s">
        <v>440</v>
      </c>
      <c r="L93" s="272" t="s">
        <v>428</v>
      </c>
      <c r="M93" s="405" t="s">
        <v>422</v>
      </c>
      <c r="N93" s="200">
        <v>130844</v>
      </c>
    </row>
    <row r="94" spans="2:14" ht="15.75" x14ac:dyDescent="0.25">
      <c r="B94" s="453" t="s">
        <v>523</v>
      </c>
      <c r="C94" s="342">
        <v>13226</v>
      </c>
      <c r="D94" s="454">
        <v>0.30946969696969601</v>
      </c>
      <c r="E94" s="272">
        <v>16</v>
      </c>
      <c r="F94" s="272">
        <v>348</v>
      </c>
      <c r="G94" s="272">
        <v>4</v>
      </c>
      <c r="H94" s="272">
        <v>0</v>
      </c>
      <c r="I94" s="403">
        <f t="shared" si="1"/>
        <v>352</v>
      </c>
      <c r="J94" s="272">
        <v>0</v>
      </c>
      <c r="K94" s="455" t="s">
        <v>440</v>
      </c>
      <c r="L94" s="272" t="s">
        <v>432</v>
      </c>
      <c r="M94" s="405" t="s">
        <v>437</v>
      </c>
      <c r="N94" s="200">
        <v>11000</v>
      </c>
    </row>
    <row r="95" spans="2:14" ht="15.75" x14ac:dyDescent="0.25">
      <c r="B95" s="453" t="s">
        <v>524</v>
      </c>
      <c r="C95" s="342">
        <v>13226</v>
      </c>
      <c r="D95" s="454">
        <v>8.7878787878787806E-2</v>
      </c>
      <c r="E95" s="272">
        <v>5</v>
      </c>
      <c r="F95" s="272">
        <v>13</v>
      </c>
      <c r="G95" s="272">
        <v>2</v>
      </c>
      <c r="H95" s="272">
        <v>2</v>
      </c>
      <c r="I95" s="403">
        <f t="shared" si="1"/>
        <v>17</v>
      </c>
      <c r="J95" s="272">
        <v>9</v>
      </c>
      <c r="K95" s="455" t="s">
        <v>434</v>
      </c>
      <c r="L95" s="272" t="s">
        <v>437</v>
      </c>
      <c r="M95" s="405" t="s">
        <v>510</v>
      </c>
      <c r="N95" s="200">
        <v>5000</v>
      </c>
    </row>
    <row r="96" spans="2:14" ht="15.75" x14ac:dyDescent="0.25">
      <c r="B96" s="453" t="s">
        <v>525</v>
      </c>
      <c r="C96" s="342">
        <v>13226</v>
      </c>
      <c r="D96" s="454">
        <v>0.201704545454545</v>
      </c>
      <c r="E96" s="272">
        <v>23</v>
      </c>
      <c r="F96" s="272">
        <v>37</v>
      </c>
      <c r="G96" s="272">
        <v>15</v>
      </c>
      <c r="H96" s="272">
        <v>5</v>
      </c>
      <c r="I96" s="403">
        <f t="shared" si="1"/>
        <v>57</v>
      </c>
      <c r="J96" s="272">
        <v>0</v>
      </c>
      <c r="K96" s="455" t="s">
        <v>434</v>
      </c>
      <c r="L96" s="272" t="s">
        <v>428</v>
      </c>
      <c r="M96" s="405" t="s">
        <v>423</v>
      </c>
      <c r="N96" s="200">
        <v>213000</v>
      </c>
    </row>
    <row r="97" spans="2:14" ht="15.75" x14ac:dyDescent="0.25">
      <c r="B97" s="453" t="s">
        <v>526</v>
      </c>
      <c r="C97" s="342">
        <v>13229</v>
      </c>
      <c r="D97" s="454">
        <v>0.21496212121212099</v>
      </c>
      <c r="E97" s="272">
        <v>21</v>
      </c>
      <c r="F97" s="272">
        <v>141</v>
      </c>
      <c r="G97" s="272">
        <v>21</v>
      </c>
      <c r="H97" s="272">
        <v>2</v>
      </c>
      <c r="I97" s="403">
        <f t="shared" si="1"/>
        <v>164</v>
      </c>
      <c r="J97" s="272">
        <v>4</v>
      </c>
      <c r="K97" s="455" t="s">
        <v>421</v>
      </c>
      <c r="L97" s="272" t="s">
        <v>437</v>
      </c>
      <c r="M97" s="405" t="s">
        <v>510</v>
      </c>
      <c r="N97" s="200">
        <v>22500</v>
      </c>
    </row>
    <row r="98" spans="2:14" ht="15.75" x14ac:dyDescent="0.25">
      <c r="B98" s="453" t="s">
        <v>527</v>
      </c>
      <c r="C98" s="342">
        <v>13230</v>
      </c>
      <c r="D98" s="454">
        <v>0.442424242424242</v>
      </c>
      <c r="E98" s="272">
        <v>38</v>
      </c>
      <c r="F98" s="272">
        <v>49</v>
      </c>
      <c r="G98" s="272">
        <v>41</v>
      </c>
      <c r="H98" s="272">
        <v>8</v>
      </c>
      <c r="I98" s="403">
        <f t="shared" si="1"/>
        <v>98</v>
      </c>
      <c r="J98" s="272">
        <v>27</v>
      </c>
      <c r="K98" s="455" t="s">
        <v>440</v>
      </c>
      <c r="L98" s="272" t="s">
        <v>437</v>
      </c>
      <c r="M98" s="405" t="s">
        <v>510</v>
      </c>
      <c r="N98" s="200">
        <v>15000</v>
      </c>
    </row>
    <row r="99" spans="2:14" ht="15.75" x14ac:dyDescent="0.25">
      <c r="B99" s="453" t="s">
        <v>528</v>
      </c>
      <c r="C99" s="342">
        <v>13230</v>
      </c>
      <c r="D99" s="454">
        <v>0.47973484848484799</v>
      </c>
      <c r="E99" s="272">
        <v>31</v>
      </c>
      <c r="F99" s="272">
        <v>54</v>
      </c>
      <c r="G99" s="272">
        <v>2</v>
      </c>
      <c r="H99" s="272">
        <v>2</v>
      </c>
      <c r="I99" s="403">
        <f t="shared" si="1"/>
        <v>58</v>
      </c>
      <c r="J99" s="272">
        <v>0</v>
      </c>
      <c r="K99" s="455" t="s">
        <v>421</v>
      </c>
      <c r="L99" s="272" t="s">
        <v>432</v>
      </c>
      <c r="M99" s="405" t="s">
        <v>441</v>
      </c>
      <c r="N99" s="200">
        <v>18000</v>
      </c>
    </row>
    <row r="100" spans="2:14" ht="15.75" x14ac:dyDescent="0.25">
      <c r="B100" s="453" t="s">
        <v>529</v>
      </c>
      <c r="C100" s="342">
        <v>13230</v>
      </c>
      <c r="D100" s="454">
        <v>0.27992424242424202</v>
      </c>
      <c r="E100" s="272">
        <v>21</v>
      </c>
      <c r="F100" s="272">
        <v>58</v>
      </c>
      <c r="G100" s="272">
        <v>16</v>
      </c>
      <c r="H100" s="272">
        <v>0</v>
      </c>
      <c r="I100" s="403">
        <f t="shared" si="1"/>
        <v>74</v>
      </c>
      <c r="J100" s="272">
        <v>0</v>
      </c>
      <c r="K100" s="455" t="s">
        <v>434</v>
      </c>
      <c r="L100" s="272" t="s">
        <v>422</v>
      </c>
      <c r="M100" s="405" t="s">
        <v>432</v>
      </c>
      <c r="N100" s="200">
        <v>866800</v>
      </c>
    </row>
    <row r="101" spans="2:14" ht="15.75" x14ac:dyDescent="0.25">
      <c r="B101" s="453" t="s">
        <v>530</v>
      </c>
      <c r="C101" s="342">
        <v>13230</v>
      </c>
      <c r="D101" s="454">
        <v>0.28977272727272702</v>
      </c>
      <c r="E101" s="272">
        <v>23</v>
      </c>
      <c r="F101" s="272">
        <v>12</v>
      </c>
      <c r="G101" s="272">
        <v>8</v>
      </c>
      <c r="H101" s="272">
        <v>0</v>
      </c>
      <c r="I101" s="403">
        <f t="shared" si="1"/>
        <v>20</v>
      </c>
      <c r="J101" s="272">
        <v>8</v>
      </c>
      <c r="K101" s="455" t="s">
        <v>421</v>
      </c>
      <c r="L101" s="272" t="s">
        <v>432</v>
      </c>
      <c r="M101" s="405" t="s">
        <v>437</v>
      </c>
      <c r="N101" s="200">
        <v>53170.38</v>
      </c>
    </row>
    <row r="102" spans="2:14" ht="15.75" x14ac:dyDescent="0.25">
      <c r="B102" s="453" t="s">
        <v>531</v>
      </c>
      <c r="C102" s="342">
        <v>13231</v>
      </c>
      <c r="D102" s="454">
        <v>0.27310606060606002</v>
      </c>
      <c r="E102" s="272">
        <v>22</v>
      </c>
      <c r="F102" s="272">
        <v>23</v>
      </c>
      <c r="G102" s="272">
        <v>2</v>
      </c>
      <c r="H102" s="272">
        <v>0</v>
      </c>
      <c r="I102" s="403">
        <f t="shared" si="1"/>
        <v>25</v>
      </c>
      <c r="J102" s="272">
        <v>0</v>
      </c>
      <c r="K102" s="455" t="s">
        <v>421</v>
      </c>
      <c r="L102" s="272" t="s">
        <v>437</v>
      </c>
      <c r="M102" s="405" t="s">
        <v>510</v>
      </c>
      <c r="N102" s="200">
        <v>58320.82</v>
      </c>
    </row>
    <row r="103" spans="2:14" ht="15.75" x14ac:dyDescent="0.25">
      <c r="B103" s="453" t="s">
        <v>532</v>
      </c>
      <c r="C103" s="342">
        <v>13231</v>
      </c>
      <c r="D103" s="454">
        <v>0.53977272727272696</v>
      </c>
      <c r="E103" s="272">
        <v>34</v>
      </c>
      <c r="F103" s="272">
        <v>269</v>
      </c>
      <c r="G103" s="272">
        <v>17</v>
      </c>
      <c r="H103" s="272">
        <v>4</v>
      </c>
      <c r="I103" s="403">
        <f t="shared" si="1"/>
        <v>290</v>
      </c>
      <c r="J103" s="272">
        <v>8</v>
      </c>
      <c r="K103" s="455" t="s">
        <v>440</v>
      </c>
      <c r="L103" s="272" t="s">
        <v>432</v>
      </c>
      <c r="M103" s="405" t="s">
        <v>441</v>
      </c>
      <c r="N103" s="200">
        <v>112000</v>
      </c>
    </row>
    <row r="104" spans="2:14" ht="15.75" x14ac:dyDescent="0.25">
      <c r="B104" s="453" t="s">
        <v>533</v>
      </c>
      <c r="C104" s="342">
        <v>13433</v>
      </c>
      <c r="D104" s="454">
        <v>0.70568181818181797</v>
      </c>
      <c r="E104" s="272">
        <v>47</v>
      </c>
      <c r="F104" s="272">
        <v>159</v>
      </c>
      <c r="G104" s="272">
        <v>32</v>
      </c>
      <c r="H104" s="272">
        <v>0</v>
      </c>
      <c r="I104" s="403">
        <f t="shared" si="1"/>
        <v>191</v>
      </c>
      <c r="J104" s="272">
        <v>0</v>
      </c>
      <c r="K104" s="455" t="s">
        <v>440</v>
      </c>
      <c r="L104" s="272" t="s">
        <v>428</v>
      </c>
      <c r="M104" s="405" t="s">
        <v>423</v>
      </c>
      <c r="N104" s="200">
        <v>739800</v>
      </c>
    </row>
    <row r="105" spans="2:14" ht="15.75" x14ac:dyDescent="0.25">
      <c r="B105" s="453" t="s">
        <v>534</v>
      </c>
      <c r="C105" s="342">
        <v>13433</v>
      </c>
      <c r="D105" s="454">
        <v>0.60587121212121198</v>
      </c>
      <c r="E105" s="272">
        <v>37</v>
      </c>
      <c r="F105" s="272">
        <v>5</v>
      </c>
      <c r="G105" s="272">
        <v>3</v>
      </c>
      <c r="H105" s="272">
        <v>2</v>
      </c>
      <c r="I105" s="403">
        <f t="shared" si="1"/>
        <v>10</v>
      </c>
      <c r="J105" s="272">
        <v>2</v>
      </c>
      <c r="K105" s="455" t="s">
        <v>434</v>
      </c>
      <c r="L105" s="272" t="s">
        <v>432</v>
      </c>
      <c r="M105" s="405" t="s">
        <v>441</v>
      </c>
      <c r="N105" s="200">
        <v>16000</v>
      </c>
    </row>
    <row r="106" spans="2:14" ht="15.75" x14ac:dyDescent="0.25">
      <c r="B106" s="453" t="s">
        <v>535</v>
      </c>
      <c r="C106" s="342">
        <v>13454</v>
      </c>
      <c r="D106" s="454">
        <v>0.210037878787878</v>
      </c>
      <c r="E106" s="272">
        <v>13</v>
      </c>
      <c r="F106" s="272">
        <v>37</v>
      </c>
      <c r="G106" s="272">
        <v>2</v>
      </c>
      <c r="H106" s="272">
        <v>0</v>
      </c>
      <c r="I106" s="403">
        <f t="shared" si="1"/>
        <v>39</v>
      </c>
      <c r="J106" s="272">
        <v>0</v>
      </c>
      <c r="K106" s="455" t="s">
        <v>421</v>
      </c>
      <c r="L106" s="272" t="s">
        <v>437</v>
      </c>
      <c r="M106" s="405" t="s">
        <v>510</v>
      </c>
      <c r="N106" s="200">
        <v>65019.94</v>
      </c>
    </row>
    <row r="107" spans="2:14" ht="15.75" x14ac:dyDescent="0.25">
      <c r="B107" s="453" t="s">
        <v>536</v>
      </c>
      <c r="C107" s="342">
        <v>13454</v>
      </c>
      <c r="D107" s="454">
        <v>0.49053030303030298</v>
      </c>
      <c r="E107" s="272">
        <v>26</v>
      </c>
      <c r="F107" s="272">
        <v>19</v>
      </c>
      <c r="G107" s="272">
        <v>10</v>
      </c>
      <c r="H107" s="272">
        <v>1</v>
      </c>
      <c r="I107" s="403">
        <f t="shared" si="1"/>
        <v>30</v>
      </c>
      <c r="J107" s="272">
        <v>0</v>
      </c>
      <c r="K107" s="455" t="s">
        <v>434</v>
      </c>
      <c r="L107" s="272" t="s">
        <v>426</v>
      </c>
      <c r="M107" s="405" t="s">
        <v>422</v>
      </c>
      <c r="N107" s="200">
        <v>343370</v>
      </c>
    </row>
    <row r="108" spans="2:14" ht="15.75" x14ac:dyDescent="0.25">
      <c r="B108" s="453" t="s">
        <v>537</v>
      </c>
      <c r="C108" s="342">
        <v>13454</v>
      </c>
      <c r="D108" s="454">
        <v>0.63825757575757502</v>
      </c>
      <c r="E108" s="272">
        <v>34</v>
      </c>
      <c r="F108" s="272">
        <v>148</v>
      </c>
      <c r="G108" s="272">
        <v>6</v>
      </c>
      <c r="H108" s="272">
        <v>2</v>
      </c>
      <c r="I108" s="403">
        <f t="shared" si="1"/>
        <v>156</v>
      </c>
      <c r="J108" s="272">
        <v>4</v>
      </c>
      <c r="K108" s="455" t="s">
        <v>434</v>
      </c>
      <c r="L108" s="272" t="s">
        <v>422</v>
      </c>
      <c r="M108" s="405" t="s">
        <v>432</v>
      </c>
      <c r="N108" s="200">
        <v>1106500</v>
      </c>
    </row>
    <row r="109" spans="2:14" ht="15.75" x14ac:dyDescent="0.25">
      <c r="B109" s="453" t="s">
        <v>538</v>
      </c>
      <c r="C109" s="342">
        <v>13454</v>
      </c>
      <c r="D109" s="454">
        <v>0.29564393939393901</v>
      </c>
      <c r="E109" s="272">
        <v>23</v>
      </c>
      <c r="F109" s="272">
        <v>292</v>
      </c>
      <c r="G109" s="272">
        <v>21</v>
      </c>
      <c r="H109" s="272">
        <v>1</v>
      </c>
      <c r="I109" s="403">
        <f t="shared" si="1"/>
        <v>314</v>
      </c>
      <c r="J109" s="272">
        <v>0</v>
      </c>
      <c r="K109" s="455" t="s">
        <v>434</v>
      </c>
      <c r="L109" s="272" t="s">
        <v>425</v>
      </c>
      <c r="M109" s="405" t="s">
        <v>428</v>
      </c>
      <c r="N109" s="200">
        <v>216950</v>
      </c>
    </row>
    <row r="110" spans="2:14" ht="15.75" x14ac:dyDescent="0.25">
      <c r="B110" s="453" t="s">
        <v>539</v>
      </c>
      <c r="C110" s="342">
        <v>13454</v>
      </c>
      <c r="D110" s="454">
        <v>4.3371212121212102E-2</v>
      </c>
      <c r="E110" s="272">
        <v>9</v>
      </c>
      <c r="F110" s="272">
        <v>47</v>
      </c>
      <c r="G110" s="272">
        <v>3</v>
      </c>
      <c r="H110" s="272">
        <v>0</v>
      </c>
      <c r="I110" s="403">
        <f t="shared" si="1"/>
        <v>50</v>
      </c>
      <c r="J110" s="272">
        <v>1</v>
      </c>
      <c r="K110" s="455" t="s">
        <v>421</v>
      </c>
      <c r="L110" s="272" t="s">
        <v>422</v>
      </c>
      <c r="M110" s="405" t="s">
        <v>423</v>
      </c>
      <c r="N110" s="200">
        <v>55899.119999999901</v>
      </c>
    </row>
    <row r="111" spans="2:14" ht="15.75" x14ac:dyDescent="0.25">
      <c r="B111" s="453" t="s">
        <v>540</v>
      </c>
      <c r="C111" s="342">
        <v>13457</v>
      </c>
      <c r="D111" s="454">
        <v>0.13693181818181799</v>
      </c>
      <c r="E111" s="272">
        <v>9</v>
      </c>
      <c r="F111" s="272">
        <v>137</v>
      </c>
      <c r="G111" s="272">
        <v>8</v>
      </c>
      <c r="H111" s="272">
        <v>2</v>
      </c>
      <c r="I111" s="403">
        <f t="shared" si="1"/>
        <v>147</v>
      </c>
      <c r="J111" s="272">
        <v>0</v>
      </c>
      <c r="K111" s="455" t="s">
        <v>421</v>
      </c>
      <c r="L111" s="272" t="s">
        <v>437</v>
      </c>
      <c r="M111" s="405" t="s">
        <v>510</v>
      </c>
      <c r="N111" s="200">
        <v>30048.68</v>
      </c>
    </row>
    <row r="112" spans="2:14" ht="15.75" x14ac:dyDescent="0.25">
      <c r="B112" s="453" t="s">
        <v>541</v>
      </c>
      <c r="C112" s="342">
        <v>13457</v>
      </c>
      <c r="D112" s="454">
        <v>0.31136363636363601</v>
      </c>
      <c r="E112" s="272">
        <v>18</v>
      </c>
      <c r="F112" s="272">
        <v>155</v>
      </c>
      <c r="G112" s="272">
        <v>2</v>
      </c>
      <c r="H112" s="272">
        <v>0</v>
      </c>
      <c r="I112" s="403">
        <f t="shared" si="1"/>
        <v>157</v>
      </c>
      <c r="J112" s="272">
        <v>2</v>
      </c>
      <c r="K112" s="455" t="s">
        <v>421</v>
      </c>
      <c r="L112" s="272" t="s">
        <v>437</v>
      </c>
      <c r="M112" s="405" t="s">
        <v>510</v>
      </c>
      <c r="N112" s="200">
        <v>27500</v>
      </c>
    </row>
    <row r="113" spans="2:14" ht="15.75" x14ac:dyDescent="0.25">
      <c r="B113" s="453" t="s">
        <v>542</v>
      </c>
      <c r="C113" s="342">
        <v>13502</v>
      </c>
      <c r="D113" s="454">
        <v>0.29545454545454503</v>
      </c>
      <c r="E113" s="272">
        <v>22</v>
      </c>
      <c r="F113" s="272">
        <v>70</v>
      </c>
      <c r="G113" s="272">
        <v>2</v>
      </c>
      <c r="H113" s="272">
        <v>0</v>
      </c>
      <c r="I113" s="403">
        <f t="shared" si="1"/>
        <v>72</v>
      </c>
      <c r="J113" s="272">
        <v>0</v>
      </c>
      <c r="K113" s="455" t="s">
        <v>421</v>
      </c>
      <c r="L113" s="272" t="s">
        <v>437</v>
      </c>
      <c r="M113" s="405" t="s">
        <v>510</v>
      </c>
      <c r="N113" s="200">
        <v>44796.479999999901</v>
      </c>
    </row>
    <row r="114" spans="2:14" ht="15.75" x14ac:dyDescent="0.25">
      <c r="B114" s="453" t="s">
        <v>543</v>
      </c>
      <c r="C114" s="342">
        <v>13502</v>
      </c>
      <c r="D114" s="454">
        <v>0.61893939393939301</v>
      </c>
      <c r="E114" s="272">
        <v>40</v>
      </c>
      <c r="F114" s="272">
        <v>514</v>
      </c>
      <c r="G114" s="272">
        <v>18</v>
      </c>
      <c r="H114" s="272">
        <v>0</v>
      </c>
      <c r="I114" s="403">
        <f t="shared" si="1"/>
        <v>532</v>
      </c>
      <c r="J114" s="272">
        <v>0</v>
      </c>
      <c r="K114" s="455" t="s">
        <v>440</v>
      </c>
      <c r="L114" s="272" t="s">
        <v>432</v>
      </c>
      <c r="M114" s="405" t="s">
        <v>441</v>
      </c>
      <c r="N114" s="200">
        <v>46000</v>
      </c>
    </row>
    <row r="115" spans="2:14" ht="15.75" x14ac:dyDescent="0.25">
      <c r="B115" s="453" t="s">
        <v>544</v>
      </c>
      <c r="C115" s="342">
        <v>13502</v>
      </c>
      <c r="D115" s="454">
        <v>0.17613636363636301</v>
      </c>
      <c r="E115" s="272">
        <v>16</v>
      </c>
      <c r="F115" s="272">
        <v>50</v>
      </c>
      <c r="G115" s="272">
        <v>25</v>
      </c>
      <c r="H115" s="272">
        <v>0</v>
      </c>
      <c r="I115" s="403">
        <f t="shared" si="1"/>
        <v>75</v>
      </c>
      <c r="J115" s="272">
        <v>0</v>
      </c>
      <c r="K115" s="455" t="s">
        <v>440</v>
      </c>
      <c r="L115" s="272" t="s">
        <v>428</v>
      </c>
      <c r="M115" s="405" t="s">
        <v>422</v>
      </c>
      <c r="N115" s="200">
        <v>188706</v>
      </c>
    </row>
    <row r="116" spans="2:14" ht="15.75" x14ac:dyDescent="0.25">
      <c r="B116" s="453" t="s">
        <v>545</v>
      </c>
      <c r="C116" s="342">
        <v>13509</v>
      </c>
      <c r="D116" s="454">
        <v>8.9962121212121202E-2</v>
      </c>
      <c r="E116" s="272">
        <v>6</v>
      </c>
      <c r="F116" s="272">
        <v>3</v>
      </c>
      <c r="G116" s="272">
        <v>1</v>
      </c>
      <c r="H116" s="272">
        <v>0</v>
      </c>
      <c r="I116" s="403">
        <f t="shared" si="1"/>
        <v>4</v>
      </c>
      <c r="J116" s="272">
        <v>0</v>
      </c>
      <c r="K116" s="455" t="s">
        <v>421</v>
      </c>
      <c r="L116" s="272" t="s">
        <v>422</v>
      </c>
      <c r="M116" s="405" t="s">
        <v>423</v>
      </c>
      <c r="N116" s="200">
        <v>35373.9</v>
      </c>
    </row>
    <row r="117" spans="2:14" ht="15.75" x14ac:dyDescent="0.25">
      <c r="B117" s="453" t="s">
        <v>546</v>
      </c>
      <c r="C117" s="342">
        <v>13509</v>
      </c>
      <c r="D117" s="454">
        <v>0.108143939393939</v>
      </c>
      <c r="E117" s="272">
        <v>6</v>
      </c>
      <c r="F117" s="272">
        <v>7</v>
      </c>
      <c r="G117" s="272">
        <v>22</v>
      </c>
      <c r="H117" s="272">
        <v>11</v>
      </c>
      <c r="I117" s="403">
        <f t="shared" si="1"/>
        <v>40</v>
      </c>
      <c r="J117" s="272">
        <v>1</v>
      </c>
      <c r="K117" s="455" t="s">
        <v>440</v>
      </c>
      <c r="L117" s="272" t="s">
        <v>437</v>
      </c>
      <c r="M117" s="405" t="s">
        <v>510</v>
      </c>
      <c r="N117" s="200">
        <v>10300</v>
      </c>
    </row>
    <row r="118" spans="2:14" ht="15.75" x14ac:dyDescent="0.25">
      <c r="B118" s="453" t="s">
        <v>547</v>
      </c>
      <c r="C118" s="342">
        <v>13509</v>
      </c>
      <c r="D118" s="454">
        <v>0.163636363636363</v>
      </c>
      <c r="E118" s="272">
        <v>15</v>
      </c>
      <c r="F118" s="272">
        <v>13</v>
      </c>
      <c r="G118" s="272">
        <v>0</v>
      </c>
      <c r="H118" s="272">
        <v>2</v>
      </c>
      <c r="I118" s="403">
        <f t="shared" si="1"/>
        <v>15</v>
      </c>
      <c r="J118" s="272">
        <v>0</v>
      </c>
      <c r="K118" s="455" t="s">
        <v>421</v>
      </c>
      <c r="L118" s="272" t="s">
        <v>437</v>
      </c>
      <c r="M118" s="405" t="s">
        <v>510</v>
      </c>
      <c r="N118" s="200">
        <v>18000</v>
      </c>
    </row>
    <row r="119" spans="2:14" ht="15.75" x14ac:dyDescent="0.25">
      <c r="B119" s="453" t="s">
        <v>548</v>
      </c>
      <c r="C119" s="342">
        <v>13509</v>
      </c>
      <c r="D119" s="454">
        <v>0.50871212121212095</v>
      </c>
      <c r="E119" s="272">
        <v>33</v>
      </c>
      <c r="F119" s="272">
        <v>37</v>
      </c>
      <c r="G119" s="272">
        <v>7</v>
      </c>
      <c r="H119" s="272">
        <v>0</v>
      </c>
      <c r="I119" s="403">
        <f t="shared" si="1"/>
        <v>44</v>
      </c>
      <c r="J119" s="272">
        <v>0</v>
      </c>
      <c r="K119" s="455" t="s">
        <v>434</v>
      </c>
      <c r="L119" s="272" t="s">
        <v>432</v>
      </c>
      <c r="M119" s="405" t="s">
        <v>510</v>
      </c>
      <c r="N119" s="200">
        <v>73000</v>
      </c>
    </row>
    <row r="120" spans="2:14" ht="15.75" x14ac:dyDescent="0.25">
      <c r="B120" s="453" t="s">
        <v>549</v>
      </c>
      <c r="C120" s="342">
        <v>13509</v>
      </c>
      <c r="D120" s="454">
        <v>0.14526515151515099</v>
      </c>
      <c r="E120" s="272">
        <v>14</v>
      </c>
      <c r="F120" s="272">
        <v>144</v>
      </c>
      <c r="G120" s="272">
        <v>14</v>
      </c>
      <c r="H120" s="272">
        <v>0</v>
      </c>
      <c r="I120" s="403">
        <f t="shared" si="1"/>
        <v>158</v>
      </c>
      <c r="J120" s="272">
        <v>0</v>
      </c>
      <c r="K120" s="455" t="s">
        <v>434</v>
      </c>
      <c r="L120" s="272" t="s">
        <v>437</v>
      </c>
      <c r="M120" s="405" t="s">
        <v>510</v>
      </c>
      <c r="N120" s="200">
        <v>5000</v>
      </c>
    </row>
    <row r="121" spans="2:14" ht="15.75" x14ac:dyDescent="0.25">
      <c r="B121" s="453" t="s">
        <v>550</v>
      </c>
      <c r="C121" s="342">
        <v>13509</v>
      </c>
      <c r="D121" s="454">
        <v>0.147537878787878</v>
      </c>
      <c r="E121" s="272">
        <v>10</v>
      </c>
      <c r="F121" s="272">
        <v>14</v>
      </c>
      <c r="G121" s="272">
        <v>1</v>
      </c>
      <c r="H121" s="272">
        <v>1</v>
      </c>
      <c r="I121" s="403">
        <f t="shared" si="1"/>
        <v>16</v>
      </c>
      <c r="J121" s="272">
        <v>0</v>
      </c>
      <c r="K121" s="455" t="s">
        <v>421</v>
      </c>
      <c r="L121" s="272" t="s">
        <v>437</v>
      </c>
      <c r="M121" s="405" t="s">
        <v>510</v>
      </c>
      <c r="N121" s="200">
        <v>18000</v>
      </c>
    </row>
    <row r="122" spans="2:14" ht="15.75" x14ac:dyDescent="0.25">
      <c r="B122" s="453" t="s">
        <v>551</v>
      </c>
      <c r="C122" s="342">
        <v>13509</v>
      </c>
      <c r="D122" s="454">
        <v>0.95928030303030298</v>
      </c>
      <c r="E122" s="272">
        <v>56</v>
      </c>
      <c r="F122" s="272">
        <v>676</v>
      </c>
      <c r="G122" s="272">
        <v>20</v>
      </c>
      <c r="H122" s="272">
        <v>1</v>
      </c>
      <c r="I122" s="403">
        <f t="shared" si="1"/>
        <v>697</v>
      </c>
      <c r="J122" s="272">
        <v>4</v>
      </c>
      <c r="K122" s="455" t="s">
        <v>440</v>
      </c>
      <c r="L122" s="272" t="s">
        <v>437</v>
      </c>
      <c r="M122" s="405" t="s">
        <v>510</v>
      </c>
      <c r="N122" s="200">
        <v>7000</v>
      </c>
    </row>
    <row r="123" spans="2:14" ht="15.75" x14ac:dyDescent="0.25">
      <c r="B123" s="453" t="s">
        <v>552</v>
      </c>
      <c r="C123" s="342">
        <v>13509</v>
      </c>
      <c r="D123" s="454">
        <v>5.1704545454545399E-2</v>
      </c>
      <c r="E123" s="272">
        <v>8</v>
      </c>
      <c r="F123" s="272">
        <v>22</v>
      </c>
      <c r="G123" s="272">
        <v>0</v>
      </c>
      <c r="H123" s="272">
        <v>1</v>
      </c>
      <c r="I123" s="403">
        <f t="shared" si="1"/>
        <v>23</v>
      </c>
      <c r="J123" s="272">
        <v>1</v>
      </c>
      <c r="K123" s="455" t="s">
        <v>434</v>
      </c>
      <c r="L123" s="272" t="s">
        <v>422</v>
      </c>
      <c r="M123" s="405" t="s">
        <v>423</v>
      </c>
      <c r="N123" s="200">
        <v>94000</v>
      </c>
    </row>
    <row r="124" spans="2:14" ht="15.75" x14ac:dyDescent="0.25">
      <c r="B124" s="453" t="s">
        <v>553</v>
      </c>
      <c r="C124" s="342">
        <v>13509</v>
      </c>
      <c r="D124" s="454">
        <v>0.33484848484848401</v>
      </c>
      <c r="E124" s="272">
        <v>30</v>
      </c>
      <c r="F124" s="272">
        <v>7</v>
      </c>
      <c r="G124" s="272">
        <v>1</v>
      </c>
      <c r="H124" s="272">
        <v>1</v>
      </c>
      <c r="I124" s="403">
        <f t="shared" si="1"/>
        <v>9</v>
      </c>
      <c r="J124" s="272">
        <v>0</v>
      </c>
      <c r="K124" s="455" t="s">
        <v>421</v>
      </c>
      <c r="L124" s="272" t="s">
        <v>437</v>
      </c>
      <c r="M124" s="405" t="s">
        <v>510</v>
      </c>
      <c r="N124" s="200">
        <v>18000</v>
      </c>
    </row>
    <row r="125" spans="2:14" ht="15.75" x14ac:dyDescent="0.25">
      <c r="B125" s="453" t="s">
        <v>554</v>
      </c>
      <c r="C125" s="342">
        <v>13686</v>
      </c>
      <c r="D125" s="454">
        <v>0.40200000000000002</v>
      </c>
      <c r="E125" s="272">
        <v>14</v>
      </c>
      <c r="F125" s="272">
        <v>14</v>
      </c>
      <c r="G125" s="272">
        <v>0</v>
      </c>
      <c r="H125" s="272">
        <v>0</v>
      </c>
      <c r="I125" s="403">
        <f t="shared" si="1"/>
        <v>14</v>
      </c>
      <c r="J125" s="272">
        <v>1</v>
      </c>
      <c r="K125" s="455" t="s">
        <v>421</v>
      </c>
      <c r="L125" s="272" t="s">
        <v>437</v>
      </c>
      <c r="M125" s="405" t="s">
        <v>510</v>
      </c>
      <c r="N125" s="200">
        <v>23500</v>
      </c>
    </row>
    <row r="126" spans="2:14" ht="15.75" x14ac:dyDescent="0.25">
      <c r="B126" s="453" t="s">
        <v>555</v>
      </c>
      <c r="C126" s="342">
        <v>13710</v>
      </c>
      <c r="D126" s="454">
        <v>0.28371212121212103</v>
      </c>
      <c r="E126" s="272">
        <v>30</v>
      </c>
      <c r="F126" s="272">
        <v>229</v>
      </c>
      <c r="G126" s="272">
        <v>12</v>
      </c>
      <c r="H126" s="272">
        <v>2</v>
      </c>
      <c r="I126" s="403">
        <f t="shared" si="1"/>
        <v>243</v>
      </c>
      <c r="J126" s="272">
        <v>4</v>
      </c>
      <c r="K126" s="455" t="s">
        <v>421</v>
      </c>
      <c r="L126" s="272" t="s">
        <v>437</v>
      </c>
      <c r="M126" s="405" t="s">
        <v>510</v>
      </c>
      <c r="N126" s="200">
        <v>69469.06</v>
      </c>
    </row>
    <row r="127" spans="2:14" ht="15.75" x14ac:dyDescent="0.25">
      <c r="B127" s="453" t="s">
        <v>556</v>
      </c>
      <c r="C127" s="342">
        <v>13710</v>
      </c>
      <c r="D127" s="454">
        <v>0.44867424242424198</v>
      </c>
      <c r="E127" s="272">
        <v>32</v>
      </c>
      <c r="F127" s="272">
        <v>158</v>
      </c>
      <c r="G127" s="272">
        <v>17</v>
      </c>
      <c r="H127" s="272">
        <v>0</v>
      </c>
      <c r="I127" s="403">
        <f t="shared" si="1"/>
        <v>175</v>
      </c>
      <c r="J127" s="272">
        <v>0</v>
      </c>
      <c r="K127" s="455" t="s">
        <v>434</v>
      </c>
      <c r="L127" s="272" t="s">
        <v>428</v>
      </c>
      <c r="M127" s="405" t="s">
        <v>423</v>
      </c>
      <c r="N127" s="200">
        <v>586222</v>
      </c>
    </row>
    <row r="128" spans="2:14" ht="15.75" x14ac:dyDescent="0.25">
      <c r="B128" s="453" t="s">
        <v>557</v>
      </c>
      <c r="C128" s="342">
        <v>13793</v>
      </c>
      <c r="D128" s="454">
        <v>0.189962121212121</v>
      </c>
      <c r="E128" s="272">
        <v>6</v>
      </c>
      <c r="F128" s="272">
        <v>26</v>
      </c>
      <c r="G128" s="272">
        <v>2</v>
      </c>
      <c r="H128" s="272">
        <v>2</v>
      </c>
      <c r="I128" s="403">
        <f t="shared" si="1"/>
        <v>30</v>
      </c>
      <c r="J128" s="272">
        <v>0</v>
      </c>
      <c r="K128" s="455" t="s">
        <v>421</v>
      </c>
      <c r="L128" s="272" t="s">
        <v>428</v>
      </c>
      <c r="M128" s="405" t="s">
        <v>423</v>
      </c>
      <c r="N128" s="200">
        <v>206879.9</v>
      </c>
    </row>
    <row r="129" spans="2:14" ht="15.75" x14ac:dyDescent="0.25">
      <c r="B129" s="453" t="s">
        <v>558</v>
      </c>
      <c r="C129" s="342">
        <v>13793</v>
      </c>
      <c r="D129" s="454">
        <v>0.22878787878787801</v>
      </c>
      <c r="E129" s="272">
        <v>17</v>
      </c>
      <c r="F129" s="272">
        <v>1</v>
      </c>
      <c r="G129" s="272">
        <v>7</v>
      </c>
      <c r="H129" s="272">
        <v>6</v>
      </c>
      <c r="I129" s="403">
        <f t="shared" si="1"/>
        <v>14</v>
      </c>
      <c r="J129" s="272">
        <v>0</v>
      </c>
      <c r="K129" s="455" t="s">
        <v>421</v>
      </c>
      <c r="L129" s="272" t="s">
        <v>437</v>
      </c>
      <c r="M129" s="405" t="s">
        <v>510</v>
      </c>
      <c r="N129" s="200">
        <v>25774.34</v>
      </c>
    </row>
    <row r="130" spans="2:14" ht="15.75" x14ac:dyDescent="0.25">
      <c r="B130" s="453" t="s">
        <v>559</v>
      </c>
      <c r="C130" s="342">
        <v>13793</v>
      </c>
      <c r="D130" s="454">
        <v>4.4318181818181798E-2</v>
      </c>
      <c r="E130" s="272">
        <v>4</v>
      </c>
      <c r="F130" s="272">
        <v>85</v>
      </c>
      <c r="G130" s="272">
        <v>2</v>
      </c>
      <c r="H130" s="272">
        <v>0</v>
      </c>
      <c r="I130" s="403">
        <f t="shared" si="1"/>
        <v>87</v>
      </c>
      <c r="J130" s="272">
        <v>0</v>
      </c>
      <c r="K130" s="455" t="s">
        <v>421</v>
      </c>
      <c r="L130" s="272" t="s">
        <v>422</v>
      </c>
      <c r="M130" s="405" t="s">
        <v>423</v>
      </c>
      <c r="N130" s="200">
        <v>66724.34</v>
      </c>
    </row>
    <row r="131" spans="2:14" ht="15.75" x14ac:dyDescent="0.25">
      <c r="B131" s="453" t="s">
        <v>560</v>
      </c>
      <c r="C131" s="342">
        <v>13793</v>
      </c>
      <c r="D131" s="454">
        <v>3.2196969696969599E-2</v>
      </c>
      <c r="E131" s="272">
        <v>4</v>
      </c>
      <c r="F131" s="272">
        <v>85</v>
      </c>
      <c r="G131" s="272">
        <v>4</v>
      </c>
      <c r="H131" s="272">
        <v>1</v>
      </c>
      <c r="I131" s="403">
        <f t="shared" si="1"/>
        <v>90</v>
      </c>
      <c r="J131" s="272">
        <v>0</v>
      </c>
      <c r="K131" s="455" t="s">
        <v>421</v>
      </c>
      <c r="L131" s="272" t="s">
        <v>422</v>
      </c>
      <c r="M131" s="405" t="s">
        <v>423</v>
      </c>
      <c r="N131" s="200">
        <v>57249.56</v>
      </c>
    </row>
    <row r="132" spans="2:14" ht="15.75" x14ac:dyDescent="0.25">
      <c r="B132" s="453" t="s">
        <v>561</v>
      </c>
      <c r="C132" s="342">
        <v>13796</v>
      </c>
      <c r="D132" s="454">
        <v>0.44810606060606001</v>
      </c>
      <c r="E132" s="272">
        <v>34</v>
      </c>
      <c r="F132" s="272">
        <v>21</v>
      </c>
      <c r="G132" s="272">
        <v>20</v>
      </c>
      <c r="H132" s="272">
        <v>0</v>
      </c>
      <c r="I132" s="403">
        <f t="shared" si="1"/>
        <v>41</v>
      </c>
      <c r="J132" s="272">
        <v>0</v>
      </c>
      <c r="K132" s="455" t="s">
        <v>434</v>
      </c>
      <c r="L132" s="272" t="s">
        <v>422</v>
      </c>
      <c r="M132" s="405" t="s">
        <v>432</v>
      </c>
      <c r="N132" s="200">
        <v>466500</v>
      </c>
    </row>
    <row r="133" spans="2:14" ht="15.75" x14ac:dyDescent="0.25">
      <c r="B133" s="453" t="s">
        <v>562</v>
      </c>
      <c r="C133" s="342">
        <v>13796</v>
      </c>
      <c r="D133" s="454">
        <v>0.151893939393939</v>
      </c>
      <c r="E133" s="272">
        <v>13</v>
      </c>
      <c r="F133" s="272">
        <v>353</v>
      </c>
      <c r="G133" s="272">
        <v>11</v>
      </c>
      <c r="H133" s="272">
        <v>0</v>
      </c>
      <c r="I133" s="403">
        <f t="shared" si="1"/>
        <v>364</v>
      </c>
      <c r="J133" s="272">
        <v>0</v>
      </c>
      <c r="K133" s="455" t="s">
        <v>440</v>
      </c>
      <c r="L133" s="272" t="s">
        <v>422</v>
      </c>
      <c r="M133" s="405" t="s">
        <v>423</v>
      </c>
      <c r="N133" s="200">
        <v>156000</v>
      </c>
    </row>
    <row r="134" spans="2:14" ht="15.75" x14ac:dyDescent="0.25">
      <c r="B134" s="453" t="s">
        <v>563</v>
      </c>
      <c r="C134" s="342">
        <v>13796</v>
      </c>
      <c r="D134" s="454">
        <v>0.26477272727272699</v>
      </c>
      <c r="E134" s="272">
        <v>14</v>
      </c>
      <c r="F134" s="272">
        <v>6</v>
      </c>
      <c r="G134" s="272">
        <v>1</v>
      </c>
      <c r="H134" s="272">
        <v>3</v>
      </c>
      <c r="I134" s="403">
        <f t="shared" si="1"/>
        <v>10</v>
      </c>
      <c r="J134" s="272">
        <v>7</v>
      </c>
      <c r="K134" s="455" t="s">
        <v>421</v>
      </c>
      <c r="L134" s="272" t="s">
        <v>422</v>
      </c>
      <c r="M134" s="405" t="s">
        <v>423</v>
      </c>
      <c r="N134" s="200">
        <v>205985.68</v>
      </c>
    </row>
    <row r="135" spans="2:14" ht="15.75" x14ac:dyDescent="0.25">
      <c r="B135" s="453" t="s">
        <v>564</v>
      </c>
      <c r="C135" s="342">
        <v>13796</v>
      </c>
      <c r="D135" s="454">
        <v>0.44981060606060602</v>
      </c>
      <c r="E135" s="272">
        <v>34</v>
      </c>
      <c r="F135" s="272">
        <v>318</v>
      </c>
      <c r="G135" s="272">
        <v>6</v>
      </c>
      <c r="H135" s="272">
        <v>1</v>
      </c>
      <c r="I135" s="403">
        <f t="shared" si="1"/>
        <v>325</v>
      </c>
      <c r="J135" s="272">
        <v>0</v>
      </c>
      <c r="K135" s="455" t="s">
        <v>440</v>
      </c>
      <c r="L135" s="272" t="s">
        <v>437</v>
      </c>
      <c r="M135" s="405" t="s">
        <v>510</v>
      </c>
      <c r="N135" s="200">
        <v>13000</v>
      </c>
    </row>
    <row r="136" spans="2:14" ht="15.75" x14ac:dyDescent="0.25">
      <c r="B136" s="453" t="s">
        <v>565</v>
      </c>
      <c r="C136" s="342">
        <v>13796</v>
      </c>
      <c r="D136" s="454">
        <v>1.2990530303030301</v>
      </c>
      <c r="E136" s="272">
        <v>54</v>
      </c>
      <c r="F136" s="272">
        <v>52</v>
      </c>
      <c r="G136" s="272">
        <v>15</v>
      </c>
      <c r="H136" s="272">
        <v>1</v>
      </c>
      <c r="I136" s="403">
        <f t="shared" ref="I136:I199" si="2">SUM(F136:H136)</f>
        <v>68</v>
      </c>
      <c r="J136" s="272">
        <v>1</v>
      </c>
      <c r="K136" s="455" t="s">
        <v>434</v>
      </c>
      <c r="L136" s="272" t="s">
        <v>432</v>
      </c>
      <c r="M136" s="405" t="s">
        <v>510</v>
      </c>
      <c r="N136" s="200">
        <v>6000</v>
      </c>
    </row>
    <row r="137" spans="2:14" ht="15.75" x14ac:dyDescent="0.25">
      <c r="B137" s="453" t="s">
        <v>566</v>
      </c>
      <c r="C137" s="342">
        <v>13797</v>
      </c>
      <c r="D137" s="454">
        <v>4.4696969696969603E-2</v>
      </c>
      <c r="E137" s="272">
        <v>5</v>
      </c>
      <c r="F137" s="272">
        <v>2</v>
      </c>
      <c r="G137" s="272">
        <v>0</v>
      </c>
      <c r="H137" s="272">
        <v>1</v>
      </c>
      <c r="I137" s="403">
        <f t="shared" si="2"/>
        <v>3</v>
      </c>
      <c r="J137" s="272">
        <v>0</v>
      </c>
      <c r="K137" s="455" t="s">
        <v>421</v>
      </c>
      <c r="L137" s="272" t="s">
        <v>422</v>
      </c>
      <c r="M137" s="405" t="s">
        <v>432</v>
      </c>
      <c r="N137" s="200">
        <v>60874.78</v>
      </c>
    </row>
    <row r="138" spans="2:14" ht="15.75" x14ac:dyDescent="0.25">
      <c r="B138" s="453" t="s">
        <v>567</v>
      </c>
      <c r="C138" s="342">
        <v>13797</v>
      </c>
      <c r="D138" s="454">
        <v>0.65965909090909003</v>
      </c>
      <c r="E138" s="272">
        <v>50</v>
      </c>
      <c r="F138" s="272">
        <v>152</v>
      </c>
      <c r="G138" s="272">
        <v>6</v>
      </c>
      <c r="H138" s="272">
        <v>5</v>
      </c>
      <c r="I138" s="403">
        <f t="shared" si="2"/>
        <v>163</v>
      </c>
      <c r="J138" s="272">
        <v>0</v>
      </c>
      <c r="K138" s="455" t="s">
        <v>440</v>
      </c>
      <c r="L138" s="272" t="s">
        <v>428</v>
      </c>
      <c r="M138" s="405" t="s">
        <v>423</v>
      </c>
      <c r="N138" s="200">
        <v>654560</v>
      </c>
    </row>
    <row r="139" spans="2:14" ht="15.75" x14ac:dyDescent="0.25">
      <c r="B139" s="453" t="s">
        <v>568</v>
      </c>
      <c r="C139" s="342">
        <v>13799</v>
      </c>
      <c r="D139" s="454">
        <v>0.45738636363636298</v>
      </c>
      <c r="E139" s="272">
        <v>45</v>
      </c>
      <c r="F139" s="272">
        <v>260</v>
      </c>
      <c r="G139" s="272">
        <v>16</v>
      </c>
      <c r="H139" s="272">
        <v>1</v>
      </c>
      <c r="I139" s="403">
        <f t="shared" si="2"/>
        <v>277</v>
      </c>
      <c r="J139" s="272">
        <v>0</v>
      </c>
      <c r="K139" s="455" t="s">
        <v>440</v>
      </c>
      <c r="L139" s="272" t="s">
        <v>432</v>
      </c>
      <c r="M139" s="405" t="s">
        <v>441</v>
      </c>
      <c r="N139" s="200">
        <v>43000</v>
      </c>
    </row>
    <row r="140" spans="2:14" ht="15.75" x14ac:dyDescent="0.25">
      <c r="B140" s="453" t="s">
        <v>569</v>
      </c>
      <c r="C140" s="342">
        <v>13878</v>
      </c>
      <c r="D140" s="454">
        <v>0.31287878787878698</v>
      </c>
      <c r="E140" s="272">
        <v>23</v>
      </c>
      <c r="F140" s="272">
        <v>346</v>
      </c>
      <c r="G140" s="272">
        <v>5</v>
      </c>
      <c r="H140" s="272">
        <v>0</v>
      </c>
      <c r="I140" s="403">
        <f t="shared" si="2"/>
        <v>351</v>
      </c>
      <c r="J140" s="272">
        <v>2</v>
      </c>
      <c r="K140" s="455" t="s">
        <v>421</v>
      </c>
      <c r="L140" s="272" t="s">
        <v>437</v>
      </c>
      <c r="M140" s="405" t="s">
        <v>510</v>
      </c>
      <c r="N140" s="200">
        <v>86367.3</v>
      </c>
    </row>
    <row r="141" spans="2:14" ht="15.75" x14ac:dyDescent="0.25">
      <c r="B141" s="453" t="s">
        <v>570</v>
      </c>
      <c r="C141" s="342">
        <v>13878</v>
      </c>
      <c r="D141" s="454">
        <v>0.31306818181818102</v>
      </c>
      <c r="E141" s="272">
        <v>25</v>
      </c>
      <c r="F141" s="272">
        <v>46</v>
      </c>
      <c r="G141" s="272">
        <v>37</v>
      </c>
      <c r="H141" s="272">
        <v>8</v>
      </c>
      <c r="I141" s="403">
        <f t="shared" si="2"/>
        <v>91</v>
      </c>
      <c r="J141" s="272">
        <v>4</v>
      </c>
      <c r="K141" s="455" t="s">
        <v>421</v>
      </c>
      <c r="L141" s="272" t="s">
        <v>437</v>
      </c>
      <c r="M141" s="405" t="s">
        <v>510</v>
      </c>
      <c r="N141" s="200">
        <v>22500</v>
      </c>
    </row>
    <row r="142" spans="2:14" ht="15.75" x14ac:dyDescent="0.25">
      <c r="B142" s="453" t="s">
        <v>571</v>
      </c>
      <c r="C142" s="342">
        <v>13878</v>
      </c>
      <c r="D142" s="454">
        <v>0.54015151515151505</v>
      </c>
      <c r="E142" s="272">
        <v>44</v>
      </c>
      <c r="F142" s="272">
        <v>137</v>
      </c>
      <c r="G142" s="272">
        <v>2</v>
      </c>
      <c r="H142" s="272">
        <v>0</v>
      </c>
      <c r="I142" s="403">
        <f t="shared" si="2"/>
        <v>139</v>
      </c>
      <c r="J142" s="272">
        <v>2</v>
      </c>
      <c r="K142" s="455" t="s">
        <v>421</v>
      </c>
      <c r="L142" s="272" t="s">
        <v>432</v>
      </c>
      <c r="M142" s="405" t="s">
        <v>441</v>
      </c>
      <c r="N142" s="200">
        <v>24000</v>
      </c>
    </row>
    <row r="143" spans="2:14" ht="15.75" x14ac:dyDescent="0.25">
      <c r="B143" s="453" t="s">
        <v>572</v>
      </c>
      <c r="C143" s="342">
        <v>13878</v>
      </c>
      <c r="D143" s="454">
        <v>0.232007575757575</v>
      </c>
      <c r="E143" s="272">
        <v>14</v>
      </c>
      <c r="F143" s="272">
        <v>26</v>
      </c>
      <c r="G143" s="272">
        <v>0</v>
      </c>
      <c r="H143" s="272">
        <v>0</v>
      </c>
      <c r="I143" s="403">
        <f t="shared" si="2"/>
        <v>26</v>
      </c>
      <c r="J143" s="272">
        <v>0</v>
      </c>
      <c r="K143" s="455" t="s">
        <v>421</v>
      </c>
      <c r="L143" s="272" t="s">
        <v>437</v>
      </c>
      <c r="M143" s="405" t="s">
        <v>510</v>
      </c>
      <c r="N143" s="200">
        <v>59995.6</v>
      </c>
    </row>
    <row r="144" spans="2:14" ht="15.75" x14ac:dyDescent="0.25">
      <c r="B144" s="453" t="s">
        <v>573</v>
      </c>
      <c r="C144" s="342">
        <v>13883</v>
      </c>
      <c r="D144" s="454">
        <v>7.4999999999999997E-2</v>
      </c>
      <c r="E144" s="272">
        <v>6</v>
      </c>
      <c r="F144" s="272">
        <v>151</v>
      </c>
      <c r="G144" s="272">
        <v>7</v>
      </c>
      <c r="H144" s="272">
        <v>1</v>
      </c>
      <c r="I144" s="403">
        <f t="shared" si="2"/>
        <v>159</v>
      </c>
      <c r="J144" s="272">
        <v>0</v>
      </c>
      <c r="K144" s="455" t="s">
        <v>434</v>
      </c>
      <c r="L144" s="272" t="s">
        <v>425</v>
      </c>
      <c r="M144" s="405" t="s">
        <v>428</v>
      </c>
      <c r="N144" s="200">
        <v>60500</v>
      </c>
    </row>
    <row r="145" spans="2:14" ht="15.75" x14ac:dyDescent="0.25">
      <c r="B145" s="453" t="s">
        <v>574</v>
      </c>
      <c r="C145" s="342">
        <v>13883</v>
      </c>
      <c r="D145" s="454">
        <v>5.83333333333333E-2</v>
      </c>
      <c r="E145" s="272">
        <v>8</v>
      </c>
      <c r="F145" s="272">
        <v>3</v>
      </c>
      <c r="G145" s="272">
        <v>0</v>
      </c>
      <c r="H145" s="272">
        <v>1</v>
      </c>
      <c r="I145" s="403">
        <f t="shared" si="2"/>
        <v>4</v>
      </c>
      <c r="J145" s="272">
        <v>0</v>
      </c>
      <c r="K145" s="455" t="s">
        <v>434</v>
      </c>
      <c r="L145" s="272" t="s">
        <v>422</v>
      </c>
      <c r="M145" s="405" t="s">
        <v>423</v>
      </c>
      <c r="N145" s="200">
        <v>66050</v>
      </c>
    </row>
    <row r="146" spans="2:14" ht="15.75" x14ac:dyDescent="0.25">
      <c r="B146" s="453" t="s">
        <v>575</v>
      </c>
      <c r="C146" s="342">
        <v>13906</v>
      </c>
      <c r="D146" s="454">
        <v>0.376893939393939</v>
      </c>
      <c r="E146" s="272">
        <v>26</v>
      </c>
      <c r="F146" s="272">
        <v>56</v>
      </c>
      <c r="G146" s="272">
        <v>4</v>
      </c>
      <c r="H146" s="272">
        <v>0</v>
      </c>
      <c r="I146" s="403">
        <f t="shared" si="2"/>
        <v>60</v>
      </c>
      <c r="J146" s="272">
        <v>0</v>
      </c>
      <c r="K146" s="455" t="s">
        <v>421</v>
      </c>
      <c r="L146" s="272" t="s">
        <v>437</v>
      </c>
      <c r="M146" s="405" t="s">
        <v>510</v>
      </c>
      <c r="N146" s="200">
        <v>61500</v>
      </c>
    </row>
    <row r="147" spans="2:14" ht="15.75" x14ac:dyDescent="0.25">
      <c r="B147" s="453" t="s">
        <v>576</v>
      </c>
      <c r="C147" s="342">
        <v>13906</v>
      </c>
      <c r="D147" s="454">
        <v>0.67670454545454495</v>
      </c>
      <c r="E147" s="272">
        <v>40</v>
      </c>
      <c r="F147" s="272">
        <v>31</v>
      </c>
      <c r="G147" s="272">
        <v>2</v>
      </c>
      <c r="H147" s="272">
        <v>3</v>
      </c>
      <c r="I147" s="403">
        <f t="shared" si="2"/>
        <v>36</v>
      </c>
      <c r="J147" s="272">
        <v>10</v>
      </c>
      <c r="K147" s="455" t="s">
        <v>421</v>
      </c>
      <c r="L147" s="272" t="s">
        <v>510</v>
      </c>
      <c r="M147" s="405" t="s">
        <v>577</v>
      </c>
      <c r="N147" s="200">
        <v>23500</v>
      </c>
    </row>
    <row r="148" spans="2:14" ht="15.75" x14ac:dyDescent="0.25">
      <c r="B148" s="453" t="s">
        <v>578</v>
      </c>
      <c r="C148" s="342">
        <v>13906</v>
      </c>
      <c r="D148" s="454">
        <v>0.55738636363636296</v>
      </c>
      <c r="E148" s="272">
        <v>53</v>
      </c>
      <c r="F148" s="272">
        <v>99</v>
      </c>
      <c r="G148" s="272">
        <v>9</v>
      </c>
      <c r="H148" s="272">
        <v>5</v>
      </c>
      <c r="I148" s="403">
        <f t="shared" si="2"/>
        <v>113</v>
      </c>
      <c r="J148" s="272">
        <v>12</v>
      </c>
      <c r="K148" s="455" t="s">
        <v>421</v>
      </c>
      <c r="L148" s="272" t="s">
        <v>510</v>
      </c>
      <c r="M148" s="405" t="s">
        <v>577</v>
      </c>
      <c r="N148" s="200">
        <v>26250</v>
      </c>
    </row>
    <row r="149" spans="2:14" ht="15.75" x14ac:dyDescent="0.25">
      <c r="B149" s="453" t="s">
        <v>579</v>
      </c>
      <c r="C149" s="342">
        <v>13906</v>
      </c>
      <c r="D149" s="454">
        <v>0.80321969696969697</v>
      </c>
      <c r="E149" s="272">
        <v>53</v>
      </c>
      <c r="F149" s="272">
        <v>62</v>
      </c>
      <c r="G149" s="272">
        <v>4</v>
      </c>
      <c r="H149" s="272">
        <v>2</v>
      </c>
      <c r="I149" s="403">
        <f t="shared" si="2"/>
        <v>68</v>
      </c>
      <c r="J149" s="272">
        <v>0</v>
      </c>
      <c r="K149" s="455" t="s">
        <v>421</v>
      </c>
      <c r="L149" s="272" t="s">
        <v>437</v>
      </c>
      <c r="M149" s="405" t="s">
        <v>516</v>
      </c>
      <c r="N149" s="200">
        <v>25000</v>
      </c>
    </row>
    <row r="150" spans="2:14" ht="15.75" x14ac:dyDescent="0.25">
      <c r="B150" s="453" t="s">
        <v>580</v>
      </c>
      <c r="C150" s="342">
        <v>13906</v>
      </c>
      <c r="D150" s="454">
        <v>9.5454545454545403E-2</v>
      </c>
      <c r="E150" s="272">
        <v>7</v>
      </c>
      <c r="F150" s="272">
        <v>26</v>
      </c>
      <c r="G150" s="272">
        <v>2</v>
      </c>
      <c r="H150" s="272">
        <v>1</v>
      </c>
      <c r="I150" s="403">
        <f t="shared" si="2"/>
        <v>29</v>
      </c>
      <c r="J150" s="272">
        <v>0</v>
      </c>
      <c r="K150" s="455" t="s">
        <v>421</v>
      </c>
      <c r="L150" s="272" t="s">
        <v>422</v>
      </c>
      <c r="M150" s="405" t="s">
        <v>423</v>
      </c>
      <c r="N150" s="200">
        <v>119524.32</v>
      </c>
    </row>
    <row r="151" spans="2:14" ht="15.75" x14ac:dyDescent="0.25">
      <c r="B151" s="453" t="s">
        <v>581</v>
      </c>
      <c r="C151" s="342">
        <v>13909</v>
      </c>
      <c r="D151" s="454">
        <v>0.20094696969696901</v>
      </c>
      <c r="E151" s="272">
        <v>11</v>
      </c>
      <c r="F151" s="272">
        <v>41</v>
      </c>
      <c r="G151" s="272">
        <v>4</v>
      </c>
      <c r="H151" s="272">
        <v>0</v>
      </c>
      <c r="I151" s="403">
        <f t="shared" si="2"/>
        <v>45</v>
      </c>
      <c r="J151" s="272">
        <v>0</v>
      </c>
      <c r="K151" s="455" t="s">
        <v>421</v>
      </c>
      <c r="L151" s="272" t="s">
        <v>437</v>
      </c>
      <c r="M151" s="405" t="s">
        <v>516</v>
      </c>
      <c r="N151" s="200">
        <v>32973.46</v>
      </c>
    </row>
    <row r="152" spans="2:14" ht="15.75" x14ac:dyDescent="0.25">
      <c r="B152" s="453" t="s">
        <v>582</v>
      </c>
      <c r="C152" s="342">
        <v>13909</v>
      </c>
      <c r="D152" s="454">
        <v>0.31155303030303</v>
      </c>
      <c r="E152" s="272">
        <v>22</v>
      </c>
      <c r="F152" s="272">
        <v>8</v>
      </c>
      <c r="G152" s="272">
        <v>10</v>
      </c>
      <c r="H152" s="272">
        <v>4</v>
      </c>
      <c r="I152" s="403">
        <f t="shared" si="2"/>
        <v>22</v>
      </c>
      <c r="J152" s="272">
        <v>6</v>
      </c>
      <c r="K152" s="455" t="s">
        <v>421</v>
      </c>
      <c r="L152" s="272" t="s">
        <v>510</v>
      </c>
      <c r="M152" s="405" t="s">
        <v>577</v>
      </c>
      <c r="N152" s="200">
        <v>23500</v>
      </c>
    </row>
    <row r="153" spans="2:14" ht="15.75" x14ac:dyDescent="0.25">
      <c r="B153" s="453" t="s">
        <v>583</v>
      </c>
      <c r="C153" s="342">
        <v>13911</v>
      </c>
      <c r="D153" s="454">
        <v>0.13030303030303</v>
      </c>
      <c r="E153" s="272">
        <v>16</v>
      </c>
      <c r="F153" s="272">
        <v>4</v>
      </c>
      <c r="G153" s="272">
        <v>0</v>
      </c>
      <c r="H153" s="272">
        <v>2</v>
      </c>
      <c r="I153" s="403">
        <f t="shared" si="2"/>
        <v>6</v>
      </c>
      <c r="J153" s="272">
        <v>0</v>
      </c>
      <c r="K153" s="455" t="s">
        <v>421</v>
      </c>
      <c r="L153" s="272" t="s">
        <v>510</v>
      </c>
      <c r="M153" s="405" t="s">
        <v>577</v>
      </c>
      <c r="N153" s="200">
        <v>20000</v>
      </c>
    </row>
    <row r="154" spans="2:14" ht="15.75" x14ac:dyDescent="0.25">
      <c r="B154" s="453" t="s">
        <v>584</v>
      </c>
      <c r="C154" s="342">
        <v>13911</v>
      </c>
      <c r="D154" s="454">
        <v>5.1893939393939298E-2</v>
      </c>
      <c r="E154" s="272">
        <v>5</v>
      </c>
      <c r="F154" s="272">
        <v>62</v>
      </c>
      <c r="G154" s="272">
        <v>1</v>
      </c>
      <c r="H154" s="272">
        <v>0</v>
      </c>
      <c r="I154" s="403">
        <f t="shared" si="2"/>
        <v>63</v>
      </c>
      <c r="J154" s="272">
        <v>0</v>
      </c>
      <c r="K154" s="455" t="s">
        <v>421</v>
      </c>
      <c r="L154" s="272" t="s">
        <v>510</v>
      </c>
      <c r="M154" s="405" t="s">
        <v>577</v>
      </c>
      <c r="N154" s="200">
        <v>26849.56</v>
      </c>
    </row>
    <row r="155" spans="2:14" ht="15.75" x14ac:dyDescent="0.25">
      <c r="B155" s="453" t="s">
        <v>585</v>
      </c>
      <c r="C155" s="342">
        <v>13911</v>
      </c>
      <c r="D155" s="454">
        <v>0.65909090909090895</v>
      </c>
      <c r="E155" s="272">
        <v>48</v>
      </c>
      <c r="F155" s="272">
        <v>747</v>
      </c>
      <c r="G155" s="272">
        <v>13</v>
      </c>
      <c r="H155" s="272">
        <v>1</v>
      </c>
      <c r="I155" s="403">
        <f t="shared" si="2"/>
        <v>761</v>
      </c>
      <c r="J155" s="272">
        <v>4</v>
      </c>
      <c r="K155" s="455" t="s">
        <v>421</v>
      </c>
      <c r="L155" s="272" t="s">
        <v>510</v>
      </c>
      <c r="M155" s="405" t="s">
        <v>577</v>
      </c>
      <c r="N155" s="200">
        <v>198750</v>
      </c>
    </row>
    <row r="156" spans="2:14" ht="15.75" x14ac:dyDescent="0.25">
      <c r="B156" s="453" t="s">
        <v>586</v>
      </c>
      <c r="C156" s="342">
        <v>13911</v>
      </c>
      <c r="D156" s="454">
        <v>0.85871212121212104</v>
      </c>
      <c r="E156" s="272">
        <v>53</v>
      </c>
      <c r="F156" s="272">
        <v>108</v>
      </c>
      <c r="G156" s="272">
        <v>18</v>
      </c>
      <c r="H156" s="272">
        <v>0</v>
      </c>
      <c r="I156" s="403">
        <f t="shared" si="2"/>
        <v>126</v>
      </c>
      <c r="J156" s="272">
        <v>0</v>
      </c>
      <c r="K156" s="455" t="s">
        <v>421</v>
      </c>
      <c r="L156" s="272" t="s">
        <v>510</v>
      </c>
      <c r="M156" s="405" t="s">
        <v>577</v>
      </c>
      <c r="N156" s="200">
        <v>22500</v>
      </c>
    </row>
    <row r="157" spans="2:14" ht="15.75" x14ac:dyDescent="0.25">
      <c r="B157" s="453" t="s">
        <v>587</v>
      </c>
      <c r="C157" s="342">
        <v>13911</v>
      </c>
      <c r="D157" s="454">
        <v>0.30094696969696899</v>
      </c>
      <c r="E157" s="272">
        <v>19</v>
      </c>
      <c r="F157" s="272">
        <v>93</v>
      </c>
      <c r="G157" s="272">
        <v>2</v>
      </c>
      <c r="H157" s="272">
        <v>0</v>
      </c>
      <c r="I157" s="403">
        <f t="shared" si="2"/>
        <v>95</v>
      </c>
      <c r="J157" s="272">
        <v>0</v>
      </c>
      <c r="K157" s="455" t="s">
        <v>421</v>
      </c>
      <c r="L157" s="272" t="s">
        <v>432</v>
      </c>
      <c r="M157" s="405" t="s">
        <v>441</v>
      </c>
      <c r="N157" s="200">
        <v>23500</v>
      </c>
    </row>
    <row r="158" spans="2:14" ht="15.75" x14ac:dyDescent="0.25">
      <c r="B158" s="453" t="s">
        <v>588</v>
      </c>
      <c r="C158" s="342">
        <v>13911</v>
      </c>
      <c r="D158" s="454">
        <v>0.55549242424242395</v>
      </c>
      <c r="E158" s="272">
        <v>50</v>
      </c>
      <c r="F158" s="272">
        <v>80</v>
      </c>
      <c r="G158" s="272">
        <v>27</v>
      </c>
      <c r="H158" s="272">
        <v>0</v>
      </c>
      <c r="I158" s="403">
        <f t="shared" si="2"/>
        <v>107</v>
      </c>
      <c r="J158" s="272">
        <v>0</v>
      </c>
      <c r="K158" s="455" t="s">
        <v>421</v>
      </c>
      <c r="L158" s="272" t="s">
        <v>510</v>
      </c>
      <c r="M158" s="405" t="s">
        <v>577</v>
      </c>
      <c r="N158" s="200">
        <v>27500</v>
      </c>
    </row>
    <row r="159" spans="2:14" ht="15.75" x14ac:dyDescent="0.25">
      <c r="B159" s="453" t="s">
        <v>589</v>
      </c>
      <c r="C159" s="342">
        <v>14116</v>
      </c>
      <c r="D159" s="454">
        <v>0.32594696969696901</v>
      </c>
      <c r="E159" s="272">
        <v>29</v>
      </c>
      <c r="F159" s="272">
        <v>50</v>
      </c>
      <c r="G159" s="272">
        <v>4</v>
      </c>
      <c r="H159" s="272">
        <v>3</v>
      </c>
      <c r="I159" s="403">
        <f t="shared" si="2"/>
        <v>57</v>
      </c>
      <c r="J159" s="272">
        <v>4</v>
      </c>
      <c r="K159" s="455" t="s">
        <v>440</v>
      </c>
      <c r="L159" s="272" t="s">
        <v>426</v>
      </c>
      <c r="M159" s="405" t="s">
        <v>422</v>
      </c>
      <c r="N159" s="200">
        <v>328562</v>
      </c>
    </row>
    <row r="160" spans="2:14" ht="15.75" x14ac:dyDescent="0.25">
      <c r="B160" s="453" t="s">
        <v>590</v>
      </c>
      <c r="C160" s="342">
        <v>14116</v>
      </c>
      <c r="D160" s="454">
        <v>9.2613636363636301E-2</v>
      </c>
      <c r="E160" s="272">
        <v>7</v>
      </c>
      <c r="F160" s="272">
        <v>10</v>
      </c>
      <c r="G160" s="272">
        <v>8</v>
      </c>
      <c r="H160" s="272">
        <v>0</v>
      </c>
      <c r="I160" s="403">
        <f t="shared" si="2"/>
        <v>18</v>
      </c>
      <c r="J160" s="272">
        <v>0</v>
      </c>
      <c r="K160" s="455" t="s">
        <v>421</v>
      </c>
      <c r="L160" s="272" t="s">
        <v>510</v>
      </c>
      <c r="M160" s="405" t="s">
        <v>510</v>
      </c>
      <c r="N160" s="200">
        <v>34747.800000000003</v>
      </c>
    </row>
    <row r="161" spans="2:14" ht="15.75" x14ac:dyDescent="0.25">
      <c r="B161" s="453" t="s">
        <v>591</v>
      </c>
      <c r="C161" s="342">
        <v>14355</v>
      </c>
      <c r="D161" s="454">
        <v>0.157765151515151</v>
      </c>
      <c r="E161" s="272">
        <v>15</v>
      </c>
      <c r="F161" s="272">
        <v>356</v>
      </c>
      <c r="G161" s="272">
        <v>21</v>
      </c>
      <c r="H161" s="272">
        <v>2</v>
      </c>
      <c r="I161" s="403">
        <f t="shared" si="2"/>
        <v>379</v>
      </c>
      <c r="J161" s="272">
        <v>0</v>
      </c>
      <c r="K161" s="455" t="s">
        <v>421</v>
      </c>
      <c r="L161" s="272" t="s">
        <v>510</v>
      </c>
      <c r="M161" s="405" t="s">
        <v>577</v>
      </c>
      <c r="N161" s="200">
        <v>31298.86</v>
      </c>
    </row>
    <row r="162" spans="2:14" ht="15.75" x14ac:dyDescent="0.25">
      <c r="B162" s="453" t="s">
        <v>592</v>
      </c>
      <c r="C162" s="342">
        <v>14355</v>
      </c>
      <c r="D162" s="454">
        <v>0.31856060606060599</v>
      </c>
      <c r="E162" s="272">
        <v>22</v>
      </c>
      <c r="F162" s="272">
        <v>51</v>
      </c>
      <c r="G162" s="272">
        <v>3</v>
      </c>
      <c r="H162" s="272">
        <v>3</v>
      </c>
      <c r="I162" s="403">
        <f t="shared" si="2"/>
        <v>57</v>
      </c>
      <c r="J162" s="272">
        <v>1</v>
      </c>
      <c r="K162" s="455" t="s">
        <v>421</v>
      </c>
      <c r="L162" s="272" t="s">
        <v>510</v>
      </c>
      <c r="M162" s="405" t="s">
        <v>510</v>
      </c>
      <c r="N162" s="200">
        <v>21250</v>
      </c>
    </row>
    <row r="163" spans="2:14" ht="15.75" x14ac:dyDescent="0.25">
      <c r="B163" s="453" t="s">
        <v>593</v>
      </c>
      <c r="C163" s="342">
        <v>13120</v>
      </c>
      <c r="D163" s="454">
        <v>0.20303030303030301</v>
      </c>
      <c r="E163" s="272">
        <v>14</v>
      </c>
      <c r="F163" s="272">
        <v>135</v>
      </c>
      <c r="G163" s="272">
        <v>8</v>
      </c>
      <c r="H163" s="272">
        <v>1</v>
      </c>
      <c r="I163" s="403">
        <f t="shared" si="2"/>
        <v>144</v>
      </c>
      <c r="J163" s="272">
        <v>1</v>
      </c>
      <c r="K163" s="455" t="s">
        <v>434</v>
      </c>
      <c r="L163" s="272" t="s">
        <v>425</v>
      </c>
      <c r="M163" s="405" t="s">
        <v>428</v>
      </c>
      <c r="N163" s="200">
        <v>194372</v>
      </c>
    </row>
    <row r="164" spans="2:14" ht="15.75" x14ac:dyDescent="0.25">
      <c r="B164" s="453" t="s">
        <v>594</v>
      </c>
      <c r="C164" s="342">
        <v>13146</v>
      </c>
      <c r="D164" s="454">
        <v>0.54337121212121198</v>
      </c>
      <c r="E164" s="272">
        <v>30</v>
      </c>
      <c r="F164" s="272">
        <v>91</v>
      </c>
      <c r="G164" s="272">
        <v>6</v>
      </c>
      <c r="H164" s="272">
        <v>0</v>
      </c>
      <c r="I164" s="403">
        <f t="shared" si="2"/>
        <v>97</v>
      </c>
      <c r="J164" s="272">
        <v>0</v>
      </c>
      <c r="K164" s="455" t="s">
        <v>434</v>
      </c>
      <c r="L164" s="272" t="s">
        <v>432</v>
      </c>
      <c r="M164" s="405" t="s">
        <v>441</v>
      </c>
      <c r="N164" s="200">
        <v>56106</v>
      </c>
    </row>
    <row r="165" spans="2:14" ht="15.75" x14ac:dyDescent="0.25">
      <c r="B165" s="453" t="s">
        <v>595</v>
      </c>
      <c r="C165" s="342">
        <v>13243</v>
      </c>
      <c r="D165" s="454">
        <v>0.22840909090909001</v>
      </c>
      <c r="E165" s="272">
        <v>19</v>
      </c>
      <c r="F165" s="272">
        <v>7</v>
      </c>
      <c r="G165" s="272">
        <v>0</v>
      </c>
      <c r="H165" s="272">
        <v>4</v>
      </c>
      <c r="I165" s="403">
        <f t="shared" si="2"/>
        <v>11</v>
      </c>
      <c r="J165" s="272">
        <v>0</v>
      </c>
      <c r="K165" s="455" t="s">
        <v>443</v>
      </c>
      <c r="L165" s="272" t="s">
        <v>432</v>
      </c>
      <c r="M165" s="405" t="s">
        <v>437</v>
      </c>
      <c r="N165" s="200">
        <v>122978</v>
      </c>
    </row>
    <row r="166" spans="2:14" ht="15.75" x14ac:dyDescent="0.25">
      <c r="B166" s="453" t="s">
        <v>596</v>
      </c>
      <c r="C166" s="342">
        <v>13243</v>
      </c>
      <c r="D166" s="454">
        <v>0.286174242424242</v>
      </c>
      <c r="E166" s="272">
        <v>18</v>
      </c>
      <c r="F166" s="272">
        <v>223</v>
      </c>
      <c r="G166" s="272">
        <v>18</v>
      </c>
      <c r="H166" s="272">
        <v>0</v>
      </c>
      <c r="I166" s="403">
        <f t="shared" si="2"/>
        <v>241</v>
      </c>
      <c r="J166" s="272">
        <v>0</v>
      </c>
      <c r="K166" s="455" t="s">
        <v>421</v>
      </c>
      <c r="L166" s="272" t="s">
        <v>432</v>
      </c>
      <c r="M166" s="405" t="s">
        <v>441</v>
      </c>
      <c r="N166" s="200">
        <v>298166</v>
      </c>
    </row>
    <row r="167" spans="2:14" ht="15.75" x14ac:dyDescent="0.25">
      <c r="B167" s="453" t="s">
        <v>597</v>
      </c>
      <c r="C167" s="342">
        <v>13268</v>
      </c>
      <c r="D167" s="454">
        <v>1.40265151515151</v>
      </c>
      <c r="E167" s="272">
        <v>67</v>
      </c>
      <c r="F167" s="272">
        <v>76</v>
      </c>
      <c r="G167" s="272">
        <v>19</v>
      </c>
      <c r="H167" s="272">
        <v>0</v>
      </c>
      <c r="I167" s="403">
        <f t="shared" si="2"/>
        <v>95</v>
      </c>
      <c r="J167" s="272">
        <v>0</v>
      </c>
      <c r="K167" s="455" t="s">
        <v>445</v>
      </c>
      <c r="L167" s="272" t="s">
        <v>432</v>
      </c>
      <c r="M167" s="405" t="s">
        <v>516</v>
      </c>
      <c r="N167" s="200">
        <v>122156</v>
      </c>
    </row>
    <row r="168" spans="2:14" ht="15.75" x14ac:dyDescent="0.25">
      <c r="B168" s="453" t="s">
        <v>598</v>
      </c>
      <c r="C168" s="342">
        <v>13268</v>
      </c>
      <c r="D168" s="454">
        <v>0.89109848484848497</v>
      </c>
      <c r="E168" s="272">
        <v>48</v>
      </c>
      <c r="F168" s="272">
        <v>216</v>
      </c>
      <c r="G168" s="272">
        <v>23</v>
      </c>
      <c r="H168" s="272">
        <v>2</v>
      </c>
      <c r="I168" s="403">
        <f t="shared" si="2"/>
        <v>241</v>
      </c>
      <c r="J168" s="272">
        <v>1</v>
      </c>
      <c r="K168" s="455" t="s">
        <v>421</v>
      </c>
      <c r="L168" s="272" t="s">
        <v>428</v>
      </c>
      <c r="M168" s="405" t="s">
        <v>432</v>
      </c>
      <c r="N168" s="200">
        <v>802646</v>
      </c>
    </row>
    <row r="169" spans="2:14" ht="15.75" x14ac:dyDescent="0.25">
      <c r="B169" s="453" t="s">
        <v>599</v>
      </c>
      <c r="C169" s="342">
        <v>13268</v>
      </c>
      <c r="D169" s="454">
        <v>0.43333333333333302</v>
      </c>
      <c r="E169" s="272">
        <v>28</v>
      </c>
      <c r="F169" s="272">
        <v>48</v>
      </c>
      <c r="G169" s="272">
        <v>6</v>
      </c>
      <c r="H169" s="272">
        <v>1</v>
      </c>
      <c r="I169" s="403">
        <f t="shared" si="2"/>
        <v>55</v>
      </c>
      <c r="J169" s="272">
        <v>0</v>
      </c>
      <c r="K169" s="455" t="s">
        <v>445</v>
      </c>
      <c r="L169" s="272" t="s">
        <v>432</v>
      </c>
      <c r="M169" s="405" t="s">
        <v>441</v>
      </c>
      <c r="N169" s="200">
        <v>129753</v>
      </c>
    </row>
    <row r="170" spans="2:14" ht="15.75" x14ac:dyDescent="0.25">
      <c r="B170" s="453" t="s">
        <v>600</v>
      </c>
      <c r="C170" s="342">
        <v>13390</v>
      </c>
      <c r="D170" s="454">
        <v>0.72367424242424205</v>
      </c>
      <c r="E170" s="272">
        <v>46</v>
      </c>
      <c r="F170" s="272">
        <v>266</v>
      </c>
      <c r="G170" s="272">
        <v>27</v>
      </c>
      <c r="H170" s="272">
        <v>3</v>
      </c>
      <c r="I170" s="403">
        <f t="shared" si="2"/>
        <v>296</v>
      </c>
      <c r="J170" s="272">
        <v>0</v>
      </c>
      <c r="K170" s="455" t="s">
        <v>434</v>
      </c>
      <c r="L170" s="272" t="s">
        <v>443</v>
      </c>
      <c r="M170" s="405" t="s">
        <v>428</v>
      </c>
      <c r="N170" s="200">
        <v>1511052</v>
      </c>
    </row>
    <row r="171" spans="2:14" ht="15.75" x14ac:dyDescent="0.25">
      <c r="B171" s="453" t="s">
        <v>601</v>
      </c>
      <c r="C171" s="342">
        <v>13655</v>
      </c>
      <c r="D171" s="454">
        <v>1.23125</v>
      </c>
      <c r="E171" s="272">
        <v>70</v>
      </c>
      <c r="F171" s="272">
        <v>298</v>
      </c>
      <c r="G171" s="272">
        <v>26</v>
      </c>
      <c r="H171" s="272">
        <v>3</v>
      </c>
      <c r="I171" s="403">
        <f t="shared" si="2"/>
        <v>327</v>
      </c>
      <c r="J171" s="272">
        <v>0</v>
      </c>
      <c r="K171" s="455" t="s">
        <v>445</v>
      </c>
      <c r="L171" s="272" t="s">
        <v>432</v>
      </c>
      <c r="M171" s="405" t="s">
        <v>516</v>
      </c>
      <c r="N171" s="200">
        <v>152476</v>
      </c>
    </row>
    <row r="172" spans="2:14" ht="15.75" x14ac:dyDescent="0.25">
      <c r="B172" s="453" t="s">
        <v>602</v>
      </c>
      <c r="C172" s="342">
        <v>13722</v>
      </c>
      <c r="D172" s="454">
        <v>0.212878787878787</v>
      </c>
      <c r="E172" s="272">
        <v>17</v>
      </c>
      <c r="F172" s="272">
        <v>124</v>
      </c>
      <c r="G172" s="272">
        <v>18</v>
      </c>
      <c r="H172" s="272">
        <v>1</v>
      </c>
      <c r="I172" s="403">
        <f t="shared" si="2"/>
        <v>143</v>
      </c>
      <c r="J172" s="272">
        <v>0</v>
      </c>
      <c r="K172" s="455" t="s">
        <v>421</v>
      </c>
      <c r="L172" s="272" t="s">
        <v>432</v>
      </c>
      <c r="M172" s="405" t="s">
        <v>516</v>
      </c>
      <c r="N172" s="200">
        <v>185066</v>
      </c>
    </row>
    <row r="173" spans="2:14" ht="15.75" x14ac:dyDescent="0.25">
      <c r="B173" s="453" t="s">
        <v>603</v>
      </c>
      <c r="C173" s="342">
        <v>13724</v>
      </c>
      <c r="D173" s="454">
        <v>0.29678030303030301</v>
      </c>
      <c r="E173" s="272">
        <v>16</v>
      </c>
      <c r="F173" s="272">
        <v>9</v>
      </c>
      <c r="G173" s="272">
        <v>5</v>
      </c>
      <c r="H173" s="272">
        <v>0</v>
      </c>
      <c r="I173" s="403">
        <f t="shared" si="2"/>
        <v>14</v>
      </c>
      <c r="J173" s="272">
        <v>0</v>
      </c>
      <c r="K173" s="455" t="s">
        <v>421</v>
      </c>
      <c r="L173" s="272" t="s">
        <v>425</v>
      </c>
      <c r="M173" s="405" t="s">
        <v>423</v>
      </c>
      <c r="N173" s="200">
        <v>375122</v>
      </c>
    </row>
    <row r="174" spans="2:14" ht="15.75" x14ac:dyDescent="0.25">
      <c r="B174" s="453" t="s">
        <v>604</v>
      </c>
      <c r="C174" s="342">
        <v>13724</v>
      </c>
      <c r="D174" s="454">
        <v>1.75738636363636</v>
      </c>
      <c r="E174" s="272">
        <v>83</v>
      </c>
      <c r="F174" s="272">
        <v>181</v>
      </c>
      <c r="G174" s="272">
        <v>35</v>
      </c>
      <c r="H174" s="272">
        <v>2</v>
      </c>
      <c r="I174" s="403">
        <f t="shared" si="2"/>
        <v>218</v>
      </c>
      <c r="J174" s="272">
        <v>0</v>
      </c>
      <c r="K174" s="455" t="s">
        <v>421</v>
      </c>
      <c r="L174" s="272" t="s">
        <v>422</v>
      </c>
      <c r="M174" s="405" t="s">
        <v>441</v>
      </c>
      <c r="N174" s="200">
        <v>1803592</v>
      </c>
    </row>
    <row r="175" spans="2:14" ht="15.75" x14ac:dyDescent="0.25">
      <c r="B175" s="453" t="s">
        <v>605</v>
      </c>
      <c r="C175" s="342">
        <v>13724</v>
      </c>
      <c r="D175" s="454">
        <v>0.57253787878787799</v>
      </c>
      <c r="E175" s="272">
        <v>31</v>
      </c>
      <c r="F175" s="272">
        <v>120</v>
      </c>
      <c r="G175" s="272">
        <v>22</v>
      </c>
      <c r="H175" s="272">
        <v>0</v>
      </c>
      <c r="I175" s="403">
        <f t="shared" si="2"/>
        <v>142</v>
      </c>
      <c r="J175" s="272">
        <v>0</v>
      </c>
      <c r="K175" s="455" t="s">
        <v>421</v>
      </c>
      <c r="L175" s="272" t="s">
        <v>422</v>
      </c>
      <c r="M175" s="405" t="s">
        <v>441</v>
      </c>
      <c r="N175" s="200">
        <v>145165</v>
      </c>
    </row>
    <row r="176" spans="2:14" ht="15.75" x14ac:dyDescent="0.25">
      <c r="B176" s="453" t="s">
        <v>606</v>
      </c>
      <c r="C176" s="342">
        <v>13724</v>
      </c>
      <c r="D176" s="454">
        <v>0.53920454545454499</v>
      </c>
      <c r="E176" s="272">
        <v>32</v>
      </c>
      <c r="F176" s="272">
        <v>31</v>
      </c>
      <c r="G176" s="272">
        <v>4</v>
      </c>
      <c r="H176" s="272">
        <v>0</v>
      </c>
      <c r="I176" s="403">
        <f t="shared" si="2"/>
        <v>35</v>
      </c>
      <c r="J176" s="272">
        <v>6</v>
      </c>
      <c r="K176" s="455" t="s">
        <v>434</v>
      </c>
      <c r="L176" s="272" t="s">
        <v>422</v>
      </c>
      <c r="M176" s="405" t="s">
        <v>437</v>
      </c>
      <c r="N176" s="200">
        <v>340878</v>
      </c>
    </row>
    <row r="177" spans="2:14" ht="15.75" x14ac:dyDescent="0.25">
      <c r="B177" s="453" t="s">
        <v>607</v>
      </c>
      <c r="C177" s="342">
        <v>13724</v>
      </c>
      <c r="D177" s="454">
        <v>1.99318181818181</v>
      </c>
      <c r="E177" s="272">
        <v>103</v>
      </c>
      <c r="F177" s="272">
        <v>97</v>
      </c>
      <c r="G177" s="272">
        <v>17</v>
      </c>
      <c r="H177" s="272">
        <v>2</v>
      </c>
      <c r="I177" s="403">
        <f t="shared" si="2"/>
        <v>116</v>
      </c>
      <c r="J177" s="272">
        <v>0</v>
      </c>
      <c r="K177" s="455" t="s">
        <v>421</v>
      </c>
      <c r="L177" s="272" t="s">
        <v>432</v>
      </c>
      <c r="M177" s="405" t="s">
        <v>441</v>
      </c>
      <c r="N177" s="200">
        <v>122648</v>
      </c>
    </row>
    <row r="178" spans="2:14" ht="15.75" x14ac:dyDescent="0.25">
      <c r="B178" s="453" t="s">
        <v>608</v>
      </c>
      <c r="C178" s="342">
        <v>13785</v>
      </c>
      <c r="D178" s="454">
        <v>1.0799242424242399</v>
      </c>
      <c r="E178" s="272">
        <v>57</v>
      </c>
      <c r="F178" s="272">
        <v>174</v>
      </c>
      <c r="G178" s="272">
        <v>10</v>
      </c>
      <c r="H178" s="272">
        <v>0</v>
      </c>
      <c r="I178" s="403">
        <f t="shared" si="2"/>
        <v>184</v>
      </c>
      <c r="J178" s="272">
        <v>0</v>
      </c>
      <c r="K178" s="455" t="s">
        <v>421</v>
      </c>
      <c r="L178" s="272" t="s">
        <v>425</v>
      </c>
      <c r="M178" s="405" t="s">
        <v>423</v>
      </c>
      <c r="N178" s="200">
        <v>1001289</v>
      </c>
    </row>
    <row r="179" spans="2:14" ht="15.75" x14ac:dyDescent="0.25">
      <c r="B179" s="453" t="s">
        <v>609</v>
      </c>
      <c r="C179" s="342">
        <v>13785</v>
      </c>
      <c r="D179" s="454">
        <v>0.72007575757575704</v>
      </c>
      <c r="E179" s="272">
        <v>31</v>
      </c>
      <c r="F179" s="272">
        <v>72</v>
      </c>
      <c r="G179" s="272">
        <v>13</v>
      </c>
      <c r="H179" s="272">
        <v>1</v>
      </c>
      <c r="I179" s="403">
        <f t="shared" si="2"/>
        <v>86</v>
      </c>
      <c r="J179" s="272">
        <v>0</v>
      </c>
      <c r="K179" s="455" t="s">
        <v>434</v>
      </c>
      <c r="L179" s="272" t="s">
        <v>425</v>
      </c>
      <c r="M179" s="405" t="s">
        <v>423</v>
      </c>
      <c r="N179" s="200">
        <v>858204</v>
      </c>
    </row>
    <row r="180" spans="2:14" ht="15.75" x14ac:dyDescent="0.25">
      <c r="B180" s="453" t="s">
        <v>610</v>
      </c>
      <c r="C180" s="342">
        <v>13961</v>
      </c>
      <c r="D180" s="454">
        <v>0.15795454545454499</v>
      </c>
      <c r="E180" s="272">
        <v>8</v>
      </c>
      <c r="F180" s="272">
        <v>4</v>
      </c>
      <c r="G180" s="272">
        <v>0</v>
      </c>
      <c r="H180" s="272">
        <v>2</v>
      </c>
      <c r="I180" s="403">
        <f t="shared" si="2"/>
        <v>6</v>
      </c>
      <c r="J180" s="272">
        <v>4</v>
      </c>
      <c r="K180" s="455" t="s">
        <v>421</v>
      </c>
      <c r="L180" s="272" t="s">
        <v>432</v>
      </c>
      <c r="M180" s="405" t="s">
        <v>441</v>
      </c>
      <c r="N180" s="200">
        <v>54732</v>
      </c>
    </row>
    <row r="181" spans="2:14" ht="15.75" x14ac:dyDescent="0.25">
      <c r="B181" s="453" t="s">
        <v>611</v>
      </c>
      <c r="C181" s="342">
        <v>13961</v>
      </c>
      <c r="D181" s="454">
        <v>0.54469696969696901</v>
      </c>
      <c r="E181" s="272">
        <v>32</v>
      </c>
      <c r="F181" s="272">
        <v>38</v>
      </c>
      <c r="G181" s="272">
        <v>5</v>
      </c>
      <c r="H181" s="272">
        <v>0</v>
      </c>
      <c r="I181" s="403">
        <f t="shared" si="2"/>
        <v>43</v>
      </c>
      <c r="J181" s="272">
        <v>0</v>
      </c>
      <c r="K181" s="455" t="s">
        <v>421</v>
      </c>
      <c r="L181" s="272" t="s">
        <v>426</v>
      </c>
      <c r="M181" s="405" t="s">
        <v>423</v>
      </c>
      <c r="N181" s="200">
        <v>267570</v>
      </c>
    </row>
    <row r="182" spans="2:14" ht="15.75" x14ac:dyDescent="0.25">
      <c r="B182" s="453" t="s">
        <v>612</v>
      </c>
      <c r="C182" s="342">
        <v>13961</v>
      </c>
      <c r="D182" s="454">
        <v>0.48219696969696901</v>
      </c>
      <c r="E182" s="272">
        <v>35</v>
      </c>
      <c r="F182" s="272">
        <v>118</v>
      </c>
      <c r="G182" s="272">
        <v>13</v>
      </c>
      <c r="H182" s="272">
        <v>4</v>
      </c>
      <c r="I182" s="403">
        <f t="shared" si="2"/>
        <v>135</v>
      </c>
      <c r="J182" s="272">
        <v>0</v>
      </c>
      <c r="K182" s="455" t="s">
        <v>434</v>
      </c>
      <c r="L182" s="272" t="s">
        <v>425</v>
      </c>
      <c r="M182" s="405" t="s">
        <v>422</v>
      </c>
      <c r="N182" s="200">
        <v>225732</v>
      </c>
    </row>
    <row r="183" spans="2:14" ht="15.75" x14ac:dyDescent="0.25">
      <c r="B183" s="453" t="s">
        <v>613</v>
      </c>
      <c r="C183" s="342">
        <v>13961</v>
      </c>
      <c r="D183" s="454">
        <v>0.48693181818181802</v>
      </c>
      <c r="E183" s="272">
        <v>32</v>
      </c>
      <c r="F183" s="272">
        <v>28</v>
      </c>
      <c r="G183" s="272">
        <v>4</v>
      </c>
      <c r="H183" s="272">
        <v>1</v>
      </c>
      <c r="I183" s="403">
        <f t="shared" si="2"/>
        <v>33</v>
      </c>
      <c r="J183" s="272">
        <v>0</v>
      </c>
      <c r="K183" s="455" t="s">
        <v>421</v>
      </c>
      <c r="L183" s="272" t="s">
        <v>426</v>
      </c>
      <c r="M183" s="405" t="s">
        <v>422</v>
      </c>
      <c r="N183" s="200">
        <v>157398</v>
      </c>
    </row>
    <row r="184" spans="2:14" ht="15.75" x14ac:dyDescent="0.25">
      <c r="B184" s="453" t="s">
        <v>614</v>
      </c>
      <c r="C184" s="342">
        <v>13961</v>
      </c>
      <c r="D184" s="454">
        <v>0.49450757575757498</v>
      </c>
      <c r="E184" s="272">
        <v>26</v>
      </c>
      <c r="F184" s="272">
        <v>509</v>
      </c>
      <c r="G184" s="272">
        <v>10</v>
      </c>
      <c r="H184" s="272">
        <v>2</v>
      </c>
      <c r="I184" s="403">
        <f t="shared" si="2"/>
        <v>521</v>
      </c>
      <c r="J184" s="272">
        <v>0</v>
      </c>
      <c r="K184" s="455" t="s">
        <v>434</v>
      </c>
      <c r="L184" s="272" t="s">
        <v>426</v>
      </c>
      <c r="M184" s="405" t="s">
        <v>422</v>
      </c>
      <c r="N184" s="200">
        <v>196174</v>
      </c>
    </row>
    <row r="185" spans="2:14" ht="15.75" x14ac:dyDescent="0.25">
      <c r="B185" s="453" t="s">
        <v>615</v>
      </c>
      <c r="C185" s="342">
        <v>13961</v>
      </c>
      <c r="D185" s="454">
        <v>0.336931818181818</v>
      </c>
      <c r="E185" s="272">
        <v>25</v>
      </c>
      <c r="F185" s="272">
        <v>447</v>
      </c>
      <c r="G185" s="272">
        <v>3</v>
      </c>
      <c r="H185" s="272">
        <v>2</v>
      </c>
      <c r="I185" s="403">
        <f t="shared" si="2"/>
        <v>452</v>
      </c>
      <c r="J185" s="272">
        <v>0</v>
      </c>
      <c r="K185" s="455" t="s">
        <v>434</v>
      </c>
      <c r="L185" s="272" t="s">
        <v>432</v>
      </c>
      <c r="M185" s="405" t="s">
        <v>441</v>
      </c>
      <c r="N185" s="200">
        <v>59592</v>
      </c>
    </row>
    <row r="186" spans="2:14" ht="15.75" x14ac:dyDescent="0.25">
      <c r="B186" s="453" t="s">
        <v>616</v>
      </c>
      <c r="C186" s="342">
        <v>13961</v>
      </c>
      <c r="D186" s="454">
        <v>0.72026515151515103</v>
      </c>
      <c r="E186" s="272">
        <v>37</v>
      </c>
      <c r="F186" s="272">
        <v>23</v>
      </c>
      <c r="G186" s="272">
        <v>4</v>
      </c>
      <c r="H186" s="272">
        <v>1</v>
      </c>
      <c r="I186" s="403">
        <f t="shared" si="2"/>
        <v>28</v>
      </c>
      <c r="J186" s="272">
        <v>0</v>
      </c>
      <c r="K186" s="455" t="s">
        <v>421</v>
      </c>
      <c r="L186" s="272" t="s">
        <v>426</v>
      </c>
      <c r="M186" s="405" t="s">
        <v>423</v>
      </c>
      <c r="N186" s="200">
        <v>789692</v>
      </c>
    </row>
    <row r="187" spans="2:14" ht="15.75" x14ac:dyDescent="0.25">
      <c r="B187" s="453" t="s">
        <v>617</v>
      </c>
      <c r="C187" s="342">
        <v>13001</v>
      </c>
      <c r="D187" s="454">
        <v>0.45189393939393901</v>
      </c>
      <c r="E187" s="272">
        <v>26</v>
      </c>
      <c r="F187" s="272">
        <v>16</v>
      </c>
      <c r="G187" s="272">
        <v>5</v>
      </c>
      <c r="H187" s="272">
        <v>2</v>
      </c>
      <c r="I187" s="403">
        <f t="shared" si="2"/>
        <v>23</v>
      </c>
      <c r="J187" s="272">
        <v>0</v>
      </c>
      <c r="K187" s="455" t="s">
        <v>421</v>
      </c>
      <c r="L187" s="272" t="s">
        <v>510</v>
      </c>
      <c r="M187" s="405" t="s">
        <v>577</v>
      </c>
      <c r="N187" s="200">
        <v>43272.14</v>
      </c>
    </row>
    <row r="188" spans="2:14" ht="15.75" x14ac:dyDescent="0.25">
      <c r="B188" s="453" t="s">
        <v>618</v>
      </c>
      <c r="C188" s="342">
        <v>13001</v>
      </c>
      <c r="D188" s="454">
        <v>9.20454545454545E-2</v>
      </c>
      <c r="E188" s="272">
        <v>8</v>
      </c>
      <c r="F188" s="272">
        <v>63</v>
      </c>
      <c r="G188" s="272">
        <v>4</v>
      </c>
      <c r="H188" s="272">
        <v>0</v>
      </c>
      <c r="I188" s="403">
        <f t="shared" si="2"/>
        <v>67</v>
      </c>
      <c r="J188" s="272">
        <v>10</v>
      </c>
      <c r="K188" s="455" t="s">
        <v>421</v>
      </c>
      <c r="L188" s="272" t="s">
        <v>510</v>
      </c>
      <c r="M188" s="405" t="s">
        <v>577</v>
      </c>
      <c r="N188" s="200">
        <v>21500</v>
      </c>
    </row>
    <row r="189" spans="2:14" ht="15.75" x14ac:dyDescent="0.25">
      <c r="B189" s="453" t="s">
        <v>619</v>
      </c>
      <c r="C189" s="342">
        <v>13001</v>
      </c>
      <c r="D189" s="454">
        <v>0.118181818181818</v>
      </c>
      <c r="E189" s="272">
        <v>8</v>
      </c>
      <c r="F189" s="272">
        <v>16</v>
      </c>
      <c r="G189" s="272">
        <v>4</v>
      </c>
      <c r="H189" s="272">
        <v>0</v>
      </c>
      <c r="I189" s="403">
        <f t="shared" si="2"/>
        <v>20</v>
      </c>
      <c r="J189" s="272">
        <v>0</v>
      </c>
      <c r="K189" s="455" t="s">
        <v>421</v>
      </c>
      <c r="L189" s="272" t="s">
        <v>510</v>
      </c>
      <c r="M189" s="405" t="s">
        <v>577</v>
      </c>
      <c r="N189" s="200">
        <v>23774.34</v>
      </c>
    </row>
    <row r="190" spans="2:14" ht="15.75" x14ac:dyDescent="0.25">
      <c r="B190" s="453" t="s">
        <v>620</v>
      </c>
      <c r="C190" s="342">
        <v>13001</v>
      </c>
      <c r="D190" s="454">
        <v>0.66742424242424203</v>
      </c>
      <c r="E190" s="272">
        <v>42</v>
      </c>
      <c r="F190" s="272">
        <v>162</v>
      </c>
      <c r="G190" s="272">
        <v>14</v>
      </c>
      <c r="H190" s="272">
        <v>2</v>
      </c>
      <c r="I190" s="403">
        <f t="shared" si="2"/>
        <v>178</v>
      </c>
      <c r="J190" s="272">
        <v>4</v>
      </c>
      <c r="K190" s="455" t="s">
        <v>421</v>
      </c>
      <c r="L190" s="272" t="s">
        <v>510</v>
      </c>
      <c r="M190" s="405" t="s">
        <v>577</v>
      </c>
      <c r="N190" s="200">
        <v>138000</v>
      </c>
    </row>
    <row r="191" spans="2:14" ht="15.75" x14ac:dyDescent="0.25">
      <c r="B191" s="453" t="s">
        <v>621</v>
      </c>
      <c r="C191" s="342">
        <v>13001</v>
      </c>
      <c r="D191" s="454">
        <v>0.36439393939393899</v>
      </c>
      <c r="E191" s="272">
        <v>30</v>
      </c>
      <c r="F191" s="272">
        <v>139</v>
      </c>
      <c r="G191" s="272">
        <v>11</v>
      </c>
      <c r="H191" s="272">
        <v>1</v>
      </c>
      <c r="I191" s="403">
        <f t="shared" si="2"/>
        <v>151</v>
      </c>
      <c r="J191" s="272">
        <v>1</v>
      </c>
      <c r="K191" s="455" t="s">
        <v>421</v>
      </c>
      <c r="L191" s="272" t="s">
        <v>510</v>
      </c>
      <c r="M191" s="405" t="s">
        <v>577</v>
      </c>
      <c r="N191" s="200">
        <v>60019.94</v>
      </c>
    </row>
    <row r="192" spans="2:14" ht="15.75" x14ac:dyDescent="0.25">
      <c r="B192" s="453" t="s">
        <v>622</v>
      </c>
      <c r="C192" s="342">
        <v>13001</v>
      </c>
      <c r="D192" s="454">
        <v>0.23844696969696899</v>
      </c>
      <c r="E192" s="272">
        <v>17</v>
      </c>
      <c r="F192" s="272">
        <v>137</v>
      </c>
      <c r="G192" s="272">
        <v>15</v>
      </c>
      <c r="H192" s="272">
        <v>0</v>
      </c>
      <c r="I192" s="403">
        <f t="shared" si="2"/>
        <v>152</v>
      </c>
      <c r="J192" s="272">
        <v>0</v>
      </c>
      <c r="K192" s="455" t="s">
        <v>421</v>
      </c>
      <c r="L192" s="272" t="s">
        <v>510</v>
      </c>
      <c r="M192" s="405" t="s">
        <v>577</v>
      </c>
      <c r="N192" s="200">
        <v>34323.019999999997</v>
      </c>
    </row>
    <row r="193" spans="2:14" ht="15.75" x14ac:dyDescent="0.25">
      <c r="B193" s="453" t="s">
        <v>623</v>
      </c>
      <c r="C193" s="342">
        <v>13001</v>
      </c>
      <c r="D193" s="454">
        <v>0.80946969696969695</v>
      </c>
      <c r="E193" s="272">
        <v>48</v>
      </c>
      <c r="F193" s="272">
        <v>483</v>
      </c>
      <c r="G193" s="272">
        <v>22</v>
      </c>
      <c r="H193" s="272">
        <v>3</v>
      </c>
      <c r="I193" s="403">
        <f t="shared" si="2"/>
        <v>508</v>
      </c>
      <c r="J193" s="272">
        <v>5</v>
      </c>
      <c r="K193" s="455" t="s">
        <v>421</v>
      </c>
      <c r="L193" s="272" t="s">
        <v>510</v>
      </c>
      <c r="M193" s="405" t="s">
        <v>577</v>
      </c>
      <c r="N193" s="200">
        <v>47114.44</v>
      </c>
    </row>
    <row r="194" spans="2:14" ht="15.75" x14ac:dyDescent="0.25">
      <c r="B194" s="453" t="s">
        <v>624</v>
      </c>
      <c r="C194" s="342">
        <v>13003</v>
      </c>
      <c r="D194" s="454">
        <v>2.4676136363636298</v>
      </c>
      <c r="E194" s="272">
        <v>116</v>
      </c>
      <c r="F194" s="272">
        <v>179</v>
      </c>
      <c r="G194" s="272">
        <v>34</v>
      </c>
      <c r="H194" s="272">
        <v>1</v>
      </c>
      <c r="I194" s="403">
        <f t="shared" si="2"/>
        <v>214</v>
      </c>
      <c r="J194" s="272">
        <v>14</v>
      </c>
      <c r="K194" s="455" t="s">
        <v>421</v>
      </c>
      <c r="L194" s="272" t="s">
        <v>432</v>
      </c>
      <c r="M194" s="405" t="s">
        <v>516</v>
      </c>
      <c r="N194" s="200">
        <v>24000</v>
      </c>
    </row>
    <row r="195" spans="2:14" ht="15.75" x14ac:dyDescent="0.25">
      <c r="B195" s="453" t="s">
        <v>625</v>
      </c>
      <c r="C195" s="342">
        <v>13342</v>
      </c>
      <c r="D195" s="454">
        <v>0.32689393939393901</v>
      </c>
      <c r="E195" s="272">
        <v>22</v>
      </c>
      <c r="F195" s="272">
        <v>45</v>
      </c>
      <c r="G195" s="272">
        <v>12</v>
      </c>
      <c r="H195" s="272">
        <v>1</v>
      </c>
      <c r="I195" s="403">
        <f t="shared" si="2"/>
        <v>58</v>
      </c>
      <c r="J195" s="272">
        <v>0</v>
      </c>
      <c r="K195" s="455" t="s">
        <v>421</v>
      </c>
      <c r="L195" s="272" t="s">
        <v>510</v>
      </c>
      <c r="M195" s="405" t="s">
        <v>577</v>
      </c>
      <c r="N195" s="200">
        <v>26500</v>
      </c>
    </row>
    <row r="196" spans="2:14" ht="15.75" x14ac:dyDescent="0.25">
      <c r="B196" s="453" t="s">
        <v>626</v>
      </c>
      <c r="C196" s="342">
        <v>13342</v>
      </c>
      <c r="D196" s="454">
        <v>0.15606060606060601</v>
      </c>
      <c r="E196" s="272">
        <v>10</v>
      </c>
      <c r="F196" s="272">
        <v>29</v>
      </c>
      <c r="G196" s="272">
        <v>5</v>
      </c>
      <c r="H196" s="272">
        <v>0</v>
      </c>
      <c r="I196" s="403">
        <f t="shared" si="2"/>
        <v>34</v>
      </c>
      <c r="J196" s="272">
        <v>0</v>
      </c>
      <c r="K196" s="455" t="s">
        <v>421</v>
      </c>
      <c r="L196" s="272" t="s">
        <v>510</v>
      </c>
      <c r="M196" s="405" t="s">
        <v>577</v>
      </c>
      <c r="N196" s="200">
        <v>500</v>
      </c>
    </row>
    <row r="197" spans="2:14" ht="15.75" x14ac:dyDescent="0.25">
      <c r="B197" s="453" t="s">
        <v>627</v>
      </c>
      <c r="C197" s="342">
        <v>13342</v>
      </c>
      <c r="D197" s="454">
        <v>0.35965909090908998</v>
      </c>
      <c r="E197" s="272">
        <v>27</v>
      </c>
      <c r="F197" s="272">
        <v>190</v>
      </c>
      <c r="G197" s="272">
        <v>5</v>
      </c>
      <c r="H197" s="272">
        <v>2</v>
      </c>
      <c r="I197" s="403">
        <f t="shared" si="2"/>
        <v>197</v>
      </c>
      <c r="J197" s="272">
        <v>0</v>
      </c>
      <c r="K197" s="455" t="s">
        <v>421</v>
      </c>
      <c r="L197" s="272" t="s">
        <v>510</v>
      </c>
      <c r="M197" s="405" t="s">
        <v>577</v>
      </c>
      <c r="N197" s="200">
        <v>26500</v>
      </c>
    </row>
    <row r="198" spans="2:14" ht="15.75" x14ac:dyDescent="0.25">
      <c r="B198" s="453" t="s">
        <v>628</v>
      </c>
      <c r="C198" s="342">
        <v>13645</v>
      </c>
      <c r="D198" s="454">
        <v>0.495075757575757</v>
      </c>
      <c r="E198" s="272">
        <v>22</v>
      </c>
      <c r="F198" s="272">
        <v>36</v>
      </c>
      <c r="G198" s="272">
        <v>3</v>
      </c>
      <c r="H198" s="272">
        <v>1</v>
      </c>
      <c r="I198" s="403">
        <f t="shared" si="2"/>
        <v>40</v>
      </c>
      <c r="J198" s="272">
        <v>0</v>
      </c>
      <c r="K198" s="455" t="s">
        <v>421</v>
      </c>
      <c r="L198" s="272" t="s">
        <v>428</v>
      </c>
      <c r="M198" s="405" t="s">
        <v>423</v>
      </c>
      <c r="N198" s="200">
        <v>551701.76000000001</v>
      </c>
    </row>
    <row r="199" spans="2:14" ht="15.75" x14ac:dyDescent="0.25">
      <c r="B199" s="453" t="s">
        <v>629</v>
      </c>
      <c r="C199" s="342">
        <v>13645</v>
      </c>
      <c r="D199" s="454">
        <v>0.73257575757575699</v>
      </c>
      <c r="E199" s="272">
        <v>28</v>
      </c>
      <c r="F199" s="272">
        <v>7</v>
      </c>
      <c r="G199" s="272">
        <v>3</v>
      </c>
      <c r="H199" s="272">
        <v>2</v>
      </c>
      <c r="I199" s="403">
        <f t="shared" si="2"/>
        <v>12</v>
      </c>
      <c r="J199" s="272">
        <v>3</v>
      </c>
      <c r="K199" s="455" t="s">
        <v>421</v>
      </c>
      <c r="L199" s="272" t="s">
        <v>510</v>
      </c>
      <c r="M199" s="405" t="s">
        <v>577</v>
      </c>
      <c r="N199" s="200">
        <v>23774.34</v>
      </c>
    </row>
    <row r="200" spans="2:14" ht="15.75" x14ac:dyDescent="0.25">
      <c r="B200" s="453" t="s">
        <v>630</v>
      </c>
      <c r="C200" s="342">
        <v>13652</v>
      </c>
      <c r="D200" s="454">
        <v>0.47689393939393898</v>
      </c>
      <c r="E200" s="272">
        <v>23</v>
      </c>
      <c r="F200" s="272">
        <v>23</v>
      </c>
      <c r="G200" s="272">
        <v>21</v>
      </c>
      <c r="H200" s="272">
        <v>0</v>
      </c>
      <c r="I200" s="403">
        <f t="shared" ref="I200:I263" si="3">SUM(F200:H200)</f>
        <v>44</v>
      </c>
      <c r="J200" s="272">
        <v>0</v>
      </c>
      <c r="K200" s="455" t="s">
        <v>421</v>
      </c>
      <c r="L200" s="272" t="s">
        <v>510</v>
      </c>
      <c r="M200" s="405" t="s">
        <v>577</v>
      </c>
      <c r="N200" s="200">
        <v>31398.2399999999</v>
      </c>
    </row>
    <row r="201" spans="2:14" ht="15.75" x14ac:dyDescent="0.25">
      <c r="B201" s="453" t="s">
        <v>631</v>
      </c>
      <c r="C201" s="342">
        <v>13780</v>
      </c>
      <c r="D201" s="454">
        <v>0.27007575757575703</v>
      </c>
      <c r="E201" s="272">
        <v>17</v>
      </c>
      <c r="F201" s="272">
        <v>97</v>
      </c>
      <c r="G201" s="272">
        <v>4</v>
      </c>
      <c r="H201" s="272">
        <v>0</v>
      </c>
      <c r="I201" s="403">
        <f t="shared" si="3"/>
        <v>101</v>
      </c>
      <c r="J201" s="272">
        <v>1</v>
      </c>
      <c r="K201" s="455" t="s">
        <v>421</v>
      </c>
      <c r="L201" s="272" t="s">
        <v>510</v>
      </c>
      <c r="M201" s="405" t="s">
        <v>577</v>
      </c>
      <c r="N201" s="200">
        <v>38097.360000000001</v>
      </c>
    </row>
    <row r="202" spans="2:14" ht="15.75" x14ac:dyDescent="0.25">
      <c r="B202" s="453" t="s">
        <v>632</v>
      </c>
      <c r="C202" s="342">
        <v>13817</v>
      </c>
      <c r="D202" s="454">
        <v>1.78446969696969</v>
      </c>
      <c r="E202" s="272">
        <v>123</v>
      </c>
      <c r="F202" s="272">
        <v>569</v>
      </c>
      <c r="G202" s="272">
        <v>35</v>
      </c>
      <c r="H202" s="272">
        <v>1</v>
      </c>
      <c r="I202" s="403">
        <f t="shared" si="3"/>
        <v>605</v>
      </c>
      <c r="J202" s="272">
        <v>2</v>
      </c>
      <c r="K202" s="455" t="s">
        <v>421</v>
      </c>
      <c r="L202" s="272" t="s">
        <v>510</v>
      </c>
      <c r="M202" s="405" t="s">
        <v>577</v>
      </c>
      <c r="N202" s="200">
        <v>33000</v>
      </c>
    </row>
    <row r="203" spans="2:14" ht="15.75" x14ac:dyDescent="0.25">
      <c r="B203" s="453" t="s">
        <v>633</v>
      </c>
      <c r="C203" s="342">
        <v>13897</v>
      </c>
      <c r="D203" s="454">
        <v>0.78844696969696904</v>
      </c>
      <c r="E203" s="272">
        <v>33</v>
      </c>
      <c r="F203" s="272">
        <v>64</v>
      </c>
      <c r="G203" s="272">
        <v>20</v>
      </c>
      <c r="H203" s="272">
        <v>1</v>
      </c>
      <c r="I203" s="403">
        <f t="shared" si="3"/>
        <v>85</v>
      </c>
      <c r="J203" s="272">
        <v>1</v>
      </c>
      <c r="K203" s="455" t="s">
        <v>434</v>
      </c>
      <c r="L203" s="272" t="s">
        <v>426</v>
      </c>
      <c r="M203" s="405" t="s">
        <v>422</v>
      </c>
      <c r="N203" s="200">
        <v>785112</v>
      </c>
    </row>
    <row r="204" spans="2:14" ht="15.75" x14ac:dyDescent="0.25">
      <c r="B204" s="453" t="s">
        <v>634</v>
      </c>
      <c r="C204" s="342">
        <v>13900</v>
      </c>
      <c r="D204" s="454">
        <v>0.41818181818181799</v>
      </c>
      <c r="E204" s="272">
        <v>21</v>
      </c>
      <c r="F204" s="272">
        <v>136</v>
      </c>
      <c r="G204" s="272">
        <v>15</v>
      </c>
      <c r="H204" s="272">
        <v>1</v>
      </c>
      <c r="I204" s="403">
        <f t="shared" si="3"/>
        <v>152</v>
      </c>
      <c r="J204" s="272">
        <v>0</v>
      </c>
      <c r="K204" s="455" t="s">
        <v>421</v>
      </c>
      <c r="L204" s="272" t="s">
        <v>510</v>
      </c>
      <c r="M204" s="405" t="s">
        <v>577</v>
      </c>
      <c r="N204" s="200">
        <v>63619.5</v>
      </c>
    </row>
    <row r="205" spans="2:14" ht="15.75" x14ac:dyDescent="0.25">
      <c r="B205" s="453" t="s">
        <v>635</v>
      </c>
      <c r="C205" s="342">
        <v>13900</v>
      </c>
      <c r="D205" s="454">
        <v>0.26647727272727201</v>
      </c>
      <c r="E205" s="272">
        <v>18</v>
      </c>
      <c r="F205" s="272">
        <v>169</v>
      </c>
      <c r="G205" s="272">
        <v>3</v>
      </c>
      <c r="H205" s="272">
        <v>0</v>
      </c>
      <c r="I205" s="403">
        <f t="shared" si="3"/>
        <v>172</v>
      </c>
      <c r="J205" s="272">
        <v>8</v>
      </c>
      <c r="K205" s="455" t="s">
        <v>421</v>
      </c>
      <c r="L205" s="272" t="s">
        <v>510</v>
      </c>
      <c r="M205" s="405" t="s">
        <v>577</v>
      </c>
      <c r="N205" s="200">
        <v>100464.66</v>
      </c>
    </row>
    <row r="206" spans="2:14" ht="15.75" x14ac:dyDescent="0.25">
      <c r="B206" s="453" t="s">
        <v>636</v>
      </c>
      <c r="C206" s="342">
        <v>13818</v>
      </c>
      <c r="D206" s="454">
        <v>0.45928030303030298</v>
      </c>
      <c r="E206" s="272">
        <v>21</v>
      </c>
      <c r="F206" s="272">
        <v>3</v>
      </c>
      <c r="G206" s="272">
        <v>1</v>
      </c>
      <c r="H206" s="272">
        <v>5</v>
      </c>
      <c r="I206" s="403">
        <f t="shared" si="3"/>
        <v>9</v>
      </c>
      <c r="J206" s="272">
        <v>0</v>
      </c>
      <c r="K206" s="455" t="s">
        <v>421</v>
      </c>
      <c r="L206" s="272" t="s">
        <v>510</v>
      </c>
      <c r="M206" s="405" t="s">
        <v>577</v>
      </c>
      <c r="N206" s="200">
        <v>23774.34</v>
      </c>
    </row>
    <row r="207" spans="2:14" ht="15.75" x14ac:dyDescent="0.25">
      <c r="B207" s="453" t="s">
        <v>637</v>
      </c>
      <c r="C207" s="342">
        <v>14020</v>
      </c>
      <c r="D207" s="454">
        <v>0.48087121212121198</v>
      </c>
      <c r="E207" s="272">
        <v>45</v>
      </c>
      <c r="F207" s="272">
        <v>415</v>
      </c>
      <c r="G207" s="272">
        <v>8</v>
      </c>
      <c r="H207" s="272">
        <v>3</v>
      </c>
      <c r="I207" s="403">
        <f t="shared" si="3"/>
        <v>426</v>
      </c>
      <c r="J207" s="272">
        <v>2</v>
      </c>
      <c r="K207" s="455" t="s">
        <v>421</v>
      </c>
      <c r="L207" s="272" t="s">
        <v>510</v>
      </c>
      <c r="M207" s="405" t="s">
        <v>577</v>
      </c>
      <c r="N207" s="200">
        <v>24250</v>
      </c>
    </row>
    <row r="208" spans="2:14" ht="15.75" x14ac:dyDescent="0.25">
      <c r="B208" s="453" t="s">
        <v>638</v>
      </c>
      <c r="C208" s="342">
        <v>14022</v>
      </c>
      <c r="D208" s="454">
        <v>0.75833333333333297</v>
      </c>
      <c r="E208" s="272">
        <v>49</v>
      </c>
      <c r="F208" s="272">
        <v>485</v>
      </c>
      <c r="G208" s="272">
        <v>7</v>
      </c>
      <c r="H208" s="272">
        <v>3</v>
      </c>
      <c r="I208" s="403">
        <f t="shared" si="3"/>
        <v>495</v>
      </c>
      <c r="J208" s="272">
        <v>29</v>
      </c>
      <c r="K208" s="455" t="s">
        <v>421</v>
      </c>
      <c r="L208" s="272" t="s">
        <v>428</v>
      </c>
      <c r="M208" s="405" t="s">
        <v>423</v>
      </c>
      <c r="N208" s="200">
        <v>763012.47999999905</v>
      </c>
    </row>
    <row r="209" spans="2:14" ht="15.75" x14ac:dyDescent="0.25">
      <c r="B209" s="453" t="s">
        <v>639</v>
      </c>
      <c r="C209" s="342">
        <v>14024</v>
      </c>
      <c r="D209" s="454">
        <v>0.15056818181818099</v>
      </c>
      <c r="E209" s="272">
        <v>13</v>
      </c>
      <c r="F209" s="272">
        <v>135</v>
      </c>
      <c r="G209" s="272">
        <v>7</v>
      </c>
      <c r="H209" s="272">
        <v>0</v>
      </c>
      <c r="I209" s="403">
        <f t="shared" si="3"/>
        <v>142</v>
      </c>
      <c r="J209" s="272">
        <v>0</v>
      </c>
      <c r="K209" s="455" t="s">
        <v>421</v>
      </c>
      <c r="L209" s="272" t="s">
        <v>510</v>
      </c>
      <c r="M209" s="405" t="s">
        <v>577</v>
      </c>
      <c r="N209" s="200">
        <v>40997.800000000003</v>
      </c>
    </row>
    <row r="210" spans="2:14" ht="15.75" x14ac:dyDescent="0.25">
      <c r="B210" s="453" t="s">
        <v>640</v>
      </c>
      <c r="C210" s="342">
        <v>14024</v>
      </c>
      <c r="D210" s="454">
        <v>0.12670454545454499</v>
      </c>
      <c r="E210" s="272">
        <v>11</v>
      </c>
      <c r="F210" s="272">
        <v>12</v>
      </c>
      <c r="G210" s="272">
        <v>8</v>
      </c>
      <c r="H210" s="272">
        <v>0</v>
      </c>
      <c r="I210" s="403">
        <f t="shared" si="3"/>
        <v>20</v>
      </c>
      <c r="J210" s="272">
        <v>0</v>
      </c>
      <c r="K210" s="455" t="s">
        <v>421</v>
      </c>
      <c r="L210" s="272" t="s">
        <v>510</v>
      </c>
      <c r="M210" s="405" t="s">
        <v>577</v>
      </c>
      <c r="N210" s="200">
        <v>32373.9</v>
      </c>
    </row>
    <row r="211" spans="2:14" ht="15.75" x14ac:dyDescent="0.25">
      <c r="B211" s="453" t="s">
        <v>641</v>
      </c>
      <c r="C211" s="342">
        <v>13118</v>
      </c>
      <c r="D211" s="454">
        <v>0.95056818181818103</v>
      </c>
      <c r="E211" s="272">
        <v>63</v>
      </c>
      <c r="F211" s="272">
        <v>363</v>
      </c>
      <c r="G211" s="272">
        <v>15</v>
      </c>
      <c r="H211" s="272">
        <v>0</v>
      </c>
      <c r="I211" s="403">
        <f t="shared" si="3"/>
        <v>378</v>
      </c>
      <c r="J211" s="272">
        <v>0</v>
      </c>
      <c r="K211" s="455" t="s">
        <v>421</v>
      </c>
      <c r="L211" s="272" t="s">
        <v>426</v>
      </c>
      <c r="M211" s="405" t="s">
        <v>423</v>
      </c>
      <c r="N211" s="200">
        <v>937189</v>
      </c>
    </row>
    <row r="212" spans="2:14" ht="15.75" x14ac:dyDescent="0.25">
      <c r="B212" s="453" t="s">
        <v>642</v>
      </c>
      <c r="C212" s="342">
        <v>13118</v>
      </c>
      <c r="D212" s="454">
        <v>0.35492424242424198</v>
      </c>
      <c r="E212" s="272">
        <v>26</v>
      </c>
      <c r="F212" s="272">
        <v>101</v>
      </c>
      <c r="G212" s="272">
        <v>5</v>
      </c>
      <c r="H212" s="272">
        <v>0</v>
      </c>
      <c r="I212" s="403">
        <f t="shared" si="3"/>
        <v>106</v>
      </c>
      <c r="J212" s="272">
        <v>0</v>
      </c>
      <c r="K212" s="455" t="s">
        <v>421</v>
      </c>
      <c r="L212" s="272" t="s">
        <v>426</v>
      </c>
      <c r="M212" s="405" t="s">
        <v>422</v>
      </c>
      <c r="N212" s="200">
        <v>393652</v>
      </c>
    </row>
    <row r="213" spans="2:14" ht="15.75" x14ac:dyDescent="0.25">
      <c r="B213" s="453" t="s">
        <v>643</v>
      </c>
      <c r="C213" s="342">
        <v>13118</v>
      </c>
      <c r="D213" s="454">
        <v>0.69128787878787801</v>
      </c>
      <c r="E213" s="272">
        <v>41</v>
      </c>
      <c r="F213" s="272">
        <v>88</v>
      </c>
      <c r="G213" s="272">
        <v>6</v>
      </c>
      <c r="H213" s="272">
        <v>0</v>
      </c>
      <c r="I213" s="403">
        <f t="shared" si="3"/>
        <v>94</v>
      </c>
      <c r="J213" s="272">
        <v>0</v>
      </c>
      <c r="K213" s="455" t="s">
        <v>445</v>
      </c>
      <c r="L213" s="272" t="s">
        <v>426</v>
      </c>
      <c r="M213" s="405" t="s">
        <v>432</v>
      </c>
      <c r="N213" s="200">
        <v>867707</v>
      </c>
    </row>
    <row r="214" spans="2:14" ht="15.75" x14ac:dyDescent="0.25">
      <c r="B214" s="453" t="s">
        <v>644</v>
      </c>
      <c r="C214" s="342">
        <v>13118</v>
      </c>
      <c r="D214" s="454">
        <v>0.93693181818181803</v>
      </c>
      <c r="E214" s="272">
        <v>39</v>
      </c>
      <c r="F214" s="272">
        <v>220</v>
      </c>
      <c r="G214" s="272">
        <v>17</v>
      </c>
      <c r="H214" s="272">
        <v>1</v>
      </c>
      <c r="I214" s="403">
        <f t="shared" si="3"/>
        <v>238</v>
      </c>
      <c r="J214" s="272">
        <v>0</v>
      </c>
      <c r="K214" s="455" t="s">
        <v>421</v>
      </c>
      <c r="L214" s="272" t="s">
        <v>426</v>
      </c>
      <c r="M214" s="405" t="s">
        <v>432</v>
      </c>
      <c r="N214" s="200">
        <v>926697</v>
      </c>
    </row>
    <row r="215" spans="2:14" ht="15.75" x14ac:dyDescent="0.25">
      <c r="B215" s="453" t="s">
        <v>645</v>
      </c>
      <c r="C215" s="342">
        <v>13118</v>
      </c>
      <c r="D215" s="454">
        <v>0.27499999999999902</v>
      </c>
      <c r="E215" s="272">
        <v>26</v>
      </c>
      <c r="F215" s="272">
        <v>18</v>
      </c>
      <c r="G215" s="272">
        <v>10</v>
      </c>
      <c r="H215" s="272">
        <v>3</v>
      </c>
      <c r="I215" s="403">
        <f t="shared" si="3"/>
        <v>31</v>
      </c>
      <c r="J215" s="272">
        <v>1</v>
      </c>
      <c r="K215" s="455" t="s">
        <v>421</v>
      </c>
      <c r="L215" s="272" t="s">
        <v>432</v>
      </c>
      <c r="M215" s="405" t="s">
        <v>441</v>
      </c>
      <c r="N215" s="200">
        <v>207720</v>
      </c>
    </row>
    <row r="216" spans="2:14" ht="15.75" x14ac:dyDescent="0.25">
      <c r="B216" s="453" t="s">
        <v>646</v>
      </c>
      <c r="C216" s="342">
        <v>13296</v>
      </c>
      <c r="D216" s="454">
        <v>0.22500000000000001</v>
      </c>
      <c r="E216" s="272">
        <v>19</v>
      </c>
      <c r="F216" s="272">
        <v>37</v>
      </c>
      <c r="G216" s="272">
        <v>5</v>
      </c>
      <c r="H216" s="272">
        <v>0</v>
      </c>
      <c r="I216" s="403">
        <f t="shared" si="3"/>
        <v>42</v>
      </c>
      <c r="J216" s="272">
        <v>0</v>
      </c>
      <c r="K216" s="455" t="s">
        <v>421</v>
      </c>
      <c r="L216" s="272" t="s">
        <v>428</v>
      </c>
      <c r="M216" s="405" t="s">
        <v>432</v>
      </c>
      <c r="N216" s="200">
        <v>438832</v>
      </c>
    </row>
    <row r="217" spans="2:14" ht="15.75" x14ac:dyDescent="0.25">
      <c r="B217" s="453" t="s">
        <v>647</v>
      </c>
      <c r="C217" s="342">
        <v>13296</v>
      </c>
      <c r="D217" s="454">
        <v>0.95246212121212104</v>
      </c>
      <c r="E217" s="272">
        <v>68</v>
      </c>
      <c r="F217" s="272">
        <v>90</v>
      </c>
      <c r="G217" s="272">
        <v>14</v>
      </c>
      <c r="H217" s="272">
        <v>2</v>
      </c>
      <c r="I217" s="403">
        <f t="shared" si="3"/>
        <v>106</v>
      </c>
      <c r="J217" s="272">
        <v>1</v>
      </c>
      <c r="K217" s="455" t="s">
        <v>421</v>
      </c>
      <c r="L217" s="272" t="s">
        <v>426</v>
      </c>
      <c r="M217" s="405" t="s">
        <v>432</v>
      </c>
      <c r="N217" s="200">
        <v>888621</v>
      </c>
    </row>
    <row r="218" spans="2:14" ht="15.75" x14ac:dyDescent="0.25">
      <c r="B218" s="453" t="s">
        <v>648</v>
      </c>
      <c r="C218" s="342">
        <v>13296</v>
      </c>
      <c r="D218" s="454">
        <v>1.33560606060606</v>
      </c>
      <c r="E218" s="272">
        <v>81</v>
      </c>
      <c r="F218" s="272">
        <v>82</v>
      </c>
      <c r="G218" s="272">
        <v>12</v>
      </c>
      <c r="H218" s="272">
        <v>1</v>
      </c>
      <c r="I218" s="403">
        <f t="shared" si="3"/>
        <v>95</v>
      </c>
      <c r="J218" s="272">
        <v>4</v>
      </c>
      <c r="K218" s="455" t="s">
        <v>421</v>
      </c>
      <c r="L218" s="272" t="s">
        <v>426</v>
      </c>
      <c r="M218" s="405" t="s">
        <v>432</v>
      </c>
      <c r="N218" s="200">
        <v>1206963</v>
      </c>
    </row>
    <row r="219" spans="2:14" ht="15.75" x14ac:dyDescent="0.25">
      <c r="B219" s="453" t="s">
        <v>649</v>
      </c>
      <c r="C219" s="342">
        <v>13296</v>
      </c>
      <c r="D219" s="454">
        <v>0.29015151515151499</v>
      </c>
      <c r="E219" s="272">
        <v>20</v>
      </c>
      <c r="F219" s="272">
        <v>200</v>
      </c>
      <c r="G219" s="272">
        <v>18</v>
      </c>
      <c r="H219" s="272">
        <v>0</v>
      </c>
      <c r="I219" s="403">
        <f t="shared" si="3"/>
        <v>218</v>
      </c>
      <c r="J219" s="272">
        <v>0</v>
      </c>
      <c r="K219" s="455" t="s">
        <v>443</v>
      </c>
      <c r="L219" s="272" t="s">
        <v>426</v>
      </c>
      <c r="M219" s="405" t="s">
        <v>432</v>
      </c>
      <c r="N219" s="200">
        <v>342484</v>
      </c>
    </row>
    <row r="220" spans="2:14" ht="15.75" x14ac:dyDescent="0.25">
      <c r="B220" s="453" t="s">
        <v>650</v>
      </c>
      <c r="C220" s="342">
        <v>13297</v>
      </c>
      <c r="D220" s="454">
        <v>0.31420454545454501</v>
      </c>
      <c r="E220" s="272">
        <v>21</v>
      </c>
      <c r="F220" s="272">
        <v>72</v>
      </c>
      <c r="G220" s="272">
        <v>3</v>
      </c>
      <c r="H220" s="272">
        <v>4</v>
      </c>
      <c r="I220" s="403">
        <f t="shared" si="3"/>
        <v>79</v>
      </c>
      <c r="J220" s="272">
        <v>0</v>
      </c>
      <c r="K220" s="455" t="s">
        <v>421</v>
      </c>
      <c r="L220" s="272" t="s">
        <v>426</v>
      </c>
      <c r="M220" s="405" t="s">
        <v>432</v>
      </c>
      <c r="N220" s="200">
        <v>747463</v>
      </c>
    </row>
    <row r="221" spans="2:14" ht="15.75" x14ac:dyDescent="0.25">
      <c r="B221" s="453" t="s">
        <v>651</v>
      </c>
      <c r="C221" s="342">
        <v>13297</v>
      </c>
      <c r="D221" s="454">
        <v>0.430681818181818</v>
      </c>
      <c r="E221" s="272">
        <v>29</v>
      </c>
      <c r="F221" s="272">
        <v>362</v>
      </c>
      <c r="G221" s="272">
        <v>6</v>
      </c>
      <c r="H221" s="272">
        <v>0</v>
      </c>
      <c r="I221" s="403">
        <f t="shared" si="3"/>
        <v>368</v>
      </c>
      <c r="J221" s="272">
        <v>0</v>
      </c>
      <c r="K221" s="455" t="s">
        <v>421</v>
      </c>
      <c r="L221" s="272" t="s">
        <v>426</v>
      </c>
      <c r="M221" s="405" t="s">
        <v>432</v>
      </c>
      <c r="N221" s="200">
        <v>713526</v>
      </c>
    </row>
    <row r="222" spans="2:14" ht="15.75" x14ac:dyDescent="0.25">
      <c r="B222" s="453" t="s">
        <v>652</v>
      </c>
      <c r="C222" s="342">
        <v>13297</v>
      </c>
      <c r="D222" s="454">
        <v>0.30625000000000002</v>
      </c>
      <c r="E222" s="272">
        <v>30</v>
      </c>
      <c r="F222" s="272">
        <v>59</v>
      </c>
      <c r="G222" s="272">
        <v>32</v>
      </c>
      <c r="H222" s="272">
        <v>4</v>
      </c>
      <c r="I222" s="403">
        <f t="shared" si="3"/>
        <v>95</v>
      </c>
      <c r="J222" s="272">
        <v>0</v>
      </c>
      <c r="K222" s="455" t="s">
        <v>443</v>
      </c>
      <c r="L222" s="272" t="s">
        <v>426</v>
      </c>
      <c r="M222" s="405" t="s">
        <v>432</v>
      </c>
      <c r="N222" s="200">
        <v>359801</v>
      </c>
    </row>
    <row r="223" spans="2:14" ht="15.75" x14ac:dyDescent="0.25">
      <c r="B223" s="453" t="s">
        <v>653</v>
      </c>
      <c r="C223" s="342">
        <v>13312</v>
      </c>
      <c r="D223" s="454">
        <v>0.14829545454545401</v>
      </c>
      <c r="E223" s="272">
        <v>15</v>
      </c>
      <c r="F223" s="272">
        <v>52</v>
      </c>
      <c r="G223" s="272">
        <v>11</v>
      </c>
      <c r="H223" s="272">
        <v>7</v>
      </c>
      <c r="I223" s="403">
        <f t="shared" si="3"/>
        <v>70</v>
      </c>
      <c r="J223" s="272">
        <v>0</v>
      </c>
      <c r="K223" s="455" t="s">
        <v>434</v>
      </c>
      <c r="L223" s="272" t="s">
        <v>426</v>
      </c>
      <c r="M223" s="405" t="s">
        <v>422</v>
      </c>
      <c r="N223" s="200">
        <v>102002</v>
      </c>
    </row>
    <row r="224" spans="2:14" ht="15.75" x14ac:dyDescent="0.25">
      <c r="B224" s="453" t="s">
        <v>654</v>
      </c>
      <c r="C224" s="342">
        <v>13313</v>
      </c>
      <c r="D224" s="454">
        <v>0.240151515151515</v>
      </c>
      <c r="E224" s="272">
        <v>23</v>
      </c>
      <c r="F224" s="272">
        <v>38</v>
      </c>
      <c r="G224" s="272">
        <v>7</v>
      </c>
      <c r="H224" s="272">
        <v>3</v>
      </c>
      <c r="I224" s="403">
        <f t="shared" si="3"/>
        <v>48</v>
      </c>
      <c r="J224" s="272">
        <v>0</v>
      </c>
      <c r="K224" s="455" t="s">
        <v>421</v>
      </c>
      <c r="L224" s="272" t="s">
        <v>426</v>
      </c>
      <c r="M224" s="405" t="s">
        <v>432</v>
      </c>
      <c r="N224" s="200">
        <v>302581</v>
      </c>
    </row>
    <row r="225" spans="2:14" ht="15.75" x14ac:dyDescent="0.25">
      <c r="B225" s="453" t="s">
        <v>655</v>
      </c>
      <c r="C225" s="342">
        <v>13313</v>
      </c>
      <c r="D225" s="454">
        <v>0.135795454545454</v>
      </c>
      <c r="E225" s="272">
        <v>16</v>
      </c>
      <c r="F225" s="272">
        <v>106</v>
      </c>
      <c r="G225" s="272">
        <v>16</v>
      </c>
      <c r="H225" s="272">
        <v>3</v>
      </c>
      <c r="I225" s="403">
        <f t="shared" si="3"/>
        <v>125</v>
      </c>
      <c r="J225" s="272">
        <v>0</v>
      </c>
      <c r="K225" s="455" t="s">
        <v>443</v>
      </c>
      <c r="L225" s="272" t="s">
        <v>426</v>
      </c>
      <c r="M225" s="405" t="s">
        <v>432</v>
      </c>
      <c r="N225" s="200">
        <v>246592</v>
      </c>
    </row>
    <row r="226" spans="2:14" ht="15.75" x14ac:dyDescent="0.25">
      <c r="B226" s="453" t="s">
        <v>656</v>
      </c>
      <c r="C226" s="342">
        <v>13313</v>
      </c>
      <c r="D226" s="454">
        <v>9.20454545454545E-2</v>
      </c>
      <c r="E226" s="272">
        <v>9</v>
      </c>
      <c r="F226" s="272">
        <v>35</v>
      </c>
      <c r="G226" s="272">
        <v>78</v>
      </c>
      <c r="H226" s="272">
        <v>10</v>
      </c>
      <c r="I226" s="403">
        <f t="shared" si="3"/>
        <v>123</v>
      </c>
      <c r="J226" s="272">
        <v>0</v>
      </c>
      <c r="K226" s="455" t="s">
        <v>421</v>
      </c>
      <c r="L226" s="272" t="s">
        <v>426</v>
      </c>
      <c r="M226" s="405" t="s">
        <v>432</v>
      </c>
      <c r="N226" s="200">
        <v>439597</v>
      </c>
    </row>
    <row r="227" spans="2:14" ht="15.75" x14ac:dyDescent="0.25">
      <c r="B227" s="453" t="s">
        <v>657</v>
      </c>
      <c r="C227" s="342">
        <v>13314</v>
      </c>
      <c r="D227" s="454">
        <v>0.42443181818181802</v>
      </c>
      <c r="E227" s="272">
        <v>32</v>
      </c>
      <c r="F227" s="272">
        <v>89</v>
      </c>
      <c r="G227" s="272">
        <v>3</v>
      </c>
      <c r="H227" s="272">
        <v>2</v>
      </c>
      <c r="I227" s="403">
        <f t="shared" si="3"/>
        <v>94</v>
      </c>
      <c r="J227" s="272">
        <v>0</v>
      </c>
      <c r="K227" s="455" t="s">
        <v>421</v>
      </c>
      <c r="L227" s="272" t="s">
        <v>426</v>
      </c>
      <c r="M227" s="405" t="s">
        <v>432</v>
      </c>
      <c r="N227" s="200">
        <v>417912</v>
      </c>
    </row>
    <row r="228" spans="2:14" ht="15.75" x14ac:dyDescent="0.25">
      <c r="B228" s="453" t="s">
        <v>658</v>
      </c>
      <c r="C228" s="342">
        <v>13473</v>
      </c>
      <c r="D228" s="454">
        <v>0.34356060606060601</v>
      </c>
      <c r="E228" s="272">
        <v>24</v>
      </c>
      <c r="F228" s="272">
        <v>419</v>
      </c>
      <c r="G228" s="272">
        <v>22</v>
      </c>
      <c r="H228" s="272">
        <v>1</v>
      </c>
      <c r="I228" s="403">
        <f t="shared" si="3"/>
        <v>442</v>
      </c>
      <c r="J228" s="272">
        <v>0</v>
      </c>
      <c r="K228" s="455" t="s">
        <v>421</v>
      </c>
      <c r="L228" s="272" t="s">
        <v>426</v>
      </c>
      <c r="M228" s="405" t="s">
        <v>432</v>
      </c>
      <c r="N228" s="200">
        <v>241437</v>
      </c>
    </row>
    <row r="229" spans="2:14" ht="15.75" x14ac:dyDescent="0.25">
      <c r="B229" s="453" t="s">
        <v>659</v>
      </c>
      <c r="C229" s="342">
        <v>13473</v>
      </c>
      <c r="D229" s="454">
        <v>0.34678030303030299</v>
      </c>
      <c r="E229" s="272">
        <v>27</v>
      </c>
      <c r="F229" s="272">
        <v>187</v>
      </c>
      <c r="G229" s="272">
        <v>7</v>
      </c>
      <c r="H229" s="272">
        <v>1</v>
      </c>
      <c r="I229" s="403">
        <f t="shared" si="3"/>
        <v>195</v>
      </c>
      <c r="J229" s="272">
        <v>0</v>
      </c>
      <c r="K229" s="455" t="s">
        <v>443</v>
      </c>
      <c r="L229" s="272" t="s">
        <v>426</v>
      </c>
      <c r="M229" s="405" t="s">
        <v>423</v>
      </c>
      <c r="N229" s="200">
        <v>411291</v>
      </c>
    </row>
    <row r="230" spans="2:14" ht="15.75" x14ac:dyDescent="0.25">
      <c r="B230" s="453" t="s">
        <v>660</v>
      </c>
      <c r="C230" s="342">
        <v>13473</v>
      </c>
      <c r="D230" s="454">
        <v>0.240151515151515</v>
      </c>
      <c r="E230" s="272">
        <v>19</v>
      </c>
      <c r="F230" s="272">
        <v>152</v>
      </c>
      <c r="G230" s="272">
        <v>5</v>
      </c>
      <c r="H230" s="272">
        <v>0</v>
      </c>
      <c r="I230" s="403">
        <f t="shared" si="3"/>
        <v>157</v>
      </c>
      <c r="J230" s="272">
        <v>0</v>
      </c>
      <c r="K230" s="455" t="s">
        <v>445</v>
      </c>
      <c r="L230" s="272" t="s">
        <v>441</v>
      </c>
      <c r="M230" s="405" t="s">
        <v>510</v>
      </c>
      <c r="N230" s="200">
        <v>279503</v>
      </c>
    </row>
    <row r="231" spans="2:14" ht="15.75" x14ac:dyDescent="0.25">
      <c r="B231" s="453" t="s">
        <v>661</v>
      </c>
      <c r="C231" s="342">
        <v>13699</v>
      </c>
      <c r="D231" s="454">
        <v>1.0178030303030301</v>
      </c>
      <c r="E231" s="272">
        <v>48</v>
      </c>
      <c r="F231" s="272">
        <v>137</v>
      </c>
      <c r="G231" s="272">
        <v>3</v>
      </c>
      <c r="H231" s="272">
        <v>1</v>
      </c>
      <c r="I231" s="403">
        <f t="shared" si="3"/>
        <v>141</v>
      </c>
      <c r="J231" s="272">
        <v>0</v>
      </c>
      <c r="K231" s="455" t="s">
        <v>421</v>
      </c>
      <c r="L231" s="272" t="s">
        <v>426</v>
      </c>
      <c r="M231" s="405" t="s">
        <v>432</v>
      </c>
      <c r="N231" s="200">
        <v>690882</v>
      </c>
    </row>
    <row r="232" spans="2:14" ht="15.75" x14ac:dyDescent="0.25">
      <c r="B232" s="453" t="s">
        <v>662</v>
      </c>
      <c r="C232" s="342">
        <v>13699</v>
      </c>
      <c r="D232" s="454">
        <v>0.62462121212121202</v>
      </c>
      <c r="E232" s="272">
        <v>37</v>
      </c>
      <c r="F232" s="272">
        <v>284</v>
      </c>
      <c r="G232" s="272">
        <v>27</v>
      </c>
      <c r="H232" s="272">
        <v>1</v>
      </c>
      <c r="I232" s="403">
        <f t="shared" si="3"/>
        <v>312</v>
      </c>
      <c r="J232" s="272">
        <v>0</v>
      </c>
      <c r="K232" s="455" t="s">
        <v>421</v>
      </c>
      <c r="L232" s="272" t="s">
        <v>426</v>
      </c>
      <c r="M232" s="405" t="s">
        <v>432</v>
      </c>
      <c r="N232" s="200">
        <v>621815</v>
      </c>
    </row>
    <row r="233" spans="2:14" ht="15.75" x14ac:dyDescent="0.25">
      <c r="B233" s="453" t="s">
        <v>663</v>
      </c>
      <c r="C233" s="342">
        <v>13699</v>
      </c>
      <c r="D233" s="454">
        <v>0.189962121212121</v>
      </c>
      <c r="E233" s="272">
        <v>11</v>
      </c>
      <c r="F233" s="272">
        <v>119</v>
      </c>
      <c r="G233" s="272">
        <v>5</v>
      </c>
      <c r="H233" s="272">
        <v>0</v>
      </c>
      <c r="I233" s="403">
        <f t="shared" si="3"/>
        <v>124</v>
      </c>
      <c r="J233" s="272">
        <v>0</v>
      </c>
      <c r="K233" s="455" t="s">
        <v>421</v>
      </c>
      <c r="L233" s="272" t="s">
        <v>423</v>
      </c>
      <c r="M233" s="405" t="s">
        <v>441</v>
      </c>
      <c r="N233" s="200">
        <v>150226</v>
      </c>
    </row>
    <row r="234" spans="2:14" ht="15.75" x14ac:dyDescent="0.25">
      <c r="B234" s="453" t="s">
        <v>664</v>
      </c>
      <c r="C234" s="342">
        <v>13699</v>
      </c>
      <c r="D234" s="454">
        <v>0.15587121212121199</v>
      </c>
      <c r="E234" s="272">
        <v>13</v>
      </c>
      <c r="F234" s="272">
        <v>26</v>
      </c>
      <c r="G234" s="272">
        <v>4</v>
      </c>
      <c r="H234" s="272">
        <v>0</v>
      </c>
      <c r="I234" s="403">
        <f t="shared" si="3"/>
        <v>30</v>
      </c>
      <c r="J234" s="272">
        <v>0</v>
      </c>
      <c r="K234" s="455" t="s">
        <v>421</v>
      </c>
      <c r="L234" s="272" t="s">
        <v>423</v>
      </c>
      <c r="M234" s="405" t="s">
        <v>441</v>
      </c>
      <c r="N234" s="200">
        <v>169173</v>
      </c>
    </row>
    <row r="235" spans="2:14" ht="15.75" x14ac:dyDescent="0.25">
      <c r="B235" s="453" t="s">
        <v>665</v>
      </c>
      <c r="C235" s="342">
        <v>13699</v>
      </c>
      <c r="D235" s="454">
        <v>0.35795454545454503</v>
      </c>
      <c r="E235" s="272">
        <v>18</v>
      </c>
      <c r="F235" s="272">
        <v>10</v>
      </c>
      <c r="G235" s="272">
        <v>20</v>
      </c>
      <c r="H235" s="272">
        <v>1</v>
      </c>
      <c r="I235" s="403">
        <f t="shared" si="3"/>
        <v>31</v>
      </c>
      <c r="J235" s="272">
        <v>0</v>
      </c>
      <c r="K235" s="455" t="s">
        <v>421</v>
      </c>
      <c r="L235" s="272" t="s">
        <v>422</v>
      </c>
      <c r="M235" s="405" t="s">
        <v>437</v>
      </c>
      <c r="N235" s="200">
        <v>180975</v>
      </c>
    </row>
    <row r="236" spans="2:14" ht="15.75" x14ac:dyDescent="0.25">
      <c r="B236" s="453" t="s">
        <v>666</v>
      </c>
      <c r="C236" s="342">
        <v>13916</v>
      </c>
      <c r="D236" s="454">
        <v>0.18560606060606</v>
      </c>
      <c r="E236" s="272">
        <v>9</v>
      </c>
      <c r="F236" s="272">
        <v>282</v>
      </c>
      <c r="G236" s="272">
        <v>15</v>
      </c>
      <c r="H236" s="272">
        <v>1</v>
      </c>
      <c r="I236" s="403">
        <f t="shared" si="3"/>
        <v>298</v>
      </c>
      <c r="J236" s="272">
        <v>0</v>
      </c>
      <c r="K236" s="455" t="s">
        <v>421</v>
      </c>
      <c r="L236" s="272" t="s">
        <v>422</v>
      </c>
      <c r="M236" s="405" t="s">
        <v>437</v>
      </c>
      <c r="N236" s="200">
        <v>337807</v>
      </c>
    </row>
    <row r="237" spans="2:14" ht="15.75" x14ac:dyDescent="0.25">
      <c r="B237" s="453" t="s">
        <v>667</v>
      </c>
      <c r="C237" s="342">
        <v>13916</v>
      </c>
      <c r="D237" s="454">
        <v>0.52821969696969695</v>
      </c>
      <c r="E237" s="272">
        <v>36</v>
      </c>
      <c r="F237" s="272">
        <v>199</v>
      </c>
      <c r="G237" s="272">
        <v>6</v>
      </c>
      <c r="H237" s="272">
        <v>0</v>
      </c>
      <c r="I237" s="403">
        <f t="shared" si="3"/>
        <v>205</v>
      </c>
      <c r="J237" s="272">
        <v>0</v>
      </c>
      <c r="K237" s="455" t="s">
        <v>421</v>
      </c>
      <c r="L237" s="272" t="s">
        <v>422</v>
      </c>
      <c r="M237" s="405" t="s">
        <v>432</v>
      </c>
      <c r="N237" s="200">
        <v>596018</v>
      </c>
    </row>
    <row r="238" spans="2:14" ht="15.75" x14ac:dyDescent="0.25">
      <c r="B238" s="453" t="s">
        <v>668</v>
      </c>
      <c r="C238" s="342">
        <v>13916</v>
      </c>
      <c r="D238" s="454">
        <v>0.45056818181818098</v>
      </c>
      <c r="E238" s="272">
        <v>35</v>
      </c>
      <c r="F238" s="272">
        <v>71</v>
      </c>
      <c r="G238" s="272">
        <v>18</v>
      </c>
      <c r="H238" s="272">
        <v>0</v>
      </c>
      <c r="I238" s="403">
        <f t="shared" si="3"/>
        <v>89</v>
      </c>
      <c r="J238" s="272">
        <v>0</v>
      </c>
      <c r="K238" s="455" t="s">
        <v>421</v>
      </c>
      <c r="L238" s="272" t="s">
        <v>510</v>
      </c>
      <c r="M238" s="405" t="s">
        <v>577</v>
      </c>
      <c r="N238" s="200">
        <v>402018</v>
      </c>
    </row>
    <row r="239" spans="2:14" ht="15.75" x14ac:dyDescent="0.25">
      <c r="B239" s="453" t="s">
        <v>669</v>
      </c>
      <c r="C239" s="342">
        <v>13972</v>
      </c>
      <c r="D239" s="454">
        <v>0.25170454545454501</v>
      </c>
      <c r="E239" s="272">
        <v>13</v>
      </c>
      <c r="F239" s="272">
        <v>1</v>
      </c>
      <c r="G239" s="272">
        <v>2</v>
      </c>
      <c r="H239" s="272">
        <v>2</v>
      </c>
      <c r="I239" s="403">
        <f t="shared" si="3"/>
        <v>5</v>
      </c>
      <c r="J239" s="272">
        <v>0</v>
      </c>
      <c r="K239" s="455" t="s">
        <v>443</v>
      </c>
      <c r="L239" s="272" t="s">
        <v>422</v>
      </c>
      <c r="M239" s="405" t="s">
        <v>432</v>
      </c>
      <c r="N239" s="200">
        <v>311368</v>
      </c>
    </row>
    <row r="240" spans="2:14" ht="15.75" x14ac:dyDescent="0.25">
      <c r="B240" s="453" t="s">
        <v>670</v>
      </c>
      <c r="C240" s="342">
        <v>13972</v>
      </c>
      <c r="D240" s="454">
        <v>0.90378787878787803</v>
      </c>
      <c r="E240" s="272">
        <v>49</v>
      </c>
      <c r="F240" s="272">
        <v>130</v>
      </c>
      <c r="G240" s="272">
        <v>7</v>
      </c>
      <c r="H240" s="272">
        <v>6</v>
      </c>
      <c r="I240" s="403">
        <f t="shared" si="3"/>
        <v>143</v>
      </c>
      <c r="J240" s="272">
        <v>0</v>
      </c>
      <c r="K240" s="455" t="s">
        <v>434</v>
      </c>
      <c r="L240" s="272" t="s">
        <v>432</v>
      </c>
      <c r="M240" s="405" t="s">
        <v>441</v>
      </c>
      <c r="N240" s="200">
        <v>54732</v>
      </c>
    </row>
    <row r="241" spans="2:14" ht="15.75" x14ac:dyDescent="0.25">
      <c r="B241" s="453" t="s">
        <v>671</v>
      </c>
      <c r="C241" s="342">
        <v>13972</v>
      </c>
      <c r="D241" s="454">
        <v>0.43693181818181798</v>
      </c>
      <c r="E241" s="272">
        <v>23</v>
      </c>
      <c r="F241" s="272">
        <v>379</v>
      </c>
      <c r="G241" s="272">
        <v>6</v>
      </c>
      <c r="H241" s="272">
        <v>1</v>
      </c>
      <c r="I241" s="403">
        <f t="shared" si="3"/>
        <v>386</v>
      </c>
      <c r="J241" s="272">
        <v>0</v>
      </c>
      <c r="K241" s="455" t="s">
        <v>434</v>
      </c>
      <c r="L241" s="272" t="s">
        <v>432</v>
      </c>
      <c r="M241" s="405" t="s">
        <v>441</v>
      </c>
      <c r="N241" s="200">
        <v>54798</v>
      </c>
    </row>
    <row r="242" spans="2:14" ht="15.75" x14ac:dyDescent="0.25">
      <c r="B242" s="453" t="s">
        <v>672</v>
      </c>
      <c r="C242" s="342">
        <v>13059</v>
      </c>
      <c r="D242" s="454">
        <v>0.50700757575757505</v>
      </c>
      <c r="E242" s="272">
        <v>51</v>
      </c>
      <c r="F242" s="272">
        <v>291</v>
      </c>
      <c r="G242" s="272">
        <v>18</v>
      </c>
      <c r="H242" s="272">
        <v>2</v>
      </c>
      <c r="I242" s="403">
        <f t="shared" si="3"/>
        <v>311</v>
      </c>
      <c r="J242" s="272">
        <v>0</v>
      </c>
      <c r="K242" s="455" t="s">
        <v>445</v>
      </c>
      <c r="L242" s="272" t="s">
        <v>422</v>
      </c>
      <c r="M242" s="405" t="s">
        <v>441</v>
      </c>
      <c r="N242" s="200">
        <v>95048.294044626906</v>
      </c>
    </row>
    <row r="243" spans="2:14" ht="15.75" x14ac:dyDescent="0.25">
      <c r="B243" s="453" t="s">
        <v>673</v>
      </c>
      <c r="C243" s="342">
        <v>13071</v>
      </c>
      <c r="D243" s="454">
        <v>0.99469696969696897</v>
      </c>
      <c r="E243" s="272">
        <v>74</v>
      </c>
      <c r="F243" s="272">
        <v>362</v>
      </c>
      <c r="G243" s="272">
        <v>11</v>
      </c>
      <c r="H243" s="272">
        <v>3</v>
      </c>
      <c r="I243" s="403">
        <f t="shared" si="3"/>
        <v>376</v>
      </c>
      <c r="J243" s="272">
        <v>10</v>
      </c>
      <c r="K243" s="455" t="s">
        <v>434</v>
      </c>
      <c r="L243" s="272" t="s">
        <v>426</v>
      </c>
      <c r="M243" s="405" t="s">
        <v>437</v>
      </c>
      <c r="N243" s="200">
        <v>1451993.8780149601</v>
      </c>
    </row>
    <row r="244" spans="2:14" ht="15.75" x14ac:dyDescent="0.25">
      <c r="B244" s="453" t="s">
        <v>674</v>
      </c>
      <c r="C244" s="342">
        <v>13071</v>
      </c>
      <c r="D244" s="454">
        <v>0.982386363636363</v>
      </c>
      <c r="E244" s="272">
        <v>66</v>
      </c>
      <c r="F244" s="272">
        <v>63</v>
      </c>
      <c r="G244" s="272">
        <v>7</v>
      </c>
      <c r="H244" s="272">
        <v>0</v>
      </c>
      <c r="I244" s="403">
        <f t="shared" si="3"/>
        <v>70</v>
      </c>
      <c r="J244" s="272">
        <v>0</v>
      </c>
      <c r="K244" s="455" t="s">
        <v>445</v>
      </c>
      <c r="L244" s="272" t="s">
        <v>423</v>
      </c>
      <c r="M244" s="405" t="s">
        <v>516</v>
      </c>
      <c r="N244" s="200">
        <v>95048.294044626906</v>
      </c>
    </row>
    <row r="245" spans="2:14" ht="15.75" x14ac:dyDescent="0.25">
      <c r="B245" s="453" t="s">
        <v>675</v>
      </c>
      <c r="C245" s="342">
        <v>13078</v>
      </c>
      <c r="D245" s="454">
        <v>0.178219696969696</v>
      </c>
      <c r="E245" s="272">
        <v>15</v>
      </c>
      <c r="F245" s="272">
        <v>33</v>
      </c>
      <c r="G245" s="272">
        <v>2</v>
      </c>
      <c r="H245" s="272">
        <v>1</v>
      </c>
      <c r="I245" s="403">
        <f t="shared" si="3"/>
        <v>36</v>
      </c>
      <c r="J245" s="272">
        <v>1</v>
      </c>
      <c r="K245" s="455" t="s">
        <v>421</v>
      </c>
      <c r="L245" s="272" t="s">
        <v>422</v>
      </c>
      <c r="M245" s="405" t="s">
        <v>432</v>
      </c>
      <c r="N245" s="200">
        <v>208039.082756716</v>
      </c>
    </row>
    <row r="246" spans="2:14" ht="15.75" x14ac:dyDescent="0.25">
      <c r="B246" s="453" t="s">
        <v>676</v>
      </c>
      <c r="C246" s="342">
        <v>13078</v>
      </c>
      <c r="D246" s="454">
        <v>0.74545454545454504</v>
      </c>
      <c r="E246" s="272">
        <v>35</v>
      </c>
      <c r="F246" s="272">
        <v>554</v>
      </c>
      <c r="G246" s="272">
        <v>7</v>
      </c>
      <c r="H246" s="272">
        <v>2</v>
      </c>
      <c r="I246" s="403">
        <f t="shared" si="3"/>
        <v>563</v>
      </c>
      <c r="J246" s="272">
        <v>18</v>
      </c>
      <c r="K246" s="455" t="s">
        <v>421</v>
      </c>
      <c r="L246" s="272" t="s">
        <v>422</v>
      </c>
      <c r="M246" s="405" t="s">
        <v>441</v>
      </c>
      <c r="N246" s="200">
        <v>65585.480586973397</v>
      </c>
    </row>
    <row r="247" spans="2:14" ht="15.75" x14ac:dyDescent="0.25">
      <c r="B247" s="453" t="s">
        <v>677</v>
      </c>
      <c r="C247" s="342">
        <v>13079</v>
      </c>
      <c r="D247" s="454">
        <v>0.18030303030302999</v>
      </c>
      <c r="E247" s="272">
        <v>17</v>
      </c>
      <c r="F247" s="272">
        <v>32</v>
      </c>
      <c r="G247" s="272">
        <v>6</v>
      </c>
      <c r="H247" s="272">
        <v>5</v>
      </c>
      <c r="I247" s="403">
        <f t="shared" si="3"/>
        <v>43</v>
      </c>
      <c r="J247" s="272">
        <v>5</v>
      </c>
      <c r="K247" s="455" t="s">
        <v>421</v>
      </c>
      <c r="L247" s="272" t="s">
        <v>426</v>
      </c>
      <c r="M247" s="405" t="s">
        <v>422</v>
      </c>
      <c r="N247" s="200">
        <v>159726.917016972</v>
      </c>
    </row>
    <row r="248" spans="2:14" ht="15.75" x14ac:dyDescent="0.25">
      <c r="B248" s="453" t="s">
        <v>678</v>
      </c>
      <c r="C248" s="342">
        <v>13079</v>
      </c>
      <c r="D248" s="454">
        <v>0.33655303030303002</v>
      </c>
      <c r="E248" s="272">
        <v>30</v>
      </c>
      <c r="F248" s="272">
        <v>58</v>
      </c>
      <c r="G248" s="272">
        <v>4</v>
      </c>
      <c r="H248" s="272">
        <v>5</v>
      </c>
      <c r="I248" s="403">
        <f t="shared" si="3"/>
        <v>67</v>
      </c>
      <c r="J248" s="272">
        <v>0</v>
      </c>
      <c r="K248" s="455" t="s">
        <v>445</v>
      </c>
      <c r="L248" s="272" t="s">
        <v>432</v>
      </c>
      <c r="M248" s="405" t="s">
        <v>441</v>
      </c>
      <c r="N248" s="200">
        <v>66535.034639498699</v>
      </c>
    </row>
    <row r="249" spans="2:14" ht="15.75" x14ac:dyDescent="0.25">
      <c r="B249" s="453" t="s">
        <v>679</v>
      </c>
      <c r="C249" s="342">
        <v>13079</v>
      </c>
      <c r="D249" s="454">
        <v>0.141098484848484</v>
      </c>
      <c r="E249" s="272">
        <v>21</v>
      </c>
      <c r="F249" s="272">
        <v>25</v>
      </c>
      <c r="G249" s="272">
        <v>8</v>
      </c>
      <c r="H249" s="272">
        <v>6</v>
      </c>
      <c r="I249" s="403">
        <f t="shared" si="3"/>
        <v>39</v>
      </c>
      <c r="J249" s="272">
        <v>3</v>
      </c>
      <c r="K249" s="455" t="s">
        <v>421</v>
      </c>
      <c r="L249" s="272" t="s">
        <v>425</v>
      </c>
      <c r="M249" s="405" t="s">
        <v>428</v>
      </c>
      <c r="N249" s="200">
        <v>172906.30777283199</v>
      </c>
    </row>
    <row r="250" spans="2:14" ht="15.75" x14ac:dyDescent="0.25">
      <c r="B250" s="453" t="s">
        <v>680</v>
      </c>
      <c r="C250" s="342">
        <v>13079</v>
      </c>
      <c r="D250" s="454">
        <v>0.12973484848484801</v>
      </c>
      <c r="E250" s="272">
        <v>16</v>
      </c>
      <c r="F250" s="272">
        <v>56</v>
      </c>
      <c r="G250" s="272">
        <v>10</v>
      </c>
      <c r="H250" s="272">
        <v>3</v>
      </c>
      <c r="I250" s="403">
        <f t="shared" si="3"/>
        <v>69</v>
      </c>
      <c r="J250" s="272">
        <v>0</v>
      </c>
      <c r="K250" s="455" t="s">
        <v>421</v>
      </c>
      <c r="L250" s="272" t="s">
        <v>426</v>
      </c>
      <c r="M250" s="405" t="s">
        <v>428</v>
      </c>
      <c r="N250" s="200">
        <v>64432.4</v>
      </c>
    </row>
    <row r="251" spans="2:14" ht="15.75" x14ac:dyDescent="0.25">
      <c r="B251" s="453" t="s">
        <v>681</v>
      </c>
      <c r="C251" s="342">
        <v>13109</v>
      </c>
      <c r="D251" s="454">
        <v>0.47253787878787801</v>
      </c>
      <c r="E251" s="272">
        <v>42</v>
      </c>
      <c r="F251" s="272">
        <v>282</v>
      </c>
      <c r="G251" s="272">
        <v>9</v>
      </c>
      <c r="H251" s="272">
        <v>0</v>
      </c>
      <c r="I251" s="403">
        <f t="shared" si="3"/>
        <v>291</v>
      </c>
      <c r="J251" s="272">
        <v>0</v>
      </c>
      <c r="K251" s="455" t="s">
        <v>445</v>
      </c>
      <c r="L251" s="272" t="s">
        <v>422</v>
      </c>
      <c r="M251" s="405" t="s">
        <v>432</v>
      </c>
      <c r="N251" s="200">
        <v>65585.480586973397</v>
      </c>
    </row>
    <row r="252" spans="2:14" ht="15.75" x14ac:dyDescent="0.25">
      <c r="B252" s="453" t="s">
        <v>682</v>
      </c>
      <c r="C252" s="342">
        <v>13109</v>
      </c>
      <c r="D252" s="454">
        <v>0.66761363636363602</v>
      </c>
      <c r="E252" s="272">
        <v>50</v>
      </c>
      <c r="F252" s="272">
        <v>95</v>
      </c>
      <c r="G252" s="272">
        <v>10</v>
      </c>
      <c r="H252" s="272">
        <v>4</v>
      </c>
      <c r="I252" s="403">
        <f t="shared" si="3"/>
        <v>109</v>
      </c>
      <c r="J252" s="272">
        <v>0</v>
      </c>
      <c r="K252" s="455" t="s">
        <v>421</v>
      </c>
      <c r="L252" s="272" t="s">
        <v>426</v>
      </c>
      <c r="M252" s="405" t="s">
        <v>422</v>
      </c>
      <c r="N252" s="200">
        <v>45330.75</v>
      </c>
    </row>
    <row r="253" spans="2:14" ht="15.75" x14ac:dyDescent="0.25">
      <c r="B253" s="453" t="s">
        <v>683</v>
      </c>
      <c r="C253" s="342">
        <v>13111</v>
      </c>
      <c r="D253" s="454">
        <v>0.20378787878787799</v>
      </c>
      <c r="E253" s="272">
        <v>17</v>
      </c>
      <c r="F253" s="272">
        <v>18</v>
      </c>
      <c r="G253" s="272">
        <v>1</v>
      </c>
      <c r="H253" s="272">
        <v>2</v>
      </c>
      <c r="I253" s="403">
        <f t="shared" si="3"/>
        <v>21</v>
      </c>
      <c r="J253" s="272">
        <v>0</v>
      </c>
      <c r="K253" s="455" t="s">
        <v>421</v>
      </c>
      <c r="L253" s="272" t="s">
        <v>422</v>
      </c>
      <c r="M253" s="405" t="s">
        <v>432</v>
      </c>
      <c r="N253" s="200">
        <v>318842.46371671598</v>
      </c>
    </row>
    <row r="254" spans="2:14" ht="15.75" x14ac:dyDescent="0.25">
      <c r="B254" s="453" t="s">
        <v>684</v>
      </c>
      <c r="C254" s="342">
        <v>13111</v>
      </c>
      <c r="D254" s="454">
        <v>0.417045454545454</v>
      </c>
      <c r="E254" s="272">
        <v>32</v>
      </c>
      <c r="F254" s="272">
        <v>61</v>
      </c>
      <c r="G254" s="272">
        <v>9</v>
      </c>
      <c r="H254" s="272">
        <v>2</v>
      </c>
      <c r="I254" s="403">
        <f t="shared" si="3"/>
        <v>72</v>
      </c>
      <c r="J254" s="272">
        <v>0</v>
      </c>
      <c r="K254" s="455" t="s">
        <v>434</v>
      </c>
      <c r="L254" s="272" t="s">
        <v>422</v>
      </c>
      <c r="M254" s="405" t="s">
        <v>432</v>
      </c>
      <c r="N254" s="200">
        <v>65585.480586973397</v>
      </c>
    </row>
    <row r="255" spans="2:14" ht="15.75" x14ac:dyDescent="0.25">
      <c r="B255" s="453" t="s">
        <v>685</v>
      </c>
      <c r="C255" s="342">
        <v>13113</v>
      </c>
      <c r="D255" s="454">
        <v>0.109848484848484</v>
      </c>
      <c r="E255" s="272">
        <v>6</v>
      </c>
      <c r="F255" s="272">
        <v>3</v>
      </c>
      <c r="G255" s="272">
        <v>5</v>
      </c>
      <c r="H255" s="272">
        <v>4</v>
      </c>
      <c r="I255" s="403">
        <f t="shared" si="3"/>
        <v>12</v>
      </c>
      <c r="J255" s="272">
        <v>6</v>
      </c>
      <c r="K255" s="455" t="s">
        <v>443</v>
      </c>
      <c r="L255" s="272" t="s">
        <v>423</v>
      </c>
      <c r="M255" s="405" t="s">
        <v>437</v>
      </c>
      <c r="N255" s="200">
        <v>65585.480586973397</v>
      </c>
    </row>
    <row r="256" spans="2:14" ht="15.75" x14ac:dyDescent="0.25">
      <c r="B256" s="453" t="s">
        <v>686</v>
      </c>
      <c r="C256" s="342">
        <v>13113</v>
      </c>
      <c r="D256" s="454">
        <v>0.51325757575757502</v>
      </c>
      <c r="E256" s="272">
        <v>34</v>
      </c>
      <c r="F256" s="272">
        <v>233</v>
      </c>
      <c r="G256" s="272">
        <v>19</v>
      </c>
      <c r="H256" s="272">
        <v>1</v>
      </c>
      <c r="I256" s="403">
        <f t="shared" si="3"/>
        <v>253</v>
      </c>
      <c r="J256" s="272">
        <v>0</v>
      </c>
      <c r="K256" s="455" t="s">
        <v>434</v>
      </c>
      <c r="L256" s="272" t="s">
        <v>426</v>
      </c>
      <c r="M256" s="405" t="s">
        <v>422</v>
      </c>
      <c r="N256" s="200">
        <v>565310.38977333298</v>
      </c>
    </row>
    <row r="257" spans="2:14" ht="15.75" x14ac:dyDescent="0.25">
      <c r="B257" s="453" t="s">
        <v>687</v>
      </c>
      <c r="C257" s="342">
        <v>13113</v>
      </c>
      <c r="D257" s="454">
        <v>7.2537878787878707E-2</v>
      </c>
      <c r="E257" s="272">
        <v>9</v>
      </c>
      <c r="F257" s="272">
        <v>215</v>
      </c>
      <c r="G257" s="272">
        <v>8</v>
      </c>
      <c r="H257" s="272">
        <v>0</v>
      </c>
      <c r="I257" s="403">
        <f t="shared" si="3"/>
        <v>223</v>
      </c>
      <c r="J257" s="272">
        <v>0</v>
      </c>
      <c r="K257" s="455" t="s">
        <v>421</v>
      </c>
      <c r="L257" s="272" t="s">
        <v>426</v>
      </c>
      <c r="M257" s="405" t="s">
        <v>422</v>
      </c>
      <c r="N257" s="200">
        <v>68672.456119999901</v>
      </c>
    </row>
    <row r="258" spans="2:14" ht="15.75" x14ac:dyDescent="0.25">
      <c r="B258" s="453" t="s">
        <v>688</v>
      </c>
      <c r="C258" s="342">
        <v>13138</v>
      </c>
      <c r="D258" s="454">
        <v>7.1022727272727196E-2</v>
      </c>
      <c r="E258" s="272">
        <v>6</v>
      </c>
      <c r="F258" s="272">
        <v>92</v>
      </c>
      <c r="G258" s="272">
        <v>2</v>
      </c>
      <c r="H258" s="272">
        <v>0</v>
      </c>
      <c r="I258" s="403">
        <f t="shared" si="3"/>
        <v>94</v>
      </c>
      <c r="J258" s="272">
        <v>0</v>
      </c>
      <c r="K258" s="455" t="s">
        <v>421</v>
      </c>
      <c r="L258" s="272" t="s">
        <v>426</v>
      </c>
      <c r="M258" s="405" t="s">
        <v>428</v>
      </c>
      <c r="N258" s="200">
        <v>40845.300000000003</v>
      </c>
    </row>
    <row r="259" spans="2:14" ht="15.75" x14ac:dyDescent="0.25">
      <c r="B259" s="453" t="s">
        <v>689</v>
      </c>
      <c r="C259" s="342">
        <v>13138</v>
      </c>
      <c r="D259" s="454">
        <v>0.303787878787878</v>
      </c>
      <c r="E259" s="272">
        <v>18</v>
      </c>
      <c r="F259" s="272">
        <v>352</v>
      </c>
      <c r="G259" s="272">
        <v>5</v>
      </c>
      <c r="H259" s="272">
        <v>4</v>
      </c>
      <c r="I259" s="403">
        <f t="shared" si="3"/>
        <v>361</v>
      </c>
      <c r="J259" s="272">
        <v>0</v>
      </c>
      <c r="K259" s="455" t="s">
        <v>434</v>
      </c>
      <c r="L259" s="272" t="s">
        <v>425</v>
      </c>
      <c r="M259" s="405" t="s">
        <v>428</v>
      </c>
      <c r="N259" s="200">
        <v>335531.14069767401</v>
      </c>
    </row>
    <row r="260" spans="2:14" ht="15.75" x14ac:dyDescent="0.25">
      <c r="B260" s="453" t="s">
        <v>690</v>
      </c>
      <c r="C260" s="342">
        <v>13138</v>
      </c>
      <c r="D260" s="454">
        <v>0.264583333333333</v>
      </c>
      <c r="E260" s="272">
        <v>23</v>
      </c>
      <c r="F260" s="272">
        <v>170</v>
      </c>
      <c r="G260" s="272">
        <v>9</v>
      </c>
      <c r="H260" s="272">
        <v>0</v>
      </c>
      <c r="I260" s="403">
        <f t="shared" si="3"/>
        <v>179</v>
      </c>
      <c r="J260" s="272">
        <v>0</v>
      </c>
      <c r="K260" s="455" t="s">
        <v>445</v>
      </c>
      <c r="L260" s="272" t="s">
        <v>422</v>
      </c>
      <c r="M260" s="405" t="s">
        <v>432</v>
      </c>
      <c r="N260" s="200">
        <v>344455.34185697202</v>
      </c>
    </row>
    <row r="261" spans="2:14" ht="15.75" x14ac:dyDescent="0.25">
      <c r="B261" s="453" t="s">
        <v>691</v>
      </c>
      <c r="C261" s="342">
        <v>13140</v>
      </c>
      <c r="D261" s="454">
        <v>0.102840909090909</v>
      </c>
      <c r="E261" s="272">
        <v>13</v>
      </c>
      <c r="F261" s="272">
        <v>143</v>
      </c>
      <c r="G261" s="272">
        <v>7</v>
      </c>
      <c r="H261" s="272">
        <v>4</v>
      </c>
      <c r="I261" s="403">
        <f t="shared" si="3"/>
        <v>154</v>
      </c>
      <c r="J261" s="272">
        <v>0</v>
      </c>
      <c r="K261" s="455" t="s">
        <v>434</v>
      </c>
      <c r="L261" s="272" t="s">
        <v>422</v>
      </c>
      <c r="M261" s="405" t="s">
        <v>432</v>
      </c>
      <c r="N261" s="200">
        <v>65585.480586973397</v>
      </c>
    </row>
    <row r="262" spans="2:14" ht="15.75" x14ac:dyDescent="0.25">
      <c r="B262" s="453" t="s">
        <v>692</v>
      </c>
      <c r="C262" s="342">
        <v>13141</v>
      </c>
      <c r="D262" s="454">
        <v>9.8484848484848397E-2</v>
      </c>
      <c r="E262" s="272">
        <v>7</v>
      </c>
      <c r="F262" s="272">
        <v>12</v>
      </c>
      <c r="G262" s="272">
        <v>6</v>
      </c>
      <c r="H262" s="272">
        <v>1</v>
      </c>
      <c r="I262" s="403">
        <f t="shared" si="3"/>
        <v>19</v>
      </c>
      <c r="J262" s="272">
        <v>0</v>
      </c>
      <c r="K262" s="455" t="s">
        <v>421</v>
      </c>
      <c r="L262" s="272" t="s">
        <v>426</v>
      </c>
      <c r="M262" s="405" t="s">
        <v>422</v>
      </c>
      <c r="N262" s="200">
        <v>77385.551471007697</v>
      </c>
    </row>
    <row r="263" spans="2:14" ht="15.75" x14ac:dyDescent="0.25">
      <c r="B263" s="453" t="s">
        <v>693</v>
      </c>
      <c r="C263" s="342">
        <v>13141</v>
      </c>
      <c r="D263" s="454">
        <v>0.47026515151515103</v>
      </c>
      <c r="E263" s="272">
        <v>49</v>
      </c>
      <c r="F263" s="272">
        <v>94</v>
      </c>
      <c r="G263" s="272">
        <v>3</v>
      </c>
      <c r="H263" s="272">
        <v>1</v>
      </c>
      <c r="I263" s="403">
        <f t="shared" si="3"/>
        <v>98</v>
      </c>
      <c r="J263" s="272">
        <v>0</v>
      </c>
      <c r="K263" s="455" t="s">
        <v>445</v>
      </c>
      <c r="L263" s="272" t="s">
        <v>423</v>
      </c>
      <c r="M263" s="405" t="s">
        <v>437</v>
      </c>
      <c r="N263" s="200">
        <v>65585.480586973397</v>
      </c>
    </row>
    <row r="264" spans="2:14" ht="15.75" x14ac:dyDescent="0.25">
      <c r="B264" s="453" t="s">
        <v>694</v>
      </c>
      <c r="C264" s="342">
        <v>13141</v>
      </c>
      <c r="D264" s="454">
        <v>9.5454545454545403E-2</v>
      </c>
      <c r="E264" s="272">
        <v>8</v>
      </c>
      <c r="F264" s="272">
        <v>34</v>
      </c>
      <c r="G264" s="272">
        <v>1</v>
      </c>
      <c r="H264" s="272">
        <v>1</v>
      </c>
      <c r="I264" s="403">
        <f t="shared" ref="I264:I327" si="4">SUM(F264:H264)</f>
        <v>36</v>
      </c>
      <c r="J264" s="272">
        <v>25</v>
      </c>
      <c r="K264" s="455" t="s">
        <v>445</v>
      </c>
      <c r="L264" s="272" t="s">
        <v>422</v>
      </c>
      <c r="M264" s="405" t="s">
        <v>432</v>
      </c>
      <c r="N264" s="200">
        <v>102196.531216972</v>
      </c>
    </row>
    <row r="265" spans="2:14" ht="15.75" x14ac:dyDescent="0.25">
      <c r="B265" s="453" t="s">
        <v>695</v>
      </c>
      <c r="C265" s="342">
        <v>13141</v>
      </c>
      <c r="D265" s="454">
        <v>8.76893939393939E-2</v>
      </c>
      <c r="E265" s="272">
        <v>13</v>
      </c>
      <c r="F265" s="272">
        <v>12</v>
      </c>
      <c r="G265" s="272">
        <v>0</v>
      </c>
      <c r="H265" s="272">
        <v>1</v>
      </c>
      <c r="I265" s="403">
        <f t="shared" si="4"/>
        <v>13</v>
      </c>
      <c r="J265" s="272">
        <v>0</v>
      </c>
      <c r="K265" s="455" t="s">
        <v>443</v>
      </c>
      <c r="L265" s="272" t="s">
        <v>422</v>
      </c>
      <c r="M265" s="405" t="s">
        <v>432</v>
      </c>
      <c r="N265" s="200">
        <v>65585.480586973397</v>
      </c>
    </row>
    <row r="266" spans="2:14" ht="15.75" x14ac:dyDescent="0.25">
      <c r="B266" s="453" t="s">
        <v>696</v>
      </c>
      <c r="C266" s="342">
        <v>13162</v>
      </c>
      <c r="D266" s="454">
        <v>0.16439393939393901</v>
      </c>
      <c r="E266" s="272">
        <v>10</v>
      </c>
      <c r="F266" s="272">
        <v>61</v>
      </c>
      <c r="G266" s="272">
        <v>3</v>
      </c>
      <c r="H266" s="272">
        <v>0</v>
      </c>
      <c r="I266" s="403">
        <f t="shared" si="4"/>
        <v>64</v>
      </c>
      <c r="J266" s="272">
        <v>12</v>
      </c>
      <c r="K266" s="455" t="s">
        <v>421</v>
      </c>
      <c r="L266" s="272" t="s">
        <v>426</v>
      </c>
      <c r="M266" s="405" t="s">
        <v>422</v>
      </c>
      <c r="N266" s="200">
        <v>93355.912451007694</v>
      </c>
    </row>
    <row r="267" spans="2:14" ht="15.75" x14ac:dyDescent="0.25">
      <c r="B267" s="453" t="s">
        <v>697</v>
      </c>
      <c r="C267" s="342">
        <v>13162</v>
      </c>
      <c r="D267" s="454">
        <v>0.381818181818181</v>
      </c>
      <c r="E267" s="272">
        <v>30</v>
      </c>
      <c r="F267" s="272">
        <v>47</v>
      </c>
      <c r="G267" s="272">
        <v>23</v>
      </c>
      <c r="H267" s="272">
        <v>3</v>
      </c>
      <c r="I267" s="403">
        <f t="shared" si="4"/>
        <v>73</v>
      </c>
      <c r="J267" s="272">
        <v>6</v>
      </c>
      <c r="K267" s="455" t="s">
        <v>445</v>
      </c>
      <c r="L267" s="272" t="s">
        <v>423</v>
      </c>
      <c r="M267" s="405" t="s">
        <v>437</v>
      </c>
      <c r="N267" s="200">
        <v>235331.46293283199</v>
      </c>
    </row>
    <row r="268" spans="2:14" ht="15.75" x14ac:dyDescent="0.25">
      <c r="B268" s="453" t="s">
        <v>698</v>
      </c>
      <c r="C268" s="342">
        <v>13162</v>
      </c>
      <c r="D268" s="454">
        <v>0.29772727272727201</v>
      </c>
      <c r="E268" s="272">
        <v>24</v>
      </c>
      <c r="F268" s="272">
        <v>23</v>
      </c>
      <c r="G268" s="272">
        <v>50</v>
      </c>
      <c r="H268" s="272">
        <v>5</v>
      </c>
      <c r="I268" s="403">
        <f t="shared" si="4"/>
        <v>78</v>
      </c>
      <c r="J268" s="272">
        <v>0</v>
      </c>
      <c r="K268" s="455" t="s">
        <v>421</v>
      </c>
      <c r="L268" s="272" t="s">
        <v>432</v>
      </c>
      <c r="M268" s="405" t="s">
        <v>441</v>
      </c>
      <c r="N268" s="200">
        <v>66535.034639498699</v>
      </c>
    </row>
    <row r="269" spans="2:14" ht="15.75" x14ac:dyDescent="0.25">
      <c r="B269" s="453" t="s">
        <v>699</v>
      </c>
      <c r="C269" s="342">
        <v>13162</v>
      </c>
      <c r="D269" s="454">
        <v>0.36571969696969697</v>
      </c>
      <c r="E269" s="272">
        <v>26</v>
      </c>
      <c r="F269" s="272">
        <v>19</v>
      </c>
      <c r="G269" s="272">
        <v>23</v>
      </c>
      <c r="H269" s="272">
        <v>16</v>
      </c>
      <c r="I269" s="403">
        <f t="shared" si="4"/>
        <v>58</v>
      </c>
      <c r="J269" s="272">
        <v>0</v>
      </c>
      <c r="K269" s="455" t="s">
        <v>440</v>
      </c>
      <c r="L269" s="272" t="s">
        <v>432</v>
      </c>
      <c r="M269" s="405" t="s">
        <v>441</v>
      </c>
      <c r="N269" s="200">
        <v>59732.874639498601</v>
      </c>
    </row>
    <row r="270" spans="2:14" ht="15.75" x14ac:dyDescent="0.25">
      <c r="B270" s="453" t="s">
        <v>700</v>
      </c>
      <c r="C270" s="342">
        <v>13162</v>
      </c>
      <c r="D270" s="454">
        <v>0.15700757575757501</v>
      </c>
      <c r="E270" s="272">
        <v>23</v>
      </c>
      <c r="F270" s="272">
        <v>5</v>
      </c>
      <c r="G270" s="272">
        <v>15</v>
      </c>
      <c r="H270" s="272">
        <v>5</v>
      </c>
      <c r="I270" s="403">
        <f t="shared" si="4"/>
        <v>25</v>
      </c>
      <c r="J270" s="272">
        <v>5</v>
      </c>
      <c r="K270" s="455" t="s">
        <v>421</v>
      </c>
      <c r="L270" s="272" t="s">
        <v>422</v>
      </c>
      <c r="M270" s="405" t="s">
        <v>432</v>
      </c>
      <c r="N270" s="200">
        <v>162651.763876716</v>
      </c>
    </row>
    <row r="271" spans="2:14" ht="15.75" x14ac:dyDescent="0.25">
      <c r="B271" s="453" t="s">
        <v>701</v>
      </c>
      <c r="C271" s="342">
        <v>13164</v>
      </c>
      <c r="D271" s="454">
        <v>0.21571969696969601</v>
      </c>
      <c r="E271" s="272">
        <v>15</v>
      </c>
      <c r="F271" s="272">
        <v>59</v>
      </c>
      <c r="G271" s="272">
        <v>13</v>
      </c>
      <c r="H271" s="272">
        <v>2</v>
      </c>
      <c r="I271" s="403">
        <f t="shared" si="4"/>
        <v>74</v>
      </c>
      <c r="J271" s="272">
        <v>3</v>
      </c>
      <c r="K271" s="455" t="s">
        <v>426</v>
      </c>
      <c r="L271" s="272" t="s">
        <v>441</v>
      </c>
      <c r="M271" s="405" t="s">
        <v>510</v>
      </c>
      <c r="N271" s="200">
        <v>65585.480586973397</v>
      </c>
    </row>
    <row r="272" spans="2:14" ht="15.75" x14ac:dyDescent="0.25">
      <c r="B272" s="453" t="s">
        <v>702</v>
      </c>
      <c r="C272" s="342">
        <v>13192</v>
      </c>
      <c r="D272" s="454">
        <v>0.19318181818181801</v>
      </c>
      <c r="E272" s="272">
        <v>13</v>
      </c>
      <c r="F272" s="272">
        <v>2</v>
      </c>
      <c r="G272" s="272">
        <v>2</v>
      </c>
      <c r="H272" s="272">
        <v>5</v>
      </c>
      <c r="I272" s="403">
        <f t="shared" si="4"/>
        <v>9</v>
      </c>
      <c r="J272" s="272">
        <v>9</v>
      </c>
      <c r="K272" s="455" t="s">
        <v>421</v>
      </c>
      <c r="L272" s="272" t="s">
        <v>426</v>
      </c>
      <c r="M272" s="405" t="s">
        <v>422</v>
      </c>
      <c r="N272" s="200">
        <v>145753.32451497001</v>
      </c>
    </row>
    <row r="273" spans="2:14" ht="15.75" x14ac:dyDescent="0.25">
      <c r="B273" s="453" t="s">
        <v>703</v>
      </c>
      <c r="C273" s="342">
        <v>13194</v>
      </c>
      <c r="D273" s="454">
        <v>1.0994318181818099</v>
      </c>
      <c r="E273" s="272">
        <v>50</v>
      </c>
      <c r="F273" s="272">
        <v>285</v>
      </c>
      <c r="G273" s="272">
        <v>2</v>
      </c>
      <c r="H273" s="272">
        <v>0</v>
      </c>
      <c r="I273" s="403">
        <f t="shared" si="4"/>
        <v>287</v>
      </c>
      <c r="J273" s="272">
        <v>0</v>
      </c>
      <c r="K273" s="455" t="s">
        <v>421</v>
      </c>
      <c r="L273" s="272" t="s">
        <v>432</v>
      </c>
      <c r="M273" s="405" t="s">
        <v>441</v>
      </c>
      <c r="N273" s="200">
        <v>65585.480586973397</v>
      </c>
    </row>
    <row r="274" spans="2:14" ht="15.75" x14ac:dyDescent="0.25">
      <c r="B274" s="453" t="s">
        <v>704</v>
      </c>
      <c r="C274" s="342">
        <v>13198</v>
      </c>
      <c r="D274" s="454">
        <v>0.21231060606060601</v>
      </c>
      <c r="E274" s="272">
        <v>21</v>
      </c>
      <c r="F274" s="272">
        <v>33</v>
      </c>
      <c r="G274" s="272">
        <v>50</v>
      </c>
      <c r="H274" s="272">
        <v>2</v>
      </c>
      <c r="I274" s="403">
        <f t="shared" si="4"/>
        <v>85</v>
      </c>
      <c r="J274" s="272">
        <v>6</v>
      </c>
      <c r="K274" s="455" t="s">
        <v>445</v>
      </c>
      <c r="L274" s="272" t="s">
        <v>422</v>
      </c>
      <c r="M274" s="405" t="s">
        <v>432</v>
      </c>
      <c r="N274" s="200">
        <v>195984.537276716</v>
      </c>
    </row>
    <row r="275" spans="2:14" ht="15.75" x14ac:dyDescent="0.25">
      <c r="B275" s="453" t="s">
        <v>705</v>
      </c>
      <c r="C275" s="342">
        <v>13198</v>
      </c>
      <c r="D275" s="454">
        <v>9.7348484848484795E-2</v>
      </c>
      <c r="E275" s="272">
        <v>8</v>
      </c>
      <c r="F275" s="272">
        <v>20</v>
      </c>
      <c r="G275" s="272">
        <v>2</v>
      </c>
      <c r="H275" s="272">
        <v>2</v>
      </c>
      <c r="I275" s="403">
        <f t="shared" si="4"/>
        <v>24</v>
      </c>
      <c r="J275" s="272">
        <v>0</v>
      </c>
      <c r="K275" s="455" t="s">
        <v>421</v>
      </c>
      <c r="L275" s="272" t="s">
        <v>422</v>
      </c>
      <c r="M275" s="405" t="s">
        <v>432</v>
      </c>
      <c r="N275" s="200">
        <v>165710.97441697199</v>
      </c>
    </row>
    <row r="276" spans="2:14" ht="15.75" x14ac:dyDescent="0.25">
      <c r="B276" s="453" t="s">
        <v>706</v>
      </c>
      <c r="C276" s="342">
        <v>13198</v>
      </c>
      <c r="D276" s="454">
        <v>0.13257575757575699</v>
      </c>
      <c r="E276" s="272">
        <v>11</v>
      </c>
      <c r="F276" s="272">
        <v>18</v>
      </c>
      <c r="G276" s="272">
        <v>2</v>
      </c>
      <c r="H276" s="272">
        <v>1</v>
      </c>
      <c r="I276" s="403">
        <f t="shared" si="4"/>
        <v>21</v>
      </c>
      <c r="J276" s="272">
        <v>0</v>
      </c>
      <c r="K276" s="455" t="s">
        <v>421</v>
      </c>
      <c r="L276" s="272" t="s">
        <v>426</v>
      </c>
      <c r="M276" s="405" t="s">
        <v>422</v>
      </c>
      <c r="N276" s="200">
        <v>120992.835271007</v>
      </c>
    </row>
    <row r="277" spans="2:14" ht="15.75" x14ac:dyDescent="0.25">
      <c r="B277" s="453" t="s">
        <v>707</v>
      </c>
      <c r="C277" s="342">
        <v>13198</v>
      </c>
      <c r="D277" s="454">
        <v>0.16628787878787801</v>
      </c>
      <c r="E277" s="272">
        <v>12</v>
      </c>
      <c r="F277" s="272">
        <v>86</v>
      </c>
      <c r="G277" s="272">
        <v>26</v>
      </c>
      <c r="H277" s="272">
        <v>4</v>
      </c>
      <c r="I277" s="403">
        <f t="shared" si="4"/>
        <v>116</v>
      </c>
      <c r="J277" s="272">
        <v>0</v>
      </c>
      <c r="K277" s="455" t="s">
        <v>434</v>
      </c>
      <c r="L277" s="272" t="s">
        <v>422</v>
      </c>
      <c r="M277" s="405" t="s">
        <v>432</v>
      </c>
      <c r="N277" s="200">
        <v>308072.94403100701</v>
      </c>
    </row>
    <row r="278" spans="2:14" ht="15.75" x14ac:dyDescent="0.25">
      <c r="B278" s="453" t="s">
        <v>708</v>
      </c>
      <c r="C278" s="342">
        <v>13198</v>
      </c>
      <c r="D278" s="454">
        <v>9.4128787878787798E-2</v>
      </c>
      <c r="E278" s="272">
        <v>8</v>
      </c>
      <c r="F278" s="272">
        <v>11</v>
      </c>
      <c r="G278" s="272">
        <v>7</v>
      </c>
      <c r="H278" s="272">
        <v>2</v>
      </c>
      <c r="I278" s="403">
        <f t="shared" si="4"/>
        <v>20</v>
      </c>
      <c r="J278" s="272">
        <v>0</v>
      </c>
      <c r="K278" s="455" t="s">
        <v>421</v>
      </c>
      <c r="L278" s="272" t="s">
        <v>422</v>
      </c>
      <c r="M278" s="405" t="s">
        <v>432</v>
      </c>
      <c r="N278" s="200">
        <v>174468.86575697199</v>
      </c>
    </row>
    <row r="279" spans="2:14" ht="15.75" x14ac:dyDescent="0.25">
      <c r="B279" s="453" t="s">
        <v>709</v>
      </c>
      <c r="C279" s="342">
        <v>13207</v>
      </c>
      <c r="D279" s="454">
        <v>0.26401515151515098</v>
      </c>
      <c r="E279" s="272">
        <v>25</v>
      </c>
      <c r="F279" s="272">
        <v>60</v>
      </c>
      <c r="G279" s="272">
        <v>9</v>
      </c>
      <c r="H279" s="272">
        <v>4</v>
      </c>
      <c r="I279" s="403">
        <f t="shared" si="4"/>
        <v>73</v>
      </c>
      <c r="J279" s="272">
        <v>0</v>
      </c>
      <c r="K279" s="455" t="s">
        <v>445</v>
      </c>
      <c r="L279" s="272" t="s">
        <v>432</v>
      </c>
      <c r="M279" s="405" t="s">
        <v>441</v>
      </c>
      <c r="N279" s="200">
        <v>66535.034639498699</v>
      </c>
    </row>
    <row r="280" spans="2:14" ht="15.75" x14ac:dyDescent="0.25">
      <c r="B280" s="453" t="s">
        <v>710</v>
      </c>
      <c r="C280" s="342">
        <v>13207</v>
      </c>
      <c r="D280" s="454">
        <v>0.20473484848484799</v>
      </c>
      <c r="E280" s="272">
        <v>17</v>
      </c>
      <c r="F280" s="272">
        <v>23</v>
      </c>
      <c r="G280" s="272">
        <v>33</v>
      </c>
      <c r="H280" s="272">
        <v>0</v>
      </c>
      <c r="I280" s="403">
        <f t="shared" si="4"/>
        <v>56</v>
      </c>
      <c r="J280" s="272">
        <v>0</v>
      </c>
      <c r="K280" s="455" t="s">
        <v>445</v>
      </c>
      <c r="L280" s="272" t="s">
        <v>432</v>
      </c>
      <c r="M280" s="405" t="s">
        <v>441</v>
      </c>
      <c r="N280" s="200">
        <v>65585.480586973397</v>
      </c>
    </row>
    <row r="281" spans="2:14" ht="15.75" x14ac:dyDescent="0.25">
      <c r="B281" s="453" t="s">
        <v>711</v>
      </c>
      <c r="C281" s="342">
        <v>13207</v>
      </c>
      <c r="D281" s="454">
        <v>0.37973484848484801</v>
      </c>
      <c r="E281" s="272">
        <v>31</v>
      </c>
      <c r="F281" s="272">
        <v>64</v>
      </c>
      <c r="G281" s="272">
        <v>1</v>
      </c>
      <c r="H281" s="272">
        <v>2</v>
      </c>
      <c r="I281" s="403">
        <f t="shared" si="4"/>
        <v>67</v>
      </c>
      <c r="J281" s="272">
        <v>0</v>
      </c>
      <c r="K281" s="455" t="s">
        <v>445</v>
      </c>
      <c r="L281" s="272" t="s">
        <v>422</v>
      </c>
      <c r="M281" s="405" t="s">
        <v>432</v>
      </c>
      <c r="N281" s="200">
        <v>65585.480586973397</v>
      </c>
    </row>
    <row r="282" spans="2:14" ht="15.75" x14ac:dyDescent="0.25">
      <c r="B282" s="453" t="s">
        <v>712</v>
      </c>
      <c r="C282" s="342">
        <v>13208</v>
      </c>
      <c r="D282" s="454">
        <v>0.183522727272727</v>
      </c>
      <c r="E282" s="272">
        <v>18</v>
      </c>
      <c r="F282" s="272">
        <v>117</v>
      </c>
      <c r="G282" s="272">
        <v>3</v>
      </c>
      <c r="H282" s="272">
        <v>1</v>
      </c>
      <c r="I282" s="403">
        <f t="shared" si="4"/>
        <v>121</v>
      </c>
      <c r="J282" s="272">
        <v>0</v>
      </c>
      <c r="K282" s="455" t="s">
        <v>445</v>
      </c>
      <c r="L282" s="272" t="s">
        <v>432</v>
      </c>
      <c r="M282" s="405" t="s">
        <v>441</v>
      </c>
      <c r="N282" s="200">
        <v>90410.457680990497</v>
      </c>
    </row>
    <row r="283" spans="2:14" ht="15.75" x14ac:dyDescent="0.25">
      <c r="B283" s="453" t="s">
        <v>713</v>
      </c>
      <c r="C283" s="342">
        <v>13220</v>
      </c>
      <c r="D283" s="454">
        <v>0.51780303030302999</v>
      </c>
      <c r="E283" s="272">
        <v>45</v>
      </c>
      <c r="F283" s="272">
        <v>66</v>
      </c>
      <c r="G283" s="272">
        <v>17</v>
      </c>
      <c r="H283" s="272">
        <v>4</v>
      </c>
      <c r="I283" s="403">
        <f t="shared" si="4"/>
        <v>87</v>
      </c>
      <c r="J283" s="272">
        <v>9</v>
      </c>
      <c r="K283" s="455" t="s">
        <v>445</v>
      </c>
      <c r="L283" s="272" t="s">
        <v>432</v>
      </c>
      <c r="M283" s="405" t="s">
        <v>441</v>
      </c>
      <c r="N283" s="200">
        <v>66535.034639498699</v>
      </c>
    </row>
    <row r="284" spans="2:14" ht="15.75" x14ac:dyDescent="0.25">
      <c r="B284" s="453" t="s">
        <v>714</v>
      </c>
      <c r="C284" s="342">
        <v>13220</v>
      </c>
      <c r="D284" s="454">
        <v>0.48977272727272703</v>
      </c>
      <c r="E284" s="272">
        <v>38</v>
      </c>
      <c r="F284" s="272">
        <v>55</v>
      </c>
      <c r="G284" s="272">
        <v>18</v>
      </c>
      <c r="H284" s="272">
        <v>0</v>
      </c>
      <c r="I284" s="403">
        <f t="shared" si="4"/>
        <v>73</v>
      </c>
      <c r="J284" s="272">
        <v>0</v>
      </c>
      <c r="K284" s="455" t="s">
        <v>445</v>
      </c>
      <c r="L284" s="272" t="s">
        <v>422</v>
      </c>
      <c r="M284" s="405" t="s">
        <v>432</v>
      </c>
      <c r="N284" s="200">
        <v>435673.93115671701</v>
      </c>
    </row>
    <row r="285" spans="2:14" ht="15.75" x14ac:dyDescent="0.25">
      <c r="B285" s="453" t="s">
        <v>715</v>
      </c>
      <c r="C285" s="342">
        <v>13333</v>
      </c>
      <c r="D285" s="454">
        <v>0.16003787878787801</v>
      </c>
      <c r="E285" s="272">
        <v>16</v>
      </c>
      <c r="F285" s="272">
        <v>16</v>
      </c>
      <c r="G285" s="272">
        <v>31</v>
      </c>
      <c r="H285" s="272">
        <v>2</v>
      </c>
      <c r="I285" s="403">
        <f t="shared" si="4"/>
        <v>49</v>
      </c>
      <c r="J285" s="272">
        <v>0</v>
      </c>
      <c r="K285" s="455" t="s">
        <v>421</v>
      </c>
      <c r="L285" s="272" t="s">
        <v>423</v>
      </c>
      <c r="M285" s="405" t="s">
        <v>437</v>
      </c>
      <c r="N285" s="200">
        <v>88822.371972831999</v>
      </c>
    </row>
    <row r="286" spans="2:14" ht="15.75" x14ac:dyDescent="0.25">
      <c r="B286" s="453" t="s">
        <v>716</v>
      </c>
      <c r="C286" s="342">
        <v>13333</v>
      </c>
      <c r="D286" s="454">
        <v>0.23276515151515101</v>
      </c>
      <c r="E286" s="272">
        <v>26</v>
      </c>
      <c r="F286" s="272">
        <v>13</v>
      </c>
      <c r="G286" s="272">
        <v>34</v>
      </c>
      <c r="H286" s="272">
        <v>3</v>
      </c>
      <c r="I286" s="403">
        <f t="shared" si="4"/>
        <v>50</v>
      </c>
      <c r="J286" s="272">
        <v>0</v>
      </c>
      <c r="K286" s="455" t="s">
        <v>440</v>
      </c>
      <c r="L286" s="272" t="s">
        <v>426</v>
      </c>
      <c r="M286" s="405" t="s">
        <v>422</v>
      </c>
      <c r="N286" s="200">
        <v>147333.958616972</v>
      </c>
    </row>
    <row r="287" spans="2:14" ht="15.75" x14ac:dyDescent="0.25">
      <c r="B287" s="453" t="s">
        <v>717</v>
      </c>
      <c r="C287" s="342">
        <v>13334</v>
      </c>
      <c r="D287" s="454">
        <v>0.48428030303030301</v>
      </c>
      <c r="E287" s="272">
        <v>46</v>
      </c>
      <c r="F287" s="272">
        <v>142</v>
      </c>
      <c r="G287" s="272">
        <v>7</v>
      </c>
      <c r="H287" s="272">
        <v>1</v>
      </c>
      <c r="I287" s="403">
        <f t="shared" si="4"/>
        <v>150</v>
      </c>
      <c r="J287" s="272">
        <v>0</v>
      </c>
      <c r="K287" s="455" t="s">
        <v>445</v>
      </c>
      <c r="L287" s="272" t="s">
        <v>432</v>
      </c>
      <c r="M287" s="405" t="s">
        <v>441</v>
      </c>
      <c r="N287" s="200">
        <v>59732.874639498601</v>
      </c>
    </row>
    <row r="288" spans="2:14" ht="15.75" x14ac:dyDescent="0.25">
      <c r="B288" s="453" t="s">
        <v>718</v>
      </c>
      <c r="C288" s="342">
        <v>13425</v>
      </c>
      <c r="D288" s="454">
        <v>0.69659090909090904</v>
      </c>
      <c r="E288" s="272">
        <v>33</v>
      </c>
      <c r="F288" s="272">
        <v>195</v>
      </c>
      <c r="G288" s="272">
        <v>12</v>
      </c>
      <c r="H288" s="272">
        <v>4</v>
      </c>
      <c r="I288" s="403">
        <f t="shared" si="4"/>
        <v>211</v>
      </c>
      <c r="J288" s="272">
        <v>0</v>
      </c>
      <c r="K288" s="455" t="s">
        <v>434</v>
      </c>
      <c r="L288" s="272" t="s">
        <v>443</v>
      </c>
      <c r="M288" s="405" t="s">
        <v>428</v>
      </c>
      <c r="N288" s="200">
        <v>89888.926999999996</v>
      </c>
    </row>
    <row r="289" spans="2:14" ht="15.75" x14ac:dyDescent="0.25">
      <c r="B289" s="453" t="s">
        <v>719</v>
      </c>
      <c r="C289" s="342">
        <v>13428</v>
      </c>
      <c r="D289" s="454">
        <v>0.26325757575757502</v>
      </c>
      <c r="E289" s="272">
        <v>16</v>
      </c>
      <c r="F289" s="272">
        <v>208</v>
      </c>
      <c r="G289" s="272">
        <v>1</v>
      </c>
      <c r="H289" s="272">
        <v>0</v>
      </c>
      <c r="I289" s="403">
        <f t="shared" si="4"/>
        <v>209</v>
      </c>
      <c r="J289" s="272">
        <v>12</v>
      </c>
      <c r="K289" s="455" t="s">
        <v>421</v>
      </c>
      <c r="L289" s="272" t="s">
        <v>426</v>
      </c>
      <c r="M289" s="405" t="s">
        <v>422</v>
      </c>
      <c r="N289" s="200">
        <v>127957.549999999</v>
      </c>
    </row>
    <row r="290" spans="2:14" ht="15.75" x14ac:dyDescent="0.25">
      <c r="B290" s="453" t="s">
        <v>720</v>
      </c>
      <c r="C290" s="342">
        <v>13428</v>
      </c>
      <c r="D290" s="454">
        <v>0.23314393939393899</v>
      </c>
      <c r="E290" s="272">
        <v>30</v>
      </c>
      <c r="F290" s="272">
        <v>402</v>
      </c>
      <c r="G290" s="272">
        <v>20</v>
      </c>
      <c r="H290" s="272">
        <v>1</v>
      </c>
      <c r="I290" s="403">
        <f t="shared" si="4"/>
        <v>423</v>
      </c>
      <c r="J290" s="272">
        <v>1</v>
      </c>
      <c r="K290" s="455" t="s">
        <v>434</v>
      </c>
      <c r="L290" s="272" t="s">
        <v>426</v>
      </c>
      <c r="M290" s="405" t="s">
        <v>422</v>
      </c>
      <c r="N290" s="200">
        <v>353201.85</v>
      </c>
    </row>
    <row r="291" spans="2:14" ht="15.75" x14ac:dyDescent="0.25">
      <c r="B291" s="453" t="s">
        <v>721</v>
      </c>
      <c r="C291" s="342">
        <v>13483</v>
      </c>
      <c r="D291" s="454">
        <v>1.3215909090908999</v>
      </c>
      <c r="E291" s="272">
        <v>100</v>
      </c>
      <c r="F291" s="272">
        <v>525</v>
      </c>
      <c r="G291" s="272">
        <v>31</v>
      </c>
      <c r="H291" s="272">
        <v>1</v>
      </c>
      <c r="I291" s="403">
        <f t="shared" si="4"/>
        <v>557</v>
      </c>
      <c r="J291" s="272">
        <v>4</v>
      </c>
      <c r="K291" s="455" t="s">
        <v>445</v>
      </c>
      <c r="L291" s="272" t="s">
        <v>422</v>
      </c>
      <c r="M291" s="405" t="s">
        <v>432</v>
      </c>
      <c r="N291" s="200">
        <v>65585.480586973397</v>
      </c>
    </row>
    <row r="292" spans="2:14" ht="15.75" x14ac:dyDescent="0.25">
      <c r="B292" s="453" t="s">
        <v>722</v>
      </c>
      <c r="C292" s="342">
        <v>13490</v>
      </c>
      <c r="D292" s="454">
        <v>0.16723484848484799</v>
      </c>
      <c r="E292" s="272">
        <v>13</v>
      </c>
      <c r="F292" s="272">
        <v>163</v>
      </c>
      <c r="G292" s="272">
        <v>2</v>
      </c>
      <c r="H292" s="272">
        <v>1</v>
      </c>
      <c r="I292" s="403">
        <f t="shared" si="4"/>
        <v>166</v>
      </c>
      <c r="J292" s="272">
        <v>0</v>
      </c>
      <c r="K292" s="455" t="s">
        <v>421</v>
      </c>
      <c r="L292" s="272" t="s">
        <v>422</v>
      </c>
      <c r="M292" s="405" t="s">
        <v>432</v>
      </c>
      <c r="N292" s="200">
        <v>181350.986056972</v>
      </c>
    </row>
    <row r="293" spans="2:14" ht="15.75" x14ac:dyDescent="0.25">
      <c r="B293" s="453" t="s">
        <v>723</v>
      </c>
      <c r="C293" s="342">
        <v>13491</v>
      </c>
      <c r="D293" s="454">
        <v>0.51477272727272705</v>
      </c>
      <c r="E293" s="272">
        <v>36</v>
      </c>
      <c r="F293" s="272">
        <v>94</v>
      </c>
      <c r="G293" s="272">
        <v>2</v>
      </c>
      <c r="H293" s="272">
        <v>4</v>
      </c>
      <c r="I293" s="403">
        <f t="shared" si="4"/>
        <v>100</v>
      </c>
      <c r="J293" s="272">
        <v>2</v>
      </c>
      <c r="K293" s="455" t="s">
        <v>434</v>
      </c>
      <c r="L293" s="272" t="s">
        <v>443</v>
      </c>
      <c r="M293" s="405" t="s">
        <v>426</v>
      </c>
      <c r="N293" s="200">
        <v>147295.67874999999</v>
      </c>
    </row>
    <row r="294" spans="2:14" ht="15.75" x14ac:dyDescent="0.25">
      <c r="B294" s="453" t="s">
        <v>724</v>
      </c>
      <c r="C294" s="342">
        <v>13491</v>
      </c>
      <c r="D294" s="454">
        <v>0.239204545454545</v>
      </c>
      <c r="E294" s="272">
        <v>21</v>
      </c>
      <c r="F294" s="272">
        <v>34</v>
      </c>
      <c r="G294" s="272">
        <v>1</v>
      </c>
      <c r="H294" s="272">
        <v>1</v>
      </c>
      <c r="I294" s="403">
        <f t="shared" si="4"/>
        <v>36</v>
      </c>
      <c r="J294" s="272">
        <v>7</v>
      </c>
      <c r="K294" s="455" t="s">
        <v>445</v>
      </c>
      <c r="L294" s="272" t="s">
        <v>428</v>
      </c>
      <c r="M294" s="405" t="s">
        <v>423</v>
      </c>
      <c r="N294" s="200">
        <v>137389.81663100701</v>
      </c>
    </row>
    <row r="295" spans="2:14" ht="15.75" x14ac:dyDescent="0.25">
      <c r="B295" s="453" t="s">
        <v>725</v>
      </c>
      <c r="C295" s="342">
        <v>13510</v>
      </c>
      <c r="D295" s="454">
        <v>0.35814393939393901</v>
      </c>
      <c r="E295" s="272">
        <v>37</v>
      </c>
      <c r="F295" s="272">
        <v>20</v>
      </c>
      <c r="G295" s="272">
        <v>18</v>
      </c>
      <c r="H295" s="272">
        <v>2</v>
      </c>
      <c r="I295" s="403">
        <f t="shared" si="4"/>
        <v>40</v>
      </c>
      <c r="J295" s="272">
        <v>0</v>
      </c>
      <c r="K295" s="455" t="s">
        <v>445</v>
      </c>
      <c r="L295" s="272" t="s">
        <v>432</v>
      </c>
      <c r="M295" s="405" t="s">
        <v>441</v>
      </c>
      <c r="N295" s="200">
        <v>59732.874639498601</v>
      </c>
    </row>
    <row r="296" spans="2:14" ht="15.75" x14ac:dyDescent="0.25">
      <c r="B296" s="453" t="s">
        <v>726</v>
      </c>
      <c r="C296" s="342">
        <v>13514</v>
      </c>
      <c r="D296" s="454">
        <v>0.23522727272727201</v>
      </c>
      <c r="E296" s="272">
        <v>20</v>
      </c>
      <c r="F296" s="272">
        <v>18</v>
      </c>
      <c r="G296" s="272">
        <v>0</v>
      </c>
      <c r="H296" s="272">
        <v>1</v>
      </c>
      <c r="I296" s="403">
        <f t="shared" si="4"/>
        <v>19</v>
      </c>
      <c r="J296" s="272">
        <v>0</v>
      </c>
      <c r="K296" s="455" t="s">
        <v>445</v>
      </c>
      <c r="L296" s="272" t="s">
        <v>432</v>
      </c>
      <c r="M296" s="405" t="s">
        <v>441</v>
      </c>
      <c r="N296" s="200">
        <v>95048.294044626906</v>
      </c>
    </row>
    <row r="297" spans="2:14" ht="15.75" x14ac:dyDescent="0.25">
      <c r="B297" s="453" t="s">
        <v>727</v>
      </c>
      <c r="C297" s="342">
        <v>13514</v>
      </c>
      <c r="D297" s="454">
        <v>0.16231060606060599</v>
      </c>
      <c r="E297" s="272">
        <v>18</v>
      </c>
      <c r="F297" s="272">
        <v>70</v>
      </c>
      <c r="G297" s="272">
        <v>7</v>
      </c>
      <c r="H297" s="272">
        <v>0</v>
      </c>
      <c r="I297" s="403">
        <f t="shared" si="4"/>
        <v>77</v>
      </c>
      <c r="J297" s="272">
        <v>19</v>
      </c>
      <c r="K297" s="455" t="s">
        <v>421</v>
      </c>
      <c r="L297" s="272" t="s">
        <v>422</v>
      </c>
      <c r="M297" s="405" t="s">
        <v>432</v>
      </c>
      <c r="N297" s="200">
        <v>157418.978296972</v>
      </c>
    </row>
    <row r="298" spans="2:14" ht="15.75" x14ac:dyDescent="0.25">
      <c r="B298" s="453" t="s">
        <v>728</v>
      </c>
      <c r="C298" s="342">
        <v>13516</v>
      </c>
      <c r="D298" s="454">
        <v>0.26041666666666602</v>
      </c>
      <c r="E298" s="272">
        <v>19</v>
      </c>
      <c r="F298" s="272">
        <v>11</v>
      </c>
      <c r="G298" s="272">
        <v>16</v>
      </c>
      <c r="H298" s="272">
        <v>4</v>
      </c>
      <c r="I298" s="403">
        <f t="shared" si="4"/>
        <v>31</v>
      </c>
      <c r="J298" s="272">
        <v>5</v>
      </c>
      <c r="K298" s="455" t="s">
        <v>421</v>
      </c>
      <c r="L298" s="272" t="s">
        <v>426</v>
      </c>
      <c r="M298" s="405" t="s">
        <v>422</v>
      </c>
      <c r="N298" s="200">
        <v>267994.01079100702</v>
      </c>
    </row>
    <row r="299" spans="2:14" ht="15.75" x14ac:dyDescent="0.25">
      <c r="B299" s="453" t="s">
        <v>729</v>
      </c>
      <c r="C299" s="342">
        <v>13520</v>
      </c>
      <c r="D299" s="454">
        <v>0.45094696969696901</v>
      </c>
      <c r="E299" s="272">
        <v>44</v>
      </c>
      <c r="F299" s="272">
        <v>28</v>
      </c>
      <c r="G299" s="272">
        <v>9</v>
      </c>
      <c r="H299" s="272">
        <v>4</v>
      </c>
      <c r="I299" s="403">
        <f t="shared" si="4"/>
        <v>41</v>
      </c>
      <c r="J299" s="272">
        <v>0</v>
      </c>
      <c r="K299" s="455" t="s">
        <v>445</v>
      </c>
      <c r="L299" s="272" t="s">
        <v>432</v>
      </c>
      <c r="M299" s="405" t="s">
        <v>441</v>
      </c>
      <c r="N299" s="200">
        <v>59732.874639498601</v>
      </c>
    </row>
    <row r="300" spans="2:14" ht="15.75" x14ac:dyDescent="0.25">
      <c r="B300" s="453" t="s">
        <v>730</v>
      </c>
      <c r="C300" s="342">
        <v>13522</v>
      </c>
      <c r="D300" s="454">
        <v>0.15757575757575701</v>
      </c>
      <c r="E300" s="272">
        <v>12</v>
      </c>
      <c r="F300" s="272">
        <v>4</v>
      </c>
      <c r="G300" s="272">
        <v>6</v>
      </c>
      <c r="H300" s="272">
        <v>4</v>
      </c>
      <c r="I300" s="403">
        <f t="shared" si="4"/>
        <v>14</v>
      </c>
      <c r="J300" s="272">
        <v>10</v>
      </c>
      <c r="K300" s="455" t="s">
        <v>421</v>
      </c>
      <c r="L300" s="272" t="s">
        <v>422</v>
      </c>
      <c r="M300" s="405" t="s">
        <v>432</v>
      </c>
      <c r="N300" s="200">
        <v>121523.04435697199</v>
      </c>
    </row>
    <row r="301" spans="2:14" ht="15.75" x14ac:dyDescent="0.25">
      <c r="B301" s="453" t="s">
        <v>731</v>
      </c>
      <c r="C301" s="342">
        <v>13522</v>
      </c>
      <c r="D301" s="454">
        <v>0.68731060606060601</v>
      </c>
      <c r="E301" s="272">
        <v>61</v>
      </c>
      <c r="F301" s="272">
        <v>162</v>
      </c>
      <c r="G301" s="272">
        <v>8</v>
      </c>
      <c r="H301" s="272">
        <v>0</v>
      </c>
      <c r="I301" s="403">
        <f t="shared" si="4"/>
        <v>170</v>
      </c>
      <c r="J301" s="272">
        <v>0</v>
      </c>
      <c r="K301" s="455" t="s">
        <v>445</v>
      </c>
      <c r="L301" s="272" t="s">
        <v>428</v>
      </c>
      <c r="M301" s="405" t="s">
        <v>423</v>
      </c>
      <c r="N301" s="200">
        <v>65585.480586973397</v>
      </c>
    </row>
    <row r="302" spans="2:14" ht="15.75" x14ac:dyDescent="0.25">
      <c r="B302" s="453" t="s">
        <v>732</v>
      </c>
      <c r="C302" s="342">
        <v>13522</v>
      </c>
      <c r="D302" s="454">
        <v>0.66590909090909101</v>
      </c>
      <c r="E302" s="272">
        <v>68</v>
      </c>
      <c r="F302" s="272">
        <v>103</v>
      </c>
      <c r="G302" s="272">
        <v>30</v>
      </c>
      <c r="H302" s="272">
        <v>3</v>
      </c>
      <c r="I302" s="403">
        <f t="shared" si="4"/>
        <v>136</v>
      </c>
      <c r="J302" s="272">
        <v>0</v>
      </c>
      <c r="K302" s="455" t="s">
        <v>443</v>
      </c>
      <c r="L302" s="272" t="s">
        <v>432</v>
      </c>
      <c r="M302" s="405" t="s">
        <v>441</v>
      </c>
      <c r="N302" s="200">
        <v>90410.457680990497</v>
      </c>
    </row>
    <row r="303" spans="2:14" ht="15.75" x14ac:dyDescent="0.25">
      <c r="B303" s="453" t="s">
        <v>733</v>
      </c>
      <c r="C303" s="342">
        <v>13522</v>
      </c>
      <c r="D303" s="454">
        <v>0.47481060606060599</v>
      </c>
      <c r="E303" s="272">
        <v>50</v>
      </c>
      <c r="F303" s="272">
        <v>105</v>
      </c>
      <c r="G303" s="272">
        <v>5</v>
      </c>
      <c r="H303" s="272">
        <v>3</v>
      </c>
      <c r="I303" s="403">
        <f t="shared" si="4"/>
        <v>113</v>
      </c>
      <c r="J303" s="272">
        <v>1</v>
      </c>
      <c r="K303" s="455" t="s">
        <v>445</v>
      </c>
      <c r="L303" s="272" t="s">
        <v>423</v>
      </c>
      <c r="M303" s="405" t="s">
        <v>437</v>
      </c>
      <c r="N303" s="200">
        <v>274069.281652832</v>
      </c>
    </row>
    <row r="304" spans="2:14" ht="15.75" x14ac:dyDescent="0.25">
      <c r="B304" s="453" t="s">
        <v>734</v>
      </c>
      <c r="C304" s="342">
        <v>13522</v>
      </c>
      <c r="D304" s="454">
        <v>0.11590909090909</v>
      </c>
      <c r="E304" s="272">
        <v>9</v>
      </c>
      <c r="F304" s="272">
        <v>10</v>
      </c>
      <c r="G304" s="272">
        <v>3</v>
      </c>
      <c r="H304" s="272">
        <v>2</v>
      </c>
      <c r="I304" s="403">
        <f t="shared" si="4"/>
        <v>15</v>
      </c>
      <c r="J304" s="272">
        <v>0</v>
      </c>
      <c r="K304" s="455" t="s">
        <v>445</v>
      </c>
      <c r="L304" s="272" t="s">
        <v>423</v>
      </c>
      <c r="M304" s="405" t="s">
        <v>441</v>
      </c>
      <c r="N304" s="200">
        <v>65585.480586973397</v>
      </c>
    </row>
    <row r="305" spans="2:14" ht="15.75" x14ac:dyDescent="0.25">
      <c r="B305" s="453" t="s">
        <v>735</v>
      </c>
      <c r="C305" s="342">
        <v>13522</v>
      </c>
      <c r="D305" s="454">
        <v>6.8371212121212097E-2</v>
      </c>
      <c r="E305" s="272">
        <v>6</v>
      </c>
      <c r="F305" s="272">
        <v>10</v>
      </c>
      <c r="G305" s="272">
        <v>0</v>
      </c>
      <c r="H305" s="272">
        <v>1</v>
      </c>
      <c r="I305" s="403">
        <f t="shared" si="4"/>
        <v>11</v>
      </c>
      <c r="J305" s="272">
        <v>0</v>
      </c>
      <c r="K305" s="455" t="s">
        <v>445</v>
      </c>
      <c r="L305" s="272" t="s">
        <v>428</v>
      </c>
      <c r="M305" s="405" t="s">
        <v>423</v>
      </c>
      <c r="N305" s="200">
        <v>64556.4833910077</v>
      </c>
    </row>
    <row r="306" spans="2:14" ht="15.75" x14ac:dyDescent="0.25">
      <c r="B306" s="453" t="s">
        <v>736</v>
      </c>
      <c r="C306" s="342">
        <v>13522</v>
      </c>
      <c r="D306" s="454">
        <v>0.52613636363636296</v>
      </c>
      <c r="E306" s="272">
        <v>50</v>
      </c>
      <c r="F306" s="272">
        <v>47</v>
      </c>
      <c r="G306" s="272">
        <v>10</v>
      </c>
      <c r="H306" s="272">
        <v>3</v>
      </c>
      <c r="I306" s="403">
        <f t="shared" si="4"/>
        <v>60</v>
      </c>
      <c r="J306" s="272">
        <v>5</v>
      </c>
      <c r="K306" s="455" t="s">
        <v>445</v>
      </c>
      <c r="L306" s="272" t="s">
        <v>422</v>
      </c>
      <c r="M306" s="405" t="s">
        <v>432</v>
      </c>
      <c r="N306" s="200">
        <v>399055.74951671698</v>
      </c>
    </row>
    <row r="307" spans="2:14" ht="15.75" x14ac:dyDescent="0.25">
      <c r="B307" s="453" t="s">
        <v>737</v>
      </c>
      <c r="C307" s="342">
        <v>13522</v>
      </c>
      <c r="D307" s="454">
        <v>0.31685606060605997</v>
      </c>
      <c r="E307" s="272">
        <v>29</v>
      </c>
      <c r="F307" s="272">
        <v>77</v>
      </c>
      <c r="G307" s="272">
        <v>13</v>
      </c>
      <c r="H307" s="272">
        <v>0</v>
      </c>
      <c r="I307" s="403">
        <f t="shared" si="4"/>
        <v>90</v>
      </c>
      <c r="J307" s="272">
        <v>0</v>
      </c>
      <c r="K307" s="455" t="s">
        <v>445</v>
      </c>
      <c r="L307" s="272" t="s">
        <v>432</v>
      </c>
      <c r="M307" s="405" t="s">
        <v>441</v>
      </c>
      <c r="N307" s="200">
        <v>66535.034639498699</v>
      </c>
    </row>
    <row r="308" spans="2:14" ht="15.75" x14ac:dyDescent="0.25">
      <c r="B308" s="453" t="s">
        <v>738</v>
      </c>
      <c r="C308" s="342">
        <v>13533</v>
      </c>
      <c r="D308" s="454">
        <v>0.24431818181818099</v>
      </c>
      <c r="E308" s="272">
        <v>21</v>
      </c>
      <c r="F308" s="272">
        <v>354</v>
      </c>
      <c r="G308" s="272">
        <v>15</v>
      </c>
      <c r="H308" s="272">
        <v>3</v>
      </c>
      <c r="I308" s="403">
        <f t="shared" si="4"/>
        <v>372</v>
      </c>
      <c r="J308" s="272">
        <v>0</v>
      </c>
      <c r="K308" s="455" t="s">
        <v>421</v>
      </c>
      <c r="L308" s="272" t="s">
        <v>426</v>
      </c>
      <c r="M308" s="405" t="s">
        <v>422</v>
      </c>
      <c r="N308" s="200">
        <v>251854.92996000001</v>
      </c>
    </row>
    <row r="309" spans="2:14" ht="15.75" x14ac:dyDescent="0.25">
      <c r="B309" s="453" t="s">
        <v>739</v>
      </c>
      <c r="C309" s="342">
        <v>13535</v>
      </c>
      <c r="D309" s="454">
        <v>0.50265151515151496</v>
      </c>
      <c r="E309" s="272">
        <v>34</v>
      </c>
      <c r="F309" s="272">
        <v>70</v>
      </c>
      <c r="G309" s="272">
        <v>4</v>
      </c>
      <c r="H309" s="272">
        <v>1</v>
      </c>
      <c r="I309" s="403">
        <f t="shared" si="4"/>
        <v>75</v>
      </c>
      <c r="J309" s="272">
        <v>0</v>
      </c>
      <c r="K309" s="455" t="s">
        <v>443</v>
      </c>
      <c r="L309" s="272" t="s">
        <v>432</v>
      </c>
      <c r="M309" s="405" t="s">
        <v>441</v>
      </c>
      <c r="N309" s="200">
        <v>79176.587377960197</v>
      </c>
    </row>
    <row r="310" spans="2:14" ht="15.75" x14ac:dyDescent="0.25">
      <c r="B310" s="453" t="s">
        <v>740</v>
      </c>
      <c r="C310" s="342">
        <v>13535</v>
      </c>
      <c r="D310" s="454">
        <v>0.25719696969696898</v>
      </c>
      <c r="E310" s="272">
        <v>18</v>
      </c>
      <c r="F310" s="272">
        <v>78</v>
      </c>
      <c r="G310" s="272">
        <v>2</v>
      </c>
      <c r="H310" s="272">
        <v>0</v>
      </c>
      <c r="I310" s="403">
        <f t="shared" si="4"/>
        <v>80</v>
      </c>
      <c r="J310" s="272">
        <v>0</v>
      </c>
      <c r="K310" s="455" t="s">
        <v>440</v>
      </c>
      <c r="L310" s="272" t="s">
        <v>428</v>
      </c>
      <c r="M310" s="405" t="s">
        <v>423</v>
      </c>
      <c r="N310" s="200">
        <v>220147.48445497101</v>
      </c>
    </row>
    <row r="311" spans="2:14" ht="15.75" x14ac:dyDescent="0.25">
      <c r="B311" s="453" t="s">
        <v>741</v>
      </c>
      <c r="C311" s="342">
        <v>13535</v>
      </c>
      <c r="D311" s="454">
        <v>0.33314393939393899</v>
      </c>
      <c r="E311" s="272">
        <v>32</v>
      </c>
      <c r="F311" s="272">
        <v>10</v>
      </c>
      <c r="G311" s="272">
        <v>0</v>
      </c>
      <c r="H311" s="272">
        <v>3</v>
      </c>
      <c r="I311" s="403">
        <f t="shared" si="4"/>
        <v>13</v>
      </c>
      <c r="J311" s="272">
        <v>0</v>
      </c>
      <c r="K311" s="455" t="s">
        <v>443</v>
      </c>
      <c r="L311" s="272" t="s">
        <v>428</v>
      </c>
      <c r="M311" s="405" t="s">
        <v>423</v>
      </c>
      <c r="N311" s="200">
        <v>266452.31153697299</v>
      </c>
    </row>
    <row r="312" spans="2:14" ht="15.75" x14ac:dyDescent="0.25">
      <c r="B312" s="453" t="s">
        <v>742</v>
      </c>
      <c r="C312" s="342">
        <v>13535</v>
      </c>
      <c r="D312" s="454">
        <v>0.21268939393939301</v>
      </c>
      <c r="E312" s="272">
        <v>14</v>
      </c>
      <c r="F312" s="272">
        <v>164</v>
      </c>
      <c r="G312" s="272">
        <v>10</v>
      </c>
      <c r="H312" s="272">
        <v>1</v>
      </c>
      <c r="I312" s="403">
        <f t="shared" si="4"/>
        <v>175</v>
      </c>
      <c r="J312" s="272">
        <v>0</v>
      </c>
      <c r="K312" s="455" t="s">
        <v>445</v>
      </c>
      <c r="L312" s="272" t="s">
        <v>422</v>
      </c>
      <c r="M312" s="405" t="s">
        <v>432</v>
      </c>
      <c r="N312" s="200">
        <v>198828.468936972</v>
      </c>
    </row>
    <row r="313" spans="2:14" ht="15.75" x14ac:dyDescent="0.25">
      <c r="B313" s="453" t="s">
        <v>743</v>
      </c>
      <c r="C313" s="342">
        <v>13544</v>
      </c>
      <c r="D313" s="454">
        <v>0.16174242424242399</v>
      </c>
      <c r="E313" s="272">
        <v>16</v>
      </c>
      <c r="F313" s="272">
        <v>19</v>
      </c>
      <c r="G313" s="272">
        <v>2</v>
      </c>
      <c r="H313" s="272">
        <v>0</v>
      </c>
      <c r="I313" s="403">
        <f t="shared" si="4"/>
        <v>21</v>
      </c>
      <c r="J313" s="272">
        <v>0</v>
      </c>
      <c r="K313" s="455" t="s">
        <v>421</v>
      </c>
      <c r="L313" s="272" t="s">
        <v>425</v>
      </c>
      <c r="M313" s="405" t="s">
        <v>428</v>
      </c>
      <c r="N313" s="200">
        <v>41888.25</v>
      </c>
    </row>
    <row r="314" spans="2:14" ht="15.75" x14ac:dyDescent="0.25">
      <c r="B314" s="453" t="s">
        <v>744</v>
      </c>
      <c r="C314" s="342">
        <v>13574</v>
      </c>
      <c r="D314" s="454">
        <v>0.170833333333333</v>
      </c>
      <c r="E314" s="272">
        <v>12</v>
      </c>
      <c r="F314" s="272">
        <v>10</v>
      </c>
      <c r="G314" s="272">
        <v>6</v>
      </c>
      <c r="H314" s="272">
        <v>4</v>
      </c>
      <c r="I314" s="403">
        <f t="shared" si="4"/>
        <v>20</v>
      </c>
      <c r="J314" s="272">
        <v>0</v>
      </c>
      <c r="K314" s="455" t="s">
        <v>421</v>
      </c>
      <c r="L314" s="272" t="s">
        <v>426</v>
      </c>
      <c r="M314" s="405" t="s">
        <v>422</v>
      </c>
      <c r="N314" s="200">
        <v>97585.596239999999</v>
      </c>
    </row>
    <row r="315" spans="2:14" ht="15.75" x14ac:dyDescent="0.25">
      <c r="B315" s="453" t="s">
        <v>745</v>
      </c>
      <c r="C315" s="342">
        <v>13575</v>
      </c>
      <c r="D315" s="454">
        <v>0.10170454545454501</v>
      </c>
      <c r="E315" s="272">
        <v>13</v>
      </c>
      <c r="F315" s="272">
        <v>105</v>
      </c>
      <c r="G315" s="272">
        <v>8</v>
      </c>
      <c r="H315" s="272">
        <v>3</v>
      </c>
      <c r="I315" s="403">
        <f t="shared" si="4"/>
        <v>116</v>
      </c>
      <c r="J315" s="272">
        <v>1</v>
      </c>
      <c r="K315" s="455" t="s">
        <v>421</v>
      </c>
      <c r="L315" s="272" t="s">
        <v>422</v>
      </c>
      <c r="M315" s="405" t="s">
        <v>432</v>
      </c>
      <c r="N315" s="200">
        <v>120187.68545496999</v>
      </c>
    </row>
    <row r="316" spans="2:14" ht="15.75" x14ac:dyDescent="0.25">
      <c r="B316" s="453" t="s">
        <v>746</v>
      </c>
      <c r="C316" s="342">
        <v>13575</v>
      </c>
      <c r="D316" s="454">
        <v>0.107196969696969</v>
      </c>
      <c r="E316" s="272">
        <v>12</v>
      </c>
      <c r="F316" s="272">
        <v>238</v>
      </c>
      <c r="G316" s="272">
        <v>2</v>
      </c>
      <c r="H316" s="272">
        <v>0</v>
      </c>
      <c r="I316" s="403">
        <f t="shared" si="4"/>
        <v>240</v>
      </c>
      <c r="J316" s="272">
        <v>5</v>
      </c>
      <c r="K316" s="455" t="s">
        <v>421</v>
      </c>
      <c r="L316" s="272" t="s">
        <v>426</v>
      </c>
      <c r="M316" s="405" t="s">
        <v>422</v>
      </c>
      <c r="N316" s="200">
        <v>139012.393454971</v>
      </c>
    </row>
    <row r="317" spans="2:14" ht="15.75" x14ac:dyDescent="0.25">
      <c r="B317" s="453" t="s">
        <v>747</v>
      </c>
      <c r="C317" s="342">
        <v>13586</v>
      </c>
      <c r="D317" s="454">
        <v>0.121590909090909</v>
      </c>
      <c r="E317" s="272">
        <v>9</v>
      </c>
      <c r="F317" s="272">
        <v>4</v>
      </c>
      <c r="G317" s="272">
        <v>1</v>
      </c>
      <c r="H317" s="272">
        <v>0</v>
      </c>
      <c r="I317" s="403">
        <f t="shared" si="4"/>
        <v>5</v>
      </c>
      <c r="J317" s="272">
        <v>0</v>
      </c>
      <c r="K317" s="455" t="s">
        <v>421</v>
      </c>
      <c r="L317" s="272" t="s">
        <v>443</v>
      </c>
      <c r="M317" s="405" t="s">
        <v>426</v>
      </c>
      <c r="N317" s="200">
        <v>21743.929749999999</v>
      </c>
    </row>
    <row r="318" spans="2:14" ht="15.75" x14ac:dyDescent="0.25">
      <c r="B318" s="453" t="s">
        <v>748</v>
      </c>
      <c r="C318" s="342">
        <v>13586</v>
      </c>
      <c r="D318" s="454">
        <v>1.0685606060606001</v>
      </c>
      <c r="E318" s="272">
        <v>67</v>
      </c>
      <c r="F318" s="272">
        <v>69</v>
      </c>
      <c r="G318" s="272">
        <v>8</v>
      </c>
      <c r="H318" s="272">
        <v>5</v>
      </c>
      <c r="I318" s="403">
        <f t="shared" si="4"/>
        <v>82</v>
      </c>
      <c r="J318" s="272">
        <v>0</v>
      </c>
      <c r="K318" s="455" t="s">
        <v>434</v>
      </c>
      <c r="L318" s="272" t="s">
        <v>422</v>
      </c>
      <c r="M318" s="405" t="s">
        <v>432</v>
      </c>
      <c r="N318" s="200">
        <v>678421.45</v>
      </c>
    </row>
    <row r="319" spans="2:14" ht="15.75" x14ac:dyDescent="0.25">
      <c r="B319" s="453" t="s">
        <v>749</v>
      </c>
      <c r="C319" s="342">
        <v>13586</v>
      </c>
      <c r="D319" s="454">
        <v>0.67140151515151503</v>
      </c>
      <c r="E319" s="272">
        <v>42</v>
      </c>
      <c r="F319" s="272">
        <v>45</v>
      </c>
      <c r="G319" s="272">
        <v>0</v>
      </c>
      <c r="H319" s="272">
        <v>3</v>
      </c>
      <c r="I319" s="403">
        <f t="shared" si="4"/>
        <v>48</v>
      </c>
      <c r="J319" s="272">
        <v>0</v>
      </c>
      <c r="K319" s="455" t="s">
        <v>445</v>
      </c>
      <c r="L319" s="272" t="s">
        <v>437</v>
      </c>
      <c r="M319" s="405" t="s">
        <v>510</v>
      </c>
      <c r="N319" s="200">
        <v>90410.457680990497</v>
      </c>
    </row>
    <row r="320" spans="2:14" ht="15.75" x14ac:dyDescent="0.25">
      <c r="B320" s="453" t="s">
        <v>750</v>
      </c>
      <c r="C320" s="342">
        <v>13586</v>
      </c>
      <c r="D320" s="454">
        <v>0.48901515151515101</v>
      </c>
      <c r="E320" s="272">
        <v>40</v>
      </c>
      <c r="F320" s="272">
        <v>180</v>
      </c>
      <c r="G320" s="272">
        <v>7</v>
      </c>
      <c r="H320" s="272">
        <v>0</v>
      </c>
      <c r="I320" s="403">
        <f t="shared" si="4"/>
        <v>187</v>
      </c>
      <c r="J320" s="272">
        <v>1</v>
      </c>
      <c r="K320" s="455" t="s">
        <v>425</v>
      </c>
      <c r="L320" s="272" t="s">
        <v>423</v>
      </c>
      <c r="M320" s="405" t="s">
        <v>516</v>
      </c>
      <c r="N320" s="200">
        <v>65585.480586973397</v>
      </c>
    </row>
    <row r="321" spans="2:14" ht="15.75" x14ac:dyDescent="0.25">
      <c r="B321" s="453" t="s">
        <v>751</v>
      </c>
      <c r="C321" s="342">
        <v>13589</v>
      </c>
      <c r="D321" s="454">
        <v>0.32670454545454503</v>
      </c>
      <c r="E321" s="272">
        <v>16</v>
      </c>
      <c r="F321" s="272">
        <v>1</v>
      </c>
      <c r="G321" s="272">
        <v>5</v>
      </c>
      <c r="H321" s="272">
        <v>0</v>
      </c>
      <c r="I321" s="403">
        <f t="shared" si="4"/>
        <v>6</v>
      </c>
      <c r="J321" s="272">
        <v>5</v>
      </c>
      <c r="K321" s="455" t="s">
        <v>445</v>
      </c>
      <c r="L321" s="272" t="s">
        <v>428</v>
      </c>
      <c r="M321" s="405" t="s">
        <v>423</v>
      </c>
      <c r="N321" s="200">
        <v>149294.50545497099</v>
      </c>
    </row>
    <row r="322" spans="2:14" ht="15.75" x14ac:dyDescent="0.25">
      <c r="B322" s="453" t="s">
        <v>752</v>
      </c>
      <c r="C322" s="342">
        <v>13589</v>
      </c>
      <c r="D322" s="454">
        <v>0.11950757575757499</v>
      </c>
      <c r="E322" s="272">
        <v>6</v>
      </c>
      <c r="F322" s="272">
        <v>33</v>
      </c>
      <c r="G322" s="272">
        <v>13</v>
      </c>
      <c r="H322" s="272">
        <v>0</v>
      </c>
      <c r="I322" s="403">
        <f t="shared" si="4"/>
        <v>46</v>
      </c>
      <c r="J322" s="272">
        <v>0</v>
      </c>
      <c r="K322" s="455" t="s">
        <v>421</v>
      </c>
      <c r="L322" s="272" t="s">
        <v>443</v>
      </c>
      <c r="M322" s="405" t="s">
        <v>426</v>
      </c>
      <c r="N322" s="200">
        <v>24024.496749999998</v>
      </c>
    </row>
    <row r="323" spans="2:14" ht="15.75" x14ac:dyDescent="0.25">
      <c r="B323" s="453" t="s">
        <v>753</v>
      </c>
      <c r="C323" s="342">
        <v>13605</v>
      </c>
      <c r="D323" s="454">
        <v>0.332007575757575</v>
      </c>
      <c r="E323" s="272">
        <v>27</v>
      </c>
      <c r="F323" s="272">
        <v>115</v>
      </c>
      <c r="G323" s="272">
        <v>12</v>
      </c>
      <c r="H323" s="272">
        <v>0</v>
      </c>
      <c r="I323" s="403">
        <f t="shared" si="4"/>
        <v>127</v>
      </c>
      <c r="J323" s="272">
        <v>0</v>
      </c>
      <c r="K323" s="455" t="s">
        <v>434</v>
      </c>
      <c r="L323" s="272" t="s">
        <v>426</v>
      </c>
      <c r="M323" s="405" t="s">
        <v>422</v>
      </c>
      <c r="N323" s="200">
        <v>783753.61823100701</v>
      </c>
    </row>
    <row r="324" spans="2:14" ht="15.75" x14ac:dyDescent="0.25">
      <c r="B324" s="453" t="s">
        <v>754</v>
      </c>
      <c r="C324" s="342">
        <v>13612</v>
      </c>
      <c r="D324" s="454">
        <v>0.24810606060606</v>
      </c>
      <c r="E324" s="272">
        <v>23</v>
      </c>
      <c r="F324" s="272">
        <v>131</v>
      </c>
      <c r="G324" s="272">
        <v>3</v>
      </c>
      <c r="H324" s="272">
        <v>1</v>
      </c>
      <c r="I324" s="403">
        <f t="shared" si="4"/>
        <v>135</v>
      </c>
      <c r="J324" s="272">
        <v>0</v>
      </c>
      <c r="K324" s="455" t="s">
        <v>421</v>
      </c>
      <c r="L324" s="272" t="s">
        <v>425</v>
      </c>
      <c r="M324" s="405" t="s">
        <v>428</v>
      </c>
      <c r="N324" s="200">
        <v>178914.00675</v>
      </c>
    </row>
    <row r="325" spans="2:14" ht="15.75" x14ac:dyDescent="0.25">
      <c r="B325" s="453" t="s">
        <v>755</v>
      </c>
      <c r="C325" s="342">
        <v>13612</v>
      </c>
      <c r="D325" s="454">
        <v>0.30359848484848401</v>
      </c>
      <c r="E325" s="272">
        <v>33</v>
      </c>
      <c r="F325" s="272">
        <v>81</v>
      </c>
      <c r="G325" s="272">
        <v>3</v>
      </c>
      <c r="H325" s="272">
        <v>1</v>
      </c>
      <c r="I325" s="403">
        <f t="shared" si="4"/>
        <v>85</v>
      </c>
      <c r="J325" s="272">
        <v>0</v>
      </c>
      <c r="K325" s="455" t="s">
        <v>445</v>
      </c>
      <c r="L325" s="272" t="s">
        <v>422</v>
      </c>
      <c r="M325" s="405" t="s">
        <v>432</v>
      </c>
      <c r="N325" s="200">
        <v>65585.480586973397</v>
      </c>
    </row>
    <row r="326" spans="2:14" ht="15.75" x14ac:dyDescent="0.25">
      <c r="B326" s="453" t="s">
        <v>756</v>
      </c>
      <c r="C326" s="342">
        <v>13612</v>
      </c>
      <c r="D326" s="454">
        <v>6.1174242424242402E-2</v>
      </c>
      <c r="E326" s="272">
        <v>7</v>
      </c>
      <c r="F326" s="272">
        <v>22</v>
      </c>
      <c r="G326" s="272">
        <v>11</v>
      </c>
      <c r="H326" s="272">
        <v>0</v>
      </c>
      <c r="I326" s="403">
        <f t="shared" si="4"/>
        <v>33</v>
      </c>
      <c r="J326" s="272">
        <v>0</v>
      </c>
      <c r="K326" s="455" t="s">
        <v>421</v>
      </c>
      <c r="L326" s="272" t="s">
        <v>422</v>
      </c>
      <c r="M326" s="405" t="s">
        <v>432</v>
      </c>
      <c r="N326" s="200">
        <v>177278.57637697199</v>
      </c>
    </row>
    <row r="327" spans="2:14" ht="15.75" x14ac:dyDescent="0.25">
      <c r="B327" s="453" t="s">
        <v>757</v>
      </c>
      <c r="C327" s="342">
        <v>13612</v>
      </c>
      <c r="D327" s="454">
        <v>0.133333333333333</v>
      </c>
      <c r="E327" s="272">
        <v>15</v>
      </c>
      <c r="F327" s="272">
        <v>10</v>
      </c>
      <c r="G327" s="272">
        <v>9</v>
      </c>
      <c r="H327" s="272">
        <v>1</v>
      </c>
      <c r="I327" s="403">
        <f t="shared" si="4"/>
        <v>20</v>
      </c>
      <c r="J327" s="272">
        <v>0</v>
      </c>
      <c r="K327" s="455" t="s">
        <v>445</v>
      </c>
      <c r="L327" s="272" t="s">
        <v>437</v>
      </c>
      <c r="M327" s="405" t="s">
        <v>510</v>
      </c>
      <c r="N327" s="200">
        <v>90410.457680990497</v>
      </c>
    </row>
    <row r="328" spans="2:14" ht="15.75" x14ac:dyDescent="0.25">
      <c r="B328" s="453" t="s">
        <v>758</v>
      </c>
      <c r="C328" s="342">
        <v>13612</v>
      </c>
      <c r="D328" s="454">
        <v>9.4886363636363602E-2</v>
      </c>
      <c r="E328" s="272">
        <v>7</v>
      </c>
      <c r="F328" s="272">
        <v>72</v>
      </c>
      <c r="G328" s="272">
        <v>4</v>
      </c>
      <c r="H328" s="272">
        <v>1</v>
      </c>
      <c r="I328" s="403">
        <f t="shared" ref="I328:I391" si="5">SUM(F328:H328)</f>
        <v>77</v>
      </c>
      <c r="J328" s="272">
        <v>0</v>
      </c>
      <c r="K328" s="455" t="s">
        <v>421</v>
      </c>
      <c r="L328" s="272" t="s">
        <v>437</v>
      </c>
      <c r="M328" s="405" t="s">
        <v>510</v>
      </c>
      <c r="N328" s="200">
        <v>95048.294044626906</v>
      </c>
    </row>
    <row r="329" spans="2:14" ht="15.75" x14ac:dyDescent="0.25">
      <c r="B329" s="453" t="s">
        <v>759</v>
      </c>
      <c r="C329" s="342">
        <v>13612</v>
      </c>
      <c r="D329" s="454">
        <v>0.23428030303030301</v>
      </c>
      <c r="E329" s="272">
        <v>25</v>
      </c>
      <c r="F329" s="272">
        <v>20</v>
      </c>
      <c r="G329" s="272">
        <v>12</v>
      </c>
      <c r="H329" s="272">
        <v>4</v>
      </c>
      <c r="I329" s="403">
        <f t="shared" si="5"/>
        <v>36</v>
      </c>
      <c r="J329" s="272">
        <v>8</v>
      </c>
      <c r="K329" s="455" t="s">
        <v>445</v>
      </c>
      <c r="L329" s="272" t="s">
        <v>423</v>
      </c>
      <c r="M329" s="405" t="s">
        <v>437</v>
      </c>
      <c r="N329" s="200">
        <v>282539.91505283199</v>
      </c>
    </row>
    <row r="330" spans="2:14" ht="15.75" x14ac:dyDescent="0.25">
      <c r="B330" s="453" t="s">
        <v>760</v>
      </c>
      <c r="C330" s="342">
        <v>13669</v>
      </c>
      <c r="D330" s="454">
        <v>0.122537878787878</v>
      </c>
      <c r="E330" s="272">
        <v>9</v>
      </c>
      <c r="F330" s="272">
        <v>4</v>
      </c>
      <c r="G330" s="272">
        <v>1</v>
      </c>
      <c r="H330" s="272">
        <v>4</v>
      </c>
      <c r="I330" s="403">
        <f t="shared" si="5"/>
        <v>9</v>
      </c>
      <c r="J330" s="272">
        <v>0</v>
      </c>
      <c r="K330" s="455" t="s">
        <v>421</v>
      </c>
      <c r="L330" s="272" t="s">
        <v>422</v>
      </c>
      <c r="M330" s="405" t="s">
        <v>432</v>
      </c>
      <c r="N330" s="200">
        <v>131882.614736972</v>
      </c>
    </row>
    <row r="331" spans="2:14" ht="15.75" x14ac:dyDescent="0.25">
      <c r="B331" s="453" t="s">
        <v>761</v>
      </c>
      <c r="C331" s="342">
        <v>13669</v>
      </c>
      <c r="D331" s="454">
        <v>0.30151515151515101</v>
      </c>
      <c r="E331" s="272">
        <v>37</v>
      </c>
      <c r="F331" s="272">
        <v>204</v>
      </c>
      <c r="G331" s="272">
        <v>10</v>
      </c>
      <c r="H331" s="272">
        <v>0</v>
      </c>
      <c r="I331" s="403">
        <f t="shared" si="5"/>
        <v>214</v>
      </c>
      <c r="J331" s="272">
        <v>1</v>
      </c>
      <c r="K331" s="455" t="s">
        <v>445</v>
      </c>
      <c r="L331" s="272" t="s">
        <v>437</v>
      </c>
      <c r="M331" s="405" t="s">
        <v>510</v>
      </c>
      <c r="N331" s="200">
        <v>79176.587377960197</v>
      </c>
    </row>
    <row r="332" spans="2:14" ht="15.75" x14ac:dyDescent="0.25">
      <c r="B332" s="453" t="s">
        <v>762</v>
      </c>
      <c r="C332" s="342">
        <v>13670</v>
      </c>
      <c r="D332" s="454">
        <v>0.71344696969696897</v>
      </c>
      <c r="E332" s="272">
        <v>25</v>
      </c>
      <c r="F332" s="272">
        <v>383</v>
      </c>
      <c r="G332" s="272">
        <v>3</v>
      </c>
      <c r="H332" s="272">
        <v>1</v>
      </c>
      <c r="I332" s="403">
        <f t="shared" si="5"/>
        <v>387</v>
      </c>
      <c r="J332" s="272">
        <v>0</v>
      </c>
      <c r="K332" s="455" t="s">
        <v>434</v>
      </c>
      <c r="L332" s="272" t="s">
        <v>428</v>
      </c>
      <c r="M332" s="405" t="s">
        <v>423</v>
      </c>
      <c r="N332" s="200">
        <v>289212.54403100698</v>
      </c>
    </row>
    <row r="333" spans="2:14" ht="15.75" x14ac:dyDescent="0.25">
      <c r="B333" s="453" t="s">
        <v>763</v>
      </c>
      <c r="C333" s="342">
        <v>13672</v>
      </c>
      <c r="D333" s="454">
        <v>0.57973484848484802</v>
      </c>
      <c r="E333" s="272">
        <v>43</v>
      </c>
      <c r="F333" s="272">
        <v>368</v>
      </c>
      <c r="G333" s="272">
        <v>9</v>
      </c>
      <c r="H333" s="272">
        <v>1</v>
      </c>
      <c r="I333" s="403">
        <f t="shared" si="5"/>
        <v>378</v>
      </c>
      <c r="J333" s="272">
        <v>8</v>
      </c>
      <c r="K333" s="455" t="s">
        <v>445</v>
      </c>
      <c r="L333" s="272" t="s">
        <v>437</v>
      </c>
      <c r="M333" s="405" t="s">
        <v>510</v>
      </c>
      <c r="N333" s="200">
        <v>65585.480586973397</v>
      </c>
    </row>
    <row r="334" spans="2:14" ht="15.75" x14ac:dyDescent="0.25">
      <c r="B334" s="453" t="s">
        <v>764</v>
      </c>
      <c r="C334" s="342">
        <v>13672</v>
      </c>
      <c r="D334" s="454">
        <v>0.26780303030302999</v>
      </c>
      <c r="E334" s="272">
        <v>26</v>
      </c>
      <c r="F334" s="272">
        <v>256</v>
      </c>
      <c r="G334" s="272">
        <v>12</v>
      </c>
      <c r="H334" s="272">
        <v>0</v>
      </c>
      <c r="I334" s="403">
        <f t="shared" si="5"/>
        <v>268</v>
      </c>
      <c r="J334" s="272">
        <v>0</v>
      </c>
      <c r="K334" s="455" t="s">
        <v>440</v>
      </c>
      <c r="L334" s="272" t="s">
        <v>422</v>
      </c>
      <c r="M334" s="405" t="s">
        <v>432</v>
      </c>
      <c r="N334" s="200">
        <v>226556.857016972</v>
      </c>
    </row>
    <row r="335" spans="2:14" ht="15.75" x14ac:dyDescent="0.25">
      <c r="B335" s="453" t="s">
        <v>765</v>
      </c>
      <c r="C335" s="342">
        <v>13672</v>
      </c>
      <c r="D335" s="454">
        <v>0.19469696969696901</v>
      </c>
      <c r="E335" s="272">
        <v>19</v>
      </c>
      <c r="F335" s="272">
        <v>27</v>
      </c>
      <c r="G335" s="272">
        <v>3</v>
      </c>
      <c r="H335" s="272">
        <v>1</v>
      </c>
      <c r="I335" s="403">
        <f t="shared" si="5"/>
        <v>31</v>
      </c>
      <c r="J335" s="272">
        <v>3</v>
      </c>
      <c r="K335" s="455" t="s">
        <v>445</v>
      </c>
      <c r="L335" s="272" t="s">
        <v>437</v>
      </c>
      <c r="M335" s="405" t="s">
        <v>510</v>
      </c>
      <c r="N335" s="200">
        <v>95048.294044626906</v>
      </c>
    </row>
    <row r="336" spans="2:14" ht="15.75" x14ac:dyDescent="0.25">
      <c r="B336" s="453" t="s">
        <v>766</v>
      </c>
      <c r="C336" s="342">
        <v>13674</v>
      </c>
      <c r="D336" s="454">
        <v>0.56723484848484795</v>
      </c>
      <c r="E336" s="272">
        <v>36</v>
      </c>
      <c r="F336" s="272">
        <v>361</v>
      </c>
      <c r="G336" s="272">
        <v>6</v>
      </c>
      <c r="H336" s="272">
        <v>1</v>
      </c>
      <c r="I336" s="403">
        <f t="shared" si="5"/>
        <v>368</v>
      </c>
      <c r="J336" s="272">
        <v>2</v>
      </c>
      <c r="K336" s="455" t="s">
        <v>421</v>
      </c>
      <c r="L336" s="272" t="s">
        <v>426</v>
      </c>
      <c r="M336" s="405" t="s">
        <v>422</v>
      </c>
      <c r="N336" s="200">
        <v>269610.60109600698</v>
      </c>
    </row>
    <row r="337" spans="2:14" ht="15.75" x14ac:dyDescent="0.25">
      <c r="B337" s="453" t="s">
        <v>767</v>
      </c>
      <c r="C337" s="342">
        <v>13674</v>
      </c>
      <c r="D337" s="454">
        <v>0.323295454545454</v>
      </c>
      <c r="E337" s="272">
        <v>29</v>
      </c>
      <c r="F337" s="272">
        <v>125</v>
      </c>
      <c r="G337" s="272">
        <v>0</v>
      </c>
      <c r="H337" s="272">
        <v>0</v>
      </c>
      <c r="I337" s="403">
        <f t="shared" si="5"/>
        <v>125</v>
      </c>
      <c r="J337" s="272">
        <v>0</v>
      </c>
      <c r="K337" s="455" t="s">
        <v>445</v>
      </c>
      <c r="L337" s="272" t="s">
        <v>422</v>
      </c>
      <c r="M337" s="405" t="s">
        <v>432</v>
      </c>
      <c r="N337" s="200">
        <v>65585.480586973397</v>
      </c>
    </row>
    <row r="338" spans="2:14" ht="15.75" x14ac:dyDescent="0.25">
      <c r="B338" s="453" t="s">
        <v>768</v>
      </c>
      <c r="C338" s="342">
        <v>13678</v>
      </c>
      <c r="D338" s="454">
        <v>0.27500000000000002</v>
      </c>
      <c r="E338" s="272">
        <v>18</v>
      </c>
      <c r="F338" s="272">
        <v>11</v>
      </c>
      <c r="G338" s="272">
        <v>6</v>
      </c>
      <c r="H338" s="272">
        <v>0</v>
      </c>
      <c r="I338" s="403">
        <f t="shared" si="5"/>
        <v>17</v>
      </c>
      <c r="J338" s="272">
        <v>0</v>
      </c>
      <c r="K338" s="455" t="s">
        <v>445</v>
      </c>
      <c r="L338" s="272" t="s">
        <v>423</v>
      </c>
      <c r="M338" s="405" t="s">
        <v>437</v>
      </c>
      <c r="N338" s="200">
        <v>223422.37197283201</v>
      </c>
    </row>
    <row r="339" spans="2:14" ht="15.75" x14ac:dyDescent="0.25">
      <c r="B339" s="453" t="s">
        <v>769</v>
      </c>
      <c r="C339" s="342">
        <v>13678</v>
      </c>
      <c r="D339" s="454">
        <v>0.57784090909090902</v>
      </c>
      <c r="E339" s="272">
        <v>28</v>
      </c>
      <c r="F339" s="272">
        <v>4</v>
      </c>
      <c r="G339" s="272">
        <v>1</v>
      </c>
      <c r="H339" s="272">
        <v>0</v>
      </c>
      <c r="I339" s="403">
        <f t="shared" si="5"/>
        <v>5</v>
      </c>
      <c r="J339" s="272">
        <v>0</v>
      </c>
      <c r="K339" s="455" t="s">
        <v>443</v>
      </c>
      <c r="L339" s="272" t="s">
        <v>422</v>
      </c>
      <c r="M339" s="405" t="s">
        <v>432</v>
      </c>
      <c r="N339" s="200">
        <v>431533.02211671602</v>
      </c>
    </row>
    <row r="340" spans="2:14" ht="15.75" x14ac:dyDescent="0.25">
      <c r="B340" s="453" t="s">
        <v>770</v>
      </c>
      <c r="C340" s="342">
        <v>13678</v>
      </c>
      <c r="D340" s="454">
        <v>0.53579545454545396</v>
      </c>
      <c r="E340" s="272">
        <v>29</v>
      </c>
      <c r="F340" s="272">
        <v>9</v>
      </c>
      <c r="G340" s="272">
        <v>5</v>
      </c>
      <c r="H340" s="272">
        <v>0</v>
      </c>
      <c r="I340" s="403">
        <f t="shared" si="5"/>
        <v>14</v>
      </c>
      <c r="J340" s="272">
        <v>0</v>
      </c>
      <c r="K340" s="455" t="s">
        <v>421</v>
      </c>
      <c r="L340" s="272" t="s">
        <v>426</v>
      </c>
      <c r="M340" s="405" t="s">
        <v>422</v>
      </c>
      <c r="N340" s="200">
        <v>361928.07740000001</v>
      </c>
    </row>
    <row r="341" spans="2:14" ht="15.75" x14ac:dyDescent="0.25">
      <c r="B341" s="453" t="s">
        <v>771</v>
      </c>
      <c r="C341" s="342">
        <v>13737</v>
      </c>
      <c r="D341" s="454">
        <v>0.196780303030303</v>
      </c>
      <c r="E341" s="272">
        <v>18</v>
      </c>
      <c r="F341" s="272">
        <v>24</v>
      </c>
      <c r="G341" s="272">
        <v>1</v>
      </c>
      <c r="H341" s="272">
        <v>1</v>
      </c>
      <c r="I341" s="403">
        <f t="shared" si="5"/>
        <v>26</v>
      </c>
      <c r="J341" s="272">
        <v>0</v>
      </c>
      <c r="K341" s="455" t="s">
        <v>445</v>
      </c>
      <c r="L341" s="272" t="s">
        <v>423</v>
      </c>
      <c r="M341" s="405" t="s">
        <v>437</v>
      </c>
      <c r="N341" s="200">
        <v>151120.85681283101</v>
      </c>
    </row>
    <row r="342" spans="2:14" ht="15.75" x14ac:dyDescent="0.25">
      <c r="B342" s="453" t="s">
        <v>772</v>
      </c>
      <c r="C342" s="342">
        <v>13737</v>
      </c>
      <c r="D342" s="454">
        <v>0.202083333333333</v>
      </c>
      <c r="E342" s="272">
        <v>18</v>
      </c>
      <c r="F342" s="272">
        <v>84</v>
      </c>
      <c r="G342" s="272">
        <v>5</v>
      </c>
      <c r="H342" s="272">
        <v>3</v>
      </c>
      <c r="I342" s="403">
        <f t="shared" si="5"/>
        <v>92</v>
      </c>
      <c r="J342" s="272">
        <v>0</v>
      </c>
      <c r="K342" s="455" t="s">
        <v>445</v>
      </c>
      <c r="L342" s="272" t="s">
        <v>422</v>
      </c>
      <c r="M342" s="405" t="s">
        <v>432</v>
      </c>
      <c r="N342" s="200">
        <v>515924.24185697199</v>
      </c>
    </row>
    <row r="343" spans="2:14" ht="15.75" x14ac:dyDescent="0.25">
      <c r="B343" s="453" t="s">
        <v>773</v>
      </c>
      <c r="C343" s="342">
        <v>13737</v>
      </c>
      <c r="D343" s="454">
        <v>0.19204545454545399</v>
      </c>
      <c r="E343" s="272">
        <v>8</v>
      </c>
      <c r="F343" s="272">
        <v>16</v>
      </c>
      <c r="G343" s="272">
        <v>13</v>
      </c>
      <c r="H343" s="272">
        <v>0</v>
      </c>
      <c r="I343" s="403">
        <f t="shared" si="5"/>
        <v>29</v>
      </c>
      <c r="J343" s="272">
        <v>0</v>
      </c>
      <c r="K343" s="455" t="s">
        <v>421</v>
      </c>
      <c r="L343" s="272" t="s">
        <v>422</v>
      </c>
      <c r="M343" s="405" t="s">
        <v>432</v>
      </c>
      <c r="N343" s="200">
        <v>169528.15499671601</v>
      </c>
    </row>
    <row r="344" spans="2:14" ht="15.75" x14ac:dyDescent="0.25">
      <c r="B344" s="453" t="s">
        <v>774</v>
      </c>
      <c r="C344" s="342">
        <v>13737</v>
      </c>
      <c r="D344" s="454">
        <v>0.101136363636363</v>
      </c>
      <c r="E344" s="272">
        <v>12</v>
      </c>
      <c r="F344" s="272">
        <v>15</v>
      </c>
      <c r="G344" s="272">
        <v>3</v>
      </c>
      <c r="H344" s="272">
        <v>0</v>
      </c>
      <c r="I344" s="403">
        <f t="shared" si="5"/>
        <v>18</v>
      </c>
      <c r="J344" s="272">
        <v>0</v>
      </c>
      <c r="K344" s="455" t="s">
        <v>445</v>
      </c>
      <c r="L344" s="272" t="s">
        <v>428</v>
      </c>
      <c r="M344" s="405" t="s">
        <v>423</v>
      </c>
      <c r="N344" s="200">
        <v>90477.214774971406</v>
      </c>
    </row>
    <row r="345" spans="2:14" ht="15.75" x14ac:dyDescent="0.25">
      <c r="B345" s="453" t="s">
        <v>775</v>
      </c>
      <c r="C345" s="342">
        <v>13737</v>
      </c>
      <c r="D345" s="454">
        <v>0.165530303030303</v>
      </c>
      <c r="E345" s="272">
        <v>13</v>
      </c>
      <c r="F345" s="272">
        <v>17</v>
      </c>
      <c r="G345" s="272">
        <v>4</v>
      </c>
      <c r="H345" s="272">
        <v>0</v>
      </c>
      <c r="I345" s="403">
        <f t="shared" si="5"/>
        <v>21</v>
      </c>
      <c r="J345" s="272">
        <v>0</v>
      </c>
      <c r="K345" s="455" t="s">
        <v>445</v>
      </c>
      <c r="L345" s="272" t="s">
        <v>423</v>
      </c>
      <c r="M345" s="405" t="s">
        <v>437</v>
      </c>
      <c r="N345" s="200">
        <v>136970.85681283101</v>
      </c>
    </row>
    <row r="346" spans="2:14" ht="15.75" x14ac:dyDescent="0.25">
      <c r="B346" s="453" t="s">
        <v>776</v>
      </c>
      <c r="C346" s="342">
        <v>13737</v>
      </c>
      <c r="D346" s="454">
        <v>0.43276515151515099</v>
      </c>
      <c r="E346" s="272">
        <v>32</v>
      </c>
      <c r="F346" s="272">
        <v>56</v>
      </c>
      <c r="G346" s="272">
        <v>3</v>
      </c>
      <c r="H346" s="272">
        <v>3</v>
      </c>
      <c r="I346" s="403">
        <f t="shared" si="5"/>
        <v>62</v>
      </c>
      <c r="J346" s="272">
        <v>0</v>
      </c>
      <c r="K346" s="455" t="s">
        <v>421</v>
      </c>
      <c r="L346" s="272" t="s">
        <v>428</v>
      </c>
      <c r="M346" s="405" t="s">
        <v>423</v>
      </c>
      <c r="N346" s="200">
        <v>243488.91541497101</v>
      </c>
    </row>
    <row r="347" spans="2:14" ht="15.75" x14ac:dyDescent="0.25">
      <c r="B347" s="453" t="s">
        <v>777</v>
      </c>
      <c r="C347" s="342">
        <v>13738</v>
      </c>
      <c r="D347" s="454">
        <v>0.31306818181818102</v>
      </c>
      <c r="E347" s="272">
        <v>27</v>
      </c>
      <c r="F347" s="272">
        <v>71</v>
      </c>
      <c r="G347" s="272">
        <v>7</v>
      </c>
      <c r="H347" s="272">
        <v>4</v>
      </c>
      <c r="I347" s="403">
        <f t="shared" si="5"/>
        <v>82</v>
      </c>
      <c r="J347" s="272">
        <v>0</v>
      </c>
      <c r="K347" s="455" t="s">
        <v>443</v>
      </c>
      <c r="L347" s="272" t="s">
        <v>441</v>
      </c>
      <c r="M347" s="405" t="s">
        <v>510</v>
      </c>
      <c r="N347" s="200">
        <v>66535.034639498699</v>
      </c>
    </row>
    <row r="348" spans="2:14" ht="15.75" x14ac:dyDescent="0.25">
      <c r="B348" s="453" t="s">
        <v>778</v>
      </c>
      <c r="C348" s="342">
        <v>13747</v>
      </c>
      <c r="D348" s="454">
        <v>0.100378787878787</v>
      </c>
      <c r="E348" s="272">
        <v>5</v>
      </c>
      <c r="F348" s="272">
        <v>128</v>
      </c>
      <c r="G348" s="272">
        <v>16</v>
      </c>
      <c r="H348" s="272">
        <v>2</v>
      </c>
      <c r="I348" s="403">
        <f t="shared" si="5"/>
        <v>146</v>
      </c>
      <c r="J348" s="272">
        <v>0</v>
      </c>
      <c r="K348" s="455" t="s">
        <v>434</v>
      </c>
      <c r="L348" s="272" t="s">
        <v>425</v>
      </c>
      <c r="M348" s="405" t="s">
        <v>426</v>
      </c>
      <c r="N348" s="200">
        <v>28009.845000000001</v>
      </c>
    </row>
    <row r="349" spans="2:14" ht="15.75" x14ac:dyDescent="0.25">
      <c r="B349" s="453" t="s">
        <v>779</v>
      </c>
      <c r="C349" s="342">
        <v>13750</v>
      </c>
      <c r="D349" s="454">
        <v>0.18560606060606</v>
      </c>
      <c r="E349" s="272">
        <v>12</v>
      </c>
      <c r="F349" s="272">
        <v>43</v>
      </c>
      <c r="G349" s="272">
        <v>6</v>
      </c>
      <c r="H349" s="272">
        <v>0</v>
      </c>
      <c r="I349" s="403">
        <f t="shared" si="5"/>
        <v>49</v>
      </c>
      <c r="J349" s="272">
        <v>0</v>
      </c>
      <c r="K349" s="455" t="s">
        <v>421</v>
      </c>
      <c r="L349" s="272" t="s">
        <v>426</v>
      </c>
      <c r="M349" s="405" t="s">
        <v>422</v>
      </c>
      <c r="N349" s="200">
        <v>91375.947079999998</v>
      </c>
    </row>
    <row r="350" spans="2:14" ht="15.75" x14ac:dyDescent="0.25">
      <c r="B350" s="453" t="s">
        <v>780</v>
      </c>
      <c r="C350" s="342">
        <v>13756</v>
      </c>
      <c r="D350" s="454">
        <v>0.143560606060606</v>
      </c>
      <c r="E350" s="272">
        <v>13</v>
      </c>
      <c r="F350" s="272">
        <v>8</v>
      </c>
      <c r="G350" s="272">
        <v>4</v>
      </c>
      <c r="H350" s="272">
        <v>0</v>
      </c>
      <c r="I350" s="403">
        <f t="shared" si="5"/>
        <v>12</v>
      </c>
      <c r="J350" s="272">
        <v>0</v>
      </c>
      <c r="K350" s="455" t="s">
        <v>445</v>
      </c>
      <c r="L350" s="272" t="s">
        <v>422</v>
      </c>
      <c r="M350" s="405" t="s">
        <v>432</v>
      </c>
      <c r="N350" s="200">
        <v>170400.37829697199</v>
      </c>
    </row>
    <row r="351" spans="2:14" ht="15.75" x14ac:dyDescent="0.25">
      <c r="B351" s="453" t="s">
        <v>781</v>
      </c>
      <c r="C351" s="342">
        <v>13756</v>
      </c>
      <c r="D351" s="454">
        <v>0.24924242424242399</v>
      </c>
      <c r="E351" s="272">
        <v>22</v>
      </c>
      <c r="F351" s="272">
        <v>93</v>
      </c>
      <c r="G351" s="272">
        <v>7</v>
      </c>
      <c r="H351" s="272">
        <v>0</v>
      </c>
      <c r="I351" s="403">
        <f t="shared" si="5"/>
        <v>100</v>
      </c>
      <c r="J351" s="272">
        <v>0</v>
      </c>
      <c r="K351" s="455" t="s">
        <v>445</v>
      </c>
      <c r="L351" s="272" t="s">
        <v>423</v>
      </c>
      <c r="M351" s="405" t="s">
        <v>437</v>
      </c>
      <c r="N351" s="200">
        <v>105022.371972832</v>
      </c>
    </row>
    <row r="352" spans="2:14" ht="15.75" x14ac:dyDescent="0.25">
      <c r="B352" s="453" t="s">
        <v>782</v>
      </c>
      <c r="C352" s="342">
        <v>13756</v>
      </c>
      <c r="D352" s="454">
        <v>8.2954545454545406E-2</v>
      </c>
      <c r="E352" s="272">
        <v>12</v>
      </c>
      <c r="F352" s="272">
        <v>55</v>
      </c>
      <c r="G352" s="272">
        <v>10</v>
      </c>
      <c r="H352" s="272">
        <v>3</v>
      </c>
      <c r="I352" s="403">
        <f t="shared" si="5"/>
        <v>68</v>
      </c>
      <c r="J352" s="272">
        <v>0</v>
      </c>
      <c r="K352" s="455" t="s">
        <v>445</v>
      </c>
      <c r="L352" s="272" t="s">
        <v>422</v>
      </c>
      <c r="M352" s="405" t="s">
        <v>432</v>
      </c>
      <c r="N352" s="200">
        <v>115052.341216972</v>
      </c>
    </row>
    <row r="353" spans="2:14" ht="15.75" x14ac:dyDescent="0.25">
      <c r="B353" s="453" t="s">
        <v>783</v>
      </c>
      <c r="C353" s="342">
        <v>13756</v>
      </c>
      <c r="D353" s="454">
        <v>0.37916666666666599</v>
      </c>
      <c r="E353" s="272">
        <v>36</v>
      </c>
      <c r="F353" s="272">
        <v>181</v>
      </c>
      <c r="G353" s="272">
        <v>18</v>
      </c>
      <c r="H353" s="272">
        <v>1</v>
      </c>
      <c r="I353" s="403">
        <f t="shared" si="5"/>
        <v>200</v>
      </c>
      <c r="J353" s="272">
        <v>44</v>
      </c>
      <c r="K353" s="455" t="s">
        <v>445</v>
      </c>
      <c r="L353" s="272" t="s">
        <v>437</v>
      </c>
      <c r="M353" s="405" t="s">
        <v>516</v>
      </c>
      <c r="N353" s="200">
        <v>59732.874639498601</v>
      </c>
    </row>
    <row r="354" spans="2:14" ht="15.75" x14ac:dyDescent="0.25">
      <c r="B354" s="453" t="s">
        <v>784</v>
      </c>
      <c r="C354" s="342">
        <v>13860</v>
      </c>
      <c r="D354" s="454">
        <v>0.25227272727272698</v>
      </c>
      <c r="E354" s="272">
        <v>28</v>
      </c>
      <c r="F354" s="272">
        <v>2</v>
      </c>
      <c r="G354" s="272">
        <v>20</v>
      </c>
      <c r="H354" s="272">
        <v>9</v>
      </c>
      <c r="I354" s="403">
        <f t="shared" si="5"/>
        <v>31</v>
      </c>
      <c r="J354" s="272">
        <v>0</v>
      </c>
      <c r="K354" s="455" t="s">
        <v>421</v>
      </c>
      <c r="L354" s="272" t="s">
        <v>428</v>
      </c>
      <c r="M354" s="405" t="s">
        <v>423</v>
      </c>
      <c r="N354" s="200">
        <v>172514.39641497101</v>
      </c>
    </row>
    <row r="355" spans="2:14" ht="15.75" x14ac:dyDescent="0.25">
      <c r="B355" s="453" t="s">
        <v>785</v>
      </c>
      <c r="C355" s="342">
        <v>13860</v>
      </c>
      <c r="D355" s="454">
        <v>0.27916666666666601</v>
      </c>
      <c r="E355" s="272">
        <v>26</v>
      </c>
      <c r="F355" s="272">
        <v>219</v>
      </c>
      <c r="G355" s="272">
        <v>17</v>
      </c>
      <c r="H355" s="272">
        <v>4</v>
      </c>
      <c r="I355" s="403">
        <f t="shared" si="5"/>
        <v>240</v>
      </c>
      <c r="J355" s="272">
        <v>3</v>
      </c>
      <c r="K355" s="455" t="s">
        <v>421</v>
      </c>
      <c r="L355" s="272" t="s">
        <v>422</v>
      </c>
      <c r="M355" s="405" t="s">
        <v>432</v>
      </c>
      <c r="N355" s="200">
        <v>255757.225376972</v>
      </c>
    </row>
    <row r="356" spans="2:14" ht="15.75" x14ac:dyDescent="0.25">
      <c r="B356" s="453" t="s">
        <v>786</v>
      </c>
      <c r="C356" s="342">
        <v>13863</v>
      </c>
      <c r="D356" s="454">
        <v>0.46988636363636299</v>
      </c>
      <c r="E356" s="272">
        <v>32</v>
      </c>
      <c r="F356" s="272">
        <v>259</v>
      </c>
      <c r="G356" s="272">
        <v>5</v>
      </c>
      <c r="H356" s="272">
        <v>0</v>
      </c>
      <c r="I356" s="403">
        <f t="shared" si="5"/>
        <v>264</v>
      </c>
      <c r="J356" s="272">
        <v>2</v>
      </c>
      <c r="K356" s="455" t="s">
        <v>421</v>
      </c>
      <c r="L356" s="272" t="s">
        <v>423</v>
      </c>
      <c r="M356" s="405" t="s">
        <v>437</v>
      </c>
      <c r="N356" s="200">
        <v>340426.67097283102</v>
      </c>
    </row>
    <row r="357" spans="2:14" ht="15.75" x14ac:dyDescent="0.25">
      <c r="B357" s="453" t="s">
        <v>787</v>
      </c>
      <c r="C357" s="342">
        <v>13864</v>
      </c>
      <c r="D357" s="454">
        <v>0.71079545454545401</v>
      </c>
      <c r="E357" s="272">
        <v>57</v>
      </c>
      <c r="F357" s="272">
        <v>18</v>
      </c>
      <c r="G357" s="272">
        <v>233</v>
      </c>
      <c r="H357" s="272">
        <v>67</v>
      </c>
      <c r="I357" s="403">
        <f t="shared" si="5"/>
        <v>318</v>
      </c>
      <c r="J357" s="272">
        <v>16</v>
      </c>
      <c r="K357" s="455" t="s">
        <v>443</v>
      </c>
      <c r="L357" s="272" t="s">
        <v>422</v>
      </c>
      <c r="M357" s="405" t="s">
        <v>432</v>
      </c>
      <c r="N357" s="200">
        <v>573160.29499671597</v>
      </c>
    </row>
    <row r="358" spans="2:14" ht="15.75" x14ac:dyDescent="0.25">
      <c r="B358" s="453" t="s">
        <v>788</v>
      </c>
      <c r="C358" s="342">
        <v>13864</v>
      </c>
      <c r="D358" s="454">
        <v>0.15</v>
      </c>
      <c r="E358" s="272">
        <v>10</v>
      </c>
      <c r="F358" s="272">
        <v>10</v>
      </c>
      <c r="G358" s="272">
        <v>41</v>
      </c>
      <c r="H358" s="272">
        <v>9</v>
      </c>
      <c r="I358" s="403">
        <f t="shared" si="5"/>
        <v>60</v>
      </c>
      <c r="J358" s="272">
        <v>2</v>
      </c>
      <c r="K358" s="455" t="s">
        <v>445</v>
      </c>
      <c r="L358" s="272" t="s">
        <v>423</v>
      </c>
      <c r="M358" s="405" t="s">
        <v>437</v>
      </c>
      <c r="N358" s="200">
        <v>319952.476972832</v>
      </c>
    </row>
    <row r="359" spans="2:14" ht="15.75" x14ac:dyDescent="0.25">
      <c r="B359" s="453" t="s">
        <v>789</v>
      </c>
      <c r="C359" s="342">
        <v>13864</v>
      </c>
      <c r="D359" s="454">
        <v>0.50568181818181801</v>
      </c>
      <c r="E359" s="272">
        <v>41</v>
      </c>
      <c r="F359" s="272">
        <v>3</v>
      </c>
      <c r="G359" s="272">
        <v>49</v>
      </c>
      <c r="H359" s="272">
        <v>31</v>
      </c>
      <c r="I359" s="403">
        <f t="shared" si="5"/>
        <v>83</v>
      </c>
      <c r="J359" s="272">
        <v>6</v>
      </c>
      <c r="K359" s="455" t="s">
        <v>421</v>
      </c>
      <c r="L359" s="272" t="s">
        <v>426</v>
      </c>
      <c r="M359" s="405" t="s">
        <v>422</v>
      </c>
      <c r="N359" s="200">
        <v>491416.561894971</v>
      </c>
    </row>
    <row r="360" spans="2:14" ht="15.75" x14ac:dyDescent="0.25">
      <c r="B360" s="453" t="s">
        <v>790</v>
      </c>
      <c r="C360" s="342">
        <v>13864</v>
      </c>
      <c r="D360" s="454">
        <v>0.15795454545454499</v>
      </c>
      <c r="E360" s="272">
        <v>13</v>
      </c>
      <c r="F360" s="272">
        <v>1</v>
      </c>
      <c r="G360" s="272">
        <v>1</v>
      </c>
      <c r="H360" s="272">
        <v>1</v>
      </c>
      <c r="I360" s="403">
        <f t="shared" si="5"/>
        <v>3</v>
      </c>
      <c r="J360" s="272">
        <v>1</v>
      </c>
      <c r="K360" s="455" t="s">
        <v>421</v>
      </c>
      <c r="L360" s="272" t="s">
        <v>443</v>
      </c>
      <c r="M360" s="405" t="s">
        <v>426</v>
      </c>
      <c r="N360" s="200">
        <v>47404.337500000001</v>
      </c>
    </row>
    <row r="361" spans="2:14" ht="15.75" x14ac:dyDescent="0.25">
      <c r="B361" s="453" t="s">
        <v>791</v>
      </c>
      <c r="C361" s="342">
        <v>13865</v>
      </c>
      <c r="D361" s="454">
        <v>0.26382575757575699</v>
      </c>
      <c r="E361" s="272">
        <v>19</v>
      </c>
      <c r="F361" s="272">
        <v>21</v>
      </c>
      <c r="G361" s="272">
        <v>11</v>
      </c>
      <c r="H361" s="272">
        <v>5</v>
      </c>
      <c r="I361" s="403">
        <f t="shared" si="5"/>
        <v>37</v>
      </c>
      <c r="J361" s="272">
        <v>9</v>
      </c>
      <c r="K361" s="455" t="s">
        <v>421</v>
      </c>
      <c r="L361" s="272" t="s">
        <v>437</v>
      </c>
      <c r="M361" s="405" t="s">
        <v>516</v>
      </c>
      <c r="N361" s="200">
        <v>59732.874639498601</v>
      </c>
    </row>
    <row r="362" spans="2:14" ht="15.75" x14ac:dyDescent="0.25">
      <c r="B362" s="453" t="s">
        <v>792</v>
      </c>
      <c r="C362" s="342">
        <v>13870</v>
      </c>
      <c r="D362" s="454">
        <v>0.40170454545454498</v>
      </c>
      <c r="E362" s="272">
        <v>25</v>
      </c>
      <c r="F362" s="272">
        <v>104</v>
      </c>
      <c r="G362" s="272">
        <v>8</v>
      </c>
      <c r="H362" s="272">
        <v>0</v>
      </c>
      <c r="I362" s="403">
        <f t="shared" si="5"/>
        <v>112</v>
      </c>
      <c r="J362" s="272">
        <v>0</v>
      </c>
      <c r="K362" s="455" t="s">
        <v>421</v>
      </c>
      <c r="L362" s="272" t="s">
        <v>422</v>
      </c>
      <c r="M362" s="405" t="s">
        <v>432</v>
      </c>
      <c r="N362" s="200">
        <v>318493.30019671703</v>
      </c>
    </row>
    <row r="363" spans="2:14" ht="15.75" x14ac:dyDescent="0.25">
      <c r="B363" s="453" t="s">
        <v>793</v>
      </c>
      <c r="C363" s="342">
        <v>13873</v>
      </c>
      <c r="D363" s="454">
        <v>0.79261363636363602</v>
      </c>
      <c r="E363" s="272">
        <v>61</v>
      </c>
      <c r="F363" s="272">
        <v>235</v>
      </c>
      <c r="G363" s="272">
        <v>7</v>
      </c>
      <c r="H363" s="272">
        <v>3</v>
      </c>
      <c r="I363" s="403">
        <f t="shared" si="5"/>
        <v>245</v>
      </c>
      <c r="J363" s="272">
        <v>3</v>
      </c>
      <c r="K363" s="455" t="s">
        <v>443</v>
      </c>
      <c r="L363" s="272" t="s">
        <v>437</v>
      </c>
      <c r="M363" s="405" t="s">
        <v>510</v>
      </c>
      <c r="N363" s="200">
        <v>79176.587377960197</v>
      </c>
    </row>
    <row r="364" spans="2:14" ht="15.75" x14ac:dyDescent="0.25">
      <c r="B364" s="453" t="s">
        <v>794</v>
      </c>
      <c r="C364" s="342">
        <v>13892</v>
      </c>
      <c r="D364" s="454">
        <v>1.1121212121212101</v>
      </c>
      <c r="E364" s="272">
        <v>71</v>
      </c>
      <c r="F364" s="272">
        <v>256</v>
      </c>
      <c r="G364" s="272">
        <v>8</v>
      </c>
      <c r="H364" s="272">
        <v>2</v>
      </c>
      <c r="I364" s="403">
        <f t="shared" si="5"/>
        <v>266</v>
      </c>
      <c r="J364" s="272">
        <v>2</v>
      </c>
      <c r="K364" s="455" t="s">
        <v>443</v>
      </c>
      <c r="L364" s="272" t="s">
        <v>437</v>
      </c>
      <c r="M364" s="405" t="s">
        <v>510</v>
      </c>
      <c r="N364" s="200">
        <v>59732.874639498601</v>
      </c>
    </row>
    <row r="365" spans="2:14" ht="15.75" x14ac:dyDescent="0.25">
      <c r="B365" s="453" t="s">
        <v>795</v>
      </c>
      <c r="C365" s="342">
        <v>14030</v>
      </c>
      <c r="D365" s="454">
        <v>8.9204545454545398E-2</v>
      </c>
      <c r="E365" s="272">
        <v>14</v>
      </c>
      <c r="F365" s="272">
        <v>101</v>
      </c>
      <c r="G365" s="272">
        <v>3</v>
      </c>
      <c r="H365" s="272">
        <v>0</v>
      </c>
      <c r="I365" s="403">
        <f t="shared" si="5"/>
        <v>104</v>
      </c>
      <c r="J365" s="272">
        <v>1</v>
      </c>
      <c r="K365" s="455" t="s">
        <v>421</v>
      </c>
      <c r="L365" s="272" t="s">
        <v>428</v>
      </c>
      <c r="M365" s="405" t="s">
        <v>423</v>
      </c>
      <c r="N365" s="200">
        <v>70412.544031007696</v>
      </c>
    </row>
    <row r="366" spans="2:14" ht="15.75" x14ac:dyDescent="0.25">
      <c r="B366" s="453" t="s">
        <v>796</v>
      </c>
      <c r="C366" s="342">
        <v>14030</v>
      </c>
      <c r="D366" s="454">
        <v>0.132386363636363</v>
      </c>
      <c r="E366" s="272">
        <v>10</v>
      </c>
      <c r="F366" s="272">
        <v>81</v>
      </c>
      <c r="G366" s="272">
        <v>1</v>
      </c>
      <c r="H366" s="272">
        <v>0</v>
      </c>
      <c r="I366" s="403">
        <f t="shared" si="5"/>
        <v>82</v>
      </c>
      <c r="J366" s="272">
        <v>0</v>
      </c>
      <c r="K366" s="455" t="s">
        <v>445</v>
      </c>
      <c r="L366" s="272" t="s">
        <v>428</v>
      </c>
      <c r="M366" s="405" t="s">
        <v>423</v>
      </c>
      <c r="N366" s="200">
        <v>94885.414774971403</v>
      </c>
    </row>
    <row r="367" spans="2:14" ht="15.75" x14ac:dyDescent="0.25">
      <c r="B367" s="453" t="s">
        <v>797</v>
      </c>
      <c r="C367" s="342">
        <v>14030</v>
      </c>
      <c r="D367" s="454">
        <v>0.53787878787878796</v>
      </c>
      <c r="E367" s="272">
        <v>49</v>
      </c>
      <c r="F367" s="272">
        <v>161</v>
      </c>
      <c r="G367" s="272">
        <v>15</v>
      </c>
      <c r="H367" s="272">
        <v>1</v>
      </c>
      <c r="I367" s="403">
        <f t="shared" si="5"/>
        <v>177</v>
      </c>
      <c r="J367" s="272">
        <v>12</v>
      </c>
      <c r="K367" s="455" t="s">
        <v>445</v>
      </c>
      <c r="L367" s="272" t="s">
        <v>437</v>
      </c>
      <c r="M367" s="405" t="s">
        <v>510</v>
      </c>
      <c r="N367" s="200">
        <v>79176.587377960197</v>
      </c>
    </row>
    <row r="368" spans="2:14" ht="15.75" x14ac:dyDescent="0.25">
      <c r="B368" s="453" t="s">
        <v>798</v>
      </c>
      <c r="C368" s="342">
        <v>14030</v>
      </c>
      <c r="D368" s="454">
        <v>8.9015151515151499E-3</v>
      </c>
      <c r="E368" s="272">
        <v>5</v>
      </c>
      <c r="F368" s="272">
        <v>78</v>
      </c>
      <c r="G368" s="272">
        <v>12</v>
      </c>
      <c r="H368" s="272">
        <v>0</v>
      </c>
      <c r="I368" s="403">
        <f t="shared" si="5"/>
        <v>90</v>
      </c>
      <c r="J368" s="272">
        <v>0</v>
      </c>
      <c r="K368" s="455" t="s">
        <v>445</v>
      </c>
      <c r="L368" s="272" t="s">
        <v>422</v>
      </c>
      <c r="M368" s="405" t="s">
        <v>432</v>
      </c>
      <c r="N368" s="200">
        <v>91248.522816972603</v>
      </c>
    </row>
    <row r="369" spans="2:14" ht="15.75" x14ac:dyDescent="0.25">
      <c r="B369" s="453" t="s">
        <v>799</v>
      </c>
      <c r="C369" s="342">
        <v>14030</v>
      </c>
      <c r="D369" s="454">
        <v>0.55814393939393903</v>
      </c>
      <c r="E369" s="272">
        <v>34</v>
      </c>
      <c r="F369" s="272">
        <v>112</v>
      </c>
      <c r="G369" s="272">
        <v>6</v>
      </c>
      <c r="H369" s="272">
        <v>0</v>
      </c>
      <c r="I369" s="403">
        <f t="shared" si="5"/>
        <v>118</v>
      </c>
      <c r="J369" s="272">
        <v>0</v>
      </c>
      <c r="K369" s="455" t="s">
        <v>445</v>
      </c>
      <c r="L369" s="272" t="s">
        <v>432</v>
      </c>
      <c r="M369" s="405" t="s">
        <v>510</v>
      </c>
      <c r="N369" s="200">
        <v>66535.034639498699</v>
      </c>
    </row>
    <row r="370" spans="2:14" ht="15.75" x14ac:dyDescent="0.25">
      <c r="B370" s="453" t="s">
        <v>800</v>
      </c>
      <c r="C370" s="342">
        <v>14030</v>
      </c>
      <c r="D370" s="454">
        <v>0.108901515151515</v>
      </c>
      <c r="E370" s="272">
        <v>6</v>
      </c>
      <c r="F370" s="272">
        <v>3</v>
      </c>
      <c r="G370" s="272">
        <v>3</v>
      </c>
      <c r="H370" s="272">
        <v>0</v>
      </c>
      <c r="I370" s="403">
        <f t="shared" si="5"/>
        <v>6</v>
      </c>
      <c r="J370" s="272">
        <v>0</v>
      </c>
      <c r="K370" s="455" t="s">
        <v>421</v>
      </c>
      <c r="L370" s="272" t="s">
        <v>422</v>
      </c>
      <c r="M370" s="405" t="s">
        <v>432</v>
      </c>
      <c r="N370" s="200">
        <v>100347.557054971</v>
      </c>
    </row>
    <row r="371" spans="2:14" ht="15.75" x14ac:dyDescent="0.25">
      <c r="B371" s="453" t="s">
        <v>801</v>
      </c>
      <c r="C371" s="342">
        <v>13737</v>
      </c>
      <c r="D371" s="454">
        <v>8.76893939393939E-2</v>
      </c>
      <c r="E371" s="272">
        <v>9</v>
      </c>
      <c r="F371" s="272">
        <v>4</v>
      </c>
      <c r="G371" s="272">
        <v>0</v>
      </c>
      <c r="H371" s="272">
        <v>1</v>
      </c>
      <c r="I371" s="403">
        <f t="shared" si="5"/>
        <v>5</v>
      </c>
      <c r="J371" s="272">
        <v>0</v>
      </c>
      <c r="K371" s="456" t="s">
        <v>422</v>
      </c>
      <c r="L371" s="272" t="s">
        <v>432</v>
      </c>
      <c r="M371" s="405" t="s">
        <v>437</v>
      </c>
      <c r="N371" s="200">
        <v>28849.810606060601</v>
      </c>
    </row>
    <row r="372" spans="2:14" ht="15.75" x14ac:dyDescent="0.25">
      <c r="B372" s="453" t="s">
        <v>802</v>
      </c>
      <c r="C372" s="342">
        <v>13199</v>
      </c>
      <c r="D372" s="454">
        <v>0.53106060606060601</v>
      </c>
      <c r="E372" s="272">
        <v>52</v>
      </c>
      <c r="F372" s="272">
        <v>271</v>
      </c>
      <c r="G372" s="272">
        <v>22</v>
      </c>
      <c r="H372" s="272">
        <v>0</v>
      </c>
      <c r="I372" s="403">
        <f t="shared" si="5"/>
        <v>293</v>
      </c>
      <c r="J372" s="272">
        <v>0</v>
      </c>
      <c r="K372" s="456" t="s">
        <v>428</v>
      </c>
      <c r="L372" s="272" t="s">
        <v>510</v>
      </c>
      <c r="M372" s="405" t="s">
        <v>803</v>
      </c>
      <c r="N372" s="200">
        <v>174718.93929410001</v>
      </c>
    </row>
    <row r="373" spans="2:14" ht="15.75" x14ac:dyDescent="0.25">
      <c r="B373" s="453" t="s">
        <v>804</v>
      </c>
      <c r="C373" s="342">
        <v>13198</v>
      </c>
      <c r="D373" s="454">
        <v>7.67045454545454E-2</v>
      </c>
      <c r="E373" s="272">
        <v>10</v>
      </c>
      <c r="F373" s="272">
        <v>62</v>
      </c>
      <c r="G373" s="272">
        <v>5</v>
      </c>
      <c r="H373" s="272">
        <v>0</v>
      </c>
      <c r="I373" s="403">
        <f t="shared" si="5"/>
        <v>67</v>
      </c>
      <c r="J373" s="272">
        <v>0</v>
      </c>
      <c r="K373" s="455" t="s">
        <v>422</v>
      </c>
      <c r="L373" s="272" t="s">
        <v>510</v>
      </c>
      <c r="M373" s="405" t="s">
        <v>803</v>
      </c>
      <c r="N373" s="200">
        <v>25235.7954545455</v>
      </c>
    </row>
    <row r="374" spans="2:14" ht="15.75" x14ac:dyDescent="0.25">
      <c r="B374" s="453" t="s">
        <v>805</v>
      </c>
      <c r="C374" s="342">
        <v>13419</v>
      </c>
      <c r="D374" s="454">
        <v>0.36060606060605999</v>
      </c>
      <c r="E374" s="272">
        <v>28</v>
      </c>
      <c r="F374" s="272">
        <v>33</v>
      </c>
      <c r="G374" s="272">
        <v>11</v>
      </c>
      <c r="H374" s="272">
        <v>0</v>
      </c>
      <c r="I374" s="403">
        <f t="shared" si="5"/>
        <v>44</v>
      </c>
      <c r="J374" s="272">
        <v>0</v>
      </c>
      <c r="K374" s="456" t="s">
        <v>422</v>
      </c>
      <c r="L374" s="272" t="s">
        <v>422</v>
      </c>
      <c r="M374" s="405" t="s">
        <v>432</v>
      </c>
      <c r="N374" s="200">
        <v>118639.3938716</v>
      </c>
    </row>
    <row r="375" spans="2:14" ht="15.75" x14ac:dyDescent="0.25">
      <c r="B375" s="453" t="s">
        <v>806</v>
      </c>
      <c r="C375" s="342">
        <v>13420</v>
      </c>
      <c r="D375" s="454">
        <v>0.14659090909090899</v>
      </c>
      <c r="E375" s="272">
        <v>10</v>
      </c>
      <c r="F375" s="272">
        <v>4</v>
      </c>
      <c r="G375" s="272">
        <v>1</v>
      </c>
      <c r="H375" s="272">
        <v>1</v>
      </c>
      <c r="I375" s="403">
        <f t="shared" si="5"/>
        <v>6</v>
      </c>
      <c r="J375" s="272">
        <v>0</v>
      </c>
      <c r="K375" s="456" t="s">
        <v>422</v>
      </c>
      <c r="L375" s="272" t="s">
        <v>437</v>
      </c>
      <c r="M375" s="405" t="s">
        <v>510</v>
      </c>
      <c r="N375" s="200">
        <v>48228.409090909103</v>
      </c>
    </row>
    <row r="376" spans="2:14" ht="15.75" x14ac:dyDescent="0.25">
      <c r="B376" s="453" t="s">
        <v>807</v>
      </c>
      <c r="C376" s="342">
        <v>13656</v>
      </c>
      <c r="D376" s="454">
        <v>0.111363636363636</v>
      </c>
      <c r="E376" s="272">
        <v>4</v>
      </c>
      <c r="F376" s="272">
        <v>2</v>
      </c>
      <c r="G376" s="272">
        <v>0</v>
      </c>
      <c r="H376" s="272">
        <v>1</v>
      </c>
      <c r="I376" s="403">
        <f t="shared" si="5"/>
        <v>3</v>
      </c>
      <c r="J376" s="272">
        <v>3</v>
      </c>
      <c r="K376" s="455" t="s">
        <v>423</v>
      </c>
      <c r="L376" s="272" t="s">
        <v>510</v>
      </c>
      <c r="M376" s="405" t="s">
        <v>803</v>
      </c>
      <c r="N376" s="200">
        <v>36638.636363636397</v>
      </c>
    </row>
    <row r="377" spans="2:14" ht="15.75" x14ac:dyDescent="0.25">
      <c r="B377" s="453" t="s">
        <v>808</v>
      </c>
      <c r="C377" s="342">
        <v>13656</v>
      </c>
      <c r="D377" s="454">
        <v>0.194318181818181</v>
      </c>
      <c r="E377" s="272">
        <v>15</v>
      </c>
      <c r="F377" s="272">
        <v>17</v>
      </c>
      <c r="G377" s="272">
        <v>2</v>
      </c>
      <c r="H377" s="272">
        <v>5</v>
      </c>
      <c r="I377" s="403">
        <f t="shared" si="5"/>
        <v>24</v>
      </c>
      <c r="J377" s="272">
        <v>0</v>
      </c>
      <c r="K377" s="456" t="s">
        <v>422</v>
      </c>
      <c r="L377" s="272" t="s">
        <v>510</v>
      </c>
      <c r="M377" s="405" t="s">
        <v>803</v>
      </c>
      <c r="N377" s="200">
        <v>63930.681818181802</v>
      </c>
    </row>
    <row r="378" spans="2:14" ht="15.75" x14ac:dyDescent="0.25">
      <c r="B378" s="453" t="s">
        <v>809</v>
      </c>
      <c r="C378" s="342">
        <v>13389</v>
      </c>
      <c r="D378" s="454">
        <v>0.100189393939393</v>
      </c>
      <c r="E378" s="272">
        <v>6</v>
      </c>
      <c r="F378" s="272">
        <v>5</v>
      </c>
      <c r="G378" s="272">
        <v>4</v>
      </c>
      <c r="H378" s="272">
        <v>0</v>
      </c>
      <c r="I378" s="403">
        <f t="shared" si="5"/>
        <v>9</v>
      </c>
      <c r="J378" s="272">
        <v>0</v>
      </c>
      <c r="K378" s="456" t="s">
        <v>422</v>
      </c>
      <c r="L378" s="272" t="s">
        <v>510</v>
      </c>
      <c r="M378" s="405" t="s">
        <v>803</v>
      </c>
      <c r="N378" s="200">
        <v>32962.310606060601</v>
      </c>
    </row>
    <row r="379" spans="2:14" ht="15.75" x14ac:dyDescent="0.25">
      <c r="B379" s="453" t="s">
        <v>810</v>
      </c>
      <c r="C379" s="342">
        <v>13279</v>
      </c>
      <c r="D379" s="454">
        <v>9.0340909090909097E-2</v>
      </c>
      <c r="E379" s="272">
        <v>12</v>
      </c>
      <c r="F379" s="272">
        <v>10</v>
      </c>
      <c r="G379" s="272">
        <v>2</v>
      </c>
      <c r="H379" s="272">
        <v>1</v>
      </c>
      <c r="I379" s="403">
        <f t="shared" si="5"/>
        <v>13</v>
      </c>
      <c r="J379" s="272">
        <v>0</v>
      </c>
      <c r="K379" s="455" t="s">
        <v>428</v>
      </c>
      <c r="L379" s="272" t="s">
        <v>811</v>
      </c>
      <c r="M379" s="405" t="s">
        <v>812</v>
      </c>
      <c r="N379" s="200">
        <v>29722.159090909099</v>
      </c>
    </row>
    <row r="380" spans="2:14" ht="15.75" x14ac:dyDescent="0.25">
      <c r="B380" s="453" t="s">
        <v>813</v>
      </c>
      <c r="C380" s="342">
        <v>13611</v>
      </c>
      <c r="D380" s="454">
        <v>0.246590909090909</v>
      </c>
      <c r="E380" s="272">
        <v>26</v>
      </c>
      <c r="F380" s="272">
        <v>119</v>
      </c>
      <c r="G380" s="272">
        <v>2</v>
      </c>
      <c r="H380" s="272">
        <v>1</v>
      </c>
      <c r="I380" s="403">
        <f t="shared" si="5"/>
        <v>122</v>
      </c>
      <c r="J380" s="272">
        <v>75</v>
      </c>
      <c r="K380" s="456" t="s">
        <v>428</v>
      </c>
      <c r="L380" s="272" t="s">
        <v>437</v>
      </c>
      <c r="M380" s="405" t="s">
        <v>510</v>
      </c>
      <c r="N380" s="200">
        <v>81128.409090909103</v>
      </c>
    </row>
    <row r="381" spans="2:14" ht="15.75" x14ac:dyDescent="0.25">
      <c r="B381" s="453" t="s">
        <v>814</v>
      </c>
      <c r="C381" s="342">
        <v>13043</v>
      </c>
      <c r="D381" s="454">
        <v>0.37651515151515103</v>
      </c>
      <c r="E381" s="272">
        <v>26</v>
      </c>
      <c r="F381" s="272">
        <v>47</v>
      </c>
      <c r="G381" s="272">
        <v>2</v>
      </c>
      <c r="H381" s="272">
        <v>1</v>
      </c>
      <c r="I381" s="403">
        <f t="shared" si="5"/>
        <v>50</v>
      </c>
      <c r="J381" s="272">
        <v>0</v>
      </c>
      <c r="K381" s="456" t="s">
        <v>422</v>
      </c>
      <c r="L381" s="272" t="s">
        <v>422</v>
      </c>
      <c r="M381" s="405" t="s">
        <v>432</v>
      </c>
      <c r="N381" s="200">
        <v>123873.4847777</v>
      </c>
    </row>
    <row r="382" spans="2:14" ht="15.75" x14ac:dyDescent="0.25">
      <c r="B382" s="453" t="s">
        <v>815</v>
      </c>
      <c r="C382" s="342">
        <v>13043</v>
      </c>
      <c r="D382" s="454">
        <v>9.9621212121212097E-2</v>
      </c>
      <c r="E382" s="272">
        <v>11</v>
      </c>
      <c r="F382" s="272">
        <v>19</v>
      </c>
      <c r="G382" s="272">
        <v>1</v>
      </c>
      <c r="H382" s="272">
        <v>1</v>
      </c>
      <c r="I382" s="403">
        <f t="shared" si="5"/>
        <v>21</v>
      </c>
      <c r="J382" s="272">
        <v>0</v>
      </c>
      <c r="K382" s="455" t="s">
        <v>426</v>
      </c>
      <c r="L382" s="272" t="s">
        <v>432</v>
      </c>
      <c r="M382" s="405" t="s">
        <v>441</v>
      </c>
      <c r="N382" s="200">
        <v>32775.378787878799</v>
      </c>
    </row>
    <row r="383" spans="2:14" ht="15.75" x14ac:dyDescent="0.25">
      <c r="B383" s="453" t="s">
        <v>816</v>
      </c>
      <c r="C383" s="342">
        <v>13043</v>
      </c>
      <c r="D383" s="454">
        <v>8.5037878787878704E-2</v>
      </c>
      <c r="E383" s="272">
        <v>8</v>
      </c>
      <c r="F383" s="272">
        <v>8</v>
      </c>
      <c r="G383" s="272">
        <v>4</v>
      </c>
      <c r="H383" s="272">
        <v>2</v>
      </c>
      <c r="I383" s="403">
        <f t="shared" si="5"/>
        <v>14</v>
      </c>
      <c r="J383" s="272">
        <v>0</v>
      </c>
      <c r="K383" s="456" t="s">
        <v>422</v>
      </c>
      <c r="L383" s="272" t="s">
        <v>441</v>
      </c>
      <c r="M383" s="405" t="s">
        <v>510</v>
      </c>
      <c r="N383" s="200">
        <v>27977.462121212098</v>
      </c>
    </row>
    <row r="384" spans="2:14" ht="15.75" x14ac:dyDescent="0.25">
      <c r="B384" s="453" t="s">
        <v>817</v>
      </c>
      <c r="C384" s="342">
        <v>13048</v>
      </c>
      <c r="D384" s="454">
        <v>0.44185606060605997</v>
      </c>
      <c r="E384" s="272">
        <v>44</v>
      </c>
      <c r="F384" s="272">
        <v>85</v>
      </c>
      <c r="G384" s="272">
        <v>2</v>
      </c>
      <c r="H384" s="272">
        <v>1</v>
      </c>
      <c r="I384" s="403">
        <f t="shared" si="5"/>
        <v>88</v>
      </c>
      <c r="J384" s="272">
        <v>12</v>
      </c>
      <c r="K384" s="456" t="s">
        <v>422</v>
      </c>
      <c r="L384" s="272" t="s">
        <v>422</v>
      </c>
      <c r="M384" s="405" t="s">
        <v>432</v>
      </c>
      <c r="N384" s="200">
        <v>145370.64393939401</v>
      </c>
    </row>
    <row r="385" spans="2:14" ht="15.75" x14ac:dyDescent="0.25">
      <c r="B385" s="453" t="s">
        <v>818</v>
      </c>
      <c r="C385" s="342">
        <v>13048</v>
      </c>
      <c r="D385" s="454">
        <v>6.2121212121212098E-2</v>
      </c>
      <c r="E385" s="272">
        <v>6</v>
      </c>
      <c r="F385" s="272">
        <v>14</v>
      </c>
      <c r="G385" s="272">
        <v>4</v>
      </c>
      <c r="H385" s="272">
        <v>0</v>
      </c>
      <c r="I385" s="403">
        <f t="shared" si="5"/>
        <v>18</v>
      </c>
      <c r="J385" s="272">
        <v>0</v>
      </c>
      <c r="K385" s="455" t="s">
        <v>426</v>
      </c>
      <c r="L385" s="272" t="s">
        <v>437</v>
      </c>
      <c r="M385" s="405" t="s">
        <v>516</v>
      </c>
      <c r="N385" s="200">
        <v>20437.878787878799</v>
      </c>
    </row>
    <row r="386" spans="2:14" ht="15.75" x14ac:dyDescent="0.25">
      <c r="B386" s="453" t="s">
        <v>819</v>
      </c>
      <c r="C386" s="342">
        <v>13046</v>
      </c>
      <c r="D386" s="454">
        <v>0.40795454545454501</v>
      </c>
      <c r="E386" s="272">
        <v>41</v>
      </c>
      <c r="F386" s="272">
        <v>57</v>
      </c>
      <c r="G386" s="272">
        <v>2</v>
      </c>
      <c r="H386" s="272">
        <v>2</v>
      </c>
      <c r="I386" s="403">
        <f t="shared" si="5"/>
        <v>61</v>
      </c>
      <c r="J386" s="272">
        <v>5</v>
      </c>
      <c r="K386" s="456" t="s">
        <v>428</v>
      </c>
      <c r="L386" s="272" t="s">
        <v>441</v>
      </c>
      <c r="M386" s="405" t="s">
        <v>510</v>
      </c>
      <c r="N386" s="200">
        <v>134217.04537785001</v>
      </c>
    </row>
    <row r="387" spans="2:14" ht="15.75" x14ac:dyDescent="0.25">
      <c r="B387" s="453" t="s">
        <v>820</v>
      </c>
      <c r="C387" s="342">
        <v>13053</v>
      </c>
      <c r="D387" s="454">
        <v>0.25511363636363599</v>
      </c>
      <c r="E387" s="272">
        <v>28</v>
      </c>
      <c r="F387" s="272">
        <v>73</v>
      </c>
      <c r="G387" s="272">
        <v>11</v>
      </c>
      <c r="H387" s="272">
        <v>0</v>
      </c>
      <c r="I387" s="403">
        <f t="shared" si="5"/>
        <v>84</v>
      </c>
      <c r="J387" s="272">
        <v>0</v>
      </c>
      <c r="K387" s="456" t="s">
        <v>426</v>
      </c>
      <c r="L387" s="272" t="s">
        <v>437</v>
      </c>
      <c r="M387" s="405" t="s">
        <v>516</v>
      </c>
      <c r="N387" s="200">
        <v>83932.386363636397</v>
      </c>
    </row>
    <row r="388" spans="2:14" ht="15.75" x14ac:dyDescent="0.25">
      <c r="B388" s="453" t="s">
        <v>821</v>
      </c>
      <c r="C388" s="342">
        <v>13053</v>
      </c>
      <c r="D388" s="454">
        <v>0.25643939393939302</v>
      </c>
      <c r="E388" s="272">
        <v>23</v>
      </c>
      <c r="F388" s="272">
        <v>38</v>
      </c>
      <c r="G388" s="272">
        <v>2</v>
      </c>
      <c r="H388" s="272">
        <v>1</v>
      </c>
      <c r="I388" s="403">
        <f t="shared" si="5"/>
        <v>41</v>
      </c>
      <c r="J388" s="272">
        <v>0</v>
      </c>
      <c r="K388" s="455" t="s">
        <v>426</v>
      </c>
      <c r="L388" s="272" t="s">
        <v>437</v>
      </c>
      <c r="M388" s="405" t="s">
        <v>516</v>
      </c>
      <c r="N388" s="200">
        <v>84368.560606060593</v>
      </c>
    </row>
    <row r="389" spans="2:14" ht="15.75" x14ac:dyDescent="0.25">
      <c r="B389" s="453" t="s">
        <v>822</v>
      </c>
      <c r="C389" s="342">
        <v>13063</v>
      </c>
      <c r="D389" s="454">
        <v>0.29337121212121198</v>
      </c>
      <c r="E389" s="272">
        <v>26</v>
      </c>
      <c r="F389" s="272">
        <v>43</v>
      </c>
      <c r="G389" s="272">
        <v>3</v>
      </c>
      <c r="H389" s="272">
        <v>1</v>
      </c>
      <c r="I389" s="403">
        <f t="shared" si="5"/>
        <v>47</v>
      </c>
      <c r="J389" s="272">
        <v>0</v>
      </c>
      <c r="K389" s="456" t="s">
        <v>422</v>
      </c>
      <c r="L389" s="272" t="s">
        <v>510</v>
      </c>
      <c r="M389" s="405" t="s">
        <v>803</v>
      </c>
      <c r="N389" s="200">
        <v>96519.128787878799</v>
      </c>
    </row>
    <row r="390" spans="2:14" ht="15.75" x14ac:dyDescent="0.25">
      <c r="B390" s="453" t="s">
        <v>823</v>
      </c>
      <c r="C390" s="342">
        <v>13065</v>
      </c>
      <c r="D390" s="454">
        <v>0.23465909090909001</v>
      </c>
      <c r="E390" s="272">
        <v>23</v>
      </c>
      <c r="F390" s="272">
        <v>35</v>
      </c>
      <c r="G390" s="272">
        <v>4</v>
      </c>
      <c r="H390" s="272">
        <v>0</v>
      </c>
      <c r="I390" s="403">
        <f t="shared" si="5"/>
        <v>39</v>
      </c>
      <c r="J390" s="272">
        <v>0</v>
      </c>
      <c r="K390" s="456" t="s">
        <v>422</v>
      </c>
      <c r="L390" s="272" t="s">
        <v>510</v>
      </c>
      <c r="M390" s="405" t="s">
        <v>803</v>
      </c>
      <c r="N390" s="200">
        <v>77202.840909090897</v>
      </c>
    </row>
    <row r="391" spans="2:14" ht="15.75" x14ac:dyDescent="0.25">
      <c r="B391" s="453" t="s">
        <v>824</v>
      </c>
      <c r="C391" s="342">
        <v>13034</v>
      </c>
      <c r="D391" s="454">
        <v>0.17992424242424199</v>
      </c>
      <c r="E391" s="272">
        <v>15</v>
      </c>
      <c r="F391" s="272">
        <v>16</v>
      </c>
      <c r="G391" s="272">
        <v>1</v>
      </c>
      <c r="H391" s="272">
        <v>1</v>
      </c>
      <c r="I391" s="403">
        <f t="shared" si="5"/>
        <v>18</v>
      </c>
      <c r="J391" s="272">
        <v>0</v>
      </c>
      <c r="K391" s="455" t="s">
        <v>422</v>
      </c>
      <c r="L391" s="272" t="s">
        <v>422</v>
      </c>
      <c r="M391" s="405" t="s">
        <v>432</v>
      </c>
      <c r="N391" s="200">
        <v>59195.075757575803</v>
      </c>
    </row>
    <row r="392" spans="2:14" ht="15.75" x14ac:dyDescent="0.25">
      <c r="B392" s="453" t="s">
        <v>825</v>
      </c>
      <c r="C392" s="342">
        <v>13123</v>
      </c>
      <c r="D392" s="454">
        <v>0.56117424242424196</v>
      </c>
      <c r="E392" s="272">
        <v>38</v>
      </c>
      <c r="F392" s="272">
        <v>8</v>
      </c>
      <c r="G392" s="272">
        <v>34</v>
      </c>
      <c r="H392" s="272">
        <v>3</v>
      </c>
      <c r="I392" s="403">
        <f t="shared" ref="I392:I455" si="6">SUM(F392:H392)</f>
        <v>45</v>
      </c>
      <c r="J392" s="272">
        <v>17</v>
      </c>
      <c r="K392" s="456" t="s">
        <v>422</v>
      </c>
      <c r="L392" s="272" t="s">
        <v>510</v>
      </c>
      <c r="M392" s="405" t="s">
        <v>803</v>
      </c>
      <c r="N392" s="200">
        <v>184626.32575757601</v>
      </c>
    </row>
    <row r="393" spans="2:14" ht="15.75" x14ac:dyDescent="0.25">
      <c r="B393" s="453" t="s">
        <v>826</v>
      </c>
      <c r="C393" s="342">
        <v>13141</v>
      </c>
      <c r="D393" s="454">
        <v>0.189393939393939</v>
      </c>
      <c r="E393" s="272">
        <v>22</v>
      </c>
      <c r="F393" s="272">
        <v>56</v>
      </c>
      <c r="G393" s="272">
        <v>2</v>
      </c>
      <c r="H393" s="272">
        <v>0</v>
      </c>
      <c r="I393" s="403">
        <f t="shared" si="6"/>
        <v>58</v>
      </c>
      <c r="J393" s="272">
        <v>0</v>
      </c>
      <c r="K393" s="456" t="s">
        <v>428</v>
      </c>
      <c r="L393" s="272" t="s">
        <v>510</v>
      </c>
      <c r="M393" s="405" t="s">
        <v>803</v>
      </c>
      <c r="N393" s="200">
        <v>62310.6060606061</v>
      </c>
    </row>
    <row r="394" spans="2:14" ht="15.75" x14ac:dyDescent="0.25">
      <c r="B394" s="453" t="s">
        <v>827</v>
      </c>
      <c r="C394" s="342">
        <v>13154</v>
      </c>
      <c r="D394" s="454">
        <v>0.11022727272727199</v>
      </c>
      <c r="E394" s="272">
        <v>14</v>
      </c>
      <c r="F394" s="272">
        <v>5</v>
      </c>
      <c r="G394" s="272">
        <v>14</v>
      </c>
      <c r="H394" s="272">
        <v>4</v>
      </c>
      <c r="I394" s="403">
        <f t="shared" si="6"/>
        <v>23</v>
      </c>
      <c r="J394" s="272">
        <v>10</v>
      </c>
      <c r="K394" s="455" t="s">
        <v>428</v>
      </c>
      <c r="L394" s="272" t="s">
        <v>441</v>
      </c>
      <c r="M394" s="405" t="s">
        <v>510</v>
      </c>
      <c r="N394" s="200">
        <v>36264.772727272699</v>
      </c>
    </row>
    <row r="395" spans="2:14" ht="15.75" x14ac:dyDescent="0.25">
      <c r="B395" s="453" t="s">
        <v>828</v>
      </c>
      <c r="C395" s="342">
        <v>13164</v>
      </c>
      <c r="D395" s="454">
        <v>9.20454545454545E-2</v>
      </c>
      <c r="E395" s="272">
        <v>10</v>
      </c>
      <c r="F395" s="272">
        <v>12</v>
      </c>
      <c r="G395" s="272">
        <v>0</v>
      </c>
      <c r="H395" s="272">
        <v>1</v>
      </c>
      <c r="I395" s="403">
        <f t="shared" si="6"/>
        <v>13</v>
      </c>
      <c r="J395" s="272">
        <v>0</v>
      </c>
      <c r="K395" s="456" t="s">
        <v>422</v>
      </c>
      <c r="L395" s="272" t="s">
        <v>510</v>
      </c>
      <c r="M395" s="405" t="s">
        <v>803</v>
      </c>
      <c r="N395" s="200">
        <v>30282.954545454599</v>
      </c>
    </row>
    <row r="396" spans="2:14" ht="15.75" x14ac:dyDescent="0.25">
      <c r="B396" s="453" t="s">
        <v>829</v>
      </c>
      <c r="C396" s="342">
        <v>13167</v>
      </c>
      <c r="D396" s="454">
        <v>7.2348484848484801E-2</v>
      </c>
      <c r="E396" s="272">
        <v>8</v>
      </c>
      <c r="F396" s="272">
        <v>51</v>
      </c>
      <c r="G396" s="272">
        <v>4</v>
      </c>
      <c r="H396" s="272">
        <v>0</v>
      </c>
      <c r="I396" s="403">
        <f t="shared" si="6"/>
        <v>55</v>
      </c>
      <c r="J396" s="272">
        <v>0</v>
      </c>
      <c r="K396" s="456" t="s">
        <v>428</v>
      </c>
      <c r="L396" s="272" t="s">
        <v>510</v>
      </c>
      <c r="M396" s="405" t="s">
        <v>803</v>
      </c>
      <c r="N396" s="200">
        <v>23802.651515151501</v>
      </c>
    </row>
    <row r="397" spans="2:14" ht="15.75" x14ac:dyDescent="0.25">
      <c r="B397" s="453" t="s">
        <v>830</v>
      </c>
      <c r="C397" s="342">
        <v>13091</v>
      </c>
      <c r="D397" s="454">
        <v>0.41193181818181801</v>
      </c>
      <c r="E397" s="272">
        <v>41</v>
      </c>
      <c r="F397" s="272">
        <v>50</v>
      </c>
      <c r="G397" s="272">
        <v>7</v>
      </c>
      <c r="H397" s="272">
        <v>0</v>
      </c>
      <c r="I397" s="403">
        <f t="shared" si="6"/>
        <v>57</v>
      </c>
      <c r="J397" s="272">
        <v>0</v>
      </c>
      <c r="K397" s="455" t="s">
        <v>428</v>
      </c>
      <c r="L397" s="272" t="s">
        <v>428</v>
      </c>
      <c r="M397" s="405" t="s">
        <v>432</v>
      </c>
      <c r="N397" s="200">
        <v>135525.56810437501</v>
      </c>
    </row>
    <row r="398" spans="2:14" ht="15.75" x14ac:dyDescent="0.25">
      <c r="B398" s="453" t="s">
        <v>831</v>
      </c>
      <c r="C398" s="342">
        <v>13091</v>
      </c>
      <c r="D398" s="454">
        <v>0.138636363636363</v>
      </c>
      <c r="E398" s="272">
        <v>15</v>
      </c>
      <c r="F398" s="272">
        <v>16</v>
      </c>
      <c r="G398" s="272">
        <v>10</v>
      </c>
      <c r="H398" s="272">
        <v>0</v>
      </c>
      <c r="I398" s="403">
        <f t="shared" si="6"/>
        <v>26</v>
      </c>
      <c r="J398" s="272">
        <v>0</v>
      </c>
      <c r="K398" s="456" t="s">
        <v>426</v>
      </c>
      <c r="L398" s="272" t="s">
        <v>437</v>
      </c>
      <c r="M398" s="405" t="s">
        <v>516</v>
      </c>
      <c r="N398" s="200">
        <v>45611.363636363603</v>
      </c>
    </row>
    <row r="399" spans="2:14" ht="15.75" x14ac:dyDescent="0.25">
      <c r="B399" s="453" t="s">
        <v>832</v>
      </c>
      <c r="C399" s="342">
        <v>13045</v>
      </c>
      <c r="D399" s="454">
        <v>0.679734848484848</v>
      </c>
      <c r="E399" s="272">
        <v>62</v>
      </c>
      <c r="F399" s="272">
        <v>81</v>
      </c>
      <c r="G399" s="272">
        <v>15</v>
      </c>
      <c r="H399" s="272">
        <v>4</v>
      </c>
      <c r="I399" s="403">
        <f t="shared" si="6"/>
        <v>100</v>
      </c>
      <c r="J399" s="272">
        <v>7</v>
      </c>
      <c r="K399" s="456" t="s">
        <v>428</v>
      </c>
      <c r="L399" s="272" t="s">
        <v>437</v>
      </c>
      <c r="M399" s="405" t="s">
        <v>516</v>
      </c>
      <c r="N399" s="200">
        <v>223632.76502372499</v>
      </c>
    </row>
    <row r="400" spans="2:14" ht="15.75" x14ac:dyDescent="0.25">
      <c r="B400" s="453" t="s">
        <v>833</v>
      </c>
      <c r="C400" s="342">
        <v>13045</v>
      </c>
      <c r="D400" s="454">
        <v>0.306628787878787</v>
      </c>
      <c r="E400" s="272">
        <v>28</v>
      </c>
      <c r="F400" s="272">
        <v>53</v>
      </c>
      <c r="G400" s="272">
        <v>14</v>
      </c>
      <c r="H400" s="272">
        <v>3</v>
      </c>
      <c r="I400" s="403">
        <f t="shared" si="6"/>
        <v>70</v>
      </c>
      <c r="J400" s="272">
        <v>0</v>
      </c>
      <c r="K400" s="455" t="s">
        <v>428</v>
      </c>
      <c r="L400" s="272" t="s">
        <v>437</v>
      </c>
      <c r="M400" s="405" t="s">
        <v>510</v>
      </c>
      <c r="N400" s="200">
        <v>100880.871154475</v>
      </c>
    </row>
    <row r="401" spans="2:14" ht="15.75" x14ac:dyDescent="0.25">
      <c r="B401" s="453" t="s">
        <v>834</v>
      </c>
      <c r="C401" s="342">
        <v>13045</v>
      </c>
      <c r="D401" s="454">
        <v>3.5227272727272697E-2</v>
      </c>
      <c r="E401" s="272">
        <v>5</v>
      </c>
      <c r="F401" s="272">
        <v>6</v>
      </c>
      <c r="G401" s="272">
        <v>10</v>
      </c>
      <c r="H401" s="272">
        <v>1</v>
      </c>
      <c r="I401" s="403">
        <f t="shared" si="6"/>
        <v>17</v>
      </c>
      <c r="J401" s="272">
        <v>0</v>
      </c>
      <c r="K401" s="456" t="s">
        <v>422</v>
      </c>
      <c r="L401" s="272" t="s">
        <v>437</v>
      </c>
      <c r="M401" s="405" t="s">
        <v>510</v>
      </c>
      <c r="N401" s="200">
        <v>13160</v>
      </c>
    </row>
    <row r="402" spans="2:14" ht="15.75" x14ac:dyDescent="0.25">
      <c r="B402" s="453" t="s">
        <v>835</v>
      </c>
      <c r="C402" s="342">
        <v>13072</v>
      </c>
      <c r="D402" s="454">
        <v>0.22234848484848399</v>
      </c>
      <c r="E402" s="272">
        <v>18</v>
      </c>
      <c r="F402" s="272">
        <v>16</v>
      </c>
      <c r="G402" s="272">
        <v>13</v>
      </c>
      <c r="H402" s="272">
        <v>3</v>
      </c>
      <c r="I402" s="403">
        <f t="shared" si="6"/>
        <v>32</v>
      </c>
      <c r="J402" s="272">
        <v>8</v>
      </c>
      <c r="K402" s="456" t="s">
        <v>422</v>
      </c>
      <c r="L402" s="272" t="s">
        <v>510</v>
      </c>
      <c r="M402" s="405" t="s">
        <v>803</v>
      </c>
      <c r="N402" s="200">
        <v>73152.651515151505</v>
      </c>
    </row>
    <row r="403" spans="2:14" ht="15.75" x14ac:dyDescent="0.25">
      <c r="B403" s="453" t="s">
        <v>836</v>
      </c>
      <c r="C403" s="342">
        <v>13072</v>
      </c>
      <c r="D403" s="454">
        <v>0.14659090909090899</v>
      </c>
      <c r="E403" s="272">
        <v>15</v>
      </c>
      <c r="F403" s="272">
        <v>6</v>
      </c>
      <c r="G403" s="272">
        <v>6</v>
      </c>
      <c r="H403" s="272">
        <v>1</v>
      </c>
      <c r="I403" s="403">
        <f t="shared" si="6"/>
        <v>13</v>
      </c>
      <c r="J403" s="272">
        <v>0</v>
      </c>
      <c r="K403" s="455" t="s">
        <v>422</v>
      </c>
      <c r="L403" s="272" t="s">
        <v>510</v>
      </c>
      <c r="M403" s="405" t="s">
        <v>803</v>
      </c>
      <c r="N403" s="200">
        <v>48228.409090909103</v>
      </c>
    </row>
    <row r="404" spans="2:14" ht="15.75" x14ac:dyDescent="0.25">
      <c r="B404" s="453" t="s">
        <v>837</v>
      </c>
      <c r="C404" s="342">
        <v>13072</v>
      </c>
      <c r="D404" s="454">
        <v>0.118939393939393</v>
      </c>
      <c r="E404" s="272">
        <v>12</v>
      </c>
      <c r="F404" s="272">
        <v>8</v>
      </c>
      <c r="G404" s="272">
        <v>1</v>
      </c>
      <c r="H404" s="272">
        <v>2</v>
      </c>
      <c r="I404" s="403">
        <f t="shared" si="6"/>
        <v>11</v>
      </c>
      <c r="J404" s="272">
        <v>0</v>
      </c>
      <c r="K404" s="456" t="s">
        <v>428</v>
      </c>
      <c r="L404" s="272" t="s">
        <v>510</v>
      </c>
      <c r="M404" s="405" t="s">
        <v>838</v>
      </c>
      <c r="N404" s="200">
        <v>39131.060606060601</v>
      </c>
    </row>
    <row r="405" spans="2:14" ht="15.75" x14ac:dyDescent="0.25">
      <c r="B405" s="453" t="s">
        <v>839</v>
      </c>
      <c r="C405" s="342">
        <v>13206</v>
      </c>
      <c r="D405" s="454">
        <v>0.184090909090909</v>
      </c>
      <c r="E405" s="272">
        <v>20</v>
      </c>
      <c r="F405" s="272">
        <v>24</v>
      </c>
      <c r="G405" s="272">
        <v>3</v>
      </c>
      <c r="H405" s="272">
        <v>1</v>
      </c>
      <c r="I405" s="403">
        <f t="shared" si="6"/>
        <v>28</v>
      </c>
      <c r="J405" s="272">
        <v>2</v>
      </c>
      <c r="K405" s="456" t="s">
        <v>422</v>
      </c>
      <c r="L405" s="272" t="s">
        <v>510</v>
      </c>
      <c r="M405" s="405" t="s">
        <v>838</v>
      </c>
      <c r="N405" s="200">
        <v>60565.909090909103</v>
      </c>
    </row>
    <row r="406" spans="2:14" ht="15.75" x14ac:dyDescent="0.25">
      <c r="B406" s="453" t="s">
        <v>840</v>
      </c>
      <c r="C406" s="342">
        <v>13191</v>
      </c>
      <c r="D406" s="454">
        <v>0.20587121212121201</v>
      </c>
      <c r="E406" s="272">
        <v>20</v>
      </c>
      <c r="F406" s="272">
        <v>20</v>
      </c>
      <c r="G406" s="272">
        <v>1</v>
      </c>
      <c r="H406" s="272">
        <v>2</v>
      </c>
      <c r="I406" s="403">
        <f t="shared" si="6"/>
        <v>23</v>
      </c>
      <c r="J406" s="272">
        <v>1</v>
      </c>
      <c r="K406" s="455" t="s">
        <v>428</v>
      </c>
      <c r="L406" s="272" t="s">
        <v>437</v>
      </c>
      <c r="M406" s="405" t="s">
        <v>510</v>
      </c>
      <c r="N406" s="200">
        <v>67731.628787878799</v>
      </c>
    </row>
    <row r="407" spans="2:14" ht="15.75" x14ac:dyDescent="0.25">
      <c r="B407" s="453" t="s">
        <v>841</v>
      </c>
      <c r="C407" s="342">
        <v>13191</v>
      </c>
      <c r="D407" s="454">
        <v>0.214393939393939</v>
      </c>
      <c r="E407" s="272">
        <v>17</v>
      </c>
      <c r="F407" s="272">
        <v>47</v>
      </c>
      <c r="G407" s="272">
        <v>5</v>
      </c>
      <c r="H407" s="272">
        <v>0</v>
      </c>
      <c r="I407" s="403">
        <f t="shared" si="6"/>
        <v>52</v>
      </c>
      <c r="J407" s="272">
        <v>0</v>
      </c>
      <c r="K407" s="456" t="s">
        <v>422</v>
      </c>
      <c r="L407" s="272" t="s">
        <v>510</v>
      </c>
      <c r="M407" s="405" t="s">
        <v>838</v>
      </c>
      <c r="N407" s="200">
        <v>70535.606060606093</v>
      </c>
    </row>
    <row r="408" spans="2:14" ht="15.75" x14ac:dyDescent="0.25">
      <c r="B408" s="453" t="s">
        <v>842</v>
      </c>
      <c r="C408" s="342">
        <v>13191</v>
      </c>
      <c r="D408" s="454">
        <v>0.348674242424242</v>
      </c>
      <c r="E408" s="272">
        <v>34</v>
      </c>
      <c r="F408" s="272">
        <v>4</v>
      </c>
      <c r="G408" s="272">
        <v>25</v>
      </c>
      <c r="H408" s="272">
        <v>8</v>
      </c>
      <c r="I408" s="403">
        <f t="shared" si="6"/>
        <v>37</v>
      </c>
      <c r="J408" s="272">
        <v>9</v>
      </c>
      <c r="K408" s="456" t="s">
        <v>428</v>
      </c>
      <c r="L408" s="272" t="s">
        <v>510</v>
      </c>
      <c r="M408" s="405" t="s">
        <v>838</v>
      </c>
      <c r="N408" s="200">
        <v>114713.82575757601</v>
      </c>
    </row>
    <row r="409" spans="2:14" ht="15.75" x14ac:dyDescent="0.25">
      <c r="B409" s="453" t="s">
        <v>843</v>
      </c>
      <c r="C409" s="342">
        <v>13510</v>
      </c>
      <c r="D409" s="454">
        <v>8.5227272727272693E-2</v>
      </c>
      <c r="E409" s="272">
        <v>10</v>
      </c>
      <c r="F409" s="272">
        <v>206</v>
      </c>
      <c r="G409" s="272">
        <v>11</v>
      </c>
      <c r="H409" s="272">
        <v>2</v>
      </c>
      <c r="I409" s="403">
        <f t="shared" si="6"/>
        <v>219</v>
      </c>
      <c r="J409" s="272">
        <v>1</v>
      </c>
      <c r="K409" s="455" t="s">
        <v>422</v>
      </c>
      <c r="L409" s="272" t="s">
        <v>510</v>
      </c>
      <c r="M409" s="405" t="s">
        <v>838</v>
      </c>
      <c r="N409" s="200">
        <v>28039.772727272699</v>
      </c>
    </row>
    <row r="410" spans="2:14" ht="15.75" x14ac:dyDescent="0.25">
      <c r="B410" s="453" t="s">
        <v>844</v>
      </c>
      <c r="C410" s="342">
        <v>13533</v>
      </c>
      <c r="D410" s="454">
        <v>3.5984848484848397E-2</v>
      </c>
      <c r="E410" s="272">
        <v>5</v>
      </c>
      <c r="F410" s="272">
        <v>45</v>
      </c>
      <c r="G410" s="272">
        <v>2</v>
      </c>
      <c r="H410" s="272">
        <v>0</v>
      </c>
      <c r="I410" s="403">
        <f t="shared" si="6"/>
        <v>47</v>
      </c>
      <c r="J410" s="272">
        <v>0</v>
      </c>
      <c r="K410" s="456" t="s">
        <v>422</v>
      </c>
      <c r="L410" s="272" t="s">
        <v>510</v>
      </c>
      <c r="M410" s="405" t="s">
        <v>803</v>
      </c>
      <c r="N410" s="200">
        <v>13160</v>
      </c>
    </row>
    <row r="411" spans="2:14" ht="15.75" x14ac:dyDescent="0.25">
      <c r="B411" s="453" t="s">
        <v>845</v>
      </c>
      <c r="C411" s="342">
        <v>13624</v>
      </c>
      <c r="D411" s="454">
        <v>0.27954545454545399</v>
      </c>
      <c r="E411" s="272">
        <v>19</v>
      </c>
      <c r="F411" s="272">
        <v>22</v>
      </c>
      <c r="G411" s="272">
        <v>3</v>
      </c>
      <c r="H411" s="272">
        <v>0</v>
      </c>
      <c r="I411" s="403">
        <f t="shared" si="6"/>
        <v>25</v>
      </c>
      <c r="J411" s="272">
        <v>0</v>
      </c>
      <c r="K411" s="456" t="s">
        <v>422</v>
      </c>
      <c r="L411" s="272" t="s">
        <v>510</v>
      </c>
      <c r="M411" s="405" t="s">
        <v>803</v>
      </c>
      <c r="N411" s="200">
        <v>91970.454545454602</v>
      </c>
    </row>
    <row r="412" spans="2:14" ht="15.75" x14ac:dyDescent="0.25">
      <c r="B412" s="453" t="s">
        <v>846</v>
      </c>
      <c r="C412" s="342">
        <v>13754</v>
      </c>
      <c r="D412" s="454">
        <v>5.9090909090909E-2</v>
      </c>
      <c r="E412" s="272">
        <v>8</v>
      </c>
      <c r="F412" s="272">
        <v>10</v>
      </c>
      <c r="G412" s="272">
        <v>0</v>
      </c>
      <c r="H412" s="272">
        <v>1</v>
      </c>
      <c r="I412" s="403">
        <f t="shared" si="6"/>
        <v>11</v>
      </c>
      <c r="J412" s="272">
        <v>0</v>
      </c>
      <c r="K412" s="455" t="s">
        <v>428</v>
      </c>
      <c r="L412" s="272" t="s">
        <v>441</v>
      </c>
      <c r="M412" s="405" t="s">
        <v>510</v>
      </c>
      <c r="N412" s="200">
        <v>19440.909090909099</v>
      </c>
    </row>
    <row r="413" spans="2:14" ht="15.75" x14ac:dyDescent="0.25">
      <c r="B413" s="453" t="s">
        <v>847</v>
      </c>
      <c r="C413" s="342">
        <v>13754</v>
      </c>
      <c r="D413" s="454">
        <v>0.115719696969696</v>
      </c>
      <c r="E413" s="272">
        <v>14</v>
      </c>
      <c r="F413" s="272">
        <v>87</v>
      </c>
      <c r="G413" s="272">
        <v>3</v>
      </c>
      <c r="H413" s="272">
        <v>0</v>
      </c>
      <c r="I413" s="403">
        <f t="shared" si="6"/>
        <v>90</v>
      </c>
      <c r="J413" s="272">
        <v>0</v>
      </c>
      <c r="K413" s="456" t="s">
        <v>428</v>
      </c>
      <c r="L413" s="272" t="s">
        <v>510</v>
      </c>
      <c r="M413" s="405" t="s">
        <v>838</v>
      </c>
      <c r="N413" s="200">
        <v>38071.780303030297</v>
      </c>
    </row>
    <row r="414" spans="2:14" ht="15.75" x14ac:dyDescent="0.25">
      <c r="B414" s="453" t="s">
        <v>848</v>
      </c>
      <c r="C414" s="342">
        <v>13754</v>
      </c>
      <c r="D414" s="454">
        <v>0.13787878787878699</v>
      </c>
      <c r="E414" s="272">
        <v>16</v>
      </c>
      <c r="F414" s="272">
        <v>33</v>
      </c>
      <c r="G414" s="272">
        <v>12</v>
      </c>
      <c r="H414" s="272">
        <v>2</v>
      </c>
      <c r="I414" s="403">
        <f t="shared" si="6"/>
        <v>47</v>
      </c>
      <c r="J414" s="272">
        <v>0</v>
      </c>
      <c r="K414" s="456" t="s">
        <v>428</v>
      </c>
      <c r="L414" s="272" t="s">
        <v>441</v>
      </c>
      <c r="M414" s="405" t="s">
        <v>510</v>
      </c>
      <c r="N414" s="200">
        <v>45362.121212121201</v>
      </c>
    </row>
    <row r="415" spans="2:14" ht="15.75" x14ac:dyDescent="0.25">
      <c r="B415" s="453" t="s">
        <v>849</v>
      </c>
      <c r="C415" s="342">
        <v>13106</v>
      </c>
      <c r="D415" s="454">
        <v>0.13219696969696901</v>
      </c>
      <c r="E415" s="272">
        <v>10</v>
      </c>
      <c r="F415" s="272">
        <v>35</v>
      </c>
      <c r="G415" s="272">
        <v>2</v>
      </c>
      <c r="H415" s="272">
        <v>2</v>
      </c>
      <c r="I415" s="403">
        <f t="shared" si="6"/>
        <v>39</v>
      </c>
      <c r="J415" s="272">
        <v>0</v>
      </c>
      <c r="K415" s="455" t="s">
        <v>426</v>
      </c>
      <c r="L415" s="272" t="s">
        <v>437</v>
      </c>
      <c r="M415" s="405" t="s">
        <v>516</v>
      </c>
      <c r="N415" s="200">
        <v>43492.803030303003</v>
      </c>
    </row>
    <row r="416" spans="2:14" ht="15.75" x14ac:dyDescent="0.25">
      <c r="B416" s="453" t="s">
        <v>850</v>
      </c>
      <c r="C416" s="342">
        <v>13104</v>
      </c>
      <c r="D416" s="454">
        <v>0.62443181818181803</v>
      </c>
      <c r="E416" s="272">
        <v>47</v>
      </c>
      <c r="F416" s="272">
        <v>67</v>
      </c>
      <c r="G416" s="272">
        <v>20</v>
      </c>
      <c r="H416" s="272">
        <v>3</v>
      </c>
      <c r="I416" s="403">
        <f t="shared" si="6"/>
        <v>90</v>
      </c>
      <c r="J416" s="272">
        <v>0</v>
      </c>
      <c r="K416" s="456" t="s">
        <v>422</v>
      </c>
      <c r="L416" s="272" t="s">
        <v>422</v>
      </c>
      <c r="M416" s="405" t="s">
        <v>432</v>
      </c>
      <c r="N416" s="200">
        <v>63016.4152532468</v>
      </c>
    </row>
    <row r="417" spans="2:14" ht="15.75" x14ac:dyDescent="0.25">
      <c r="B417" s="453" t="s">
        <v>851</v>
      </c>
      <c r="C417" s="342">
        <v>13096</v>
      </c>
      <c r="D417" s="454">
        <v>0.13068181818181801</v>
      </c>
      <c r="E417" s="272">
        <v>8</v>
      </c>
      <c r="F417" s="272">
        <v>6</v>
      </c>
      <c r="G417" s="272">
        <v>2</v>
      </c>
      <c r="H417" s="272">
        <v>1</v>
      </c>
      <c r="I417" s="403">
        <f t="shared" si="6"/>
        <v>9</v>
      </c>
      <c r="J417" s="272">
        <v>8</v>
      </c>
      <c r="K417" s="456" t="s">
        <v>422</v>
      </c>
      <c r="L417" s="272" t="s">
        <v>441</v>
      </c>
      <c r="M417" s="405" t="s">
        <v>510</v>
      </c>
      <c r="N417" s="200">
        <v>42994.318181818198</v>
      </c>
    </row>
    <row r="418" spans="2:14" ht="15.75" x14ac:dyDescent="0.25">
      <c r="B418" s="453" t="s">
        <v>852</v>
      </c>
      <c r="C418" s="342">
        <v>13224</v>
      </c>
      <c r="D418" s="454">
        <v>8.7121212121212099E-2</v>
      </c>
      <c r="E418" s="272">
        <v>10</v>
      </c>
      <c r="F418" s="272">
        <v>15</v>
      </c>
      <c r="G418" s="272">
        <v>2</v>
      </c>
      <c r="H418" s="272">
        <v>1</v>
      </c>
      <c r="I418" s="403">
        <f t="shared" si="6"/>
        <v>18</v>
      </c>
      <c r="J418" s="272">
        <v>0</v>
      </c>
      <c r="K418" s="455" t="s">
        <v>428</v>
      </c>
      <c r="L418" s="272" t="s">
        <v>437</v>
      </c>
      <c r="M418" s="405" t="s">
        <v>516</v>
      </c>
      <c r="N418" s="200">
        <v>28662.878787878799</v>
      </c>
    </row>
    <row r="419" spans="2:14" ht="15.75" x14ac:dyDescent="0.25">
      <c r="B419" s="453" t="s">
        <v>853</v>
      </c>
      <c r="C419" s="342">
        <v>13351</v>
      </c>
      <c r="D419" s="454">
        <v>0.109848484848484</v>
      </c>
      <c r="E419" s="272">
        <v>8</v>
      </c>
      <c r="F419" s="272">
        <v>26</v>
      </c>
      <c r="G419" s="272">
        <v>3</v>
      </c>
      <c r="H419" s="272">
        <v>0</v>
      </c>
      <c r="I419" s="403">
        <f t="shared" si="6"/>
        <v>29</v>
      </c>
      <c r="J419" s="272">
        <v>0</v>
      </c>
      <c r="K419" s="456" t="s">
        <v>422</v>
      </c>
      <c r="L419" s="272" t="s">
        <v>437</v>
      </c>
      <c r="M419" s="405" t="s">
        <v>516</v>
      </c>
      <c r="N419" s="200">
        <v>36140.151515151498</v>
      </c>
    </row>
    <row r="420" spans="2:14" ht="15.75" x14ac:dyDescent="0.25">
      <c r="B420" s="453" t="s">
        <v>854</v>
      </c>
      <c r="C420" s="342">
        <v>13351</v>
      </c>
      <c r="D420" s="454">
        <v>0.255871212121212</v>
      </c>
      <c r="E420" s="272">
        <v>20</v>
      </c>
      <c r="F420" s="272">
        <v>65</v>
      </c>
      <c r="G420" s="272">
        <v>6</v>
      </c>
      <c r="H420" s="272">
        <v>1</v>
      </c>
      <c r="I420" s="403">
        <f t="shared" si="6"/>
        <v>72</v>
      </c>
      <c r="J420" s="272">
        <v>1</v>
      </c>
      <c r="K420" s="456" t="s">
        <v>428</v>
      </c>
      <c r="L420" s="272" t="s">
        <v>437</v>
      </c>
      <c r="M420" s="405" t="s">
        <v>516</v>
      </c>
      <c r="N420" s="200">
        <v>84181.628787878799</v>
      </c>
    </row>
    <row r="421" spans="2:14" ht="15.75" x14ac:dyDescent="0.25">
      <c r="B421" s="453" t="s">
        <v>855</v>
      </c>
      <c r="C421" s="342">
        <v>13365</v>
      </c>
      <c r="D421" s="454">
        <v>0.38162878787878701</v>
      </c>
      <c r="E421" s="272">
        <v>35</v>
      </c>
      <c r="F421" s="272">
        <v>206</v>
      </c>
      <c r="G421" s="272">
        <v>6</v>
      </c>
      <c r="H421" s="272">
        <v>0</v>
      </c>
      <c r="I421" s="403">
        <f t="shared" si="6"/>
        <v>212</v>
      </c>
      <c r="J421" s="272">
        <v>0</v>
      </c>
      <c r="K421" s="455" t="s">
        <v>422</v>
      </c>
      <c r="L421" s="272" t="s">
        <v>422</v>
      </c>
      <c r="M421" s="405" t="s">
        <v>432</v>
      </c>
      <c r="N421" s="200">
        <v>125555.87114037501</v>
      </c>
    </row>
    <row r="422" spans="2:14" ht="15.75" x14ac:dyDescent="0.25">
      <c r="B422" s="453" t="s">
        <v>856</v>
      </c>
      <c r="C422" s="342">
        <v>13522</v>
      </c>
      <c r="D422" s="454">
        <v>9.3371212121212105E-2</v>
      </c>
      <c r="E422" s="272">
        <v>11</v>
      </c>
      <c r="F422" s="272">
        <v>10</v>
      </c>
      <c r="G422" s="272">
        <v>2</v>
      </c>
      <c r="H422" s="272">
        <v>1</v>
      </c>
      <c r="I422" s="403">
        <f t="shared" si="6"/>
        <v>13</v>
      </c>
      <c r="J422" s="272">
        <v>8</v>
      </c>
      <c r="K422" s="456" t="s">
        <v>422</v>
      </c>
      <c r="L422" s="272" t="s">
        <v>510</v>
      </c>
      <c r="M422" s="405" t="s">
        <v>803</v>
      </c>
      <c r="N422" s="200">
        <v>30719.128787878799</v>
      </c>
    </row>
    <row r="423" spans="2:14" ht="15.75" x14ac:dyDescent="0.25">
      <c r="B423" s="453" t="s">
        <v>857</v>
      </c>
      <c r="C423" s="342">
        <v>13828</v>
      </c>
      <c r="D423" s="454">
        <v>4.7537878787878698E-2</v>
      </c>
      <c r="E423" s="272">
        <v>4</v>
      </c>
      <c r="F423" s="272">
        <v>2</v>
      </c>
      <c r="G423" s="272">
        <v>1</v>
      </c>
      <c r="H423" s="272">
        <v>6</v>
      </c>
      <c r="I423" s="403">
        <f t="shared" si="6"/>
        <v>9</v>
      </c>
      <c r="J423" s="272">
        <v>8</v>
      </c>
      <c r="K423" s="456" t="s">
        <v>426</v>
      </c>
      <c r="L423" s="272" t="s">
        <v>437</v>
      </c>
      <c r="M423" s="405" t="s">
        <v>516</v>
      </c>
      <c r="N423" s="200">
        <v>15639.9621212121</v>
      </c>
    </row>
    <row r="424" spans="2:14" ht="15.75" x14ac:dyDescent="0.25">
      <c r="B424" s="453" t="s">
        <v>858</v>
      </c>
      <c r="C424" s="342">
        <v>13829</v>
      </c>
      <c r="D424" s="454">
        <v>0.118939393939393</v>
      </c>
      <c r="E424" s="272">
        <v>9</v>
      </c>
      <c r="F424" s="272">
        <v>48</v>
      </c>
      <c r="G424" s="272">
        <v>7</v>
      </c>
      <c r="H424" s="272">
        <v>0</v>
      </c>
      <c r="I424" s="403">
        <f t="shared" si="6"/>
        <v>55</v>
      </c>
      <c r="J424" s="272">
        <v>0</v>
      </c>
      <c r="K424" s="455" t="s">
        <v>426</v>
      </c>
      <c r="L424" s="272" t="s">
        <v>437</v>
      </c>
      <c r="M424" s="405" t="s">
        <v>516</v>
      </c>
      <c r="N424" s="200">
        <v>39131.060606060601</v>
      </c>
    </row>
    <row r="425" spans="2:14" ht="15.75" x14ac:dyDescent="0.25">
      <c r="B425" s="453" t="s">
        <v>859</v>
      </c>
      <c r="C425" s="342">
        <v>13831</v>
      </c>
      <c r="D425" s="454">
        <v>4.6401515151515103E-2</v>
      </c>
      <c r="E425" s="272">
        <v>4</v>
      </c>
      <c r="F425" s="272">
        <v>36</v>
      </c>
      <c r="G425" s="272">
        <v>3</v>
      </c>
      <c r="H425" s="272">
        <v>0</v>
      </c>
      <c r="I425" s="403">
        <f t="shared" si="6"/>
        <v>39</v>
      </c>
      <c r="J425" s="272">
        <v>0</v>
      </c>
      <c r="K425" s="456" t="s">
        <v>422</v>
      </c>
      <c r="L425" s="272" t="s">
        <v>437</v>
      </c>
      <c r="M425" s="405" t="s">
        <v>516</v>
      </c>
      <c r="N425" s="200">
        <v>15266.0984848485</v>
      </c>
    </row>
    <row r="426" spans="2:14" ht="15.75" x14ac:dyDescent="0.25">
      <c r="B426" s="453" t="s">
        <v>860</v>
      </c>
      <c r="C426" s="342">
        <v>13835</v>
      </c>
      <c r="D426" s="454">
        <v>0.20909090909090899</v>
      </c>
      <c r="E426" s="272">
        <v>16</v>
      </c>
      <c r="F426" s="272">
        <v>32</v>
      </c>
      <c r="G426" s="272">
        <v>5</v>
      </c>
      <c r="H426" s="272">
        <v>0</v>
      </c>
      <c r="I426" s="403">
        <f t="shared" si="6"/>
        <v>37</v>
      </c>
      <c r="J426" s="272">
        <v>0</v>
      </c>
      <c r="K426" s="456" t="s">
        <v>422</v>
      </c>
      <c r="L426" s="272" t="s">
        <v>437</v>
      </c>
      <c r="M426" s="405" t="s">
        <v>516</v>
      </c>
      <c r="N426" s="200">
        <v>68790.909090909103</v>
      </c>
    </row>
    <row r="427" spans="2:14" ht="15.75" x14ac:dyDescent="0.25">
      <c r="B427" s="453" t="s">
        <v>861</v>
      </c>
      <c r="C427" s="342">
        <v>13229</v>
      </c>
      <c r="D427" s="454">
        <v>5.47348484848484E-2</v>
      </c>
      <c r="E427" s="272">
        <v>8</v>
      </c>
      <c r="F427" s="272">
        <v>42</v>
      </c>
      <c r="G427" s="272">
        <v>4</v>
      </c>
      <c r="H427" s="272">
        <v>0</v>
      </c>
      <c r="I427" s="403">
        <f t="shared" si="6"/>
        <v>46</v>
      </c>
      <c r="J427" s="272">
        <v>7</v>
      </c>
      <c r="K427" s="455" t="s">
        <v>428</v>
      </c>
      <c r="L427" s="272" t="s">
        <v>510</v>
      </c>
      <c r="M427" s="405" t="s">
        <v>577</v>
      </c>
      <c r="N427" s="200">
        <v>18007.765151515101</v>
      </c>
    </row>
    <row r="428" spans="2:14" ht="15.75" x14ac:dyDescent="0.25">
      <c r="B428" s="453" t="s">
        <v>862</v>
      </c>
      <c r="C428" s="342">
        <v>14117</v>
      </c>
      <c r="D428" s="454">
        <v>0.15984848484848399</v>
      </c>
      <c r="E428" s="272">
        <v>14</v>
      </c>
      <c r="F428" s="272">
        <v>5</v>
      </c>
      <c r="G428" s="272">
        <v>5</v>
      </c>
      <c r="H428" s="272">
        <v>3</v>
      </c>
      <c r="I428" s="403">
        <f t="shared" si="6"/>
        <v>13</v>
      </c>
      <c r="J428" s="272">
        <v>0</v>
      </c>
      <c r="K428" s="456" t="s">
        <v>428</v>
      </c>
      <c r="L428" s="272" t="s">
        <v>811</v>
      </c>
      <c r="M428" s="405" t="s">
        <v>863</v>
      </c>
      <c r="N428" s="200">
        <v>52590.151515151498</v>
      </c>
    </row>
    <row r="429" spans="2:14" ht="15.75" x14ac:dyDescent="0.25">
      <c r="B429" s="453" t="s">
        <v>864</v>
      </c>
      <c r="C429" s="342">
        <v>13326</v>
      </c>
      <c r="D429" s="454">
        <v>0.18863636363636299</v>
      </c>
      <c r="E429" s="272">
        <v>14</v>
      </c>
      <c r="F429" s="272">
        <v>8</v>
      </c>
      <c r="G429" s="272">
        <v>16</v>
      </c>
      <c r="H429" s="272">
        <v>5</v>
      </c>
      <c r="I429" s="403">
        <f t="shared" si="6"/>
        <v>29</v>
      </c>
      <c r="J429" s="272">
        <v>0</v>
      </c>
      <c r="K429" s="456" t="s">
        <v>428</v>
      </c>
      <c r="L429" s="272" t="s">
        <v>811</v>
      </c>
      <c r="M429" s="405" t="s">
        <v>863</v>
      </c>
      <c r="N429" s="200">
        <v>62061.363636363603</v>
      </c>
    </row>
    <row r="430" spans="2:14" ht="15.75" x14ac:dyDescent="0.25">
      <c r="B430" s="453" t="s">
        <v>865</v>
      </c>
      <c r="C430" s="342">
        <v>13115</v>
      </c>
      <c r="D430" s="454">
        <v>0.254924242424242</v>
      </c>
      <c r="E430" s="272">
        <v>20</v>
      </c>
      <c r="F430" s="272">
        <v>25</v>
      </c>
      <c r="G430" s="272">
        <v>0</v>
      </c>
      <c r="H430" s="272">
        <v>1</v>
      </c>
      <c r="I430" s="403">
        <f t="shared" si="6"/>
        <v>26</v>
      </c>
      <c r="J430" s="272">
        <v>0</v>
      </c>
      <c r="K430" s="455" t="s">
        <v>428</v>
      </c>
      <c r="L430" s="272" t="s">
        <v>811</v>
      </c>
      <c r="M430" s="405" t="s">
        <v>863</v>
      </c>
      <c r="N430" s="200">
        <v>83870.075757575803</v>
      </c>
    </row>
    <row r="431" spans="2:14" ht="15.75" x14ac:dyDescent="0.25">
      <c r="B431" s="453" t="s">
        <v>866</v>
      </c>
      <c r="C431" s="342">
        <v>13910</v>
      </c>
      <c r="D431" s="454">
        <v>8.4659090909090906E-2</v>
      </c>
      <c r="E431" s="272">
        <v>6</v>
      </c>
      <c r="F431" s="272">
        <v>6</v>
      </c>
      <c r="G431" s="272">
        <v>1</v>
      </c>
      <c r="H431" s="272">
        <v>1</v>
      </c>
      <c r="I431" s="403">
        <f t="shared" si="6"/>
        <v>8</v>
      </c>
      <c r="J431" s="272">
        <v>1</v>
      </c>
      <c r="K431" s="456" t="s">
        <v>428</v>
      </c>
      <c r="L431" s="272" t="s">
        <v>811</v>
      </c>
      <c r="M431" s="405" t="s">
        <v>863</v>
      </c>
      <c r="N431" s="200">
        <v>27852.840909090901</v>
      </c>
    </row>
    <row r="432" spans="2:14" ht="15.75" x14ac:dyDescent="0.25">
      <c r="B432" s="453" t="s">
        <v>867</v>
      </c>
      <c r="C432" s="342">
        <v>13291</v>
      </c>
      <c r="D432" s="454">
        <v>0.16571969696969599</v>
      </c>
      <c r="E432" s="272">
        <v>16</v>
      </c>
      <c r="F432" s="272">
        <v>19</v>
      </c>
      <c r="G432" s="272">
        <v>1</v>
      </c>
      <c r="H432" s="272">
        <v>1</v>
      </c>
      <c r="I432" s="403">
        <f t="shared" si="6"/>
        <v>21</v>
      </c>
      <c r="J432" s="272">
        <v>0</v>
      </c>
      <c r="K432" s="456" t="s">
        <v>428</v>
      </c>
      <c r="L432" s="272" t="s">
        <v>811</v>
      </c>
      <c r="M432" s="405" t="s">
        <v>863</v>
      </c>
      <c r="N432" s="200">
        <v>54521.780303030297</v>
      </c>
    </row>
    <row r="433" spans="2:14" ht="15.75" x14ac:dyDescent="0.25">
      <c r="B433" s="453" t="s">
        <v>868</v>
      </c>
      <c r="C433" s="342">
        <v>13291</v>
      </c>
      <c r="D433" s="454">
        <v>0.214393939393939</v>
      </c>
      <c r="E433" s="272">
        <v>20</v>
      </c>
      <c r="F433" s="272">
        <v>20</v>
      </c>
      <c r="G433" s="272">
        <v>3</v>
      </c>
      <c r="H433" s="272">
        <v>1</v>
      </c>
      <c r="I433" s="403">
        <f t="shared" si="6"/>
        <v>24</v>
      </c>
      <c r="J433" s="272">
        <v>0</v>
      </c>
      <c r="K433" s="455" t="s">
        <v>428</v>
      </c>
      <c r="L433" s="272" t="s">
        <v>811</v>
      </c>
      <c r="M433" s="405" t="s">
        <v>863</v>
      </c>
      <c r="N433" s="200">
        <v>70535.606060606093</v>
      </c>
    </row>
    <row r="434" spans="2:14" ht="15.75" x14ac:dyDescent="0.25">
      <c r="B434" s="453" t="s">
        <v>869</v>
      </c>
      <c r="C434" s="342">
        <v>13291</v>
      </c>
      <c r="D434" s="454">
        <v>0.13446969696969599</v>
      </c>
      <c r="E434" s="272">
        <v>13</v>
      </c>
      <c r="F434" s="272">
        <v>14</v>
      </c>
      <c r="G434" s="272">
        <v>3</v>
      </c>
      <c r="H434" s="272">
        <v>2</v>
      </c>
      <c r="I434" s="403">
        <f t="shared" si="6"/>
        <v>19</v>
      </c>
      <c r="J434" s="272">
        <v>0</v>
      </c>
      <c r="K434" s="456" t="s">
        <v>428</v>
      </c>
      <c r="L434" s="272" t="s">
        <v>811</v>
      </c>
      <c r="M434" s="405" t="s">
        <v>863</v>
      </c>
      <c r="N434" s="200">
        <v>44240.530303030297</v>
      </c>
    </row>
    <row r="435" spans="2:14" ht="15.75" x14ac:dyDescent="0.25">
      <c r="B435" s="453" t="s">
        <v>870</v>
      </c>
      <c r="C435" s="342">
        <v>13290</v>
      </c>
      <c r="D435" s="454">
        <v>0.34734848484848402</v>
      </c>
      <c r="E435" s="272">
        <v>34</v>
      </c>
      <c r="F435" s="272">
        <v>129</v>
      </c>
      <c r="G435" s="272">
        <v>7</v>
      </c>
      <c r="H435" s="272">
        <v>0</v>
      </c>
      <c r="I435" s="403">
        <f t="shared" si="6"/>
        <v>136</v>
      </c>
      <c r="J435" s="272">
        <v>0</v>
      </c>
      <c r="K435" s="456" t="s">
        <v>426</v>
      </c>
      <c r="L435" s="272" t="s">
        <v>811</v>
      </c>
      <c r="M435" s="405" t="s">
        <v>863</v>
      </c>
      <c r="N435" s="200">
        <v>114277.651515152</v>
      </c>
    </row>
    <row r="436" spans="2:14" ht="15.75" x14ac:dyDescent="0.25">
      <c r="B436" s="453" t="s">
        <v>871</v>
      </c>
      <c r="C436" s="342">
        <v>13290</v>
      </c>
      <c r="D436" s="454">
        <v>7.1022727272727196E-2</v>
      </c>
      <c r="E436" s="272">
        <v>9</v>
      </c>
      <c r="F436" s="272">
        <v>15</v>
      </c>
      <c r="G436" s="272">
        <v>5</v>
      </c>
      <c r="H436" s="272">
        <v>0</v>
      </c>
      <c r="I436" s="403">
        <f t="shared" si="6"/>
        <v>20</v>
      </c>
      <c r="J436" s="272">
        <v>0</v>
      </c>
      <c r="K436" s="455" t="s">
        <v>428</v>
      </c>
      <c r="L436" s="272" t="s">
        <v>811</v>
      </c>
      <c r="M436" s="405" t="s">
        <v>863</v>
      </c>
      <c r="N436" s="200">
        <v>23366.477272727301</v>
      </c>
    </row>
    <row r="437" spans="2:14" ht="15.75" x14ac:dyDescent="0.25">
      <c r="B437" s="453" t="s">
        <v>872</v>
      </c>
      <c r="C437" s="342">
        <v>13371</v>
      </c>
      <c r="D437" s="454">
        <v>0.17102272727272699</v>
      </c>
      <c r="E437" s="272">
        <v>15</v>
      </c>
      <c r="F437" s="272">
        <v>17</v>
      </c>
      <c r="G437" s="272">
        <v>9</v>
      </c>
      <c r="H437" s="272">
        <v>0</v>
      </c>
      <c r="I437" s="403">
        <f t="shared" si="6"/>
        <v>26</v>
      </c>
      <c r="J437" s="272">
        <v>0</v>
      </c>
      <c r="K437" s="456" t="s">
        <v>428</v>
      </c>
      <c r="L437" s="272" t="s">
        <v>811</v>
      </c>
      <c r="M437" s="405" t="s">
        <v>863</v>
      </c>
      <c r="N437" s="200">
        <v>56266.477272727301</v>
      </c>
    </row>
    <row r="438" spans="2:14" ht="15.75" x14ac:dyDescent="0.25">
      <c r="B438" s="453" t="s">
        <v>873</v>
      </c>
      <c r="C438" s="342">
        <v>13756</v>
      </c>
      <c r="D438" s="454">
        <v>0.14280303030302999</v>
      </c>
      <c r="E438" s="272">
        <v>21</v>
      </c>
      <c r="F438" s="272">
        <v>29</v>
      </c>
      <c r="G438" s="272">
        <v>2</v>
      </c>
      <c r="H438" s="272">
        <v>0</v>
      </c>
      <c r="I438" s="403">
        <f t="shared" si="6"/>
        <v>31</v>
      </c>
      <c r="J438" s="272">
        <v>0</v>
      </c>
      <c r="K438" s="456" t="s">
        <v>422</v>
      </c>
      <c r="L438" s="272" t="s">
        <v>510</v>
      </c>
      <c r="M438" s="405" t="s">
        <v>803</v>
      </c>
      <c r="N438" s="200">
        <v>46982.196969696997</v>
      </c>
    </row>
    <row r="439" spans="2:14" ht="15.75" x14ac:dyDescent="0.25">
      <c r="B439" s="453" t="s">
        <v>874</v>
      </c>
      <c r="C439" s="342">
        <v>13124</v>
      </c>
      <c r="D439" s="454">
        <v>6.8181818181818094E-2</v>
      </c>
      <c r="E439" s="272">
        <v>8</v>
      </c>
      <c r="F439" s="272">
        <v>11</v>
      </c>
      <c r="G439" s="272">
        <v>1</v>
      </c>
      <c r="H439" s="272">
        <v>0</v>
      </c>
      <c r="I439" s="403">
        <f t="shared" si="6"/>
        <v>12</v>
      </c>
      <c r="J439" s="272">
        <v>0</v>
      </c>
      <c r="K439" s="455" t="s">
        <v>423</v>
      </c>
      <c r="L439" s="272" t="s">
        <v>510</v>
      </c>
      <c r="M439" s="405" t="s">
        <v>803</v>
      </c>
      <c r="N439" s="200">
        <v>22431.818181818198</v>
      </c>
    </row>
    <row r="440" spans="2:14" ht="15.75" x14ac:dyDescent="0.25">
      <c r="B440" s="453" t="s">
        <v>875</v>
      </c>
      <c r="C440" s="342">
        <v>13011</v>
      </c>
      <c r="D440" s="454">
        <v>0.248484848484848</v>
      </c>
      <c r="E440" s="272">
        <v>21</v>
      </c>
      <c r="F440" s="272">
        <v>28</v>
      </c>
      <c r="G440" s="272">
        <v>2</v>
      </c>
      <c r="H440" s="272">
        <v>0</v>
      </c>
      <c r="I440" s="403">
        <f t="shared" si="6"/>
        <v>30</v>
      </c>
      <c r="J440" s="272">
        <v>0</v>
      </c>
      <c r="K440" s="456" t="s">
        <v>423</v>
      </c>
      <c r="L440" s="272" t="s">
        <v>510</v>
      </c>
      <c r="M440" s="405" t="s">
        <v>803</v>
      </c>
      <c r="N440" s="200">
        <v>81751.515151515094</v>
      </c>
    </row>
    <row r="441" spans="2:14" ht="15.75" x14ac:dyDescent="0.25">
      <c r="B441" s="453" t="s">
        <v>876</v>
      </c>
      <c r="C441" s="342">
        <v>13312</v>
      </c>
      <c r="D441" s="454">
        <v>0.11950757575757499</v>
      </c>
      <c r="E441" s="272">
        <v>17</v>
      </c>
      <c r="F441" s="272">
        <v>7</v>
      </c>
      <c r="G441" s="272">
        <v>7</v>
      </c>
      <c r="H441" s="272">
        <v>3</v>
      </c>
      <c r="I441" s="403">
        <f t="shared" si="6"/>
        <v>17</v>
      </c>
      <c r="J441" s="272">
        <v>0</v>
      </c>
      <c r="K441" s="456" t="s">
        <v>428</v>
      </c>
      <c r="L441" s="272" t="s">
        <v>510</v>
      </c>
      <c r="M441" s="405" t="s">
        <v>803</v>
      </c>
      <c r="N441" s="200">
        <v>39317.992424242402</v>
      </c>
    </row>
    <row r="442" spans="2:14" ht="15.75" x14ac:dyDescent="0.25">
      <c r="B442" s="453" t="s">
        <v>877</v>
      </c>
      <c r="C442" s="342">
        <v>13312</v>
      </c>
      <c r="D442" s="454">
        <v>0.12367424242424201</v>
      </c>
      <c r="E442" s="272">
        <v>12</v>
      </c>
      <c r="F442" s="272">
        <v>24</v>
      </c>
      <c r="G442" s="272">
        <v>14</v>
      </c>
      <c r="H442" s="272">
        <v>0</v>
      </c>
      <c r="I442" s="403">
        <f t="shared" si="6"/>
        <v>38</v>
      </c>
      <c r="J442" s="272">
        <v>0</v>
      </c>
      <c r="K442" s="455" t="s">
        <v>428</v>
      </c>
      <c r="L442" s="272" t="s">
        <v>811</v>
      </c>
      <c r="M442" s="405" t="s">
        <v>863</v>
      </c>
      <c r="N442" s="200">
        <v>40688.825757575803</v>
      </c>
    </row>
    <row r="443" spans="2:14" ht="15.75" x14ac:dyDescent="0.25">
      <c r="B443" s="453" t="s">
        <v>878</v>
      </c>
      <c r="C443" s="342">
        <v>13241</v>
      </c>
      <c r="D443" s="454">
        <v>6.4393939393939295E-2</v>
      </c>
      <c r="E443" s="272">
        <v>4</v>
      </c>
      <c r="F443" s="272">
        <v>8</v>
      </c>
      <c r="G443" s="272">
        <v>3</v>
      </c>
      <c r="H443" s="272">
        <v>0</v>
      </c>
      <c r="I443" s="403">
        <f t="shared" si="6"/>
        <v>11</v>
      </c>
      <c r="J443" s="272">
        <v>0</v>
      </c>
      <c r="K443" s="456" t="s">
        <v>422</v>
      </c>
      <c r="L443" s="272" t="s">
        <v>811</v>
      </c>
      <c r="M443" s="405" t="s">
        <v>863</v>
      </c>
      <c r="N443" s="200">
        <v>21185.6060606061</v>
      </c>
    </row>
    <row r="444" spans="2:14" ht="15.75" x14ac:dyDescent="0.25">
      <c r="B444" s="453" t="s">
        <v>879</v>
      </c>
      <c r="C444" s="342">
        <v>13696</v>
      </c>
      <c r="D444" s="454">
        <v>0.242613636363636</v>
      </c>
      <c r="E444" s="272">
        <v>26</v>
      </c>
      <c r="F444" s="272">
        <v>25</v>
      </c>
      <c r="G444" s="272">
        <v>7</v>
      </c>
      <c r="H444" s="272">
        <v>0</v>
      </c>
      <c r="I444" s="403">
        <f t="shared" si="6"/>
        <v>32</v>
      </c>
      <c r="J444" s="272">
        <v>0</v>
      </c>
      <c r="K444" s="456" t="s">
        <v>428</v>
      </c>
      <c r="L444" s="272" t="s">
        <v>811</v>
      </c>
      <c r="M444" s="405" t="s">
        <v>863</v>
      </c>
      <c r="N444" s="200">
        <v>79819.886363636397</v>
      </c>
    </row>
    <row r="445" spans="2:14" ht="15.75" x14ac:dyDescent="0.25">
      <c r="B445" s="453" t="s">
        <v>880</v>
      </c>
      <c r="C445" s="342">
        <v>13724</v>
      </c>
      <c r="D445" s="454">
        <v>0.184090909090909</v>
      </c>
      <c r="E445" s="272">
        <v>16</v>
      </c>
      <c r="F445" s="272">
        <v>2</v>
      </c>
      <c r="G445" s="272">
        <v>4</v>
      </c>
      <c r="H445" s="272">
        <v>3</v>
      </c>
      <c r="I445" s="403">
        <f t="shared" si="6"/>
        <v>9</v>
      </c>
      <c r="J445" s="272">
        <v>0</v>
      </c>
      <c r="K445" s="455" t="s">
        <v>422</v>
      </c>
      <c r="L445" s="272" t="s">
        <v>510</v>
      </c>
      <c r="M445" s="405" t="s">
        <v>803</v>
      </c>
      <c r="N445" s="200">
        <v>60565.909090909103</v>
      </c>
    </row>
    <row r="446" spans="2:14" ht="15.75" x14ac:dyDescent="0.25">
      <c r="B446" s="453" t="s">
        <v>881</v>
      </c>
      <c r="C446" s="342">
        <v>13723</v>
      </c>
      <c r="D446" s="454">
        <v>0.50624999999999998</v>
      </c>
      <c r="E446" s="272">
        <v>20</v>
      </c>
      <c r="F446" s="272">
        <v>29</v>
      </c>
      <c r="G446" s="272">
        <v>4</v>
      </c>
      <c r="H446" s="272">
        <v>0</v>
      </c>
      <c r="I446" s="403">
        <f t="shared" si="6"/>
        <v>33</v>
      </c>
      <c r="J446" s="272">
        <v>0</v>
      </c>
      <c r="K446" s="456" t="s">
        <v>422</v>
      </c>
      <c r="L446" s="272" t="s">
        <v>510</v>
      </c>
      <c r="M446" s="405" t="s">
        <v>803</v>
      </c>
      <c r="N446" s="200">
        <v>166556.25</v>
      </c>
    </row>
    <row r="447" spans="2:14" ht="15.75" x14ac:dyDescent="0.25">
      <c r="B447" s="453" t="s">
        <v>882</v>
      </c>
      <c r="C447" s="342">
        <v>13724</v>
      </c>
      <c r="D447" s="454">
        <v>3.0492424242424199E-2</v>
      </c>
      <c r="E447" s="272">
        <v>5</v>
      </c>
      <c r="F447" s="272">
        <v>2</v>
      </c>
      <c r="G447" s="272">
        <v>2</v>
      </c>
      <c r="H447" s="272">
        <v>0</v>
      </c>
      <c r="I447" s="403">
        <f t="shared" si="6"/>
        <v>4</v>
      </c>
      <c r="J447" s="272">
        <v>0</v>
      </c>
      <c r="K447" s="456" t="s">
        <v>422</v>
      </c>
      <c r="L447" s="272" t="s">
        <v>510</v>
      </c>
      <c r="M447" s="405" t="s">
        <v>803</v>
      </c>
      <c r="N447" s="200">
        <v>13160</v>
      </c>
    </row>
    <row r="448" spans="2:14" ht="15.75" x14ac:dyDescent="0.25">
      <c r="B448" s="453" t="s">
        <v>883</v>
      </c>
      <c r="C448" s="342">
        <v>13414</v>
      </c>
      <c r="D448" s="454">
        <v>9.5075757575757494E-2</v>
      </c>
      <c r="E448" s="272">
        <v>9</v>
      </c>
      <c r="F448" s="272">
        <v>7</v>
      </c>
      <c r="G448" s="272">
        <v>0</v>
      </c>
      <c r="H448" s="272">
        <v>1</v>
      </c>
      <c r="I448" s="403">
        <f t="shared" si="6"/>
        <v>8</v>
      </c>
      <c r="J448" s="272">
        <v>0</v>
      </c>
      <c r="K448" s="455" t="s">
        <v>423</v>
      </c>
      <c r="L448" s="272" t="s">
        <v>510</v>
      </c>
      <c r="M448" s="405" t="s">
        <v>803</v>
      </c>
      <c r="N448" s="200">
        <v>31279.924242424298</v>
      </c>
    </row>
    <row r="449" spans="2:14" ht="15.75" x14ac:dyDescent="0.25">
      <c r="B449" s="453" t="s">
        <v>884</v>
      </c>
      <c r="C449" s="342">
        <v>13414</v>
      </c>
      <c r="D449" s="454">
        <v>0.17121212121212101</v>
      </c>
      <c r="E449" s="272">
        <v>14</v>
      </c>
      <c r="F449" s="272">
        <v>21</v>
      </c>
      <c r="G449" s="272">
        <v>3</v>
      </c>
      <c r="H449" s="272">
        <v>1</v>
      </c>
      <c r="I449" s="403">
        <f t="shared" si="6"/>
        <v>25</v>
      </c>
      <c r="J449" s="272">
        <v>6</v>
      </c>
      <c r="K449" s="456" t="s">
        <v>422</v>
      </c>
      <c r="L449" s="272" t="s">
        <v>510</v>
      </c>
      <c r="M449" s="405" t="s">
        <v>803</v>
      </c>
      <c r="N449" s="200">
        <v>56328.787878787902</v>
      </c>
    </row>
    <row r="450" spans="2:14" ht="15.75" x14ac:dyDescent="0.25">
      <c r="B450" s="453" t="s">
        <v>885</v>
      </c>
      <c r="C450" s="342">
        <v>13464</v>
      </c>
      <c r="D450" s="454">
        <v>0.49337121212121199</v>
      </c>
      <c r="E450" s="272">
        <v>33</v>
      </c>
      <c r="F450" s="272">
        <v>55</v>
      </c>
      <c r="G450" s="272">
        <v>3</v>
      </c>
      <c r="H450" s="272">
        <v>0</v>
      </c>
      <c r="I450" s="403">
        <f t="shared" si="6"/>
        <v>58</v>
      </c>
      <c r="J450" s="272">
        <v>0</v>
      </c>
      <c r="K450" s="456" t="s">
        <v>422</v>
      </c>
      <c r="L450" s="272" t="s">
        <v>510</v>
      </c>
      <c r="M450" s="405" t="s">
        <v>803</v>
      </c>
      <c r="N450" s="200">
        <v>162319.12878787899</v>
      </c>
    </row>
    <row r="451" spans="2:14" ht="15.75" x14ac:dyDescent="0.25">
      <c r="B451" s="453" t="s">
        <v>886</v>
      </c>
      <c r="C451" s="342">
        <v>13464</v>
      </c>
      <c r="D451" s="454">
        <v>0.21022727272727201</v>
      </c>
      <c r="E451" s="272">
        <v>10</v>
      </c>
      <c r="F451" s="272">
        <v>21</v>
      </c>
      <c r="G451" s="272">
        <v>7</v>
      </c>
      <c r="H451" s="272">
        <v>0</v>
      </c>
      <c r="I451" s="403">
        <f t="shared" si="6"/>
        <v>28</v>
      </c>
      <c r="J451" s="272">
        <v>2</v>
      </c>
      <c r="K451" s="455" t="s">
        <v>422</v>
      </c>
      <c r="L451" s="272" t="s">
        <v>510</v>
      </c>
      <c r="M451" s="405" t="s">
        <v>803</v>
      </c>
      <c r="N451" s="200">
        <v>69164.772727272706</v>
      </c>
    </row>
    <row r="452" spans="2:14" ht="15.75" x14ac:dyDescent="0.25">
      <c r="B452" s="453" t="s">
        <v>887</v>
      </c>
      <c r="C452" s="342">
        <v>13808</v>
      </c>
      <c r="D452" s="454">
        <v>0.28787878787878701</v>
      </c>
      <c r="E452" s="272">
        <v>19</v>
      </c>
      <c r="F452" s="272">
        <v>2</v>
      </c>
      <c r="G452" s="272">
        <v>0</v>
      </c>
      <c r="H452" s="272">
        <v>3</v>
      </c>
      <c r="I452" s="403">
        <f t="shared" si="6"/>
        <v>5</v>
      </c>
      <c r="J452" s="272">
        <v>0</v>
      </c>
      <c r="K452" s="456" t="s">
        <v>422</v>
      </c>
      <c r="L452" s="272" t="s">
        <v>510</v>
      </c>
      <c r="M452" s="405" t="s">
        <v>803</v>
      </c>
      <c r="N452" s="200">
        <v>94712.121212121201</v>
      </c>
    </row>
    <row r="453" spans="2:14" ht="15.75" x14ac:dyDescent="0.25">
      <c r="B453" s="453" t="s">
        <v>888</v>
      </c>
      <c r="C453" s="342">
        <v>13068</v>
      </c>
      <c r="D453" s="454">
        <v>0.102462121212121</v>
      </c>
      <c r="E453" s="272">
        <v>10</v>
      </c>
      <c r="F453" s="272">
        <v>9</v>
      </c>
      <c r="G453" s="272">
        <v>7</v>
      </c>
      <c r="H453" s="272">
        <v>0</v>
      </c>
      <c r="I453" s="403">
        <f t="shared" si="6"/>
        <v>16</v>
      </c>
      <c r="J453" s="272">
        <v>0</v>
      </c>
      <c r="K453" s="456" t="s">
        <v>422</v>
      </c>
      <c r="L453" s="272" t="s">
        <v>510</v>
      </c>
      <c r="M453" s="405" t="s">
        <v>803</v>
      </c>
      <c r="N453" s="200">
        <v>33710.037878787902</v>
      </c>
    </row>
    <row r="454" spans="2:14" ht="15.75" x14ac:dyDescent="0.25">
      <c r="B454" s="453" t="s">
        <v>889</v>
      </c>
      <c r="C454" s="342">
        <v>13463</v>
      </c>
      <c r="D454" s="454">
        <v>7.2727272727272696E-2</v>
      </c>
      <c r="E454" s="272">
        <v>6</v>
      </c>
      <c r="F454" s="272">
        <v>12</v>
      </c>
      <c r="G454" s="272">
        <v>2</v>
      </c>
      <c r="H454" s="272">
        <v>0</v>
      </c>
      <c r="I454" s="403">
        <f t="shared" si="6"/>
        <v>14</v>
      </c>
      <c r="J454" s="272">
        <v>0</v>
      </c>
      <c r="K454" s="455" t="s">
        <v>422</v>
      </c>
      <c r="L454" s="272" t="s">
        <v>510</v>
      </c>
      <c r="M454" s="405" t="s">
        <v>803</v>
      </c>
      <c r="N454" s="200">
        <v>23927.272727272699</v>
      </c>
    </row>
    <row r="455" spans="2:14" ht="15.75" x14ac:dyDescent="0.25">
      <c r="B455" s="453" t="s">
        <v>890</v>
      </c>
      <c r="C455" s="342">
        <v>13463</v>
      </c>
      <c r="D455" s="454">
        <v>8.8636363636363596E-2</v>
      </c>
      <c r="E455" s="272">
        <v>7</v>
      </c>
      <c r="F455" s="272">
        <v>13</v>
      </c>
      <c r="G455" s="272">
        <v>2</v>
      </c>
      <c r="H455" s="272">
        <v>0</v>
      </c>
      <c r="I455" s="403">
        <f t="shared" si="6"/>
        <v>15</v>
      </c>
      <c r="J455" s="272">
        <v>0</v>
      </c>
      <c r="K455" s="456" t="s">
        <v>422</v>
      </c>
      <c r="L455" s="272" t="s">
        <v>510</v>
      </c>
      <c r="M455" s="405" t="s">
        <v>803</v>
      </c>
      <c r="N455" s="200">
        <v>29161.3636363636</v>
      </c>
    </row>
    <row r="456" spans="2:14" ht="15.75" x14ac:dyDescent="0.25">
      <c r="B456" s="453" t="s">
        <v>891</v>
      </c>
      <c r="C456" s="342">
        <v>13961</v>
      </c>
      <c r="D456" s="454">
        <v>7.1590909090909094E-2</v>
      </c>
      <c r="E456" s="272">
        <v>9</v>
      </c>
      <c r="F456" s="272">
        <v>18</v>
      </c>
      <c r="G456" s="272">
        <v>2</v>
      </c>
      <c r="H456" s="272">
        <v>0</v>
      </c>
      <c r="I456" s="403">
        <f t="shared" ref="I456:I519" si="7">SUM(F456:H456)</f>
        <v>20</v>
      </c>
      <c r="J456" s="272">
        <v>0</v>
      </c>
      <c r="K456" s="456" t="s">
        <v>423</v>
      </c>
      <c r="L456" s="272" t="s">
        <v>510</v>
      </c>
      <c r="M456" s="405" t="s">
        <v>803</v>
      </c>
      <c r="N456" s="200">
        <v>23553.409090909099</v>
      </c>
    </row>
    <row r="457" spans="2:14" ht="15.75" x14ac:dyDescent="0.25">
      <c r="B457" s="453" t="s">
        <v>892</v>
      </c>
      <c r="C457" s="342">
        <v>13961</v>
      </c>
      <c r="D457" s="454">
        <v>5.1136363636363598E-2</v>
      </c>
      <c r="E457" s="272">
        <v>4</v>
      </c>
      <c r="F457" s="272">
        <v>2</v>
      </c>
      <c r="G457" s="272">
        <v>2</v>
      </c>
      <c r="H457" s="272">
        <v>0</v>
      </c>
      <c r="I457" s="403">
        <f t="shared" si="7"/>
        <v>4</v>
      </c>
      <c r="J457" s="272">
        <v>0</v>
      </c>
      <c r="K457" s="455" t="s">
        <v>423</v>
      </c>
      <c r="L457" s="272" t="s">
        <v>510</v>
      </c>
      <c r="M457" s="405" t="s">
        <v>803</v>
      </c>
      <c r="N457" s="200">
        <v>16823.8636363636</v>
      </c>
    </row>
    <row r="458" spans="2:14" ht="15.75" x14ac:dyDescent="0.25">
      <c r="B458" s="453" t="s">
        <v>893</v>
      </c>
      <c r="C458" s="342">
        <v>14000</v>
      </c>
      <c r="D458" s="454">
        <v>0.19450757575757499</v>
      </c>
      <c r="E458" s="272">
        <v>14</v>
      </c>
      <c r="F458" s="272">
        <v>5</v>
      </c>
      <c r="G458" s="272">
        <v>4</v>
      </c>
      <c r="H458" s="272">
        <v>0</v>
      </c>
      <c r="I458" s="403">
        <f t="shared" si="7"/>
        <v>9</v>
      </c>
      <c r="J458" s="272">
        <v>0</v>
      </c>
      <c r="K458" s="456" t="s">
        <v>422</v>
      </c>
      <c r="L458" s="272" t="s">
        <v>510</v>
      </c>
      <c r="M458" s="405" t="s">
        <v>803</v>
      </c>
      <c r="N458" s="200">
        <v>63992.992424242402</v>
      </c>
    </row>
    <row r="459" spans="2:14" ht="15.75" x14ac:dyDescent="0.25">
      <c r="B459" s="453" t="s">
        <v>894</v>
      </c>
      <c r="C459" s="342">
        <v>13959</v>
      </c>
      <c r="D459" s="454">
        <v>0.28541666666666599</v>
      </c>
      <c r="E459" s="272">
        <v>17</v>
      </c>
      <c r="F459" s="272">
        <v>14</v>
      </c>
      <c r="G459" s="272">
        <v>2</v>
      </c>
      <c r="H459" s="272">
        <v>0</v>
      </c>
      <c r="I459" s="403">
        <f t="shared" si="7"/>
        <v>16</v>
      </c>
      <c r="J459" s="272">
        <v>0</v>
      </c>
      <c r="K459" s="456" t="s">
        <v>423</v>
      </c>
      <c r="L459" s="272" t="s">
        <v>510</v>
      </c>
      <c r="M459" s="405" t="s">
        <v>803</v>
      </c>
      <c r="N459" s="200">
        <v>93902.083333333401</v>
      </c>
    </row>
    <row r="460" spans="2:14" ht="15.75" x14ac:dyDescent="0.25">
      <c r="B460" s="453" t="s">
        <v>895</v>
      </c>
      <c r="C460" s="342">
        <v>13959</v>
      </c>
      <c r="D460" s="454">
        <v>9.7159090909090903E-2</v>
      </c>
      <c r="E460" s="272">
        <v>9</v>
      </c>
      <c r="F460" s="272">
        <v>17</v>
      </c>
      <c r="G460" s="272">
        <v>4</v>
      </c>
      <c r="H460" s="272">
        <v>0</v>
      </c>
      <c r="I460" s="403">
        <f t="shared" si="7"/>
        <v>21</v>
      </c>
      <c r="J460" s="272">
        <v>0</v>
      </c>
      <c r="K460" s="455" t="s">
        <v>422</v>
      </c>
      <c r="L460" s="272" t="s">
        <v>510</v>
      </c>
      <c r="M460" s="405" t="s">
        <v>803</v>
      </c>
      <c r="N460" s="200">
        <v>31965.340909090901</v>
      </c>
    </row>
    <row r="461" spans="2:14" ht="15.75" x14ac:dyDescent="0.25">
      <c r="B461" s="453" t="s">
        <v>896</v>
      </c>
      <c r="C461" s="342">
        <v>13959</v>
      </c>
      <c r="D461" s="454">
        <v>8.7121212121212099E-2</v>
      </c>
      <c r="E461" s="272">
        <v>7</v>
      </c>
      <c r="F461" s="272">
        <v>1</v>
      </c>
      <c r="G461" s="272">
        <v>1</v>
      </c>
      <c r="H461" s="272">
        <v>0</v>
      </c>
      <c r="I461" s="403">
        <f t="shared" si="7"/>
        <v>2</v>
      </c>
      <c r="J461" s="272">
        <v>0</v>
      </c>
      <c r="K461" s="456" t="s">
        <v>423</v>
      </c>
      <c r="L461" s="272" t="s">
        <v>441</v>
      </c>
      <c r="M461" s="405" t="s">
        <v>510</v>
      </c>
      <c r="N461" s="200">
        <v>28662.878787878799</v>
      </c>
    </row>
    <row r="462" spans="2:14" ht="15.75" x14ac:dyDescent="0.25">
      <c r="B462" s="453" t="s">
        <v>897</v>
      </c>
      <c r="C462" s="342">
        <v>13243</v>
      </c>
      <c r="D462" s="454">
        <v>8.5037878787878704E-2</v>
      </c>
      <c r="E462" s="272">
        <v>6</v>
      </c>
      <c r="F462" s="272">
        <v>43</v>
      </c>
      <c r="G462" s="272">
        <v>0</v>
      </c>
      <c r="H462" s="272">
        <v>1</v>
      </c>
      <c r="I462" s="403">
        <f t="shared" si="7"/>
        <v>44</v>
      </c>
      <c r="J462" s="272">
        <v>0</v>
      </c>
      <c r="K462" s="456" t="s">
        <v>422</v>
      </c>
      <c r="L462" s="272" t="s">
        <v>441</v>
      </c>
      <c r="M462" s="405" t="s">
        <v>510</v>
      </c>
      <c r="N462" s="200">
        <v>27977.462121212098</v>
      </c>
    </row>
    <row r="463" spans="2:14" ht="15.75" x14ac:dyDescent="0.25">
      <c r="B463" s="453" t="s">
        <v>898</v>
      </c>
      <c r="C463" s="342">
        <v>13243</v>
      </c>
      <c r="D463" s="454">
        <v>0.26117424242424198</v>
      </c>
      <c r="E463" s="272">
        <v>18</v>
      </c>
      <c r="F463" s="272">
        <v>48</v>
      </c>
      <c r="G463" s="272">
        <v>5</v>
      </c>
      <c r="H463" s="272">
        <v>0</v>
      </c>
      <c r="I463" s="403">
        <f t="shared" si="7"/>
        <v>53</v>
      </c>
      <c r="J463" s="272">
        <v>0</v>
      </c>
      <c r="K463" s="455" t="s">
        <v>422</v>
      </c>
      <c r="L463" s="272" t="s">
        <v>441</v>
      </c>
      <c r="M463" s="405" t="s">
        <v>510</v>
      </c>
      <c r="N463" s="200">
        <v>85926.325757575803</v>
      </c>
    </row>
    <row r="464" spans="2:14" ht="15.75" x14ac:dyDescent="0.25">
      <c r="B464" s="453" t="s">
        <v>899</v>
      </c>
      <c r="C464" s="342">
        <v>13651</v>
      </c>
      <c r="D464" s="454">
        <v>0.17348484848484799</v>
      </c>
      <c r="E464" s="272">
        <v>12</v>
      </c>
      <c r="F464" s="272">
        <v>39</v>
      </c>
      <c r="G464" s="272">
        <v>3</v>
      </c>
      <c r="H464" s="272">
        <v>2</v>
      </c>
      <c r="I464" s="403">
        <f t="shared" si="7"/>
        <v>44</v>
      </c>
      <c r="J464" s="272">
        <v>5</v>
      </c>
      <c r="K464" s="456" t="s">
        <v>428</v>
      </c>
      <c r="L464" s="272" t="s">
        <v>811</v>
      </c>
      <c r="M464" s="405" t="s">
        <v>812</v>
      </c>
      <c r="N464" s="200">
        <v>57076.515151515203</v>
      </c>
    </row>
    <row r="465" spans="2:14" ht="15.75" x14ac:dyDescent="0.25">
      <c r="B465" s="453" t="s">
        <v>900</v>
      </c>
      <c r="C465" s="342">
        <v>13805</v>
      </c>
      <c r="D465" s="454">
        <v>0.32689393939393901</v>
      </c>
      <c r="E465" s="272">
        <v>16</v>
      </c>
      <c r="F465" s="272">
        <v>5</v>
      </c>
      <c r="G465" s="272">
        <v>2</v>
      </c>
      <c r="H465" s="272">
        <v>1</v>
      </c>
      <c r="I465" s="403">
        <f t="shared" si="7"/>
        <v>8</v>
      </c>
      <c r="J465" s="272">
        <v>0</v>
      </c>
      <c r="K465" s="456" t="s">
        <v>422</v>
      </c>
      <c r="L465" s="272" t="s">
        <v>441</v>
      </c>
      <c r="M465" s="405" t="s">
        <v>510</v>
      </c>
      <c r="N465" s="200">
        <v>107548.10606060601</v>
      </c>
    </row>
    <row r="466" spans="2:14" ht="15.75" x14ac:dyDescent="0.25">
      <c r="B466" s="453" t="s">
        <v>901</v>
      </c>
      <c r="C466" s="342">
        <v>13143</v>
      </c>
      <c r="D466" s="454">
        <v>9.4318181818181801E-2</v>
      </c>
      <c r="E466" s="272">
        <v>10</v>
      </c>
      <c r="F466" s="272">
        <v>17</v>
      </c>
      <c r="G466" s="272">
        <v>12</v>
      </c>
      <c r="H466" s="272">
        <v>0</v>
      </c>
      <c r="I466" s="403">
        <f t="shared" si="7"/>
        <v>29</v>
      </c>
      <c r="J466" s="272">
        <v>0</v>
      </c>
      <c r="K466" s="455" t="s">
        <v>428</v>
      </c>
      <c r="L466" s="272" t="s">
        <v>437</v>
      </c>
      <c r="M466" s="405" t="s">
        <v>516</v>
      </c>
      <c r="N466" s="200">
        <v>31030.681818181802</v>
      </c>
    </row>
    <row r="467" spans="2:14" ht="15.75" x14ac:dyDescent="0.25">
      <c r="B467" s="453" t="s">
        <v>902</v>
      </c>
      <c r="C467" s="342">
        <v>13896</v>
      </c>
      <c r="D467" s="454">
        <v>0.27556818181818099</v>
      </c>
      <c r="E467" s="272">
        <v>16</v>
      </c>
      <c r="F467" s="272">
        <v>9</v>
      </c>
      <c r="G467" s="272">
        <v>12</v>
      </c>
      <c r="H467" s="272">
        <v>0</v>
      </c>
      <c r="I467" s="403">
        <f t="shared" si="7"/>
        <v>21</v>
      </c>
      <c r="J467" s="272">
        <v>0</v>
      </c>
      <c r="K467" s="456" t="s">
        <v>428</v>
      </c>
      <c r="L467" s="272" t="s">
        <v>437</v>
      </c>
      <c r="M467" s="405" t="s">
        <v>516</v>
      </c>
      <c r="N467" s="200">
        <v>90661.931818181896</v>
      </c>
    </row>
    <row r="468" spans="2:14" ht="15.75" x14ac:dyDescent="0.25">
      <c r="B468" s="453" t="s">
        <v>903</v>
      </c>
      <c r="C468" s="342">
        <v>13899</v>
      </c>
      <c r="D468" s="454">
        <v>0.16761363636363599</v>
      </c>
      <c r="E468" s="272">
        <v>13</v>
      </c>
      <c r="F468" s="272">
        <v>5</v>
      </c>
      <c r="G468" s="272">
        <v>2</v>
      </c>
      <c r="H468" s="272">
        <v>1</v>
      </c>
      <c r="I468" s="403">
        <f t="shared" si="7"/>
        <v>8</v>
      </c>
      <c r="J468" s="272">
        <v>0</v>
      </c>
      <c r="K468" s="456" t="s">
        <v>428</v>
      </c>
      <c r="L468" s="272" t="s">
        <v>811</v>
      </c>
      <c r="M468" s="405" t="s">
        <v>812</v>
      </c>
      <c r="N468" s="200">
        <v>55144.886363636397</v>
      </c>
    </row>
    <row r="469" spans="2:14" ht="15.75" x14ac:dyDescent="0.25">
      <c r="B469" s="453" t="s">
        <v>904</v>
      </c>
      <c r="C469" s="342">
        <v>13081</v>
      </c>
      <c r="D469" s="454">
        <v>8.2575757575757497E-2</v>
      </c>
      <c r="E469" s="272">
        <v>9</v>
      </c>
      <c r="F469" s="272">
        <v>26</v>
      </c>
      <c r="G469" s="272">
        <v>5</v>
      </c>
      <c r="H469" s="272">
        <v>0</v>
      </c>
      <c r="I469" s="403">
        <f t="shared" si="7"/>
        <v>31</v>
      </c>
      <c r="J469" s="272">
        <v>0</v>
      </c>
      <c r="K469" s="455" t="s">
        <v>428</v>
      </c>
      <c r="L469" s="272" t="s">
        <v>510</v>
      </c>
      <c r="M469" s="405" t="s">
        <v>803</v>
      </c>
      <c r="N469" s="200">
        <v>27167.424242424298</v>
      </c>
    </row>
    <row r="470" spans="2:14" ht="15.75" x14ac:dyDescent="0.25">
      <c r="B470" s="453" t="s">
        <v>905</v>
      </c>
      <c r="C470" s="342">
        <v>13047</v>
      </c>
      <c r="D470" s="454">
        <v>0.24431818181818099</v>
      </c>
      <c r="E470" s="272">
        <v>25</v>
      </c>
      <c r="F470" s="272">
        <v>37</v>
      </c>
      <c r="G470" s="272">
        <v>1</v>
      </c>
      <c r="H470" s="272">
        <v>1</v>
      </c>
      <c r="I470" s="403">
        <f t="shared" si="7"/>
        <v>39</v>
      </c>
      <c r="J470" s="272">
        <v>0</v>
      </c>
      <c r="K470" s="456" t="s">
        <v>422</v>
      </c>
      <c r="L470" s="272" t="s">
        <v>441</v>
      </c>
      <c r="M470" s="405" t="s">
        <v>510</v>
      </c>
      <c r="N470" s="200">
        <v>80380.681818181896</v>
      </c>
    </row>
    <row r="471" spans="2:14" ht="15.75" x14ac:dyDescent="0.25">
      <c r="B471" s="453" t="s">
        <v>906</v>
      </c>
      <c r="C471" s="342">
        <v>13094</v>
      </c>
      <c r="D471" s="454">
        <v>0.25454545454545402</v>
      </c>
      <c r="E471" s="272">
        <v>27</v>
      </c>
      <c r="F471" s="272">
        <v>84</v>
      </c>
      <c r="G471" s="272">
        <v>7</v>
      </c>
      <c r="H471" s="272">
        <v>1</v>
      </c>
      <c r="I471" s="403">
        <f t="shared" si="7"/>
        <v>92</v>
      </c>
      <c r="J471" s="272">
        <v>2</v>
      </c>
      <c r="K471" s="456" t="s">
        <v>422</v>
      </c>
      <c r="L471" s="272" t="s">
        <v>441</v>
      </c>
      <c r="M471" s="405" t="s">
        <v>510</v>
      </c>
      <c r="N471" s="200">
        <v>83745.454545454602</v>
      </c>
    </row>
    <row r="472" spans="2:14" ht="15.75" x14ac:dyDescent="0.25">
      <c r="B472" s="453" t="s">
        <v>907</v>
      </c>
      <c r="C472" s="342">
        <v>13008</v>
      </c>
      <c r="D472" s="454">
        <v>0.269507575757575</v>
      </c>
      <c r="E472" s="272">
        <v>18</v>
      </c>
      <c r="F472" s="272">
        <v>28</v>
      </c>
      <c r="G472" s="272">
        <v>2</v>
      </c>
      <c r="H472" s="272">
        <v>2</v>
      </c>
      <c r="I472" s="403">
        <f t="shared" si="7"/>
        <v>32</v>
      </c>
      <c r="J472" s="272">
        <v>0</v>
      </c>
      <c r="K472" s="455" t="s">
        <v>422</v>
      </c>
      <c r="L472" s="272" t="s">
        <v>441</v>
      </c>
      <c r="M472" s="405" t="s">
        <v>510</v>
      </c>
      <c r="N472" s="200">
        <v>88667.992424242402</v>
      </c>
    </row>
    <row r="473" spans="2:14" ht="15.75" x14ac:dyDescent="0.25">
      <c r="B473" s="453" t="s">
        <v>908</v>
      </c>
      <c r="C473" s="342">
        <v>13008</v>
      </c>
      <c r="D473" s="454">
        <v>0.35568181818181799</v>
      </c>
      <c r="E473" s="272">
        <v>19</v>
      </c>
      <c r="F473" s="272">
        <v>6</v>
      </c>
      <c r="G473" s="272">
        <v>1</v>
      </c>
      <c r="H473" s="272">
        <v>2</v>
      </c>
      <c r="I473" s="403">
        <f t="shared" si="7"/>
        <v>9</v>
      </c>
      <c r="J473" s="272">
        <v>0</v>
      </c>
      <c r="K473" s="456" t="s">
        <v>422</v>
      </c>
      <c r="L473" s="272" t="s">
        <v>441</v>
      </c>
      <c r="M473" s="405" t="s">
        <v>510</v>
      </c>
      <c r="N473" s="200">
        <v>117019.318181818</v>
      </c>
    </row>
    <row r="474" spans="2:14" ht="15.75" x14ac:dyDescent="0.25">
      <c r="B474" s="453" t="s">
        <v>909</v>
      </c>
      <c r="C474" s="342">
        <v>13049</v>
      </c>
      <c r="D474" s="454">
        <v>5.8712121212121202E-2</v>
      </c>
      <c r="E474" s="272">
        <v>5</v>
      </c>
      <c r="F474" s="272">
        <v>31</v>
      </c>
      <c r="G474" s="272">
        <v>0</v>
      </c>
      <c r="H474" s="272">
        <v>1</v>
      </c>
      <c r="I474" s="403">
        <f t="shared" si="7"/>
        <v>32</v>
      </c>
      <c r="J474" s="272">
        <v>0</v>
      </c>
      <c r="K474" s="456" t="s">
        <v>422</v>
      </c>
      <c r="L474" s="272" t="s">
        <v>441</v>
      </c>
      <c r="M474" s="405" t="s">
        <v>510</v>
      </c>
      <c r="N474" s="200">
        <v>19316.287878787902</v>
      </c>
    </row>
    <row r="475" spans="2:14" ht="15.75" x14ac:dyDescent="0.25">
      <c r="B475" s="453" t="s">
        <v>910</v>
      </c>
      <c r="C475" s="342">
        <v>13049</v>
      </c>
      <c r="D475" s="454">
        <v>7.4621212121212102E-2</v>
      </c>
      <c r="E475" s="272">
        <v>9</v>
      </c>
      <c r="F475" s="272">
        <v>9</v>
      </c>
      <c r="G475" s="272">
        <v>1</v>
      </c>
      <c r="H475" s="272">
        <v>1</v>
      </c>
      <c r="I475" s="403">
        <f t="shared" si="7"/>
        <v>11</v>
      </c>
      <c r="J475" s="272">
        <v>4</v>
      </c>
      <c r="K475" s="455" t="s">
        <v>422</v>
      </c>
      <c r="L475" s="272" t="s">
        <v>441</v>
      </c>
      <c r="M475" s="405" t="s">
        <v>510</v>
      </c>
      <c r="N475" s="200">
        <v>24550.378787878799</v>
      </c>
    </row>
    <row r="476" spans="2:14" ht="15.75" x14ac:dyDescent="0.25">
      <c r="B476" s="453" t="s">
        <v>911</v>
      </c>
      <c r="C476" s="342">
        <v>13029</v>
      </c>
      <c r="D476" s="454">
        <v>0.42518939393939298</v>
      </c>
      <c r="E476" s="272">
        <v>40</v>
      </c>
      <c r="F476" s="272">
        <v>4</v>
      </c>
      <c r="G476" s="272">
        <v>21</v>
      </c>
      <c r="H476" s="272">
        <v>15</v>
      </c>
      <c r="I476" s="403">
        <f t="shared" si="7"/>
        <v>40</v>
      </c>
      <c r="J476" s="272">
        <v>7</v>
      </c>
      <c r="K476" s="456" t="s">
        <v>422</v>
      </c>
      <c r="L476" s="272" t="s">
        <v>422</v>
      </c>
      <c r="M476" s="405" t="s">
        <v>432</v>
      </c>
      <c r="N476" s="200">
        <v>139887.31052612499</v>
      </c>
    </row>
    <row r="477" spans="2:14" ht="15.75" x14ac:dyDescent="0.25">
      <c r="B477" s="453" t="s">
        <v>912</v>
      </c>
      <c r="C477" s="342">
        <v>13007</v>
      </c>
      <c r="D477" s="454">
        <v>9.8863636363636306E-2</v>
      </c>
      <c r="E477" s="272">
        <v>10</v>
      </c>
      <c r="F477" s="272">
        <v>15</v>
      </c>
      <c r="G477" s="272">
        <v>5</v>
      </c>
      <c r="H477" s="272">
        <v>1</v>
      </c>
      <c r="I477" s="403">
        <f t="shared" si="7"/>
        <v>21</v>
      </c>
      <c r="J477" s="272">
        <v>0</v>
      </c>
      <c r="K477" s="456" t="s">
        <v>422</v>
      </c>
      <c r="L477" s="272" t="s">
        <v>441</v>
      </c>
      <c r="M477" s="405" t="s">
        <v>510</v>
      </c>
      <c r="N477" s="200">
        <v>32526.1363636364</v>
      </c>
    </row>
    <row r="478" spans="2:14" ht="15.75" x14ac:dyDescent="0.25">
      <c r="B478" s="453" t="s">
        <v>913</v>
      </c>
      <c r="C478" s="342">
        <v>13088</v>
      </c>
      <c r="D478" s="454">
        <v>7.3484848484848403E-2</v>
      </c>
      <c r="E478" s="272">
        <v>9</v>
      </c>
      <c r="F478" s="272">
        <v>6</v>
      </c>
      <c r="G478" s="272">
        <v>11</v>
      </c>
      <c r="H478" s="272">
        <v>1</v>
      </c>
      <c r="I478" s="403">
        <f t="shared" si="7"/>
        <v>18</v>
      </c>
      <c r="J478" s="272">
        <v>0</v>
      </c>
      <c r="K478" s="455" t="s">
        <v>422</v>
      </c>
      <c r="L478" s="272" t="s">
        <v>422</v>
      </c>
      <c r="M478" s="405" t="s">
        <v>432</v>
      </c>
      <c r="N478" s="200">
        <v>24176.515151515101</v>
      </c>
    </row>
    <row r="479" spans="2:14" ht="15.75" x14ac:dyDescent="0.25">
      <c r="B479" s="453" t="s">
        <v>914</v>
      </c>
      <c r="C479" s="342">
        <v>13093</v>
      </c>
      <c r="D479" s="454">
        <v>0.286174242424242</v>
      </c>
      <c r="E479" s="272">
        <v>29</v>
      </c>
      <c r="F479" s="272">
        <v>61</v>
      </c>
      <c r="G479" s="272">
        <v>2</v>
      </c>
      <c r="H479" s="272">
        <v>1</v>
      </c>
      <c r="I479" s="403">
        <f t="shared" si="7"/>
        <v>64</v>
      </c>
      <c r="J479" s="272">
        <v>0</v>
      </c>
      <c r="K479" s="456" t="s">
        <v>428</v>
      </c>
      <c r="L479" s="272" t="s">
        <v>441</v>
      </c>
      <c r="M479" s="405" t="s">
        <v>510</v>
      </c>
      <c r="N479" s="200">
        <v>94151.325757575803</v>
      </c>
    </row>
    <row r="480" spans="2:14" ht="15.75" x14ac:dyDescent="0.25">
      <c r="B480" s="453" t="s">
        <v>915</v>
      </c>
      <c r="C480" s="342">
        <v>13091</v>
      </c>
      <c r="D480" s="454">
        <v>0.56780303030303003</v>
      </c>
      <c r="E480" s="272">
        <v>53</v>
      </c>
      <c r="F480" s="272">
        <v>101</v>
      </c>
      <c r="G480" s="272">
        <v>12</v>
      </c>
      <c r="H480" s="272">
        <v>0</v>
      </c>
      <c r="I480" s="403">
        <f t="shared" si="7"/>
        <v>113</v>
      </c>
      <c r="J480" s="272">
        <v>0</v>
      </c>
      <c r="K480" s="456" t="s">
        <v>428</v>
      </c>
      <c r="L480" s="272" t="s">
        <v>441</v>
      </c>
      <c r="M480" s="405" t="s">
        <v>510</v>
      </c>
      <c r="N480" s="200">
        <v>186807.19686294999</v>
      </c>
    </row>
    <row r="481" spans="2:14" ht="15.75" x14ac:dyDescent="0.25">
      <c r="B481" s="453" t="s">
        <v>916</v>
      </c>
      <c r="C481" s="342">
        <v>13093</v>
      </c>
      <c r="D481" s="454">
        <v>0.180681818181818</v>
      </c>
      <c r="E481" s="272">
        <v>16</v>
      </c>
      <c r="F481" s="272">
        <v>28</v>
      </c>
      <c r="G481" s="272">
        <v>0</v>
      </c>
      <c r="H481" s="272">
        <v>1</v>
      </c>
      <c r="I481" s="403">
        <f t="shared" si="7"/>
        <v>29</v>
      </c>
      <c r="J481" s="272">
        <v>0</v>
      </c>
      <c r="K481" s="455" t="s">
        <v>422</v>
      </c>
      <c r="L481" s="272" t="s">
        <v>441</v>
      </c>
      <c r="M481" s="405" t="s">
        <v>510</v>
      </c>
      <c r="N481" s="200">
        <v>59444.318181818198</v>
      </c>
    </row>
    <row r="482" spans="2:14" ht="15.75" x14ac:dyDescent="0.25">
      <c r="B482" s="453" t="s">
        <v>917</v>
      </c>
      <c r="C482" s="342">
        <v>13163</v>
      </c>
      <c r="D482" s="454">
        <v>0.12803030303030299</v>
      </c>
      <c r="E482" s="272">
        <v>12</v>
      </c>
      <c r="F482" s="272">
        <v>17</v>
      </c>
      <c r="G482" s="272">
        <v>12</v>
      </c>
      <c r="H482" s="272">
        <v>3</v>
      </c>
      <c r="I482" s="403">
        <f t="shared" si="7"/>
        <v>32</v>
      </c>
      <c r="J482" s="272">
        <v>0</v>
      </c>
      <c r="K482" s="456" t="s">
        <v>428</v>
      </c>
      <c r="L482" s="272" t="s">
        <v>510</v>
      </c>
      <c r="M482" s="405" t="s">
        <v>803</v>
      </c>
      <c r="N482" s="200">
        <v>42121.969696969703</v>
      </c>
    </row>
    <row r="483" spans="2:14" ht="15.75" x14ac:dyDescent="0.25">
      <c r="B483" s="453" t="s">
        <v>918</v>
      </c>
      <c r="C483" s="342">
        <v>13163</v>
      </c>
      <c r="D483" s="454">
        <v>0.17954545454545401</v>
      </c>
      <c r="E483" s="272">
        <v>18</v>
      </c>
      <c r="F483" s="272">
        <v>19</v>
      </c>
      <c r="G483" s="272">
        <v>17</v>
      </c>
      <c r="H483" s="272">
        <v>1</v>
      </c>
      <c r="I483" s="403">
        <f t="shared" si="7"/>
        <v>37</v>
      </c>
      <c r="J483" s="272">
        <v>10</v>
      </c>
      <c r="K483" s="456" t="s">
        <v>428</v>
      </c>
      <c r="L483" s="272" t="s">
        <v>441</v>
      </c>
      <c r="M483" s="405" t="s">
        <v>510</v>
      </c>
      <c r="N483" s="200">
        <v>59070.454545454602</v>
      </c>
    </row>
    <row r="484" spans="2:14" ht="15.75" x14ac:dyDescent="0.25">
      <c r="B484" s="453" t="s">
        <v>919</v>
      </c>
      <c r="C484" s="342">
        <v>13143</v>
      </c>
      <c r="D484" s="454">
        <v>0.30189393939393899</v>
      </c>
      <c r="E484" s="272">
        <v>32</v>
      </c>
      <c r="F484" s="272">
        <v>48</v>
      </c>
      <c r="G484" s="272">
        <v>1</v>
      </c>
      <c r="H484" s="272">
        <v>0</v>
      </c>
      <c r="I484" s="403">
        <f t="shared" si="7"/>
        <v>49</v>
      </c>
      <c r="J484" s="272">
        <v>0</v>
      </c>
      <c r="K484" s="455" t="s">
        <v>422</v>
      </c>
      <c r="L484" s="272" t="s">
        <v>510</v>
      </c>
      <c r="M484" s="405" t="s">
        <v>803</v>
      </c>
      <c r="N484" s="200">
        <v>99323.106060606005</v>
      </c>
    </row>
    <row r="485" spans="2:14" ht="15.75" x14ac:dyDescent="0.25">
      <c r="B485" s="453" t="s">
        <v>920</v>
      </c>
      <c r="C485" s="342">
        <v>13288</v>
      </c>
      <c r="D485" s="454">
        <v>0.17007575757575699</v>
      </c>
      <c r="E485" s="272">
        <v>22</v>
      </c>
      <c r="F485" s="272">
        <v>15</v>
      </c>
      <c r="G485" s="272">
        <v>9</v>
      </c>
      <c r="H485" s="272">
        <v>6</v>
      </c>
      <c r="I485" s="403">
        <f t="shared" si="7"/>
        <v>30</v>
      </c>
      <c r="J485" s="272">
        <v>1</v>
      </c>
      <c r="K485" s="456" t="s">
        <v>428</v>
      </c>
      <c r="L485" s="272" t="s">
        <v>811</v>
      </c>
      <c r="M485" s="405" t="s">
        <v>812</v>
      </c>
      <c r="N485" s="200">
        <v>55954.924242424197</v>
      </c>
    </row>
    <row r="486" spans="2:14" ht="15.75" x14ac:dyDescent="0.25">
      <c r="B486" s="453" t="s">
        <v>921</v>
      </c>
      <c r="C486" s="342">
        <v>13310</v>
      </c>
      <c r="D486" s="454">
        <v>0.19071969696969601</v>
      </c>
      <c r="E486" s="272">
        <v>19</v>
      </c>
      <c r="F486" s="272">
        <v>46</v>
      </c>
      <c r="G486" s="272">
        <v>9</v>
      </c>
      <c r="H486" s="272">
        <v>3</v>
      </c>
      <c r="I486" s="403">
        <f t="shared" si="7"/>
        <v>58</v>
      </c>
      <c r="J486" s="272">
        <v>0</v>
      </c>
      <c r="K486" s="456" t="s">
        <v>428</v>
      </c>
      <c r="L486" s="272" t="s">
        <v>811</v>
      </c>
      <c r="M486" s="405" t="s">
        <v>812</v>
      </c>
      <c r="N486" s="200">
        <v>62746.780303030297</v>
      </c>
    </row>
    <row r="487" spans="2:14" ht="15.75" x14ac:dyDescent="0.25">
      <c r="B487" s="453" t="s">
        <v>922</v>
      </c>
      <c r="C487" s="342">
        <v>13350</v>
      </c>
      <c r="D487" s="454">
        <v>0.112878787878787</v>
      </c>
      <c r="E487" s="272">
        <v>10</v>
      </c>
      <c r="F487" s="272">
        <v>64</v>
      </c>
      <c r="G487" s="272">
        <v>6</v>
      </c>
      <c r="H487" s="272">
        <v>0</v>
      </c>
      <c r="I487" s="403">
        <f t="shared" si="7"/>
        <v>70</v>
      </c>
      <c r="J487" s="272">
        <v>0</v>
      </c>
      <c r="K487" s="455" t="s">
        <v>426</v>
      </c>
      <c r="L487" s="272" t="s">
        <v>437</v>
      </c>
      <c r="M487" s="405" t="s">
        <v>516</v>
      </c>
      <c r="N487" s="200">
        <v>37137.121212121201</v>
      </c>
    </row>
    <row r="488" spans="2:14" ht="15.75" x14ac:dyDescent="0.25">
      <c r="B488" s="453" t="s">
        <v>923</v>
      </c>
      <c r="C488" s="342">
        <v>13405</v>
      </c>
      <c r="D488" s="454">
        <v>0.129924242424242</v>
      </c>
      <c r="E488" s="272">
        <v>6</v>
      </c>
      <c r="F488" s="272">
        <v>2</v>
      </c>
      <c r="G488" s="272">
        <v>2</v>
      </c>
      <c r="H488" s="272">
        <v>2</v>
      </c>
      <c r="I488" s="403">
        <f t="shared" si="7"/>
        <v>6</v>
      </c>
      <c r="J488" s="272">
        <v>6</v>
      </c>
      <c r="K488" s="456" t="s">
        <v>422</v>
      </c>
      <c r="L488" s="272" t="s">
        <v>510</v>
      </c>
      <c r="M488" s="405" t="s">
        <v>803</v>
      </c>
      <c r="N488" s="200">
        <v>42745.075757575803</v>
      </c>
    </row>
    <row r="489" spans="2:14" ht="15.75" x14ac:dyDescent="0.25">
      <c r="B489" s="453" t="s">
        <v>924</v>
      </c>
      <c r="C489" s="342">
        <v>13622</v>
      </c>
      <c r="D489" s="454">
        <v>0.14659090909090899</v>
      </c>
      <c r="E489" s="272">
        <v>6</v>
      </c>
      <c r="F489" s="272">
        <v>3</v>
      </c>
      <c r="G489" s="272">
        <v>3</v>
      </c>
      <c r="H489" s="272">
        <v>0</v>
      </c>
      <c r="I489" s="403">
        <f t="shared" si="7"/>
        <v>6</v>
      </c>
      <c r="J489" s="272">
        <v>0</v>
      </c>
      <c r="K489" s="456" t="s">
        <v>422</v>
      </c>
      <c r="L489" s="272" t="s">
        <v>510</v>
      </c>
      <c r="M489" s="405" t="s">
        <v>803</v>
      </c>
      <c r="N489" s="200">
        <v>48228.409090909103</v>
      </c>
    </row>
    <row r="490" spans="2:14" ht="15.75" x14ac:dyDescent="0.25">
      <c r="B490" s="453" t="s">
        <v>925</v>
      </c>
      <c r="C490" s="342">
        <v>13279</v>
      </c>
      <c r="D490" s="454">
        <v>0.108712121212121</v>
      </c>
      <c r="E490" s="272">
        <v>10</v>
      </c>
      <c r="F490" s="272">
        <v>15</v>
      </c>
      <c r="G490" s="272">
        <v>9</v>
      </c>
      <c r="H490" s="272">
        <v>1</v>
      </c>
      <c r="I490" s="403">
        <f t="shared" si="7"/>
        <v>25</v>
      </c>
      <c r="J490" s="272">
        <v>0</v>
      </c>
      <c r="K490" s="455" t="s">
        <v>428</v>
      </c>
      <c r="L490" s="272" t="s">
        <v>811</v>
      </c>
      <c r="M490" s="405" t="s">
        <v>812</v>
      </c>
      <c r="N490" s="200">
        <v>35766.287878787902</v>
      </c>
    </row>
    <row r="491" spans="2:14" ht="15.75" x14ac:dyDescent="0.25">
      <c r="B491" s="453" t="s">
        <v>926</v>
      </c>
      <c r="C491" s="342">
        <v>13610</v>
      </c>
      <c r="D491" s="454">
        <v>0.11534090909090899</v>
      </c>
      <c r="E491" s="272">
        <v>14</v>
      </c>
      <c r="F491" s="272">
        <v>17</v>
      </c>
      <c r="G491" s="272">
        <v>3</v>
      </c>
      <c r="H491" s="272">
        <v>1</v>
      </c>
      <c r="I491" s="403">
        <f t="shared" si="7"/>
        <v>21</v>
      </c>
      <c r="J491" s="272">
        <v>0</v>
      </c>
      <c r="K491" s="456" t="s">
        <v>428</v>
      </c>
      <c r="L491" s="272" t="s">
        <v>437</v>
      </c>
      <c r="M491" s="405" t="s">
        <v>516</v>
      </c>
      <c r="N491" s="200">
        <v>37947.159090909103</v>
      </c>
    </row>
    <row r="492" spans="2:14" ht="15.75" x14ac:dyDescent="0.25">
      <c r="B492" s="453" t="s">
        <v>927</v>
      </c>
      <c r="C492" s="342">
        <v>13175</v>
      </c>
      <c r="D492" s="454">
        <v>0.178219696969696</v>
      </c>
      <c r="E492" s="272">
        <v>16</v>
      </c>
      <c r="F492" s="272">
        <v>14</v>
      </c>
      <c r="G492" s="272">
        <v>6</v>
      </c>
      <c r="H492" s="272">
        <v>0</v>
      </c>
      <c r="I492" s="403">
        <f t="shared" si="7"/>
        <v>20</v>
      </c>
      <c r="J492" s="272">
        <v>0</v>
      </c>
      <c r="K492" s="456" t="s">
        <v>422</v>
      </c>
      <c r="L492" s="272" t="s">
        <v>437</v>
      </c>
      <c r="M492" s="405" t="s">
        <v>516</v>
      </c>
      <c r="N492" s="200">
        <v>58634.280303030297</v>
      </c>
    </row>
    <row r="493" spans="2:14" ht="15.75" x14ac:dyDescent="0.25">
      <c r="B493" s="453" t="s">
        <v>928</v>
      </c>
      <c r="C493" s="342">
        <v>13175</v>
      </c>
      <c r="D493" s="454">
        <v>0.12954545454545399</v>
      </c>
      <c r="E493" s="272">
        <v>13</v>
      </c>
      <c r="F493" s="272">
        <v>20</v>
      </c>
      <c r="G493" s="272">
        <v>5</v>
      </c>
      <c r="H493" s="272">
        <v>0</v>
      </c>
      <c r="I493" s="403">
        <f t="shared" si="7"/>
        <v>25</v>
      </c>
      <c r="J493" s="272">
        <v>0</v>
      </c>
      <c r="K493" s="455" t="s">
        <v>422</v>
      </c>
      <c r="L493" s="272" t="s">
        <v>437</v>
      </c>
      <c r="M493" s="405" t="s">
        <v>516</v>
      </c>
      <c r="N493" s="200">
        <v>42620.4545454545</v>
      </c>
    </row>
    <row r="494" spans="2:14" ht="15.75" x14ac:dyDescent="0.25">
      <c r="B494" s="453" t="s">
        <v>929</v>
      </c>
      <c r="C494" s="342">
        <v>13175</v>
      </c>
      <c r="D494" s="454">
        <v>9.6022727272727204E-2</v>
      </c>
      <c r="E494" s="272">
        <v>13</v>
      </c>
      <c r="F494" s="272">
        <v>16</v>
      </c>
      <c r="G494" s="272">
        <v>6</v>
      </c>
      <c r="H494" s="272">
        <v>0</v>
      </c>
      <c r="I494" s="403">
        <f t="shared" si="7"/>
        <v>22</v>
      </c>
      <c r="J494" s="272">
        <v>0</v>
      </c>
      <c r="K494" s="456" t="s">
        <v>426</v>
      </c>
      <c r="L494" s="272" t="s">
        <v>437</v>
      </c>
      <c r="M494" s="405" t="s">
        <v>516</v>
      </c>
      <c r="N494" s="200">
        <v>31591.477272727301</v>
      </c>
    </row>
    <row r="495" spans="2:14" ht="15.75" x14ac:dyDescent="0.25">
      <c r="B495" s="453" t="s">
        <v>930</v>
      </c>
      <c r="C495" s="342">
        <v>13668</v>
      </c>
      <c r="D495" s="454">
        <v>9.4886363636363602E-2</v>
      </c>
      <c r="E495" s="272">
        <v>5</v>
      </c>
      <c r="F495" s="272">
        <v>288</v>
      </c>
      <c r="G495" s="272">
        <v>17</v>
      </c>
      <c r="H495" s="272">
        <v>2</v>
      </c>
      <c r="I495" s="403">
        <f t="shared" si="7"/>
        <v>307</v>
      </c>
      <c r="J495" s="272">
        <v>0</v>
      </c>
      <c r="K495" s="456" t="s">
        <v>422</v>
      </c>
      <c r="L495" s="272" t="s">
        <v>437</v>
      </c>
      <c r="M495" s="405" t="s">
        <v>516</v>
      </c>
      <c r="N495" s="200">
        <v>31217.6136363636</v>
      </c>
    </row>
    <row r="496" spans="2:14" ht="15.75" x14ac:dyDescent="0.25">
      <c r="B496" s="453" t="s">
        <v>931</v>
      </c>
      <c r="C496" s="342">
        <v>14275</v>
      </c>
      <c r="D496" s="454">
        <v>3.44696969696969E-2</v>
      </c>
      <c r="E496" s="272">
        <v>9</v>
      </c>
      <c r="F496" s="272">
        <v>2</v>
      </c>
      <c r="G496" s="272">
        <v>2</v>
      </c>
      <c r="H496" s="272">
        <v>0</v>
      </c>
      <c r="I496" s="403">
        <f t="shared" si="7"/>
        <v>4</v>
      </c>
      <c r="J496" s="272">
        <v>0</v>
      </c>
      <c r="K496" s="455" t="s">
        <v>422</v>
      </c>
      <c r="L496" s="272" t="s">
        <v>510</v>
      </c>
      <c r="M496" s="405" t="s">
        <v>803</v>
      </c>
      <c r="N496" s="200">
        <v>13160</v>
      </c>
    </row>
    <row r="497" spans="2:14" ht="15.75" x14ac:dyDescent="0.25">
      <c r="B497" s="453" t="s">
        <v>932</v>
      </c>
      <c r="C497" s="342">
        <v>13082</v>
      </c>
      <c r="D497" s="454">
        <v>0.24583333333333299</v>
      </c>
      <c r="E497" s="272">
        <v>25</v>
      </c>
      <c r="F497" s="272">
        <v>40</v>
      </c>
      <c r="G497" s="272">
        <v>5</v>
      </c>
      <c r="H497" s="272">
        <v>1</v>
      </c>
      <c r="I497" s="403">
        <f t="shared" si="7"/>
        <v>46</v>
      </c>
      <c r="J497" s="272">
        <v>0</v>
      </c>
      <c r="K497" s="456" t="s">
        <v>428</v>
      </c>
      <c r="L497" s="272" t="s">
        <v>437</v>
      </c>
      <c r="M497" s="405" t="s">
        <v>516</v>
      </c>
      <c r="N497" s="200">
        <v>80879.166666666701</v>
      </c>
    </row>
    <row r="498" spans="2:14" ht="15.75" x14ac:dyDescent="0.25">
      <c r="B498" s="453" t="s">
        <v>933</v>
      </c>
      <c r="C498" s="342">
        <v>13082</v>
      </c>
      <c r="D498" s="454">
        <v>0.16155303030303</v>
      </c>
      <c r="E498" s="272">
        <v>18</v>
      </c>
      <c r="F498" s="272">
        <v>31</v>
      </c>
      <c r="G498" s="272">
        <v>2</v>
      </c>
      <c r="H498" s="272">
        <v>0</v>
      </c>
      <c r="I498" s="403">
        <f t="shared" si="7"/>
        <v>33</v>
      </c>
      <c r="J498" s="272">
        <v>0</v>
      </c>
      <c r="K498" s="456" t="s">
        <v>422</v>
      </c>
      <c r="L498" s="272" t="s">
        <v>510</v>
      </c>
      <c r="M498" s="405" t="s">
        <v>803</v>
      </c>
      <c r="N498" s="200">
        <v>53150.946969696997</v>
      </c>
    </row>
    <row r="499" spans="2:14" ht="15.75" x14ac:dyDescent="0.25">
      <c r="B499" s="453" t="s">
        <v>934</v>
      </c>
      <c r="C499" s="342">
        <v>13153</v>
      </c>
      <c r="D499" s="454">
        <v>0.10625</v>
      </c>
      <c r="E499" s="272">
        <v>10</v>
      </c>
      <c r="F499" s="272">
        <v>13</v>
      </c>
      <c r="G499" s="272">
        <v>0</v>
      </c>
      <c r="H499" s="272">
        <v>3</v>
      </c>
      <c r="I499" s="403">
        <f t="shared" si="7"/>
        <v>16</v>
      </c>
      <c r="J499" s="272">
        <v>0</v>
      </c>
      <c r="K499" s="455" t="s">
        <v>428</v>
      </c>
      <c r="L499" s="272" t="s">
        <v>811</v>
      </c>
      <c r="M499" s="405" t="s">
        <v>812</v>
      </c>
      <c r="N499" s="200">
        <v>34956.25</v>
      </c>
    </row>
    <row r="500" spans="2:14" ht="15.75" x14ac:dyDescent="0.25">
      <c r="B500" s="453" t="s">
        <v>935</v>
      </c>
      <c r="C500" s="342">
        <v>13359</v>
      </c>
      <c r="D500" s="454">
        <v>5.9848484848484797E-2</v>
      </c>
      <c r="E500" s="272">
        <v>7</v>
      </c>
      <c r="F500" s="272">
        <v>29</v>
      </c>
      <c r="G500" s="272">
        <v>8</v>
      </c>
      <c r="H500" s="272">
        <v>4</v>
      </c>
      <c r="I500" s="403">
        <f t="shared" si="7"/>
        <v>41</v>
      </c>
      <c r="J500" s="272">
        <v>0</v>
      </c>
      <c r="K500" s="456" t="s">
        <v>428</v>
      </c>
      <c r="L500" s="272" t="s">
        <v>437</v>
      </c>
      <c r="M500" s="405" t="s">
        <v>516</v>
      </c>
      <c r="N500" s="200">
        <v>19690.151515151501</v>
      </c>
    </row>
    <row r="501" spans="2:14" ht="15.75" x14ac:dyDescent="0.25">
      <c r="B501" s="453" t="s">
        <v>936</v>
      </c>
      <c r="C501" s="342">
        <v>13139</v>
      </c>
      <c r="D501" s="454">
        <v>0.21950757575757501</v>
      </c>
      <c r="E501" s="272">
        <v>18</v>
      </c>
      <c r="F501" s="272">
        <v>27</v>
      </c>
      <c r="G501" s="272">
        <v>4</v>
      </c>
      <c r="H501" s="272">
        <v>0</v>
      </c>
      <c r="I501" s="403">
        <f t="shared" si="7"/>
        <v>31</v>
      </c>
      <c r="J501" s="272">
        <v>0</v>
      </c>
      <c r="K501" s="456" t="s">
        <v>422</v>
      </c>
      <c r="L501" s="272" t="s">
        <v>510</v>
      </c>
      <c r="M501" s="405" t="s">
        <v>803</v>
      </c>
      <c r="N501" s="200">
        <v>72217.992424242402</v>
      </c>
    </row>
    <row r="502" spans="2:14" ht="15.75" x14ac:dyDescent="0.25">
      <c r="B502" s="453" t="s">
        <v>937</v>
      </c>
      <c r="C502" s="342">
        <v>13510</v>
      </c>
      <c r="D502" s="454">
        <v>0.29867424242424201</v>
      </c>
      <c r="E502" s="272">
        <v>34</v>
      </c>
      <c r="F502" s="272">
        <v>25</v>
      </c>
      <c r="G502" s="272">
        <v>4</v>
      </c>
      <c r="H502" s="272">
        <v>0</v>
      </c>
      <c r="I502" s="403">
        <f t="shared" si="7"/>
        <v>29</v>
      </c>
      <c r="J502" s="272">
        <v>0</v>
      </c>
      <c r="K502" s="455" t="s">
        <v>422</v>
      </c>
      <c r="L502" s="272" t="s">
        <v>510</v>
      </c>
      <c r="M502" s="405" t="s">
        <v>803</v>
      </c>
      <c r="N502" s="200">
        <v>98263.825757575702</v>
      </c>
    </row>
    <row r="503" spans="2:14" ht="15.75" x14ac:dyDescent="0.25">
      <c r="B503" s="453" t="s">
        <v>938</v>
      </c>
      <c r="C503" s="342">
        <v>13218</v>
      </c>
      <c r="D503" s="454">
        <v>0.63977272727272705</v>
      </c>
      <c r="E503" s="272">
        <v>53</v>
      </c>
      <c r="F503" s="272">
        <v>64</v>
      </c>
      <c r="G503" s="272">
        <v>9</v>
      </c>
      <c r="H503" s="272">
        <v>0</v>
      </c>
      <c r="I503" s="403">
        <f t="shared" si="7"/>
        <v>73</v>
      </c>
      <c r="J503" s="272">
        <v>0</v>
      </c>
      <c r="K503" s="456" t="s">
        <v>428</v>
      </c>
      <c r="L503" s="272" t="s">
        <v>510</v>
      </c>
      <c r="M503" s="405" t="s">
        <v>803</v>
      </c>
      <c r="N503" s="200">
        <v>210485.227272727</v>
      </c>
    </row>
    <row r="504" spans="2:14" ht="15.75" x14ac:dyDescent="0.25">
      <c r="B504" s="453" t="s">
        <v>939</v>
      </c>
      <c r="C504" s="342">
        <v>13388</v>
      </c>
      <c r="D504" s="454">
        <v>0.11950757575757499</v>
      </c>
      <c r="E504" s="272">
        <v>7</v>
      </c>
      <c r="F504" s="272">
        <v>6</v>
      </c>
      <c r="G504" s="272">
        <v>2</v>
      </c>
      <c r="H504" s="272">
        <v>0</v>
      </c>
      <c r="I504" s="403">
        <f t="shared" si="7"/>
        <v>8</v>
      </c>
      <c r="J504" s="272">
        <v>0</v>
      </c>
      <c r="K504" s="456" t="s">
        <v>422</v>
      </c>
      <c r="L504" s="272" t="s">
        <v>437</v>
      </c>
      <c r="M504" s="405" t="s">
        <v>516</v>
      </c>
      <c r="N504" s="200">
        <v>39317.992424242402</v>
      </c>
    </row>
    <row r="505" spans="2:14" ht="15.75" x14ac:dyDescent="0.25">
      <c r="B505" s="453" t="s">
        <v>940</v>
      </c>
      <c r="C505" s="342">
        <v>13308</v>
      </c>
      <c r="D505" s="454">
        <v>0.21571969696969601</v>
      </c>
      <c r="E505" s="272">
        <v>15</v>
      </c>
      <c r="F505" s="272">
        <v>15</v>
      </c>
      <c r="G505" s="272">
        <v>9</v>
      </c>
      <c r="H505" s="272">
        <v>2</v>
      </c>
      <c r="I505" s="403">
        <f t="shared" si="7"/>
        <v>26</v>
      </c>
      <c r="J505" s="272">
        <v>0</v>
      </c>
      <c r="K505" s="455" t="s">
        <v>428</v>
      </c>
      <c r="L505" s="272" t="s">
        <v>811</v>
      </c>
      <c r="M505" s="405" t="s">
        <v>812</v>
      </c>
      <c r="N505" s="200">
        <v>70971.780303030304</v>
      </c>
    </row>
    <row r="506" spans="2:14" ht="15.75" x14ac:dyDescent="0.25">
      <c r="B506" s="453" t="s">
        <v>941</v>
      </c>
      <c r="C506" s="342">
        <v>13961</v>
      </c>
      <c r="D506" s="454">
        <v>7.8787878787878698E-2</v>
      </c>
      <c r="E506" s="272">
        <v>7</v>
      </c>
      <c r="F506" s="272">
        <v>7</v>
      </c>
      <c r="G506" s="272">
        <v>1</v>
      </c>
      <c r="H506" s="272">
        <v>0</v>
      </c>
      <c r="I506" s="403">
        <f t="shared" si="7"/>
        <v>8</v>
      </c>
      <c r="J506" s="272">
        <v>0</v>
      </c>
      <c r="K506" s="456" t="s">
        <v>423</v>
      </c>
      <c r="L506" s="272" t="s">
        <v>441</v>
      </c>
      <c r="M506" s="405" t="s">
        <v>510</v>
      </c>
      <c r="N506" s="200">
        <v>25921.212121212098</v>
      </c>
    </row>
    <row r="507" spans="2:14" ht="15.75" x14ac:dyDescent="0.25">
      <c r="B507" s="453" t="s">
        <v>942</v>
      </c>
      <c r="C507" s="342">
        <v>13137</v>
      </c>
      <c r="D507" s="454">
        <v>9.0719696969696895E-2</v>
      </c>
      <c r="E507" s="272">
        <v>10</v>
      </c>
      <c r="F507" s="272">
        <v>159</v>
      </c>
      <c r="G507" s="272">
        <v>4</v>
      </c>
      <c r="H507" s="272">
        <v>0</v>
      </c>
      <c r="I507" s="403">
        <f t="shared" si="7"/>
        <v>163</v>
      </c>
      <c r="J507" s="272">
        <v>0</v>
      </c>
      <c r="K507" s="456" t="s">
        <v>428</v>
      </c>
      <c r="L507" s="272" t="s">
        <v>510</v>
      </c>
      <c r="M507" s="405" t="s">
        <v>803</v>
      </c>
      <c r="N507" s="200">
        <v>29846.7803030303</v>
      </c>
    </row>
    <row r="508" spans="2:14" ht="15.75" x14ac:dyDescent="0.25">
      <c r="B508" s="453" t="s">
        <v>943</v>
      </c>
      <c r="C508" s="342">
        <v>13045</v>
      </c>
      <c r="D508" s="454">
        <v>9.8484848484848397E-2</v>
      </c>
      <c r="E508" s="272">
        <v>12</v>
      </c>
      <c r="F508" s="272">
        <v>12</v>
      </c>
      <c r="G508" s="272">
        <v>3</v>
      </c>
      <c r="H508" s="272">
        <v>1</v>
      </c>
      <c r="I508" s="403">
        <f t="shared" si="7"/>
        <v>16</v>
      </c>
      <c r="J508" s="272">
        <v>0</v>
      </c>
      <c r="K508" s="455" t="s">
        <v>426</v>
      </c>
      <c r="L508" s="272" t="s">
        <v>437</v>
      </c>
      <c r="M508" s="405" t="s">
        <v>516</v>
      </c>
      <c r="N508" s="200">
        <v>32401.515151515101</v>
      </c>
    </row>
    <row r="509" spans="2:14" ht="15.75" x14ac:dyDescent="0.25">
      <c r="B509" s="453" t="s">
        <v>944</v>
      </c>
      <c r="C509" s="342">
        <v>13091</v>
      </c>
      <c r="D509" s="454">
        <v>0.15833333333333299</v>
      </c>
      <c r="E509" s="272">
        <v>13</v>
      </c>
      <c r="F509" s="272">
        <v>28</v>
      </c>
      <c r="G509" s="272">
        <v>14</v>
      </c>
      <c r="H509" s="272">
        <v>0</v>
      </c>
      <c r="I509" s="403">
        <f t="shared" si="7"/>
        <v>42</v>
      </c>
      <c r="J509" s="272">
        <v>0</v>
      </c>
      <c r="K509" s="456" t="s">
        <v>426</v>
      </c>
      <c r="L509" s="272" t="s">
        <v>437</v>
      </c>
      <c r="M509" s="405" t="s">
        <v>516</v>
      </c>
      <c r="N509" s="200">
        <v>52091.666666666701</v>
      </c>
    </row>
    <row r="510" spans="2:14" ht="15.75" x14ac:dyDescent="0.25">
      <c r="B510" s="453" t="s">
        <v>945</v>
      </c>
      <c r="C510" s="342">
        <v>13865</v>
      </c>
      <c r="D510" s="454">
        <v>0.13996212121212101</v>
      </c>
      <c r="E510" s="272">
        <v>15</v>
      </c>
      <c r="F510" s="272">
        <v>38</v>
      </c>
      <c r="G510" s="272">
        <v>4</v>
      </c>
      <c r="H510" s="272">
        <v>0</v>
      </c>
      <c r="I510" s="403">
        <f t="shared" si="7"/>
        <v>42</v>
      </c>
      <c r="J510" s="272">
        <v>0</v>
      </c>
      <c r="K510" s="456" t="s">
        <v>422</v>
      </c>
      <c r="L510" s="272" t="s">
        <v>510</v>
      </c>
      <c r="M510" s="405" t="s">
        <v>803</v>
      </c>
      <c r="N510" s="200">
        <v>46047.537878787902</v>
      </c>
    </row>
    <row r="511" spans="2:14" ht="15.75" x14ac:dyDescent="0.25">
      <c r="B511" s="453" t="s">
        <v>946</v>
      </c>
      <c r="C511" s="342">
        <v>14001</v>
      </c>
      <c r="D511" s="454">
        <v>5.5492424242424197E-2</v>
      </c>
      <c r="E511" s="272">
        <v>4</v>
      </c>
      <c r="F511" s="272">
        <v>2</v>
      </c>
      <c r="G511" s="272">
        <v>14</v>
      </c>
      <c r="H511" s="272">
        <v>0</v>
      </c>
      <c r="I511" s="403">
        <f t="shared" si="7"/>
        <v>16</v>
      </c>
      <c r="J511" s="272">
        <v>0</v>
      </c>
      <c r="K511" s="455" t="s">
        <v>423</v>
      </c>
      <c r="L511" s="272" t="s">
        <v>437</v>
      </c>
      <c r="M511" s="405" t="s">
        <v>516</v>
      </c>
      <c r="N511" s="200">
        <v>18257.007575757601</v>
      </c>
    </row>
    <row r="512" spans="2:14" ht="15.75" x14ac:dyDescent="0.25">
      <c r="B512" s="453" t="s">
        <v>947</v>
      </c>
      <c r="C512" s="342">
        <v>13097</v>
      </c>
      <c r="D512" s="454">
        <v>1.39431818181818</v>
      </c>
      <c r="E512" s="272">
        <v>92</v>
      </c>
      <c r="F512" s="272">
        <v>67</v>
      </c>
      <c r="G512" s="272">
        <v>9</v>
      </c>
      <c r="H512" s="272">
        <v>2</v>
      </c>
      <c r="I512" s="403">
        <f t="shared" si="7"/>
        <v>78</v>
      </c>
      <c r="J512" s="272">
        <v>0</v>
      </c>
      <c r="K512" s="456" t="s">
        <v>428</v>
      </c>
      <c r="L512" s="272" t="s">
        <v>510</v>
      </c>
      <c r="M512" s="405" t="s">
        <v>577</v>
      </c>
      <c r="N512" s="200">
        <v>458730.68155605003</v>
      </c>
    </row>
    <row r="513" spans="2:14" ht="15.75" x14ac:dyDescent="0.25">
      <c r="B513" s="453" t="s">
        <v>948</v>
      </c>
      <c r="C513" s="342">
        <v>13962</v>
      </c>
      <c r="D513" s="454">
        <v>6.4393939393939295E-2</v>
      </c>
      <c r="E513" s="272">
        <v>6</v>
      </c>
      <c r="F513" s="272">
        <v>5</v>
      </c>
      <c r="G513" s="272">
        <v>0</v>
      </c>
      <c r="H513" s="272">
        <v>1</v>
      </c>
      <c r="I513" s="403">
        <f t="shared" si="7"/>
        <v>6</v>
      </c>
      <c r="J513" s="272">
        <v>0</v>
      </c>
      <c r="K513" s="456" t="s">
        <v>422</v>
      </c>
      <c r="L513" s="272" t="s">
        <v>432</v>
      </c>
      <c r="M513" s="405" t="s">
        <v>441</v>
      </c>
      <c r="N513" s="200">
        <v>21185.6060606061</v>
      </c>
    </row>
    <row r="514" spans="2:14" ht="15.75" x14ac:dyDescent="0.25">
      <c r="B514" s="453" t="s">
        <v>949</v>
      </c>
      <c r="C514" s="342">
        <v>13723</v>
      </c>
      <c r="D514" s="454">
        <v>0.313446969696969</v>
      </c>
      <c r="E514" s="272">
        <v>21</v>
      </c>
      <c r="F514" s="272">
        <v>45</v>
      </c>
      <c r="G514" s="272">
        <v>16</v>
      </c>
      <c r="H514" s="272">
        <v>2</v>
      </c>
      <c r="I514" s="403">
        <f t="shared" si="7"/>
        <v>63</v>
      </c>
      <c r="J514" s="272">
        <v>0</v>
      </c>
      <c r="K514" s="455" t="s">
        <v>422</v>
      </c>
      <c r="L514" s="272" t="s">
        <v>441</v>
      </c>
      <c r="M514" s="405" t="s">
        <v>510</v>
      </c>
      <c r="N514" s="200">
        <v>103124.053030303</v>
      </c>
    </row>
    <row r="515" spans="2:14" ht="15.75" x14ac:dyDescent="0.25">
      <c r="B515" s="453" t="s">
        <v>950</v>
      </c>
      <c r="C515" s="342">
        <v>13853</v>
      </c>
      <c r="D515" s="454">
        <v>0.21268939393939301</v>
      </c>
      <c r="E515" s="272">
        <v>16</v>
      </c>
      <c r="F515" s="272">
        <v>3</v>
      </c>
      <c r="G515" s="272">
        <v>8</v>
      </c>
      <c r="H515" s="272">
        <v>7</v>
      </c>
      <c r="I515" s="403">
        <f t="shared" si="7"/>
        <v>18</v>
      </c>
      <c r="J515" s="272">
        <v>0</v>
      </c>
      <c r="K515" s="456" t="s">
        <v>422</v>
      </c>
      <c r="L515" s="272" t="s">
        <v>441</v>
      </c>
      <c r="M515" s="405" t="s">
        <v>510</v>
      </c>
      <c r="N515" s="200">
        <v>69974.810606060593</v>
      </c>
    </row>
    <row r="516" spans="2:14" ht="15.75" x14ac:dyDescent="0.25">
      <c r="B516" s="453" t="s">
        <v>951</v>
      </c>
      <c r="C516" s="342">
        <v>13191</v>
      </c>
      <c r="D516" s="454">
        <v>0.255871212121212</v>
      </c>
      <c r="E516" s="272">
        <v>32</v>
      </c>
      <c r="F516" s="272">
        <v>11</v>
      </c>
      <c r="G516" s="272">
        <v>29</v>
      </c>
      <c r="H516" s="272">
        <v>9</v>
      </c>
      <c r="I516" s="403">
        <f t="shared" si="7"/>
        <v>49</v>
      </c>
      <c r="J516" s="272">
        <v>6</v>
      </c>
      <c r="K516" s="456" t="s">
        <v>428</v>
      </c>
      <c r="L516" s="272" t="s">
        <v>441</v>
      </c>
      <c r="M516" s="405" t="s">
        <v>510</v>
      </c>
      <c r="N516" s="200">
        <v>84181.628787878799</v>
      </c>
    </row>
    <row r="517" spans="2:14" ht="15.75" x14ac:dyDescent="0.25">
      <c r="B517" s="453" t="s">
        <v>952</v>
      </c>
      <c r="C517" s="342">
        <v>13219</v>
      </c>
      <c r="D517" s="454">
        <v>0.13200757575757499</v>
      </c>
      <c r="E517" s="272">
        <v>10</v>
      </c>
      <c r="F517" s="272">
        <v>5</v>
      </c>
      <c r="G517" s="272">
        <v>8</v>
      </c>
      <c r="H517" s="272">
        <v>4</v>
      </c>
      <c r="I517" s="403">
        <f t="shared" si="7"/>
        <v>17</v>
      </c>
      <c r="J517" s="272">
        <v>0</v>
      </c>
      <c r="K517" s="455" t="s">
        <v>422</v>
      </c>
      <c r="L517" s="272" t="s">
        <v>510</v>
      </c>
      <c r="M517" s="405" t="s">
        <v>803</v>
      </c>
      <c r="N517" s="200">
        <v>43430.492424242402</v>
      </c>
    </row>
    <row r="518" spans="2:14" ht="15.75" x14ac:dyDescent="0.25">
      <c r="B518" s="453" t="s">
        <v>953</v>
      </c>
      <c r="C518" s="342">
        <v>13740</v>
      </c>
      <c r="D518" s="454">
        <v>0.17007575757575699</v>
      </c>
      <c r="E518" s="272">
        <v>17</v>
      </c>
      <c r="F518" s="272">
        <v>20</v>
      </c>
      <c r="G518" s="272">
        <v>13</v>
      </c>
      <c r="H518" s="272">
        <v>0</v>
      </c>
      <c r="I518" s="403">
        <f t="shared" si="7"/>
        <v>33</v>
      </c>
      <c r="J518" s="272">
        <v>0</v>
      </c>
      <c r="K518" s="456" t="s">
        <v>428</v>
      </c>
      <c r="L518" s="272" t="s">
        <v>432</v>
      </c>
      <c r="M518" s="405" t="s">
        <v>803</v>
      </c>
      <c r="N518" s="200">
        <v>55954.924242424197</v>
      </c>
    </row>
    <row r="519" spans="2:14" ht="15.75" x14ac:dyDescent="0.25">
      <c r="B519" s="453" t="s">
        <v>954</v>
      </c>
      <c r="C519" s="342">
        <v>13754</v>
      </c>
      <c r="D519" s="454">
        <v>1.9714015151515101</v>
      </c>
      <c r="E519" s="272">
        <v>170</v>
      </c>
      <c r="F519" s="272">
        <v>200</v>
      </c>
      <c r="G519" s="272">
        <v>18</v>
      </c>
      <c r="H519" s="272">
        <v>2</v>
      </c>
      <c r="I519" s="403">
        <f t="shared" si="7"/>
        <v>220</v>
      </c>
      <c r="J519" s="272">
        <v>0</v>
      </c>
      <c r="K519" s="456" t="s">
        <v>428</v>
      </c>
      <c r="L519" s="272" t="s">
        <v>510</v>
      </c>
      <c r="M519" s="405" t="s">
        <v>803</v>
      </c>
      <c r="N519" s="200">
        <v>648591.09811422497</v>
      </c>
    </row>
    <row r="520" spans="2:14" ht="15.75" x14ac:dyDescent="0.25">
      <c r="B520" s="453" t="s">
        <v>955</v>
      </c>
      <c r="C520" s="342">
        <v>13190</v>
      </c>
      <c r="D520" s="454">
        <v>2.1623106060606001</v>
      </c>
      <c r="E520" s="272">
        <v>170</v>
      </c>
      <c r="F520" s="272">
        <v>445</v>
      </c>
      <c r="G520" s="272">
        <v>19</v>
      </c>
      <c r="H520" s="272">
        <v>0</v>
      </c>
      <c r="I520" s="403">
        <f t="shared" ref="I520:I583" si="8">SUM(F520:H520)</f>
        <v>464</v>
      </c>
      <c r="J520" s="272">
        <v>9</v>
      </c>
      <c r="K520" s="455" t="s">
        <v>428</v>
      </c>
      <c r="L520" s="272" t="s">
        <v>510</v>
      </c>
      <c r="M520" s="405" t="s">
        <v>803</v>
      </c>
      <c r="N520" s="200">
        <v>711400.18898742495</v>
      </c>
    </row>
    <row r="521" spans="2:14" ht="15.75" x14ac:dyDescent="0.25">
      <c r="B521" s="453" t="s">
        <v>956</v>
      </c>
      <c r="C521" s="342">
        <v>13208</v>
      </c>
      <c r="D521" s="454">
        <v>8.3333333333333301E-2</v>
      </c>
      <c r="E521" s="272">
        <v>8</v>
      </c>
      <c r="F521" s="272">
        <v>13</v>
      </c>
      <c r="G521" s="272">
        <v>15</v>
      </c>
      <c r="H521" s="272">
        <v>1</v>
      </c>
      <c r="I521" s="403">
        <f t="shared" si="8"/>
        <v>29</v>
      </c>
      <c r="J521" s="272">
        <v>0</v>
      </c>
      <c r="K521" s="456" t="s">
        <v>428</v>
      </c>
      <c r="L521" s="272" t="s">
        <v>432</v>
      </c>
      <c r="M521" s="405" t="s">
        <v>441</v>
      </c>
      <c r="N521" s="200">
        <v>27416.666666666701</v>
      </c>
    </row>
    <row r="522" spans="2:14" ht="15.75" x14ac:dyDescent="0.25">
      <c r="B522" s="453" t="s">
        <v>957</v>
      </c>
      <c r="C522" s="342">
        <v>13067</v>
      </c>
      <c r="D522" s="454">
        <v>0.19261363636363599</v>
      </c>
      <c r="E522" s="272">
        <v>18</v>
      </c>
      <c r="F522" s="272">
        <v>12</v>
      </c>
      <c r="G522" s="272">
        <v>6</v>
      </c>
      <c r="H522" s="272">
        <v>0</v>
      </c>
      <c r="I522" s="403">
        <f t="shared" si="8"/>
        <v>18</v>
      </c>
      <c r="J522" s="272">
        <v>5</v>
      </c>
      <c r="K522" s="456" t="s">
        <v>422</v>
      </c>
      <c r="L522" s="272" t="s">
        <v>510</v>
      </c>
      <c r="M522" s="405" t="s">
        <v>803</v>
      </c>
      <c r="N522" s="200">
        <v>63369.886363636397</v>
      </c>
    </row>
    <row r="523" spans="2:14" ht="15.75" x14ac:dyDescent="0.25">
      <c r="B523" s="453" t="s">
        <v>958</v>
      </c>
      <c r="C523" s="342">
        <v>13431</v>
      </c>
      <c r="D523" s="454">
        <v>0.19469696969696901</v>
      </c>
      <c r="E523" s="272">
        <v>12</v>
      </c>
      <c r="F523" s="272">
        <v>4</v>
      </c>
      <c r="G523" s="272">
        <v>2</v>
      </c>
      <c r="H523" s="272">
        <v>1</v>
      </c>
      <c r="I523" s="403">
        <f t="shared" si="8"/>
        <v>7</v>
      </c>
      <c r="J523" s="272">
        <v>0</v>
      </c>
      <c r="K523" s="455" t="s">
        <v>422</v>
      </c>
      <c r="L523" s="272" t="s">
        <v>432</v>
      </c>
      <c r="M523" s="405" t="s">
        <v>441</v>
      </c>
      <c r="N523" s="200">
        <v>64055.303030303003</v>
      </c>
    </row>
    <row r="524" spans="2:14" ht="15.75" x14ac:dyDescent="0.25">
      <c r="B524" s="453" t="s">
        <v>959</v>
      </c>
      <c r="C524" s="342">
        <v>13630</v>
      </c>
      <c r="D524" s="454">
        <v>0.23806818181818101</v>
      </c>
      <c r="E524" s="272">
        <v>17</v>
      </c>
      <c r="F524" s="272">
        <v>19</v>
      </c>
      <c r="G524" s="272">
        <v>17</v>
      </c>
      <c r="H524" s="272">
        <v>0</v>
      </c>
      <c r="I524" s="403">
        <f t="shared" si="8"/>
        <v>36</v>
      </c>
      <c r="J524" s="272">
        <v>0</v>
      </c>
      <c r="K524" s="456" t="s">
        <v>422</v>
      </c>
      <c r="L524" s="272" t="s">
        <v>437</v>
      </c>
      <c r="M524" s="405" t="s">
        <v>516</v>
      </c>
      <c r="N524" s="200">
        <v>78324.431818181896</v>
      </c>
    </row>
    <row r="525" spans="2:14" ht="15.75" x14ac:dyDescent="0.25">
      <c r="B525" s="453" t="s">
        <v>960</v>
      </c>
      <c r="C525" s="342">
        <v>13162</v>
      </c>
      <c r="D525" s="454">
        <v>8.2954545454545406E-2</v>
      </c>
      <c r="E525" s="272">
        <v>10</v>
      </c>
      <c r="F525" s="272">
        <v>23</v>
      </c>
      <c r="G525" s="272">
        <v>2</v>
      </c>
      <c r="H525" s="272">
        <v>0</v>
      </c>
      <c r="I525" s="403">
        <f t="shared" si="8"/>
        <v>25</v>
      </c>
      <c r="J525" s="272">
        <v>0</v>
      </c>
      <c r="K525" s="456" t="s">
        <v>422</v>
      </c>
      <c r="L525" s="272" t="s">
        <v>510</v>
      </c>
      <c r="M525" s="405" t="s">
        <v>803</v>
      </c>
      <c r="N525" s="200">
        <v>27292.0454545455</v>
      </c>
    </row>
    <row r="526" spans="2:14" ht="15.75" x14ac:dyDescent="0.25">
      <c r="B526" s="453" t="s">
        <v>961</v>
      </c>
      <c r="C526" s="342">
        <v>13738</v>
      </c>
      <c r="D526" s="454">
        <v>2.8030303030302999E-2</v>
      </c>
      <c r="E526" s="272">
        <v>8</v>
      </c>
      <c r="F526" s="272">
        <v>305</v>
      </c>
      <c r="G526" s="272">
        <v>5</v>
      </c>
      <c r="H526" s="272">
        <v>5</v>
      </c>
      <c r="I526" s="403">
        <f t="shared" si="8"/>
        <v>315</v>
      </c>
      <c r="J526" s="272">
        <v>1</v>
      </c>
      <c r="K526" s="455" t="s">
        <v>428</v>
      </c>
      <c r="L526" s="272" t="s">
        <v>441</v>
      </c>
      <c r="M526" s="405" t="s">
        <v>510</v>
      </c>
      <c r="N526" s="200">
        <v>13160</v>
      </c>
    </row>
    <row r="527" spans="2:14" ht="15.75" x14ac:dyDescent="0.25">
      <c r="B527" s="453" t="s">
        <v>962</v>
      </c>
      <c r="C527" s="342">
        <v>13007</v>
      </c>
      <c r="D527" s="454">
        <v>0.12878787878787801</v>
      </c>
      <c r="E527" s="272">
        <v>12</v>
      </c>
      <c r="F527" s="272">
        <v>11</v>
      </c>
      <c r="G527" s="272">
        <v>0</v>
      </c>
      <c r="H527" s="272">
        <v>1</v>
      </c>
      <c r="I527" s="403">
        <f t="shared" si="8"/>
        <v>12</v>
      </c>
      <c r="J527" s="272">
        <v>0</v>
      </c>
      <c r="K527" s="456" t="s">
        <v>422</v>
      </c>
      <c r="L527" s="272" t="s">
        <v>441</v>
      </c>
      <c r="M527" s="405" t="s">
        <v>510</v>
      </c>
      <c r="N527" s="200">
        <v>42371.212121212098</v>
      </c>
    </row>
    <row r="528" spans="2:14" ht="15.75" x14ac:dyDescent="0.25">
      <c r="B528" s="453" t="s">
        <v>963</v>
      </c>
      <c r="C528" s="342">
        <v>13389</v>
      </c>
      <c r="D528" s="454">
        <v>0.114962121212121</v>
      </c>
      <c r="E528" s="272">
        <v>9</v>
      </c>
      <c r="F528" s="272">
        <v>3</v>
      </c>
      <c r="G528" s="272">
        <v>0</v>
      </c>
      <c r="H528" s="272">
        <v>1</v>
      </c>
      <c r="I528" s="403">
        <f t="shared" si="8"/>
        <v>4</v>
      </c>
      <c r="J528" s="272">
        <v>3</v>
      </c>
      <c r="K528" s="456" t="s">
        <v>422</v>
      </c>
      <c r="L528" s="272" t="s">
        <v>441</v>
      </c>
      <c r="M528" s="405" t="s">
        <v>510</v>
      </c>
      <c r="N528" s="200">
        <v>37822.537878787902</v>
      </c>
    </row>
    <row r="529" spans="2:14" ht="15.75" x14ac:dyDescent="0.25">
      <c r="B529" s="453" t="s">
        <v>964</v>
      </c>
      <c r="C529" s="342">
        <v>13147</v>
      </c>
      <c r="D529" s="454">
        <v>7.8219696969696897E-2</v>
      </c>
      <c r="E529" s="272">
        <v>5</v>
      </c>
      <c r="F529" s="272">
        <v>21</v>
      </c>
      <c r="G529" s="272">
        <v>4</v>
      </c>
      <c r="H529" s="272">
        <v>0</v>
      </c>
      <c r="I529" s="403">
        <f t="shared" si="8"/>
        <v>25</v>
      </c>
      <c r="J529" s="272">
        <v>0</v>
      </c>
      <c r="K529" s="455" t="s">
        <v>422</v>
      </c>
      <c r="L529" s="272" t="s">
        <v>441</v>
      </c>
      <c r="M529" s="405" t="s">
        <v>510</v>
      </c>
      <c r="N529" s="200">
        <v>25734.2803030303</v>
      </c>
    </row>
    <row r="530" spans="2:14" ht="15.75" x14ac:dyDescent="0.25">
      <c r="B530" s="453" t="s">
        <v>965</v>
      </c>
      <c r="C530" s="342">
        <v>13795</v>
      </c>
      <c r="D530" s="454">
        <v>7.0265151515151503E-2</v>
      </c>
      <c r="E530" s="272">
        <v>7</v>
      </c>
      <c r="F530" s="272">
        <v>20</v>
      </c>
      <c r="G530" s="272">
        <v>2</v>
      </c>
      <c r="H530" s="272">
        <v>1</v>
      </c>
      <c r="I530" s="403">
        <f t="shared" si="8"/>
        <v>23</v>
      </c>
      <c r="J530" s="272">
        <v>0</v>
      </c>
      <c r="K530" s="456" t="s">
        <v>428</v>
      </c>
      <c r="L530" s="272" t="s">
        <v>811</v>
      </c>
      <c r="M530" s="405" t="s">
        <v>812</v>
      </c>
      <c r="N530" s="200">
        <v>23117.234848484899</v>
      </c>
    </row>
    <row r="531" spans="2:14" ht="15.75" x14ac:dyDescent="0.25">
      <c r="B531" s="453" t="s">
        <v>966</v>
      </c>
      <c r="C531" s="342">
        <v>13419</v>
      </c>
      <c r="D531" s="454">
        <v>0.76401515151515098</v>
      </c>
      <c r="E531" s="272">
        <v>64</v>
      </c>
      <c r="F531" s="272">
        <v>111</v>
      </c>
      <c r="G531" s="272">
        <v>2</v>
      </c>
      <c r="H531" s="272">
        <v>3</v>
      </c>
      <c r="I531" s="403">
        <f t="shared" si="8"/>
        <v>116</v>
      </c>
      <c r="J531" s="272">
        <v>0</v>
      </c>
      <c r="K531" s="456" t="s">
        <v>428</v>
      </c>
      <c r="L531" s="272" t="s">
        <v>441</v>
      </c>
      <c r="M531" s="405" t="s">
        <v>510</v>
      </c>
      <c r="N531" s="200">
        <v>251360.98470485001</v>
      </c>
    </row>
    <row r="532" spans="2:14" ht="15.75" x14ac:dyDescent="0.25">
      <c r="B532" s="453" t="s">
        <v>967</v>
      </c>
      <c r="C532" s="342">
        <v>13081</v>
      </c>
      <c r="D532" s="454">
        <v>8.9772727272727199E-2</v>
      </c>
      <c r="E532" s="272">
        <v>10</v>
      </c>
      <c r="F532" s="272">
        <v>222</v>
      </c>
      <c r="G532" s="272">
        <v>2</v>
      </c>
      <c r="H532" s="272">
        <v>1</v>
      </c>
      <c r="I532" s="403">
        <f t="shared" si="8"/>
        <v>225</v>
      </c>
      <c r="J532" s="272">
        <v>0</v>
      </c>
      <c r="K532" s="455" t="s">
        <v>428</v>
      </c>
      <c r="L532" s="272" t="s">
        <v>437</v>
      </c>
      <c r="M532" s="405" t="s">
        <v>516</v>
      </c>
      <c r="N532" s="200">
        <v>29535.227272727301</v>
      </c>
    </row>
    <row r="533" spans="2:14" ht="15.75" x14ac:dyDescent="0.25">
      <c r="B533" s="453" t="s">
        <v>968</v>
      </c>
      <c r="C533" s="342">
        <v>13612</v>
      </c>
      <c r="D533" s="454">
        <v>7.2727272727272696E-2</v>
      </c>
      <c r="E533" s="272">
        <v>8</v>
      </c>
      <c r="F533" s="272">
        <v>7</v>
      </c>
      <c r="G533" s="272">
        <v>6</v>
      </c>
      <c r="H533" s="272">
        <v>1</v>
      </c>
      <c r="I533" s="403">
        <f t="shared" si="8"/>
        <v>14</v>
      </c>
      <c r="J533" s="272">
        <v>6</v>
      </c>
      <c r="K533" s="456" t="s">
        <v>428</v>
      </c>
      <c r="L533" s="272" t="s">
        <v>437</v>
      </c>
      <c r="M533" s="405" t="s">
        <v>516</v>
      </c>
      <c r="N533" s="200">
        <v>23927.272727272699</v>
      </c>
    </row>
    <row r="534" spans="2:14" ht="15.75" x14ac:dyDescent="0.25">
      <c r="B534" s="453" t="s">
        <v>969</v>
      </c>
      <c r="C534" s="342">
        <v>13206</v>
      </c>
      <c r="D534" s="454">
        <v>0.67859848484848395</v>
      </c>
      <c r="E534" s="272">
        <v>58</v>
      </c>
      <c r="F534" s="272">
        <v>73</v>
      </c>
      <c r="G534" s="272">
        <v>18</v>
      </c>
      <c r="H534" s="272">
        <v>0</v>
      </c>
      <c r="I534" s="403">
        <f t="shared" si="8"/>
        <v>91</v>
      </c>
      <c r="J534" s="272">
        <v>0</v>
      </c>
      <c r="K534" s="456" t="s">
        <v>428</v>
      </c>
      <c r="L534" s="272" t="s">
        <v>510</v>
      </c>
      <c r="M534" s="405" t="s">
        <v>803</v>
      </c>
      <c r="N534" s="200">
        <v>223258.901387575</v>
      </c>
    </row>
    <row r="535" spans="2:14" ht="15.75" x14ac:dyDescent="0.25">
      <c r="B535" s="453" t="s">
        <v>970</v>
      </c>
      <c r="C535" s="342">
        <v>13740</v>
      </c>
      <c r="D535" s="454">
        <v>0.12196969696969601</v>
      </c>
      <c r="E535" s="272">
        <v>6</v>
      </c>
      <c r="F535" s="272">
        <v>9</v>
      </c>
      <c r="G535" s="272">
        <v>6</v>
      </c>
      <c r="H535" s="272">
        <v>0</v>
      </c>
      <c r="I535" s="403">
        <f t="shared" si="8"/>
        <v>15</v>
      </c>
      <c r="J535" s="272">
        <v>0</v>
      </c>
      <c r="K535" s="455" t="s">
        <v>422</v>
      </c>
      <c r="L535" s="272" t="s">
        <v>510</v>
      </c>
      <c r="M535" s="405" t="s">
        <v>803</v>
      </c>
      <c r="N535" s="200">
        <v>40128.030303030297</v>
      </c>
    </row>
    <row r="536" spans="2:14" ht="15.75" x14ac:dyDescent="0.25">
      <c r="B536" s="453" t="s">
        <v>971</v>
      </c>
      <c r="C536" s="342">
        <v>13359</v>
      </c>
      <c r="D536" s="454">
        <v>1.20246212121212</v>
      </c>
      <c r="E536" s="272">
        <v>115</v>
      </c>
      <c r="F536" s="272">
        <v>125</v>
      </c>
      <c r="G536" s="272">
        <v>2</v>
      </c>
      <c r="H536" s="272">
        <v>1</v>
      </c>
      <c r="I536" s="403">
        <f t="shared" si="8"/>
        <v>128</v>
      </c>
      <c r="J536" s="272">
        <v>1</v>
      </c>
      <c r="K536" s="456" t="s">
        <v>428</v>
      </c>
      <c r="L536" s="272" t="s">
        <v>510</v>
      </c>
      <c r="M536" s="405" t="s">
        <v>803</v>
      </c>
      <c r="N536" s="200">
        <v>395610.037652725</v>
      </c>
    </row>
    <row r="537" spans="2:14" ht="15.75" x14ac:dyDescent="0.25">
      <c r="B537" s="453" t="s">
        <v>972</v>
      </c>
      <c r="C537" s="342">
        <v>13199</v>
      </c>
      <c r="D537" s="454">
        <v>0.18484848484848401</v>
      </c>
      <c r="E537" s="272">
        <v>15</v>
      </c>
      <c r="F537" s="272">
        <v>20</v>
      </c>
      <c r="G537" s="272">
        <v>3</v>
      </c>
      <c r="H537" s="272">
        <v>0</v>
      </c>
      <c r="I537" s="403">
        <f t="shared" si="8"/>
        <v>23</v>
      </c>
      <c r="J537" s="272">
        <v>0</v>
      </c>
      <c r="K537" s="456" t="s">
        <v>422</v>
      </c>
      <c r="L537" s="272" t="s">
        <v>510</v>
      </c>
      <c r="M537" s="405" t="s">
        <v>803</v>
      </c>
      <c r="N537" s="200">
        <v>60815.151515151498</v>
      </c>
    </row>
    <row r="538" spans="2:14" ht="15.75" x14ac:dyDescent="0.25">
      <c r="B538" s="453" t="s">
        <v>973</v>
      </c>
      <c r="C538" s="342">
        <v>13754</v>
      </c>
      <c r="D538" s="454">
        <v>0.131439393939393</v>
      </c>
      <c r="E538" s="272">
        <v>14</v>
      </c>
      <c r="F538" s="272">
        <v>13</v>
      </c>
      <c r="G538" s="272">
        <v>2</v>
      </c>
      <c r="H538" s="272">
        <v>1</v>
      </c>
      <c r="I538" s="403">
        <f t="shared" si="8"/>
        <v>16</v>
      </c>
      <c r="J538" s="272">
        <v>5</v>
      </c>
      <c r="K538" s="455" t="s">
        <v>428</v>
      </c>
      <c r="L538" s="272" t="s">
        <v>437</v>
      </c>
      <c r="M538" s="405" t="s">
        <v>516</v>
      </c>
      <c r="N538" s="200">
        <v>43243.560606060601</v>
      </c>
    </row>
    <row r="539" spans="2:14" ht="15.75" x14ac:dyDescent="0.25">
      <c r="B539" s="453" t="s">
        <v>974</v>
      </c>
      <c r="C539" s="342">
        <v>14042</v>
      </c>
      <c r="D539" s="454">
        <v>0.18674242424242399</v>
      </c>
      <c r="E539" s="272">
        <v>12</v>
      </c>
      <c r="F539" s="272">
        <v>55</v>
      </c>
      <c r="G539" s="272">
        <v>1</v>
      </c>
      <c r="H539" s="272">
        <v>2</v>
      </c>
      <c r="I539" s="403">
        <f t="shared" si="8"/>
        <v>58</v>
      </c>
      <c r="J539" s="272">
        <v>1</v>
      </c>
      <c r="K539" s="456" t="s">
        <v>428</v>
      </c>
      <c r="L539" s="272" t="s">
        <v>437</v>
      </c>
      <c r="M539" s="405" t="s">
        <v>516</v>
      </c>
      <c r="N539" s="200">
        <v>61438.257575757598</v>
      </c>
    </row>
    <row r="540" spans="2:14" ht="15.75" x14ac:dyDescent="0.25">
      <c r="B540" s="453" t="s">
        <v>975</v>
      </c>
      <c r="C540" s="342">
        <v>13370</v>
      </c>
      <c r="D540" s="454">
        <v>0.78200757575757496</v>
      </c>
      <c r="E540" s="272">
        <v>65</v>
      </c>
      <c r="F540" s="272">
        <v>16</v>
      </c>
      <c r="G540" s="272">
        <v>20</v>
      </c>
      <c r="H540" s="272">
        <v>9</v>
      </c>
      <c r="I540" s="403">
        <f t="shared" si="8"/>
        <v>45</v>
      </c>
      <c r="J540" s="272">
        <v>1</v>
      </c>
      <c r="K540" s="456" t="s">
        <v>426</v>
      </c>
      <c r="L540" s="272" t="s">
        <v>577</v>
      </c>
      <c r="M540" s="405" t="s">
        <v>976</v>
      </c>
      <c r="N540" s="200">
        <v>257280.49227722501</v>
      </c>
    </row>
    <row r="541" spans="2:14" ht="15.75" x14ac:dyDescent="0.25">
      <c r="B541" s="453" t="s">
        <v>977</v>
      </c>
      <c r="C541" s="342">
        <v>13103</v>
      </c>
      <c r="D541" s="454">
        <v>8.3712121212121196E-2</v>
      </c>
      <c r="E541" s="272">
        <v>8</v>
      </c>
      <c r="F541" s="272">
        <v>9</v>
      </c>
      <c r="G541" s="272">
        <v>5</v>
      </c>
      <c r="H541" s="272">
        <v>0</v>
      </c>
      <c r="I541" s="403">
        <f t="shared" si="8"/>
        <v>14</v>
      </c>
      <c r="J541" s="272">
        <v>0</v>
      </c>
      <c r="K541" s="455" t="s">
        <v>422</v>
      </c>
      <c r="L541" s="272" t="s">
        <v>428</v>
      </c>
      <c r="M541" s="405" t="s">
        <v>423</v>
      </c>
      <c r="N541" s="200">
        <v>27541.287878787902</v>
      </c>
    </row>
    <row r="542" spans="2:14" ht="15.75" x14ac:dyDescent="0.25">
      <c r="B542" s="453" t="s">
        <v>978</v>
      </c>
      <c r="C542" s="342">
        <v>13329</v>
      </c>
      <c r="D542" s="454">
        <v>4.9810606060606E-2</v>
      </c>
      <c r="E542" s="272">
        <v>4</v>
      </c>
      <c r="F542" s="272">
        <v>7</v>
      </c>
      <c r="G542" s="272">
        <v>0</v>
      </c>
      <c r="H542" s="272">
        <v>1</v>
      </c>
      <c r="I542" s="403">
        <f t="shared" si="8"/>
        <v>8</v>
      </c>
      <c r="J542" s="272">
        <v>0</v>
      </c>
      <c r="K542" s="456" t="s">
        <v>422</v>
      </c>
      <c r="L542" s="272" t="s">
        <v>428</v>
      </c>
      <c r="M542" s="405" t="s">
        <v>423</v>
      </c>
      <c r="N542" s="200">
        <v>16387.689393939399</v>
      </c>
    </row>
    <row r="543" spans="2:14" ht="15.75" x14ac:dyDescent="0.25">
      <c r="B543" s="453" t="s">
        <v>979</v>
      </c>
      <c r="C543" s="342">
        <v>13328</v>
      </c>
      <c r="D543" s="454">
        <v>8.1818181818181804E-2</v>
      </c>
      <c r="E543" s="272">
        <v>8</v>
      </c>
      <c r="F543" s="272">
        <v>3</v>
      </c>
      <c r="G543" s="272">
        <v>1</v>
      </c>
      <c r="H543" s="272">
        <v>2</v>
      </c>
      <c r="I543" s="403">
        <f t="shared" si="8"/>
        <v>6</v>
      </c>
      <c r="J543" s="272">
        <v>0</v>
      </c>
      <c r="K543" s="456" t="s">
        <v>422</v>
      </c>
      <c r="L543" s="272" t="s">
        <v>428</v>
      </c>
      <c r="M543" s="405" t="s">
        <v>423</v>
      </c>
      <c r="N543" s="200">
        <v>26918.181818181802</v>
      </c>
    </row>
    <row r="544" spans="2:14" ht="15.75" x14ac:dyDescent="0.25">
      <c r="B544" s="453" t="s">
        <v>980</v>
      </c>
      <c r="C544" s="342">
        <v>13754</v>
      </c>
      <c r="D544" s="454">
        <v>0.246022727272727</v>
      </c>
      <c r="E544" s="272">
        <v>25</v>
      </c>
      <c r="F544" s="272">
        <v>55</v>
      </c>
      <c r="G544" s="272">
        <v>5</v>
      </c>
      <c r="H544" s="272">
        <v>1</v>
      </c>
      <c r="I544" s="403">
        <f t="shared" si="8"/>
        <v>61</v>
      </c>
      <c r="J544" s="272">
        <v>0</v>
      </c>
      <c r="K544" s="455" t="s">
        <v>428</v>
      </c>
      <c r="L544" s="272" t="s">
        <v>441</v>
      </c>
      <c r="M544" s="405" t="s">
        <v>510</v>
      </c>
      <c r="N544" s="200">
        <v>80941.477272727294</v>
      </c>
    </row>
    <row r="545" spans="2:14" ht="15.75" x14ac:dyDescent="0.25">
      <c r="B545" s="453" t="s">
        <v>981</v>
      </c>
      <c r="C545" s="342">
        <v>13656</v>
      </c>
      <c r="D545" s="454">
        <v>0.16723484848484799</v>
      </c>
      <c r="E545" s="272">
        <v>11</v>
      </c>
      <c r="F545" s="272">
        <v>9</v>
      </c>
      <c r="G545" s="272">
        <v>0</v>
      </c>
      <c r="H545" s="272">
        <v>1</v>
      </c>
      <c r="I545" s="403">
        <f t="shared" si="8"/>
        <v>10</v>
      </c>
      <c r="J545" s="272">
        <v>0</v>
      </c>
      <c r="K545" s="456" t="s">
        <v>422</v>
      </c>
      <c r="L545" s="272" t="s">
        <v>437</v>
      </c>
      <c r="M545" s="405" t="s">
        <v>516</v>
      </c>
      <c r="N545" s="200">
        <v>55020.265151515203</v>
      </c>
    </row>
    <row r="546" spans="2:14" ht="15.75" x14ac:dyDescent="0.25">
      <c r="B546" s="453" t="s">
        <v>982</v>
      </c>
      <c r="C546" s="342">
        <v>13148</v>
      </c>
      <c r="D546" s="454">
        <v>0.34526515151515103</v>
      </c>
      <c r="E546" s="272">
        <v>23</v>
      </c>
      <c r="F546" s="272">
        <v>10</v>
      </c>
      <c r="G546" s="272">
        <v>3</v>
      </c>
      <c r="H546" s="272">
        <v>1</v>
      </c>
      <c r="I546" s="403">
        <f t="shared" si="8"/>
        <v>14</v>
      </c>
      <c r="J546" s="272">
        <v>0</v>
      </c>
      <c r="K546" s="456" t="s">
        <v>422</v>
      </c>
      <c r="L546" s="272" t="s">
        <v>437</v>
      </c>
      <c r="M546" s="405" t="s">
        <v>516</v>
      </c>
      <c r="N546" s="200">
        <v>113592.23484848499</v>
      </c>
    </row>
    <row r="547" spans="2:14" ht="15.75" x14ac:dyDescent="0.25">
      <c r="B547" s="453" t="s">
        <v>983</v>
      </c>
      <c r="C547" s="342">
        <v>13046</v>
      </c>
      <c r="D547" s="454">
        <v>0.37518939393939299</v>
      </c>
      <c r="E547" s="272">
        <v>34</v>
      </c>
      <c r="F547" s="272">
        <v>52</v>
      </c>
      <c r="G547" s="272">
        <v>4</v>
      </c>
      <c r="H547" s="272">
        <v>3</v>
      </c>
      <c r="I547" s="403">
        <f t="shared" si="8"/>
        <v>59</v>
      </c>
      <c r="J547" s="272">
        <v>7</v>
      </c>
      <c r="K547" s="455" t="s">
        <v>422</v>
      </c>
      <c r="L547" s="272" t="s">
        <v>422</v>
      </c>
      <c r="M547" s="405" t="s">
        <v>432</v>
      </c>
      <c r="N547" s="200">
        <v>123437.310535525</v>
      </c>
    </row>
    <row r="548" spans="2:14" ht="15.75" x14ac:dyDescent="0.25">
      <c r="B548" s="453" t="s">
        <v>984</v>
      </c>
      <c r="C548" s="342">
        <v>13533</v>
      </c>
      <c r="D548" s="454">
        <v>0.227462121212121</v>
      </c>
      <c r="E548" s="272">
        <v>21</v>
      </c>
      <c r="F548" s="272">
        <v>142</v>
      </c>
      <c r="G548" s="272">
        <v>3</v>
      </c>
      <c r="H548" s="272">
        <v>1</v>
      </c>
      <c r="I548" s="403">
        <f t="shared" si="8"/>
        <v>146</v>
      </c>
      <c r="J548" s="272">
        <v>1</v>
      </c>
      <c r="K548" s="456" t="s">
        <v>428</v>
      </c>
      <c r="L548" s="272" t="s">
        <v>510</v>
      </c>
      <c r="M548" s="405" t="s">
        <v>803</v>
      </c>
      <c r="N548" s="200">
        <v>74835.037878787902</v>
      </c>
    </row>
    <row r="549" spans="2:14" ht="15.75" x14ac:dyDescent="0.25">
      <c r="B549" s="453" t="s">
        <v>985</v>
      </c>
      <c r="C549" s="342">
        <v>13163</v>
      </c>
      <c r="D549" s="454">
        <v>0.226136363636363</v>
      </c>
      <c r="E549" s="272">
        <v>15</v>
      </c>
      <c r="F549" s="272">
        <v>18</v>
      </c>
      <c r="G549" s="272">
        <v>3</v>
      </c>
      <c r="H549" s="272">
        <v>3</v>
      </c>
      <c r="I549" s="403">
        <f t="shared" si="8"/>
        <v>24</v>
      </c>
      <c r="J549" s="272">
        <v>0</v>
      </c>
      <c r="K549" s="456" t="s">
        <v>422</v>
      </c>
      <c r="L549" s="272" t="s">
        <v>422</v>
      </c>
      <c r="M549" s="405" t="s">
        <v>432</v>
      </c>
      <c r="N549" s="200">
        <v>74398.863636363603</v>
      </c>
    </row>
    <row r="550" spans="2:14" ht="15.75" x14ac:dyDescent="0.25">
      <c r="B550" s="453" t="s">
        <v>986</v>
      </c>
      <c r="C550" s="342">
        <v>13048</v>
      </c>
      <c r="D550" s="454">
        <v>5.64393939393939E-2</v>
      </c>
      <c r="E550" s="272">
        <v>7</v>
      </c>
      <c r="F550" s="272">
        <v>3</v>
      </c>
      <c r="G550" s="272">
        <v>0</v>
      </c>
      <c r="H550" s="272">
        <v>3</v>
      </c>
      <c r="I550" s="403">
        <f t="shared" si="8"/>
        <v>6</v>
      </c>
      <c r="J550" s="272">
        <v>0</v>
      </c>
      <c r="K550" s="455" t="s">
        <v>428</v>
      </c>
      <c r="L550" s="272" t="s">
        <v>437</v>
      </c>
      <c r="M550" s="405" t="s">
        <v>516</v>
      </c>
      <c r="N550" s="200">
        <v>18568.560606060601</v>
      </c>
    </row>
    <row r="551" spans="2:14" ht="15.75" x14ac:dyDescent="0.25">
      <c r="B551" s="453" t="s">
        <v>987</v>
      </c>
      <c r="C551" s="342">
        <v>13787</v>
      </c>
      <c r="D551" s="454">
        <v>9.1287878787878696E-2</v>
      </c>
      <c r="E551" s="272">
        <v>6</v>
      </c>
      <c r="F551" s="272">
        <v>3</v>
      </c>
      <c r="G551" s="272">
        <v>1</v>
      </c>
      <c r="H551" s="272">
        <v>0</v>
      </c>
      <c r="I551" s="403">
        <f t="shared" si="8"/>
        <v>4</v>
      </c>
      <c r="J551" s="272">
        <v>0</v>
      </c>
      <c r="K551" s="456" t="s">
        <v>422</v>
      </c>
      <c r="L551" s="272" t="s">
        <v>441</v>
      </c>
      <c r="M551" s="405" t="s">
        <v>510</v>
      </c>
      <c r="N551" s="200">
        <v>30033.712121212098</v>
      </c>
    </row>
    <row r="552" spans="2:14" ht="15.75" x14ac:dyDescent="0.25">
      <c r="B552" s="453" t="s">
        <v>988</v>
      </c>
      <c r="C552" s="342">
        <v>13097</v>
      </c>
      <c r="D552" s="454">
        <v>0.67196969696969699</v>
      </c>
      <c r="E552" s="272">
        <v>41</v>
      </c>
      <c r="F552" s="272">
        <v>39</v>
      </c>
      <c r="G552" s="272">
        <v>5</v>
      </c>
      <c r="H552" s="272">
        <v>1</v>
      </c>
      <c r="I552" s="403">
        <f t="shared" si="8"/>
        <v>45</v>
      </c>
      <c r="J552" s="272">
        <v>0</v>
      </c>
      <c r="K552" s="456" t="s">
        <v>428</v>
      </c>
      <c r="L552" s="272" t="s">
        <v>441</v>
      </c>
      <c r="M552" s="405" t="s">
        <v>510</v>
      </c>
      <c r="N552" s="200">
        <v>221078.03017670001</v>
      </c>
    </row>
    <row r="553" spans="2:14" ht="15.75" x14ac:dyDescent="0.25">
      <c r="B553" s="453" t="s">
        <v>989</v>
      </c>
      <c r="C553" s="342">
        <v>13364</v>
      </c>
      <c r="D553" s="454">
        <v>9.2992424242424196E-2</v>
      </c>
      <c r="E553" s="272">
        <v>9</v>
      </c>
      <c r="F553" s="272">
        <v>52</v>
      </c>
      <c r="G553" s="272">
        <v>0</v>
      </c>
      <c r="H553" s="272">
        <v>1</v>
      </c>
      <c r="I553" s="403">
        <f t="shared" si="8"/>
        <v>53</v>
      </c>
      <c r="J553" s="272">
        <v>0</v>
      </c>
      <c r="K553" s="455" t="s">
        <v>422</v>
      </c>
      <c r="L553" s="272" t="s">
        <v>437</v>
      </c>
      <c r="M553" s="405" t="s">
        <v>516</v>
      </c>
      <c r="N553" s="200">
        <v>30594.507575757601</v>
      </c>
    </row>
    <row r="554" spans="2:14" ht="15.75" x14ac:dyDescent="0.25">
      <c r="B554" s="453" t="s">
        <v>990</v>
      </c>
      <c r="C554" s="342">
        <v>13048</v>
      </c>
      <c r="D554" s="454">
        <v>0.53049242424242404</v>
      </c>
      <c r="E554" s="272">
        <v>50</v>
      </c>
      <c r="F554" s="272">
        <v>74</v>
      </c>
      <c r="G554" s="272">
        <v>3</v>
      </c>
      <c r="H554" s="272">
        <v>2</v>
      </c>
      <c r="I554" s="403">
        <f t="shared" si="8"/>
        <v>79</v>
      </c>
      <c r="J554" s="272">
        <v>0</v>
      </c>
      <c r="K554" s="456" t="s">
        <v>428</v>
      </c>
      <c r="L554" s="272" t="s">
        <v>437</v>
      </c>
      <c r="M554" s="405" t="s">
        <v>516</v>
      </c>
      <c r="N554" s="200">
        <v>174532.007476025</v>
      </c>
    </row>
    <row r="555" spans="2:14" ht="15.75" x14ac:dyDescent="0.25">
      <c r="B555" s="453" t="s">
        <v>991</v>
      </c>
      <c r="C555" s="342">
        <v>13146</v>
      </c>
      <c r="D555" s="454">
        <v>0.23844696969696899</v>
      </c>
      <c r="E555" s="272">
        <v>15</v>
      </c>
      <c r="F555" s="272">
        <v>16</v>
      </c>
      <c r="G555" s="272">
        <v>1</v>
      </c>
      <c r="H555" s="272">
        <v>1</v>
      </c>
      <c r="I555" s="403">
        <f t="shared" si="8"/>
        <v>18</v>
      </c>
      <c r="J555" s="272">
        <v>6</v>
      </c>
      <c r="K555" s="456" t="s">
        <v>422</v>
      </c>
      <c r="L555" s="272" t="s">
        <v>441</v>
      </c>
      <c r="M555" s="405" t="s">
        <v>510</v>
      </c>
      <c r="N555" s="200">
        <v>78449.053030302995</v>
      </c>
    </row>
    <row r="556" spans="2:14" ht="15.75" x14ac:dyDescent="0.25">
      <c r="B556" s="453" t="s">
        <v>992</v>
      </c>
      <c r="C556" s="342">
        <v>13638</v>
      </c>
      <c r="D556" s="454">
        <v>0.86534090909090899</v>
      </c>
      <c r="E556" s="272">
        <v>82</v>
      </c>
      <c r="F556" s="272">
        <v>79</v>
      </c>
      <c r="G556" s="272">
        <v>12</v>
      </c>
      <c r="H556" s="272">
        <v>1</v>
      </c>
      <c r="I556" s="403">
        <f t="shared" si="8"/>
        <v>92</v>
      </c>
      <c r="J556" s="272">
        <v>1</v>
      </c>
      <c r="K556" s="455" t="s">
        <v>428</v>
      </c>
      <c r="L556" s="272" t="s">
        <v>510</v>
      </c>
      <c r="M556" s="405" t="s">
        <v>803</v>
      </c>
      <c r="N556" s="200">
        <v>284697.15892822499</v>
      </c>
    </row>
    <row r="557" spans="2:14" ht="15.75" x14ac:dyDescent="0.25">
      <c r="B557" s="453" t="s">
        <v>993</v>
      </c>
      <c r="C557" s="342">
        <v>13103</v>
      </c>
      <c r="D557" s="454">
        <v>0.48939393939393899</v>
      </c>
      <c r="E557" s="272">
        <v>47</v>
      </c>
      <c r="F557" s="272">
        <v>117</v>
      </c>
      <c r="G557" s="272">
        <v>7</v>
      </c>
      <c r="H557" s="272">
        <v>0</v>
      </c>
      <c r="I557" s="403">
        <f t="shared" si="8"/>
        <v>124</v>
      </c>
      <c r="J557" s="272">
        <v>0</v>
      </c>
      <c r="K557" s="456" t="s">
        <v>426</v>
      </c>
      <c r="L557" s="272" t="s">
        <v>437</v>
      </c>
      <c r="M557" s="405" t="s">
        <v>516</v>
      </c>
      <c r="N557" s="200">
        <v>161010.60606060599</v>
      </c>
    </row>
    <row r="558" spans="2:14" ht="15.75" x14ac:dyDescent="0.25">
      <c r="B558" s="453" t="s">
        <v>994</v>
      </c>
      <c r="C558" s="342">
        <v>13124</v>
      </c>
      <c r="D558" s="454">
        <v>0.458901515151515</v>
      </c>
      <c r="E558" s="272">
        <v>33</v>
      </c>
      <c r="F558" s="272">
        <v>56</v>
      </c>
      <c r="G558" s="272">
        <v>3</v>
      </c>
      <c r="H558" s="272">
        <v>0</v>
      </c>
      <c r="I558" s="403">
        <f t="shared" si="8"/>
        <v>59</v>
      </c>
      <c r="J558" s="272">
        <v>0</v>
      </c>
      <c r="K558" s="456" t="s">
        <v>422</v>
      </c>
      <c r="L558" s="272" t="s">
        <v>441</v>
      </c>
      <c r="M558" s="405" t="s">
        <v>510</v>
      </c>
      <c r="N558" s="200">
        <v>150978.598484849</v>
      </c>
    </row>
    <row r="559" spans="2:14" ht="15.75" x14ac:dyDescent="0.25">
      <c r="B559" s="453" t="s">
        <v>995</v>
      </c>
      <c r="C559" s="342">
        <v>13464</v>
      </c>
      <c r="D559" s="454">
        <v>0.381818181818181</v>
      </c>
      <c r="E559" s="272">
        <v>27</v>
      </c>
      <c r="F559" s="272">
        <v>60</v>
      </c>
      <c r="G559" s="272">
        <v>1</v>
      </c>
      <c r="H559" s="272">
        <v>1</v>
      </c>
      <c r="I559" s="403">
        <f t="shared" si="8"/>
        <v>62</v>
      </c>
      <c r="J559" s="272">
        <v>0</v>
      </c>
      <c r="K559" s="455" t="s">
        <v>422</v>
      </c>
      <c r="L559" s="272" t="s">
        <v>441</v>
      </c>
      <c r="M559" s="405" t="s">
        <v>510</v>
      </c>
      <c r="N559" s="200">
        <v>125618.181818182</v>
      </c>
    </row>
    <row r="560" spans="2:14" ht="15.75" x14ac:dyDescent="0.25">
      <c r="B560" s="453" t="s">
        <v>996</v>
      </c>
      <c r="C560" s="342">
        <v>13464</v>
      </c>
      <c r="D560" s="454">
        <v>0.20246212121212101</v>
      </c>
      <c r="E560" s="272">
        <v>13</v>
      </c>
      <c r="F560" s="272">
        <v>11</v>
      </c>
      <c r="G560" s="272">
        <v>2</v>
      </c>
      <c r="H560" s="272">
        <v>2</v>
      </c>
      <c r="I560" s="403">
        <f t="shared" si="8"/>
        <v>15</v>
      </c>
      <c r="J560" s="272">
        <v>0</v>
      </c>
      <c r="K560" s="456" t="s">
        <v>422</v>
      </c>
      <c r="L560" s="272" t="s">
        <v>441</v>
      </c>
      <c r="M560" s="405" t="s">
        <v>510</v>
      </c>
      <c r="N560" s="200">
        <v>66610.037878787902</v>
      </c>
    </row>
    <row r="561" spans="2:14" ht="15.75" x14ac:dyDescent="0.25">
      <c r="B561" s="453" t="s">
        <v>997</v>
      </c>
      <c r="C561" s="342">
        <v>13065</v>
      </c>
      <c r="D561" s="454">
        <v>0.163068181818181</v>
      </c>
      <c r="E561" s="272">
        <v>18</v>
      </c>
      <c r="F561" s="272">
        <v>136</v>
      </c>
      <c r="G561" s="272">
        <v>10</v>
      </c>
      <c r="H561" s="272">
        <v>1</v>
      </c>
      <c r="I561" s="403">
        <f t="shared" si="8"/>
        <v>147</v>
      </c>
      <c r="J561" s="272">
        <v>0</v>
      </c>
      <c r="K561" s="456" t="s">
        <v>428</v>
      </c>
      <c r="L561" s="272" t="s">
        <v>437</v>
      </c>
      <c r="M561" s="405" t="s">
        <v>516</v>
      </c>
      <c r="N561" s="200">
        <v>53649.431818181802</v>
      </c>
    </row>
    <row r="562" spans="2:14" ht="15.75" x14ac:dyDescent="0.25">
      <c r="B562" s="453" t="s">
        <v>998</v>
      </c>
      <c r="C562" s="342">
        <v>13462</v>
      </c>
      <c r="D562" s="454">
        <v>0.319318181818181</v>
      </c>
      <c r="E562" s="272">
        <v>27</v>
      </c>
      <c r="F562" s="272">
        <v>51</v>
      </c>
      <c r="G562" s="272">
        <v>3</v>
      </c>
      <c r="H562" s="272">
        <v>4</v>
      </c>
      <c r="I562" s="403">
        <f t="shared" si="8"/>
        <v>58</v>
      </c>
      <c r="J562" s="272">
        <v>3</v>
      </c>
      <c r="K562" s="455" t="s">
        <v>422</v>
      </c>
      <c r="L562" s="272" t="s">
        <v>441</v>
      </c>
      <c r="M562" s="405" t="s">
        <v>510</v>
      </c>
      <c r="N562" s="200">
        <v>105055.681818182</v>
      </c>
    </row>
    <row r="563" spans="2:14" ht="15.75" x14ac:dyDescent="0.25">
      <c r="B563" s="453" t="s">
        <v>999</v>
      </c>
      <c r="C563" s="342">
        <v>13805</v>
      </c>
      <c r="D563" s="454">
        <v>0.56022727272727202</v>
      </c>
      <c r="E563" s="272">
        <v>28</v>
      </c>
      <c r="F563" s="272">
        <v>35</v>
      </c>
      <c r="G563" s="272">
        <v>9</v>
      </c>
      <c r="H563" s="272">
        <v>0</v>
      </c>
      <c r="I563" s="403">
        <f t="shared" si="8"/>
        <v>44</v>
      </c>
      <c r="J563" s="272">
        <v>0</v>
      </c>
      <c r="K563" s="456" t="s">
        <v>422</v>
      </c>
      <c r="L563" s="272" t="s">
        <v>441</v>
      </c>
      <c r="M563" s="405" t="s">
        <v>510</v>
      </c>
      <c r="N563" s="200">
        <v>184314.772727273</v>
      </c>
    </row>
    <row r="564" spans="2:14" ht="15.75" x14ac:dyDescent="0.25">
      <c r="B564" s="453" t="s">
        <v>1000</v>
      </c>
      <c r="C564" s="342">
        <v>13621</v>
      </c>
      <c r="D564" s="454">
        <v>0.157765151515151</v>
      </c>
      <c r="E564" s="272">
        <v>11</v>
      </c>
      <c r="F564" s="272">
        <v>10</v>
      </c>
      <c r="G564" s="272">
        <v>2</v>
      </c>
      <c r="H564" s="272">
        <v>0</v>
      </c>
      <c r="I564" s="403">
        <f t="shared" si="8"/>
        <v>12</v>
      </c>
      <c r="J564" s="272">
        <v>0</v>
      </c>
      <c r="K564" s="456" t="s">
        <v>422</v>
      </c>
      <c r="L564" s="272" t="s">
        <v>516</v>
      </c>
      <c r="M564" s="405" t="s">
        <v>838</v>
      </c>
      <c r="N564" s="200">
        <v>51904.734848484899</v>
      </c>
    </row>
    <row r="565" spans="2:14" ht="15.75" x14ac:dyDescent="0.25">
      <c r="B565" s="453" t="s">
        <v>1001</v>
      </c>
      <c r="C565" s="342">
        <v>13124</v>
      </c>
      <c r="D565" s="454">
        <v>0.100568181818181</v>
      </c>
      <c r="E565" s="272">
        <v>14</v>
      </c>
      <c r="F565" s="272">
        <v>1</v>
      </c>
      <c r="G565" s="272">
        <v>4</v>
      </c>
      <c r="H565" s="272">
        <v>4</v>
      </c>
      <c r="I565" s="403">
        <f t="shared" si="8"/>
        <v>9</v>
      </c>
      <c r="J565" s="272">
        <v>0</v>
      </c>
      <c r="K565" s="455" t="s">
        <v>422</v>
      </c>
      <c r="L565" s="272" t="s">
        <v>437</v>
      </c>
      <c r="M565" s="405" t="s">
        <v>516</v>
      </c>
      <c r="N565" s="200">
        <v>33086.931818181802</v>
      </c>
    </row>
    <row r="566" spans="2:14" ht="15.75" x14ac:dyDescent="0.25">
      <c r="B566" s="453" t="s">
        <v>1002</v>
      </c>
      <c r="C566" s="342">
        <v>13832</v>
      </c>
      <c r="D566" s="454">
        <v>0.102272727272727</v>
      </c>
      <c r="E566" s="272">
        <v>11</v>
      </c>
      <c r="F566" s="272">
        <v>12</v>
      </c>
      <c r="G566" s="272">
        <v>22</v>
      </c>
      <c r="H566" s="272">
        <v>1</v>
      </c>
      <c r="I566" s="403">
        <f t="shared" si="8"/>
        <v>35</v>
      </c>
      <c r="J566" s="272">
        <v>0</v>
      </c>
      <c r="K566" s="456" t="s">
        <v>422</v>
      </c>
      <c r="L566" s="272" t="s">
        <v>437</v>
      </c>
      <c r="M566" s="405" t="s">
        <v>516</v>
      </c>
      <c r="N566" s="200">
        <v>33647.727272727301</v>
      </c>
    </row>
    <row r="567" spans="2:14" ht="15.75" x14ac:dyDescent="0.25">
      <c r="B567" s="453" t="s">
        <v>1003</v>
      </c>
      <c r="C567" s="342">
        <v>13832</v>
      </c>
      <c r="D567" s="454">
        <v>8.7121212121212099E-2</v>
      </c>
      <c r="E567" s="272">
        <v>7</v>
      </c>
      <c r="F567" s="272">
        <v>10</v>
      </c>
      <c r="G567" s="272">
        <v>7</v>
      </c>
      <c r="H567" s="272">
        <v>0</v>
      </c>
      <c r="I567" s="403">
        <f t="shared" si="8"/>
        <v>17</v>
      </c>
      <c r="J567" s="272">
        <v>0</v>
      </c>
      <c r="K567" s="456" t="s">
        <v>422</v>
      </c>
      <c r="L567" s="272" t="s">
        <v>428</v>
      </c>
      <c r="M567" s="405" t="s">
        <v>432</v>
      </c>
      <c r="N567" s="200">
        <v>28662.878787878799</v>
      </c>
    </row>
    <row r="568" spans="2:14" ht="15.75" x14ac:dyDescent="0.25">
      <c r="B568" s="453" t="s">
        <v>1004</v>
      </c>
      <c r="C568" s="342">
        <v>13592</v>
      </c>
      <c r="D568" s="454">
        <v>6.1553030303030297E-2</v>
      </c>
      <c r="E568" s="272">
        <v>4</v>
      </c>
      <c r="F568" s="272">
        <v>16</v>
      </c>
      <c r="G568" s="272">
        <v>3</v>
      </c>
      <c r="H568" s="272">
        <v>1</v>
      </c>
      <c r="I568" s="403">
        <f t="shared" si="8"/>
        <v>20</v>
      </c>
      <c r="J568" s="272">
        <v>0</v>
      </c>
      <c r="K568" s="455" t="s">
        <v>422</v>
      </c>
      <c r="L568" s="272" t="s">
        <v>437</v>
      </c>
      <c r="M568" s="405" t="s">
        <v>516</v>
      </c>
      <c r="N568" s="200">
        <v>20250.946969697001</v>
      </c>
    </row>
    <row r="569" spans="2:14" ht="15.75" x14ac:dyDescent="0.25">
      <c r="B569" s="453" t="s">
        <v>1005</v>
      </c>
      <c r="C569" s="342">
        <v>13044</v>
      </c>
      <c r="D569" s="454">
        <v>0.51344696969696901</v>
      </c>
      <c r="E569" s="272">
        <v>55</v>
      </c>
      <c r="F569" s="272">
        <v>14</v>
      </c>
      <c r="G569" s="272">
        <v>1</v>
      </c>
      <c r="H569" s="272">
        <v>1</v>
      </c>
      <c r="I569" s="403">
        <f t="shared" si="8"/>
        <v>16</v>
      </c>
      <c r="J569" s="272">
        <v>0</v>
      </c>
      <c r="K569" s="456" t="s">
        <v>428</v>
      </c>
      <c r="L569" s="272" t="s">
        <v>437</v>
      </c>
      <c r="M569" s="405" t="s">
        <v>516</v>
      </c>
      <c r="N569" s="200">
        <v>168924.052933775</v>
      </c>
    </row>
    <row r="570" spans="2:14" ht="15.75" x14ac:dyDescent="0.25">
      <c r="B570" s="453" t="s">
        <v>1006</v>
      </c>
      <c r="C570" s="342">
        <v>13141</v>
      </c>
      <c r="D570" s="454">
        <v>0.150378787878787</v>
      </c>
      <c r="E570" s="272">
        <v>19</v>
      </c>
      <c r="F570" s="272">
        <v>39</v>
      </c>
      <c r="G570" s="272">
        <v>3</v>
      </c>
      <c r="H570" s="272">
        <v>1</v>
      </c>
      <c r="I570" s="403">
        <f t="shared" si="8"/>
        <v>43</v>
      </c>
      <c r="J570" s="272">
        <v>0</v>
      </c>
      <c r="K570" s="456" t="s">
        <v>428</v>
      </c>
      <c r="L570" s="272" t="s">
        <v>441</v>
      </c>
      <c r="M570" s="405" t="s">
        <v>510</v>
      </c>
      <c r="N570" s="200">
        <v>49474.621212121201</v>
      </c>
    </row>
    <row r="571" spans="2:14" ht="15.75" x14ac:dyDescent="0.25">
      <c r="B571" s="453" t="s">
        <v>1007</v>
      </c>
      <c r="C571" s="342">
        <v>13106</v>
      </c>
      <c r="D571" s="454">
        <v>0.131439393939393</v>
      </c>
      <c r="E571" s="272">
        <v>12</v>
      </c>
      <c r="F571" s="272">
        <v>123</v>
      </c>
      <c r="G571" s="272">
        <v>9</v>
      </c>
      <c r="H571" s="272">
        <v>0</v>
      </c>
      <c r="I571" s="403">
        <f t="shared" si="8"/>
        <v>132</v>
      </c>
      <c r="J571" s="272">
        <v>0</v>
      </c>
      <c r="K571" s="455" t="s">
        <v>428</v>
      </c>
      <c r="L571" s="272" t="s">
        <v>441</v>
      </c>
      <c r="M571" s="405" t="s">
        <v>510</v>
      </c>
      <c r="N571" s="200">
        <v>43243.560606060601</v>
      </c>
    </row>
    <row r="572" spans="2:14" ht="15.75" x14ac:dyDescent="0.25">
      <c r="B572" s="453" t="s">
        <v>1008</v>
      </c>
      <c r="C572" s="342">
        <v>14012</v>
      </c>
      <c r="D572" s="454">
        <v>7.7272727272727201E-2</v>
      </c>
      <c r="E572" s="272">
        <v>8</v>
      </c>
      <c r="F572" s="272">
        <v>1</v>
      </c>
      <c r="G572" s="272">
        <v>0</v>
      </c>
      <c r="H572" s="272">
        <v>1</v>
      </c>
      <c r="I572" s="403">
        <f t="shared" si="8"/>
        <v>2</v>
      </c>
      <c r="J572" s="272">
        <v>0</v>
      </c>
      <c r="K572" s="456" t="s">
        <v>422</v>
      </c>
      <c r="L572" s="272" t="s">
        <v>441</v>
      </c>
      <c r="M572" s="405" t="s">
        <v>510</v>
      </c>
      <c r="N572" s="200">
        <v>25422.727272727301</v>
      </c>
    </row>
    <row r="573" spans="2:14" ht="15.75" x14ac:dyDescent="0.25">
      <c r="B573" s="453" t="s">
        <v>1009</v>
      </c>
      <c r="C573" s="342">
        <v>13631</v>
      </c>
      <c r="D573" s="454">
        <v>0.28409090909090901</v>
      </c>
      <c r="E573" s="272">
        <v>21</v>
      </c>
      <c r="F573" s="272">
        <v>56</v>
      </c>
      <c r="G573" s="272">
        <v>17</v>
      </c>
      <c r="H573" s="272">
        <v>0</v>
      </c>
      <c r="I573" s="403">
        <f t="shared" si="8"/>
        <v>73</v>
      </c>
      <c r="J573" s="272">
        <v>16</v>
      </c>
      <c r="K573" s="456" t="s">
        <v>426</v>
      </c>
      <c r="L573" s="272" t="s">
        <v>437</v>
      </c>
      <c r="M573" s="405" t="s">
        <v>516</v>
      </c>
      <c r="N573" s="200">
        <v>93465.909090909103</v>
      </c>
    </row>
    <row r="574" spans="2:14" ht="15.75" x14ac:dyDescent="0.25">
      <c r="B574" s="453" t="s">
        <v>1010</v>
      </c>
      <c r="C574" s="342">
        <v>13434</v>
      </c>
      <c r="D574" s="454">
        <v>0.153787878787878</v>
      </c>
      <c r="E574" s="272">
        <v>13</v>
      </c>
      <c r="F574" s="272">
        <v>7</v>
      </c>
      <c r="G574" s="272">
        <v>0</v>
      </c>
      <c r="H574" s="272">
        <v>2</v>
      </c>
      <c r="I574" s="403">
        <f t="shared" si="8"/>
        <v>9</v>
      </c>
      <c r="J574" s="272">
        <v>0</v>
      </c>
      <c r="K574" s="455" t="s">
        <v>428</v>
      </c>
      <c r="L574" s="272" t="s">
        <v>577</v>
      </c>
      <c r="M574" s="405" t="s">
        <v>976</v>
      </c>
      <c r="N574" s="200">
        <v>50596.212121212098</v>
      </c>
    </row>
    <row r="575" spans="2:14" ht="15.75" x14ac:dyDescent="0.25">
      <c r="B575" s="453" t="s">
        <v>1011</v>
      </c>
      <c r="C575" s="342">
        <v>13201</v>
      </c>
      <c r="D575" s="454">
        <v>0.11098484848484801</v>
      </c>
      <c r="E575" s="272">
        <v>11</v>
      </c>
      <c r="F575" s="272">
        <v>123</v>
      </c>
      <c r="G575" s="272">
        <v>3</v>
      </c>
      <c r="H575" s="272">
        <v>1</v>
      </c>
      <c r="I575" s="403">
        <f t="shared" si="8"/>
        <v>127</v>
      </c>
      <c r="J575" s="272">
        <v>0</v>
      </c>
      <c r="K575" s="456" t="s">
        <v>422</v>
      </c>
      <c r="L575" s="272" t="s">
        <v>516</v>
      </c>
      <c r="M575" s="405" t="s">
        <v>838</v>
      </c>
      <c r="N575" s="200">
        <v>36514.015151515101</v>
      </c>
    </row>
    <row r="576" spans="2:14" ht="15.75" x14ac:dyDescent="0.25">
      <c r="B576" s="453" t="s">
        <v>1012</v>
      </c>
      <c r="C576" s="342">
        <v>13165</v>
      </c>
      <c r="D576" s="454">
        <v>0.23409090909090899</v>
      </c>
      <c r="E576" s="272">
        <v>20</v>
      </c>
      <c r="F576" s="272">
        <v>53</v>
      </c>
      <c r="G576" s="272">
        <v>5</v>
      </c>
      <c r="H576" s="272">
        <v>5</v>
      </c>
      <c r="I576" s="403">
        <f t="shared" si="8"/>
        <v>63</v>
      </c>
      <c r="J576" s="272">
        <v>3</v>
      </c>
      <c r="K576" s="456" t="s">
        <v>428</v>
      </c>
      <c r="L576" s="272" t="s">
        <v>441</v>
      </c>
      <c r="M576" s="405" t="s">
        <v>510</v>
      </c>
      <c r="N576" s="200">
        <v>77015.909090909103</v>
      </c>
    </row>
    <row r="577" spans="2:14" ht="15.75" x14ac:dyDescent="0.25">
      <c r="B577" s="453" t="s">
        <v>1013</v>
      </c>
      <c r="C577" s="342">
        <v>13219</v>
      </c>
      <c r="D577" s="454">
        <v>0.23939393939393899</v>
      </c>
      <c r="E577" s="272">
        <v>24</v>
      </c>
      <c r="F577" s="272">
        <v>42</v>
      </c>
      <c r="G577" s="272">
        <v>11</v>
      </c>
      <c r="H577" s="272">
        <v>1</v>
      </c>
      <c r="I577" s="403">
        <f t="shared" si="8"/>
        <v>54</v>
      </c>
      <c r="J577" s="272">
        <v>0</v>
      </c>
      <c r="K577" s="455" t="s">
        <v>428</v>
      </c>
      <c r="L577" s="272" t="s">
        <v>516</v>
      </c>
      <c r="M577" s="405" t="s">
        <v>838</v>
      </c>
      <c r="N577" s="200">
        <v>78760.606060606093</v>
      </c>
    </row>
    <row r="578" spans="2:14" ht="15.75" x14ac:dyDescent="0.25">
      <c r="B578" s="453" t="s">
        <v>1014</v>
      </c>
      <c r="C578" s="342">
        <v>13420</v>
      </c>
      <c r="D578" s="454">
        <v>0.237310606060606</v>
      </c>
      <c r="E578" s="272">
        <v>18</v>
      </c>
      <c r="F578" s="272">
        <v>24</v>
      </c>
      <c r="G578" s="272">
        <v>7</v>
      </c>
      <c r="H578" s="272">
        <v>0</v>
      </c>
      <c r="I578" s="403">
        <f t="shared" si="8"/>
        <v>31</v>
      </c>
      <c r="J578" s="272">
        <v>0</v>
      </c>
      <c r="K578" s="456" t="s">
        <v>428</v>
      </c>
      <c r="L578" s="272" t="s">
        <v>441</v>
      </c>
      <c r="M578" s="405" t="s">
        <v>510</v>
      </c>
      <c r="N578" s="200">
        <v>78075.189393939407</v>
      </c>
    </row>
    <row r="579" spans="2:14" ht="15.75" x14ac:dyDescent="0.25">
      <c r="B579" s="453" t="s">
        <v>1015</v>
      </c>
      <c r="C579" s="342">
        <v>13417</v>
      </c>
      <c r="D579" s="454">
        <v>7.9924242424242398E-2</v>
      </c>
      <c r="E579" s="272">
        <v>9</v>
      </c>
      <c r="F579" s="272">
        <v>30</v>
      </c>
      <c r="G579" s="272">
        <v>4</v>
      </c>
      <c r="H579" s="272">
        <v>0</v>
      </c>
      <c r="I579" s="403">
        <f t="shared" si="8"/>
        <v>34</v>
      </c>
      <c r="J579" s="272">
        <v>0</v>
      </c>
      <c r="K579" s="456" t="s">
        <v>422</v>
      </c>
      <c r="L579" s="272" t="s">
        <v>441</v>
      </c>
      <c r="M579" s="405" t="s">
        <v>510</v>
      </c>
      <c r="N579" s="200">
        <v>26295.075757575702</v>
      </c>
    </row>
    <row r="580" spans="2:14" ht="15.75" x14ac:dyDescent="0.25">
      <c r="B580" s="453" t="s">
        <v>1016</v>
      </c>
      <c r="C580" s="342">
        <v>13638</v>
      </c>
      <c r="D580" s="454">
        <v>0.12954545454545399</v>
      </c>
      <c r="E580" s="272">
        <v>15</v>
      </c>
      <c r="F580" s="272">
        <v>41</v>
      </c>
      <c r="G580" s="272">
        <v>12</v>
      </c>
      <c r="H580" s="272">
        <v>2</v>
      </c>
      <c r="I580" s="403">
        <f t="shared" si="8"/>
        <v>55</v>
      </c>
      <c r="J580" s="272">
        <v>0</v>
      </c>
      <c r="K580" s="455" t="s">
        <v>428</v>
      </c>
      <c r="L580" s="272" t="s">
        <v>441</v>
      </c>
      <c r="M580" s="405" t="s">
        <v>510</v>
      </c>
      <c r="N580" s="200">
        <v>42620.4545454545</v>
      </c>
    </row>
    <row r="581" spans="2:14" ht="15.75" x14ac:dyDescent="0.25">
      <c r="B581" s="453" t="s">
        <v>1017</v>
      </c>
      <c r="C581" s="342">
        <v>13217</v>
      </c>
      <c r="D581" s="454">
        <v>0.19053030303030299</v>
      </c>
      <c r="E581" s="272">
        <v>11</v>
      </c>
      <c r="F581" s="272">
        <v>16</v>
      </c>
      <c r="G581" s="272">
        <v>1</v>
      </c>
      <c r="H581" s="272">
        <v>1</v>
      </c>
      <c r="I581" s="403">
        <f t="shared" si="8"/>
        <v>18</v>
      </c>
      <c r="J581" s="272">
        <v>0</v>
      </c>
      <c r="K581" s="456" t="s">
        <v>428</v>
      </c>
      <c r="L581" s="272" t="s">
        <v>441</v>
      </c>
      <c r="M581" s="405" t="s">
        <v>510</v>
      </c>
      <c r="N581" s="200">
        <v>62684.469696969703</v>
      </c>
    </row>
    <row r="582" spans="2:14" ht="15.75" x14ac:dyDescent="0.25">
      <c r="B582" s="453" t="s">
        <v>1018</v>
      </c>
      <c r="C582" s="342">
        <v>13016</v>
      </c>
      <c r="D582" s="454">
        <v>0.121022727272727</v>
      </c>
      <c r="E582" s="272">
        <v>13</v>
      </c>
      <c r="F582" s="272">
        <v>57</v>
      </c>
      <c r="G582" s="272">
        <v>4</v>
      </c>
      <c r="H582" s="272">
        <v>0</v>
      </c>
      <c r="I582" s="403">
        <f t="shared" si="8"/>
        <v>61</v>
      </c>
      <c r="J582" s="272">
        <v>0</v>
      </c>
      <c r="K582" s="456" t="s">
        <v>422</v>
      </c>
      <c r="L582" s="272" t="s">
        <v>516</v>
      </c>
      <c r="M582" s="405" t="s">
        <v>838</v>
      </c>
      <c r="N582" s="200">
        <v>39816.477272727301</v>
      </c>
    </row>
    <row r="583" spans="2:14" ht="15.75" x14ac:dyDescent="0.25">
      <c r="B583" s="453" t="s">
        <v>1019</v>
      </c>
      <c r="C583" s="342">
        <v>13330</v>
      </c>
      <c r="D583" s="454">
        <v>0.18655303030303</v>
      </c>
      <c r="E583" s="272">
        <v>13</v>
      </c>
      <c r="F583" s="272">
        <v>73</v>
      </c>
      <c r="G583" s="272">
        <v>2</v>
      </c>
      <c r="H583" s="272">
        <v>1</v>
      </c>
      <c r="I583" s="403">
        <f t="shared" si="8"/>
        <v>76</v>
      </c>
      <c r="J583" s="272">
        <v>1</v>
      </c>
      <c r="K583" s="455" t="s">
        <v>426</v>
      </c>
      <c r="L583" s="272" t="s">
        <v>437</v>
      </c>
      <c r="M583" s="405" t="s">
        <v>516</v>
      </c>
      <c r="N583" s="200">
        <v>61375.946969696997</v>
      </c>
    </row>
    <row r="584" spans="2:14" ht="15.75" x14ac:dyDescent="0.25">
      <c r="B584" s="453" t="s">
        <v>1020</v>
      </c>
      <c r="C584" s="342">
        <v>13065</v>
      </c>
      <c r="D584" s="454">
        <v>0.136174242424242</v>
      </c>
      <c r="E584" s="272">
        <v>13</v>
      </c>
      <c r="F584" s="272">
        <v>25</v>
      </c>
      <c r="G584" s="272">
        <v>2</v>
      </c>
      <c r="H584" s="272">
        <v>0</v>
      </c>
      <c r="I584" s="403">
        <f t="shared" ref="I584:I647" si="9">SUM(F584:H584)</f>
        <v>27</v>
      </c>
      <c r="J584" s="272">
        <v>0</v>
      </c>
      <c r="K584" s="456" t="s">
        <v>422</v>
      </c>
      <c r="L584" s="272" t="s">
        <v>516</v>
      </c>
      <c r="M584" s="405" t="s">
        <v>838</v>
      </c>
      <c r="N584" s="200">
        <v>44801.325757575803</v>
      </c>
    </row>
    <row r="585" spans="2:14" ht="15.75" x14ac:dyDescent="0.25">
      <c r="B585" s="453" t="s">
        <v>1021</v>
      </c>
      <c r="C585" s="342">
        <v>13227</v>
      </c>
      <c r="D585" s="454">
        <v>0.14772727272727201</v>
      </c>
      <c r="E585" s="272">
        <v>19</v>
      </c>
      <c r="F585" s="272">
        <v>12</v>
      </c>
      <c r="G585" s="272">
        <v>9</v>
      </c>
      <c r="H585" s="272">
        <v>0</v>
      </c>
      <c r="I585" s="403">
        <f t="shared" si="9"/>
        <v>21</v>
      </c>
      <c r="J585" s="272">
        <v>0</v>
      </c>
      <c r="K585" s="456" t="s">
        <v>428</v>
      </c>
      <c r="L585" s="272" t="s">
        <v>516</v>
      </c>
      <c r="M585" s="405" t="s">
        <v>838</v>
      </c>
      <c r="N585" s="200">
        <v>48602.272727272699</v>
      </c>
    </row>
    <row r="586" spans="2:14" ht="15.75" x14ac:dyDescent="0.25">
      <c r="B586" s="453" t="s">
        <v>1022</v>
      </c>
      <c r="C586" s="342">
        <v>13656</v>
      </c>
      <c r="D586" s="454">
        <v>0.24204545454545401</v>
      </c>
      <c r="E586" s="272">
        <v>16</v>
      </c>
      <c r="F586" s="272">
        <v>8</v>
      </c>
      <c r="G586" s="272">
        <v>3</v>
      </c>
      <c r="H586" s="272">
        <v>2</v>
      </c>
      <c r="I586" s="403">
        <f t="shared" si="9"/>
        <v>13</v>
      </c>
      <c r="J586" s="272">
        <v>3</v>
      </c>
      <c r="K586" s="455" t="s">
        <v>422</v>
      </c>
      <c r="L586" s="272" t="s">
        <v>441</v>
      </c>
      <c r="M586" s="405" t="s">
        <v>510</v>
      </c>
      <c r="N586" s="200">
        <v>79632.954545454602</v>
      </c>
    </row>
    <row r="587" spans="2:14" ht="15.75" x14ac:dyDescent="0.25">
      <c r="B587" s="453" t="s">
        <v>1023</v>
      </c>
      <c r="C587" s="342">
        <v>13787</v>
      </c>
      <c r="D587" s="454">
        <v>0.13806818181818101</v>
      </c>
      <c r="E587" s="272">
        <v>6</v>
      </c>
      <c r="F587" s="272">
        <v>2</v>
      </c>
      <c r="G587" s="272">
        <v>2</v>
      </c>
      <c r="H587" s="272">
        <v>4</v>
      </c>
      <c r="I587" s="403">
        <f t="shared" si="9"/>
        <v>8</v>
      </c>
      <c r="J587" s="272">
        <v>5</v>
      </c>
      <c r="K587" s="456" t="s">
        <v>422</v>
      </c>
      <c r="L587" s="272" t="s">
        <v>441</v>
      </c>
      <c r="M587" s="405" t="s">
        <v>510</v>
      </c>
      <c r="N587" s="200">
        <v>45424.431818181802</v>
      </c>
    </row>
    <row r="588" spans="2:14" ht="15.75" x14ac:dyDescent="0.25">
      <c r="B588" s="453" t="s">
        <v>1024</v>
      </c>
      <c r="C588" s="342">
        <v>13167</v>
      </c>
      <c r="D588" s="454">
        <v>0.117992424242424</v>
      </c>
      <c r="E588" s="272">
        <v>15</v>
      </c>
      <c r="F588" s="272">
        <v>11</v>
      </c>
      <c r="G588" s="272">
        <v>0</v>
      </c>
      <c r="H588" s="272">
        <v>2</v>
      </c>
      <c r="I588" s="403">
        <f t="shared" si="9"/>
        <v>13</v>
      </c>
      <c r="J588" s="272">
        <v>0</v>
      </c>
      <c r="K588" s="456" t="s">
        <v>422</v>
      </c>
      <c r="L588" s="272" t="s">
        <v>516</v>
      </c>
      <c r="M588" s="405" t="s">
        <v>976</v>
      </c>
      <c r="N588" s="200">
        <v>38819.507575757598</v>
      </c>
    </row>
    <row r="589" spans="2:14" ht="15.75" x14ac:dyDescent="0.25">
      <c r="B589" s="453" t="s">
        <v>1025</v>
      </c>
      <c r="C589" s="342">
        <v>13140</v>
      </c>
      <c r="D589" s="454">
        <v>8.8636363636363596E-2</v>
      </c>
      <c r="E589" s="272">
        <v>10</v>
      </c>
      <c r="F589" s="272">
        <v>40</v>
      </c>
      <c r="G589" s="272">
        <v>7</v>
      </c>
      <c r="H589" s="272">
        <v>1</v>
      </c>
      <c r="I589" s="403">
        <f t="shared" si="9"/>
        <v>48</v>
      </c>
      <c r="J589" s="272">
        <v>0</v>
      </c>
      <c r="K589" s="455" t="s">
        <v>428</v>
      </c>
      <c r="L589" s="272" t="s">
        <v>441</v>
      </c>
      <c r="M589" s="405" t="s">
        <v>510</v>
      </c>
      <c r="N589" s="200">
        <v>29161.3636363636</v>
      </c>
    </row>
    <row r="590" spans="2:14" ht="15.75" x14ac:dyDescent="0.25">
      <c r="B590" s="453" t="s">
        <v>1026</v>
      </c>
      <c r="C590" s="342">
        <v>13696</v>
      </c>
      <c r="D590" s="454">
        <v>5.9848484848484797E-2</v>
      </c>
      <c r="E590" s="272">
        <v>8</v>
      </c>
      <c r="F590" s="272">
        <v>111</v>
      </c>
      <c r="G590" s="272">
        <v>3</v>
      </c>
      <c r="H590" s="272">
        <v>0</v>
      </c>
      <c r="I590" s="403">
        <f t="shared" si="9"/>
        <v>114</v>
      </c>
      <c r="J590" s="272">
        <v>0</v>
      </c>
      <c r="K590" s="456" t="s">
        <v>428</v>
      </c>
      <c r="L590" s="272" t="s">
        <v>577</v>
      </c>
      <c r="M590" s="405" t="s">
        <v>976</v>
      </c>
      <c r="N590" s="200">
        <v>19690.151515151501</v>
      </c>
    </row>
    <row r="591" spans="2:14" ht="15.75" x14ac:dyDescent="0.25">
      <c r="B591" s="453" t="s">
        <v>1027</v>
      </c>
      <c r="C591" s="342">
        <v>13510</v>
      </c>
      <c r="D591" s="454">
        <v>4.0340909090908997E-2</v>
      </c>
      <c r="E591" s="272">
        <v>5</v>
      </c>
      <c r="F591" s="272">
        <v>5</v>
      </c>
      <c r="G591" s="272">
        <v>2</v>
      </c>
      <c r="H591" s="272">
        <v>2</v>
      </c>
      <c r="I591" s="403">
        <f t="shared" si="9"/>
        <v>9</v>
      </c>
      <c r="J591" s="272">
        <v>0</v>
      </c>
      <c r="K591" s="456" t="s">
        <v>428</v>
      </c>
      <c r="L591" s="272" t="s">
        <v>441</v>
      </c>
      <c r="M591" s="405" t="s">
        <v>510</v>
      </c>
      <c r="N591" s="200">
        <v>13272.159090909099</v>
      </c>
    </row>
    <row r="592" spans="2:14" ht="15.75" x14ac:dyDescent="0.25">
      <c r="B592" s="453" t="s">
        <v>1028</v>
      </c>
      <c r="C592" s="342">
        <v>13312</v>
      </c>
      <c r="D592" s="454">
        <v>0.22291666666666601</v>
      </c>
      <c r="E592" s="272">
        <v>17</v>
      </c>
      <c r="F592" s="272">
        <v>16</v>
      </c>
      <c r="G592" s="272">
        <v>3</v>
      </c>
      <c r="H592" s="272">
        <v>1</v>
      </c>
      <c r="I592" s="403">
        <f t="shared" si="9"/>
        <v>20</v>
      </c>
      <c r="J592" s="272">
        <v>0</v>
      </c>
      <c r="K592" s="455" t="s">
        <v>428</v>
      </c>
      <c r="L592" s="272" t="s">
        <v>516</v>
      </c>
      <c r="M592" s="405" t="s">
        <v>838</v>
      </c>
      <c r="N592" s="200">
        <v>73339.583333333401</v>
      </c>
    </row>
    <row r="593" spans="2:14" ht="15.75" x14ac:dyDescent="0.25">
      <c r="B593" s="453" t="s">
        <v>1029</v>
      </c>
      <c r="C593" s="342">
        <v>13146</v>
      </c>
      <c r="D593" s="454">
        <v>0.227462121212121</v>
      </c>
      <c r="E593" s="272">
        <v>8</v>
      </c>
      <c r="F593" s="272">
        <v>4</v>
      </c>
      <c r="G593" s="272">
        <v>2</v>
      </c>
      <c r="H593" s="272">
        <v>0</v>
      </c>
      <c r="I593" s="403">
        <f t="shared" si="9"/>
        <v>6</v>
      </c>
      <c r="J593" s="272">
        <v>0</v>
      </c>
      <c r="K593" s="456" t="s">
        <v>423</v>
      </c>
      <c r="L593" s="272" t="s">
        <v>441</v>
      </c>
      <c r="M593" s="405" t="s">
        <v>510</v>
      </c>
      <c r="N593" s="200">
        <v>74835.037878787902</v>
      </c>
    </row>
    <row r="594" spans="2:14" ht="15.75" x14ac:dyDescent="0.25">
      <c r="B594" s="453" t="s">
        <v>1030</v>
      </c>
      <c r="C594" s="342">
        <v>13219</v>
      </c>
      <c r="D594" s="454">
        <v>0.108901515151515</v>
      </c>
      <c r="E594" s="272">
        <v>8</v>
      </c>
      <c r="F594" s="272">
        <v>17</v>
      </c>
      <c r="G594" s="272">
        <v>1</v>
      </c>
      <c r="H594" s="272">
        <v>1</v>
      </c>
      <c r="I594" s="403">
        <f t="shared" si="9"/>
        <v>19</v>
      </c>
      <c r="J594" s="272">
        <v>1</v>
      </c>
      <c r="K594" s="456" t="s">
        <v>422</v>
      </c>
      <c r="L594" s="272" t="s">
        <v>516</v>
      </c>
      <c r="M594" s="405" t="s">
        <v>838</v>
      </c>
      <c r="N594" s="200">
        <v>35828.598484848502</v>
      </c>
    </row>
    <row r="595" spans="2:14" ht="15.75" x14ac:dyDescent="0.25">
      <c r="B595" s="453" t="s">
        <v>1031</v>
      </c>
      <c r="C595" s="342">
        <v>13219</v>
      </c>
      <c r="D595" s="454">
        <v>0.21363636363636301</v>
      </c>
      <c r="E595" s="272">
        <v>24</v>
      </c>
      <c r="F595" s="272">
        <v>38</v>
      </c>
      <c r="G595" s="272">
        <v>2</v>
      </c>
      <c r="H595" s="272">
        <v>1</v>
      </c>
      <c r="I595" s="403">
        <f t="shared" si="9"/>
        <v>41</v>
      </c>
      <c r="J595" s="272">
        <v>0</v>
      </c>
      <c r="K595" s="455" t="s">
        <v>422</v>
      </c>
      <c r="L595" s="272" t="s">
        <v>516</v>
      </c>
      <c r="M595" s="405" t="s">
        <v>838</v>
      </c>
      <c r="N595" s="200">
        <v>70286.363636363603</v>
      </c>
    </row>
    <row r="596" spans="2:14" ht="15.75" x14ac:dyDescent="0.25">
      <c r="B596" s="453" t="s">
        <v>1032</v>
      </c>
      <c r="C596" s="342">
        <v>13210</v>
      </c>
      <c r="D596" s="454">
        <v>0.10852272727272699</v>
      </c>
      <c r="E596" s="272">
        <v>12</v>
      </c>
      <c r="F596" s="272">
        <v>13</v>
      </c>
      <c r="G596" s="272">
        <v>3</v>
      </c>
      <c r="H596" s="272">
        <v>0</v>
      </c>
      <c r="I596" s="403">
        <f t="shared" si="9"/>
        <v>16</v>
      </c>
      <c r="J596" s="272">
        <v>0</v>
      </c>
      <c r="K596" s="456" t="s">
        <v>422</v>
      </c>
      <c r="L596" s="272" t="s">
        <v>441</v>
      </c>
      <c r="M596" s="405" t="s">
        <v>510</v>
      </c>
      <c r="N596" s="200">
        <v>35703.977272727301</v>
      </c>
    </row>
    <row r="597" spans="2:14" ht="15.75" x14ac:dyDescent="0.25">
      <c r="B597" s="453" t="s">
        <v>1033</v>
      </c>
      <c r="C597" s="342">
        <v>13210</v>
      </c>
      <c r="D597" s="454">
        <v>8.7121212121212099E-2</v>
      </c>
      <c r="E597" s="272">
        <v>10</v>
      </c>
      <c r="F597" s="272">
        <v>21</v>
      </c>
      <c r="G597" s="272">
        <v>1</v>
      </c>
      <c r="H597" s="272">
        <v>1</v>
      </c>
      <c r="I597" s="403">
        <f t="shared" si="9"/>
        <v>23</v>
      </c>
      <c r="J597" s="272">
        <v>0</v>
      </c>
      <c r="K597" s="456" t="s">
        <v>428</v>
      </c>
      <c r="L597" s="272" t="s">
        <v>441</v>
      </c>
      <c r="M597" s="405" t="s">
        <v>510</v>
      </c>
      <c r="N597" s="200">
        <v>28662.878787878799</v>
      </c>
    </row>
    <row r="598" spans="2:14" ht="15.75" x14ac:dyDescent="0.25">
      <c r="B598" s="453" t="s">
        <v>1034</v>
      </c>
      <c r="C598" s="342">
        <v>13150</v>
      </c>
      <c r="D598" s="454">
        <v>7.1590909090909094E-2</v>
      </c>
      <c r="E598" s="272">
        <v>7</v>
      </c>
      <c r="F598" s="272">
        <v>10</v>
      </c>
      <c r="G598" s="272">
        <v>0</v>
      </c>
      <c r="H598" s="272">
        <v>2</v>
      </c>
      <c r="I598" s="403">
        <f t="shared" si="9"/>
        <v>12</v>
      </c>
      <c r="J598" s="272">
        <v>0</v>
      </c>
      <c r="K598" s="455" t="s">
        <v>428</v>
      </c>
      <c r="L598" s="272" t="s">
        <v>803</v>
      </c>
      <c r="M598" s="405" t="s">
        <v>811</v>
      </c>
      <c r="N598" s="200">
        <v>23553.409090909099</v>
      </c>
    </row>
    <row r="599" spans="2:14" ht="15.75" x14ac:dyDescent="0.25">
      <c r="B599" s="453" t="s">
        <v>1035</v>
      </c>
      <c r="C599" s="342">
        <v>13004</v>
      </c>
      <c r="D599" s="454">
        <v>0.28049242424242399</v>
      </c>
      <c r="E599" s="272">
        <v>23</v>
      </c>
      <c r="F599" s="272">
        <v>70</v>
      </c>
      <c r="G599" s="272">
        <v>5</v>
      </c>
      <c r="H599" s="272">
        <v>0</v>
      </c>
      <c r="I599" s="403">
        <f t="shared" si="9"/>
        <v>75</v>
      </c>
      <c r="J599" s="272">
        <v>0</v>
      </c>
      <c r="K599" s="456" t="s">
        <v>428</v>
      </c>
      <c r="L599" s="272" t="s">
        <v>441</v>
      </c>
      <c r="M599" s="405" t="s">
        <v>510</v>
      </c>
      <c r="N599" s="200">
        <v>92282.007575757598</v>
      </c>
    </row>
    <row r="600" spans="2:14" ht="15.75" x14ac:dyDescent="0.25">
      <c r="B600" s="453" t="s">
        <v>1036</v>
      </c>
      <c r="C600" s="342">
        <v>13020</v>
      </c>
      <c r="D600" s="454">
        <v>6.8181818181818094E-2</v>
      </c>
      <c r="E600" s="272">
        <v>3</v>
      </c>
      <c r="F600" s="272">
        <v>9</v>
      </c>
      <c r="G600" s="272">
        <v>1</v>
      </c>
      <c r="H600" s="272">
        <v>4</v>
      </c>
      <c r="I600" s="403">
        <f t="shared" si="9"/>
        <v>14</v>
      </c>
      <c r="J600" s="272">
        <v>0</v>
      </c>
      <c r="K600" s="456" t="s">
        <v>428</v>
      </c>
      <c r="L600" s="272" t="s">
        <v>803</v>
      </c>
      <c r="M600" s="405" t="s">
        <v>811</v>
      </c>
      <c r="N600" s="200">
        <v>22431.818181818198</v>
      </c>
    </row>
    <row r="601" spans="2:14" ht="15.75" x14ac:dyDescent="0.25">
      <c r="B601" s="453" t="s">
        <v>1037</v>
      </c>
      <c r="C601" s="342">
        <v>13390</v>
      </c>
      <c r="D601" s="454">
        <v>0.18958333333333299</v>
      </c>
      <c r="E601" s="272">
        <v>12</v>
      </c>
      <c r="F601" s="272">
        <v>42</v>
      </c>
      <c r="G601" s="272">
        <v>6</v>
      </c>
      <c r="H601" s="272">
        <v>0</v>
      </c>
      <c r="I601" s="403">
        <f t="shared" si="9"/>
        <v>48</v>
      </c>
      <c r="J601" s="272">
        <v>0</v>
      </c>
      <c r="K601" s="455" t="s">
        <v>422</v>
      </c>
      <c r="L601" s="272" t="s">
        <v>441</v>
      </c>
      <c r="M601" s="405" t="s">
        <v>510</v>
      </c>
      <c r="N601" s="200">
        <v>62372.916666666701</v>
      </c>
    </row>
    <row r="602" spans="2:14" ht="15.75" x14ac:dyDescent="0.25">
      <c r="B602" s="453" t="s">
        <v>1038</v>
      </c>
      <c r="C602" s="342">
        <v>13390</v>
      </c>
      <c r="D602" s="454">
        <v>0.61685606060606002</v>
      </c>
      <c r="E602" s="272">
        <v>37</v>
      </c>
      <c r="F602" s="272">
        <v>45</v>
      </c>
      <c r="G602" s="272">
        <v>5</v>
      </c>
      <c r="H602" s="272">
        <v>0</v>
      </c>
      <c r="I602" s="403">
        <f t="shared" si="9"/>
        <v>50</v>
      </c>
      <c r="J602" s="272">
        <v>0</v>
      </c>
      <c r="K602" s="456" t="s">
        <v>422</v>
      </c>
      <c r="L602" s="272" t="s">
        <v>441</v>
      </c>
      <c r="M602" s="405" t="s">
        <v>510</v>
      </c>
      <c r="N602" s="200">
        <v>202945.64393939401</v>
      </c>
    </row>
    <row r="603" spans="2:14" ht="15.75" x14ac:dyDescent="0.25">
      <c r="B603" s="453" t="s">
        <v>1039</v>
      </c>
      <c r="C603" s="342">
        <v>13010</v>
      </c>
      <c r="D603" s="454">
        <v>9.4507575757575693E-2</v>
      </c>
      <c r="E603" s="272">
        <v>6</v>
      </c>
      <c r="F603" s="272">
        <v>15</v>
      </c>
      <c r="G603" s="272">
        <v>2</v>
      </c>
      <c r="H603" s="272">
        <v>0</v>
      </c>
      <c r="I603" s="403">
        <f t="shared" si="9"/>
        <v>17</v>
      </c>
      <c r="J603" s="272">
        <v>0</v>
      </c>
      <c r="K603" s="456" t="s">
        <v>422</v>
      </c>
      <c r="L603" s="272" t="s">
        <v>441</v>
      </c>
      <c r="M603" s="405" t="s">
        <v>510</v>
      </c>
      <c r="N603" s="200">
        <v>31092.992424242399</v>
      </c>
    </row>
    <row r="604" spans="2:14" ht="15.75" x14ac:dyDescent="0.25">
      <c r="B604" s="453" t="s">
        <v>1040</v>
      </c>
      <c r="C604" s="342">
        <v>13390</v>
      </c>
      <c r="D604" s="454">
        <v>0.24886363636363601</v>
      </c>
      <c r="E604" s="272">
        <v>15</v>
      </c>
      <c r="F604" s="272">
        <v>32</v>
      </c>
      <c r="G604" s="272">
        <v>4</v>
      </c>
      <c r="H604" s="272">
        <v>0</v>
      </c>
      <c r="I604" s="403">
        <f t="shared" si="9"/>
        <v>36</v>
      </c>
      <c r="J604" s="272">
        <v>0</v>
      </c>
      <c r="K604" s="455" t="s">
        <v>422</v>
      </c>
      <c r="L604" s="272" t="s">
        <v>441</v>
      </c>
      <c r="M604" s="405" t="s">
        <v>510</v>
      </c>
      <c r="N604" s="200">
        <v>81876.136363636397</v>
      </c>
    </row>
    <row r="605" spans="2:14" ht="15.75" x14ac:dyDescent="0.25">
      <c r="B605" s="453" t="s">
        <v>1041</v>
      </c>
      <c r="C605" s="342">
        <v>13390</v>
      </c>
      <c r="D605" s="454">
        <v>0.205113636363636</v>
      </c>
      <c r="E605" s="272">
        <v>16</v>
      </c>
      <c r="F605" s="272">
        <v>65</v>
      </c>
      <c r="G605" s="272">
        <v>15</v>
      </c>
      <c r="H605" s="272">
        <v>0</v>
      </c>
      <c r="I605" s="403">
        <f t="shared" si="9"/>
        <v>80</v>
      </c>
      <c r="J605" s="272">
        <v>21</v>
      </c>
      <c r="K605" s="456" t="s">
        <v>422</v>
      </c>
      <c r="L605" s="272" t="s">
        <v>441</v>
      </c>
      <c r="M605" s="405" t="s">
        <v>510</v>
      </c>
      <c r="N605" s="200">
        <v>67482.386363636397</v>
      </c>
    </row>
    <row r="606" spans="2:14" ht="15.75" x14ac:dyDescent="0.25">
      <c r="B606" s="453" t="s">
        <v>1042</v>
      </c>
      <c r="C606" s="342">
        <v>13390</v>
      </c>
      <c r="D606" s="454">
        <v>0.34583333333333299</v>
      </c>
      <c r="E606" s="272">
        <v>33</v>
      </c>
      <c r="F606" s="272">
        <v>130</v>
      </c>
      <c r="G606" s="272">
        <v>4</v>
      </c>
      <c r="H606" s="272">
        <v>0</v>
      </c>
      <c r="I606" s="403">
        <f t="shared" si="9"/>
        <v>134</v>
      </c>
      <c r="J606" s="272">
        <v>0</v>
      </c>
      <c r="K606" s="456" t="s">
        <v>422</v>
      </c>
      <c r="L606" s="272" t="s">
        <v>441</v>
      </c>
      <c r="M606" s="405" t="s">
        <v>510</v>
      </c>
      <c r="N606" s="200">
        <v>113779.16666666701</v>
      </c>
    </row>
    <row r="607" spans="2:14" ht="15.75" x14ac:dyDescent="0.25">
      <c r="B607" s="453" t="s">
        <v>1043</v>
      </c>
      <c r="C607" s="342">
        <v>13390</v>
      </c>
      <c r="D607" s="454">
        <v>0.170833333333333</v>
      </c>
      <c r="E607" s="272">
        <v>13</v>
      </c>
      <c r="F607" s="272">
        <v>31</v>
      </c>
      <c r="G607" s="272">
        <v>3</v>
      </c>
      <c r="H607" s="272">
        <v>0</v>
      </c>
      <c r="I607" s="403">
        <f t="shared" si="9"/>
        <v>34</v>
      </c>
      <c r="J607" s="272">
        <v>0</v>
      </c>
      <c r="K607" s="455" t="s">
        <v>422</v>
      </c>
      <c r="L607" s="272" t="s">
        <v>441</v>
      </c>
      <c r="M607" s="405" t="s">
        <v>510</v>
      </c>
      <c r="N607" s="200">
        <v>56204.166666666701</v>
      </c>
    </row>
    <row r="608" spans="2:14" ht="15.75" x14ac:dyDescent="0.25">
      <c r="B608" s="453" t="s">
        <v>1044</v>
      </c>
      <c r="C608" s="342">
        <v>13390</v>
      </c>
      <c r="D608" s="454">
        <v>0.92689393939393905</v>
      </c>
      <c r="E608" s="272">
        <v>46</v>
      </c>
      <c r="F608" s="272">
        <v>48</v>
      </c>
      <c r="G608" s="272">
        <v>11</v>
      </c>
      <c r="H608" s="272">
        <v>0</v>
      </c>
      <c r="I608" s="403">
        <f t="shared" si="9"/>
        <v>59</v>
      </c>
      <c r="J608" s="272">
        <v>5</v>
      </c>
      <c r="K608" s="456" t="s">
        <v>422</v>
      </c>
      <c r="L608" s="272" t="s">
        <v>441</v>
      </c>
      <c r="M608" s="405" t="s">
        <v>510</v>
      </c>
      <c r="N608" s="200">
        <v>304948.10606060602</v>
      </c>
    </row>
    <row r="609" spans="2:14" ht="15.75" x14ac:dyDescent="0.25">
      <c r="B609" s="453" t="s">
        <v>1045</v>
      </c>
      <c r="C609" s="342">
        <v>13390</v>
      </c>
      <c r="D609" s="454">
        <v>0.449242424242424</v>
      </c>
      <c r="E609" s="272">
        <v>27</v>
      </c>
      <c r="F609" s="272">
        <v>17</v>
      </c>
      <c r="G609" s="272">
        <v>3</v>
      </c>
      <c r="H609" s="272">
        <v>0</v>
      </c>
      <c r="I609" s="403">
        <f t="shared" si="9"/>
        <v>20</v>
      </c>
      <c r="J609" s="272">
        <v>0</v>
      </c>
      <c r="K609" s="456" t="s">
        <v>422</v>
      </c>
      <c r="L609" s="272" t="s">
        <v>441</v>
      </c>
      <c r="M609" s="405" t="s">
        <v>510</v>
      </c>
      <c r="N609" s="200">
        <v>147800.75757575801</v>
      </c>
    </row>
    <row r="610" spans="2:14" ht="15.75" x14ac:dyDescent="0.25">
      <c r="B610" s="453" t="s">
        <v>1046</v>
      </c>
      <c r="C610" s="342">
        <v>13390</v>
      </c>
      <c r="D610" s="454">
        <v>0.241287878787878</v>
      </c>
      <c r="E610" s="272">
        <v>15</v>
      </c>
      <c r="F610" s="272">
        <v>66</v>
      </c>
      <c r="G610" s="272">
        <v>3</v>
      </c>
      <c r="H610" s="272">
        <v>0</v>
      </c>
      <c r="I610" s="403">
        <f t="shared" si="9"/>
        <v>69</v>
      </c>
      <c r="J610" s="272">
        <v>0</v>
      </c>
      <c r="K610" s="455" t="s">
        <v>422</v>
      </c>
      <c r="L610" s="272" t="s">
        <v>441</v>
      </c>
      <c r="M610" s="405" t="s">
        <v>510</v>
      </c>
      <c r="N610" s="200">
        <v>79383.712121212098</v>
      </c>
    </row>
    <row r="611" spans="2:14" ht="15.75" x14ac:dyDescent="0.25">
      <c r="B611" s="453" t="s">
        <v>1047</v>
      </c>
      <c r="C611" s="342">
        <v>13390</v>
      </c>
      <c r="D611" s="454">
        <v>0.61155303030302999</v>
      </c>
      <c r="E611" s="272">
        <v>30</v>
      </c>
      <c r="F611" s="272">
        <v>86</v>
      </c>
      <c r="G611" s="272">
        <v>11</v>
      </c>
      <c r="H611" s="272">
        <v>4</v>
      </c>
      <c r="I611" s="403">
        <f t="shared" si="9"/>
        <v>101</v>
      </c>
      <c r="J611" s="272">
        <v>5</v>
      </c>
      <c r="K611" s="456" t="s">
        <v>422</v>
      </c>
      <c r="L611" s="272" t="s">
        <v>441</v>
      </c>
      <c r="M611" s="405" t="s">
        <v>510</v>
      </c>
      <c r="N611" s="200">
        <v>201200.94696969699</v>
      </c>
    </row>
    <row r="612" spans="2:14" ht="15.75" x14ac:dyDescent="0.25">
      <c r="B612" s="453" t="s">
        <v>1048</v>
      </c>
      <c r="C612" s="342">
        <v>13198</v>
      </c>
      <c r="D612" s="454">
        <v>7.5189393939393903E-2</v>
      </c>
      <c r="E612" s="272">
        <v>6</v>
      </c>
      <c r="F612" s="272">
        <v>8</v>
      </c>
      <c r="G612" s="272">
        <v>2</v>
      </c>
      <c r="H612" s="272">
        <v>0</v>
      </c>
      <c r="I612" s="403">
        <f t="shared" si="9"/>
        <v>10</v>
      </c>
      <c r="J612" s="272">
        <v>0</v>
      </c>
      <c r="K612" s="456" t="s">
        <v>422</v>
      </c>
      <c r="L612" s="272" t="s">
        <v>516</v>
      </c>
      <c r="M612" s="405" t="s">
        <v>838</v>
      </c>
      <c r="N612" s="200">
        <v>24737.310606060601</v>
      </c>
    </row>
    <row r="613" spans="2:14" ht="15.75" x14ac:dyDescent="0.25">
      <c r="B613" s="453" t="s">
        <v>1049</v>
      </c>
      <c r="C613" s="342">
        <v>13805</v>
      </c>
      <c r="D613" s="454">
        <v>0.194318181818181</v>
      </c>
      <c r="E613" s="272">
        <v>12</v>
      </c>
      <c r="F613" s="272">
        <v>3</v>
      </c>
      <c r="G613" s="272">
        <v>3</v>
      </c>
      <c r="H613" s="272">
        <v>0</v>
      </c>
      <c r="I613" s="403">
        <f t="shared" si="9"/>
        <v>6</v>
      </c>
      <c r="J613" s="272">
        <v>0</v>
      </c>
      <c r="K613" s="455" t="s">
        <v>422</v>
      </c>
      <c r="L613" s="272" t="s">
        <v>428</v>
      </c>
      <c r="M613" s="405" t="s">
        <v>423</v>
      </c>
      <c r="N613" s="200">
        <v>63930.681818181904</v>
      </c>
    </row>
    <row r="614" spans="2:14" ht="15.75" x14ac:dyDescent="0.25">
      <c r="B614" s="453" t="s">
        <v>1050</v>
      </c>
      <c r="C614" s="342">
        <v>13299</v>
      </c>
      <c r="D614" s="454">
        <v>0.18390151515151501</v>
      </c>
      <c r="E614" s="272">
        <v>13</v>
      </c>
      <c r="F614" s="272">
        <v>123</v>
      </c>
      <c r="G614" s="272">
        <v>28</v>
      </c>
      <c r="H614" s="272">
        <v>2</v>
      </c>
      <c r="I614" s="403">
        <f t="shared" si="9"/>
        <v>153</v>
      </c>
      <c r="J614" s="272">
        <v>2</v>
      </c>
      <c r="K614" s="456" t="s">
        <v>428</v>
      </c>
      <c r="L614" s="272" t="s">
        <v>803</v>
      </c>
      <c r="M614" s="405" t="s">
        <v>811</v>
      </c>
      <c r="N614" s="200">
        <v>60503.598484848502</v>
      </c>
    </row>
    <row r="615" spans="2:14" ht="15.75" x14ac:dyDescent="0.25">
      <c r="B615" s="453" t="s">
        <v>1051</v>
      </c>
      <c r="C615" s="342">
        <v>13373</v>
      </c>
      <c r="D615" s="454">
        <v>0.31969696969696898</v>
      </c>
      <c r="E615" s="272">
        <v>27</v>
      </c>
      <c r="F615" s="272">
        <v>13</v>
      </c>
      <c r="G615" s="272">
        <v>13</v>
      </c>
      <c r="H615" s="272">
        <v>0</v>
      </c>
      <c r="I615" s="403">
        <f t="shared" si="9"/>
        <v>26</v>
      </c>
      <c r="J615" s="272">
        <v>0</v>
      </c>
      <c r="K615" s="456" t="s">
        <v>426</v>
      </c>
      <c r="L615" s="272" t="s">
        <v>803</v>
      </c>
      <c r="M615" s="405" t="s">
        <v>811</v>
      </c>
      <c r="N615" s="200">
        <v>105180.303030303</v>
      </c>
    </row>
    <row r="616" spans="2:14" ht="15.75" x14ac:dyDescent="0.25">
      <c r="B616" s="453" t="s">
        <v>1052</v>
      </c>
      <c r="C616" s="342">
        <v>13344</v>
      </c>
      <c r="D616" s="454">
        <v>4.7727272727272702E-2</v>
      </c>
      <c r="E616" s="272">
        <v>7</v>
      </c>
      <c r="F616" s="272">
        <v>37</v>
      </c>
      <c r="G616" s="272">
        <v>5</v>
      </c>
      <c r="H616" s="272">
        <v>2</v>
      </c>
      <c r="I616" s="403">
        <f t="shared" si="9"/>
        <v>44</v>
      </c>
      <c r="J616" s="272">
        <v>0</v>
      </c>
      <c r="K616" s="455" t="s">
        <v>428</v>
      </c>
      <c r="L616" s="272" t="s">
        <v>803</v>
      </c>
      <c r="M616" s="405" t="s">
        <v>811</v>
      </c>
      <c r="N616" s="200">
        <v>15702.272727272701</v>
      </c>
    </row>
    <row r="617" spans="2:14" ht="15.75" x14ac:dyDescent="0.25">
      <c r="B617" s="453" t="s">
        <v>1053</v>
      </c>
      <c r="C617" s="342">
        <v>13329</v>
      </c>
      <c r="D617" s="454">
        <v>0.82670454545454497</v>
      </c>
      <c r="E617" s="272">
        <v>55</v>
      </c>
      <c r="F617" s="272">
        <v>89</v>
      </c>
      <c r="G617" s="272">
        <v>21</v>
      </c>
      <c r="H617" s="272">
        <v>1</v>
      </c>
      <c r="I617" s="403">
        <f t="shared" si="9"/>
        <v>111</v>
      </c>
      <c r="J617" s="272">
        <v>0</v>
      </c>
      <c r="K617" s="456" t="s">
        <v>428</v>
      </c>
      <c r="L617" s="272" t="s">
        <v>441</v>
      </c>
      <c r="M617" s="405" t="s">
        <v>510</v>
      </c>
      <c r="N617" s="200">
        <v>271985.79529912502</v>
      </c>
    </row>
    <row r="618" spans="2:14" ht="15.75" x14ac:dyDescent="0.25">
      <c r="B618" s="453" t="s">
        <v>1054</v>
      </c>
      <c r="C618" s="342">
        <v>13224</v>
      </c>
      <c r="D618" s="454">
        <v>0.25227272727272698</v>
      </c>
      <c r="E618" s="272">
        <v>23</v>
      </c>
      <c r="F618" s="272">
        <v>16</v>
      </c>
      <c r="G618" s="272">
        <v>17</v>
      </c>
      <c r="H618" s="272">
        <v>1</v>
      </c>
      <c r="I618" s="403">
        <f t="shared" si="9"/>
        <v>34</v>
      </c>
      <c r="J618" s="272">
        <v>0</v>
      </c>
      <c r="K618" s="456" t="s">
        <v>428</v>
      </c>
      <c r="L618" s="272" t="s">
        <v>441</v>
      </c>
      <c r="M618" s="405" t="s">
        <v>510</v>
      </c>
      <c r="N618" s="200">
        <v>82997.727272727294</v>
      </c>
    </row>
    <row r="619" spans="2:14" ht="15.75" x14ac:dyDescent="0.25">
      <c r="B619" s="453" t="s">
        <v>1055</v>
      </c>
      <c r="C619" s="342">
        <v>13460</v>
      </c>
      <c r="D619" s="454">
        <v>9.6401515151515099E-2</v>
      </c>
      <c r="E619" s="272">
        <v>7</v>
      </c>
      <c r="F619" s="272">
        <v>25</v>
      </c>
      <c r="G619" s="272">
        <v>0</v>
      </c>
      <c r="H619" s="272">
        <v>1</v>
      </c>
      <c r="I619" s="403">
        <f t="shared" si="9"/>
        <v>26</v>
      </c>
      <c r="J619" s="272">
        <v>0</v>
      </c>
      <c r="K619" s="455" t="s">
        <v>428</v>
      </c>
      <c r="L619" s="272" t="s">
        <v>803</v>
      </c>
      <c r="M619" s="405" t="s">
        <v>811</v>
      </c>
      <c r="N619" s="200">
        <v>31716.098484848499</v>
      </c>
    </row>
    <row r="620" spans="2:14" ht="15.75" x14ac:dyDescent="0.25">
      <c r="B620" s="453" t="s">
        <v>1056</v>
      </c>
      <c r="C620" s="342">
        <v>13010</v>
      </c>
      <c r="D620" s="454">
        <v>6.8939393939393898E-2</v>
      </c>
      <c r="E620" s="272">
        <v>8</v>
      </c>
      <c r="F620" s="272">
        <v>2</v>
      </c>
      <c r="G620" s="272">
        <v>4</v>
      </c>
      <c r="H620" s="272">
        <v>1</v>
      </c>
      <c r="I620" s="403">
        <f t="shared" si="9"/>
        <v>7</v>
      </c>
      <c r="J620" s="272">
        <v>0</v>
      </c>
      <c r="K620" s="456" t="s">
        <v>422</v>
      </c>
      <c r="L620" s="272" t="s">
        <v>510</v>
      </c>
      <c r="M620" s="405" t="s">
        <v>577</v>
      </c>
      <c r="N620" s="200">
        <v>22681.060606060601</v>
      </c>
    </row>
    <row r="621" spans="2:14" ht="15.75" x14ac:dyDescent="0.25">
      <c r="B621" s="453" t="s">
        <v>1057</v>
      </c>
      <c r="C621" s="342">
        <v>13112</v>
      </c>
      <c r="D621" s="454">
        <v>0.13446969696969599</v>
      </c>
      <c r="E621" s="272">
        <v>14</v>
      </c>
      <c r="F621" s="272">
        <v>38</v>
      </c>
      <c r="G621" s="272">
        <v>1</v>
      </c>
      <c r="H621" s="272">
        <v>1</v>
      </c>
      <c r="I621" s="403">
        <f t="shared" si="9"/>
        <v>40</v>
      </c>
      <c r="J621" s="272">
        <v>1</v>
      </c>
      <c r="K621" s="456" t="s">
        <v>422</v>
      </c>
      <c r="L621" s="272" t="s">
        <v>441</v>
      </c>
      <c r="M621" s="405" t="s">
        <v>510</v>
      </c>
      <c r="N621" s="200">
        <v>44240.530303030297</v>
      </c>
    </row>
    <row r="622" spans="2:14" ht="15.75" x14ac:dyDescent="0.25">
      <c r="B622" s="453" t="s">
        <v>1058</v>
      </c>
      <c r="C622" s="342">
        <v>13112</v>
      </c>
      <c r="D622" s="454">
        <v>0.176704545454545</v>
      </c>
      <c r="E622" s="272">
        <v>13</v>
      </c>
      <c r="F622" s="272">
        <v>49</v>
      </c>
      <c r="G622" s="272">
        <v>6</v>
      </c>
      <c r="H622" s="272">
        <v>1</v>
      </c>
      <c r="I622" s="403">
        <f t="shared" si="9"/>
        <v>56</v>
      </c>
      <c r="J622" s="272">
        <v>0</v>
      </c>
      <c r="K622" s="455" t="s">
        <v>428</v>
      </c>
      <c r="L622" s="272" t="s">
        <v>441</v>
      </c>
      <c r="M622" s="405" t="s">
        <v>838</v>
      </c>
      <c r="N622" s="200">
        <v>58135.7954545455</v>
      </c>
    </row>
    <row r="623" spans="2:14" ht="15.75" x14ac:dyDescent="0.25">
      <c r="B623" s="453" t="s">
        <v>1059</v>
      </c>
      <c r="C623" s="342">
        <v>13147</v>
      </c>
      <c r="D623" s="454">
        <v>0.18920454545454499</v>
      </c>
      <c r="E623" s="272">
        <v>12</v>
      </c>
      <c r="F623" s="272">
        <v>26</v>
      </c>
      <c r="G623" s="272">
        <v>3</v>
      </c>
      <c r="H623" s="272">
        <v>0</v>
      </c>
      <c r="I623" s="403">
        <f t="shared" si="9"/>
        <v>29</v>
      </c>
      <c r="J623" s="272">
        <v>0</v>
      </c>
      <c r="K623" s="456" t="s">
        <v>422</v>
      </c>
      <c r="L623" s="272" t="s">
        <v>437</v>
      </c>
      <c r="M623" s="405" t="s">
        <v>516</v>
      </c>
      <c r="N623" s="200">
        <v>62248.2954545455</v>
      </c>
    </row>
    <row r="624" spans="2:14" ht="15.75" x14ac:dyDescent="0.25">
      <c r="B624" s="453" t="s">
        <v>1060</v>
      </c>
      <c r="C624" s="342">
        <v>13147</v>
      </c>
      <c r="D624" s="454">
        <v>0.46212121212121199</v>
      </c>
      <c r="E624" s="272">
        <v>20</v>
      </c>
      <c r="F624" s="272">
        <v>123</v>
      </c>
      <c r="G624" s="272">
        <v>2</v>
      </c>
      <c r="H624" s="272">
        <v>1</v>
      </c>
      <c r="I624" s="403">
        <f t="shared" si="9"/>
        <v>126</v>
      </c>
      <c r="J624" s="272">
        <v>0</v>
      </c>
      <c r="K624" s="456" t="s">
        <v>422</v>
      </c>
      <c r="L624" s="272" t="s">
        <v>437</v>
      </c>
      <c r="M624" s="405" t="s">
        <v>516</v>
      </c>
      <c r="N624" s="200">
        <v>152037.87878787899</v>
      </c>
    </row>
    <row r="625" spans="2:14" ht="15.75" x14ac:dyDescent="0.25">
      <c r="B625" s="453" t="s">
        <v>1061</v>
      </c>
      <c r="C625" s="342">
        <v>13826</v>
      </c>
      <c r="D625" s="454">
        <v>0.197348484848484</v>
      </c>
      <c r="E625" s="272">
        <v>10</v>
      </c>
      <c r="F625" s="272">
        <v>183</v>
      </c>
      <c r="G625" s="272">
        <v>7</v>
      </c>
      <c r="H625" s="272">
        <v>2</v>
      </c>
      <c r="I625" s="403">
        <f t="shared" si="9"/>
        <v>192</v>
      </c>
      <c r="J625" s="272">
        <v>39</v>
      </c>
      <c r="K625" s="455" t="s">
        <v>426</v>
      </c>
      <c r="L625" s="272" t="s">
        <v>441</v>
      </c>
      <c r="M625" s="405" t="s">
        <v>510</v>
      </c>
      <c r="N625" s="200">
        <v>64927.651515151498</v>
      </c>
    </row>
    <row r="626" spans="2:14" ht="15.75" x14ac:dyDescent="0.25">
      <c r="B626" s="453" t="s">
        <v>1062</v>
      </c>
      <c r="C626" s="342">
        <v>13060</v>
      </c>
      <c r="D626" s="454">
        <v>5.7196969696969698E-2</v>
      </c>
      <c r="E626" s="272">
        <v>9</v>
      </c>
      <c r="F626" s="272">
        <v>267</v>
      </c>
      <c r="G626" s="272">
        <v>24</v>
      </c>
      <c r="H626" s="272">
        <v>2</v>
      </c>
      <c r="I626" s="403">
        <f t="shared" si="9"/>
        <v>293</v>
      </c>
      <c r="J626" s="272">
        <v>0</v>
      </c>
      <c r="K626" s="456" t="s">
        <v>428</v>
      </c>
      <c r="L626" s="272" t="s">
        <v>441</v>
      </c>
      <c r="M626" s="405" t="s">
        <v>510</v>
      </c>
      <c r="N626" s="200">
        <v>18817.803030302999</v>
      </c>
    </row>
    <row r="627" spans="2:14" ht="15.75" x14ac:dyDescent="0.25">
      <c r="B627" s="453" t="s">
        <v>1063</v>
      </c>
      <c r="C627" s="342">
        <v>13224</v>
      </c>
      <c r="D627" s="454">
        <v>0.10852272727272699</v>
      </c>
      <c r="E627" s="272">
        <v>13</v>
      </c>
      <c r="F627" s="272">
        <v>16</v>
      </c>
      <c r="G627" s="272">
        <v>2</v>
      </c>
      <c r="H627" s="272">
        <v>1</v>
      </c>
      <c r="I627" s="403">
        <f t="shared" si="9"/>
        <v>19</v>
      </c>
      <c r="J627" s="272">
        <v>0</v>
      </c>
      <c r="K627" s="456" t="s">
        <v>422</v>
      </c>
      <c r="L627" s="272" t="s">
        <v>441</v>
      </c>
      <c r="M627" s="405" t="s">
        <v>510</v>
      </c>
      <c r="N627" s="200">
        <v>35703.977272727301</v>
      </c>
    </row>
    <row r="628" spans="2:14" ht="15.75" x14ac:dyDescent="0.25">
      <c r="B628" s="453" t="s">
        <v>1064</v>
      </c>
      <c r="C628" s="342">
        <v>13241</v>
      </c>
      <c r="D628" s="454">
        <v>0.22215909090909</v>
      </c>
      <c r="E628" s="272">
        <v>17</v>
      </c>
      <c r="F628" s="272">
        <v>22</v>
      </c>
      <c r="G628" s="272">
        <v>9</v>
      </c>
      <c r="H628" s="272">
        <v>0</v>
      </c>
      <c r="I628" s="403">
        <f t="shared" si="9"/>
        <v>31</v>
      </c>
      <c r="J628" s="272">
        <v>0</v>
      </c>
      <c r="K628" s="455" t="s">
        <v>422</v>
      </c>
      <c r="L628" s="272" t="s">
        <v>437</v>
      </c>
      <c r="M628" s="405" t="s">
        <v>516</v>
      </c>
      <c r="N628" s="200">
        <v>73090.340909090897</v>
      </c>
    </row>
    <row r="629" spans="2:14" ht="15.75" x14ac:dyDescent="0.25">
      <c r="B629" s="453" t="s">
        <v>1065</v>
      </c>
      <c r="C629" s="342">
        <v>13838</v>
      </c>
      <c r="D629" s="454">
        <v>0.19981060606060599</v>
      </c>
      <c r="E629" s="272">
        <v>13</v>
      </c>
      <c r="F629" s="272">
        <v>61</v>
      </c>
      <c r="G629" s="272">
        <v>13</v>
      </c>
      <c r="H629" s="272">
        <v>4</v>
      </c>
      <c r="I629" s="403">
        <f t="shared" si="9"/>
        <v>78</v>
      </c>
      <c r="J629" s="272">
        <v>27</v>
      </c>
      <c r="K629" s="456" t="s">
        <v>426</v>
      </c>
      <c r="L629" s="272" t="s">
        <v>441</v>
      </c>
      <c r="M629" s="405" t="s">
        <v>510</v>
      </c>
      <c r="N629" s="200">
        <v>65737.689393939407</v>
      </c>
    </row>
    <row r="630" spans="2:14" ht="15.75" x14ac:dyDescent="0.25">
      <c r="B630" s="453" t="s">
        <v>1066</v>
      </c>
      <c r="C630" s="342">
        <v>13612</v>
      </c>
      <c r="D630" s="454">
        <v>7.1969696969696906E-2</v>
      </c>
      <c r="E630" s="272">
        <v>7</v>
      </c>
      <c r="F630" s="272">
        <v>8</v>
      </c>
      <c r="G630" s="272">
        <v>5</v>
      </c>
      <c r="H630" s="272">
        <v>0</v>
      </c>
      <c r="I630" s="403">
        <f t="shared" si="9"/>
        <v>13</v>
      </c>
      <c r="J630" s="272">
        <v>0</v>
      </c>
      <c r="K630" s="456" t="s">
        <v>422</v>
      </c>
      <c r="L630" s="272" t="s">
        <v>441</v>
      </c>
      <c r="M630" s="405" t="s">
        <v>510</v>
      </c>
      <c r="N630" s="200">
        <v>23678.0303030303</v>
      </c>
    </row>
    <row r="631" spans="2:14" ht="15.75" x14ac:dyDescent="0.25">
      <c r="B631" s="453" t="s">
        <v>1067</v>
      </c>
      <c r="C631" s="342">
        <v>13039</v>
      </c>
      <c r="D631" s="454">
        <v>0.210416666666666</v>
      </c>
      <c r="E631" s="272">
        <v>10</v>
      </c>
      <c r="F631" s="272">
        <v>15</v>
      </c>
      <c r="G631" s="272">
        <v>7</v>
      </c>
      <c r="H631" s="272">
        <v>0</v>
      </c>
      <c r="I631" s="403">
        <f t="shared" si="9"/>
        <v>22</v>
      </c>
      <c r="J631" s="272">
        <v>0</v>
      </c>
      <c r="K631" s="455" t="s">
        <v>428</v>
      </c>
      <c r="L631" s="272" t="s">
        <v>803</v>
      </c>
      <c r="M631" s="405" t="s">
        <v>811</v>
      </c>
      <c r="N631" s="200">
        <v>69227.083333333299</v>
      </c>
    </row>
    <row r="632" spans="2:14" ht="15.75" x14ac:dyDescent="0.25">
      <c r="B632" s="453" t="s">
        <v>1068</v>
      </c>
      <c r="C632" s="342">
        <v>13034</v>
      </c>
      <c r="D632" s="454">
        <v>3.5984848484848397E-2</v>
      </c>
      <c r="E632" s="272">
        <v>4</v>
      </c>
      <c r="F632" s="272">
        <v>8</v>
      </c>
      <c r="G632" s="272">
        <v>1</v>
      </c>
      <c r="H632" s="272">
        <v>1</v>
      </c>
      <c r="I632" s="403">
        <f t="shared" si="9"/>
        <v>10</v>
      </c>
      <c r="J632" s="272">
        <v>0</v>
      </c>
      <c r="K632" s="456" t="s">
        <v>422</v>
      </c>
      <c r="L632" s="272" t="s">
        <v>441</v>
      </c>
      <c r="M632" s="405" t="s">
        <v>510</v>
      </c>
      <c r="N632" s="200">
        <v>13160</v>
      </c>
    </row>
    <row r="633" spans="2:14" ht="15.75" x14ac:dyDescent="0.25">
      <c r="B633" s="453" t="s">
        <v>1069</v>
      </c>
      <c r="C633" s="342">
        <v>13324</v>
      </c>
      <c r="D633" s="454">
        <v>0.113068181818181</v>
      </c>
      <c r="E633" s="272">
        <v>11</v>
      </c>
      <c r="F633" s="272">
        <v>6</v>
      </c>
      <c r="G633" s="272">
        <v>4</v>
      </c>
      <c r="H633" s="272">
        <v>1</v>
      </c>
      <c r="I633" s="403">
        <f t="shared" si="9"/>
        <v>11</v>
      </c>
      <c r="J633" s="272">
        <v>0</v>
      </c>
      <c r="K633" s="456" t="s">
        <v>428</v>
      </c>
      <c r="L633" s="272" t="s">
        <v>803</v>
      </c>
      <c r="M633" s="405" t="s">
        <v>811</v>
      </c>
      <c r="N633" s="200">
        <v>37199.431818181802</v>
      </c>
    </row>
    <row r="634" spans="2:14" ht="15.75" x14ac:dyDescent="0.25">
      <c r="B634" s="453" t="s">
        <v>1070</v>
      </c>
      <c r="C634" s="342">
        <v>13213</v>
      </c>
      <c r="D634" s="454">
        <v>0.13465909090909001</v>
      </c>
      <c r="E634" s="272">
        <v>12</v>
      </c>
      <c r="F634" s="272">
        <v>21</v>
      </c>
      <c r="G634" s="272">
        <v>3</v>
      </c>
      <c r="H634" s="272">
        <v>0</v>
      </c>
      <c r="I634" s="403">
        <f t="shared" si="9"/>
        <v>24</v>
      </c>
      <c r="J634" s="272">
        <v>0</v>
      </c>
      <c r="K634" s="455" t="s">
        <v>428</v>
      </c>
      <c r="L634" s="272" t="s">
        <v>803</v>
      </c>
      <c r="M634" s="405" t="s">
        <v>811</v>
      </c>
      <c r="N634" s="200">
        <v>44302.840909090897</v>
      </c>
    </row>
    <row r="635" spans="2:14" ht="15.75" x14ac:dyDescent="0.25">
      <c r="B635" s="453" t="s">
        <v>1071</v>
      </c>
      <c r="C635" s="342">
        <v>13656</v>
      </c>
      <c r="D635" s="454">
        <v>0.107007575757575</v>
      </c>
      <c r="E635" s="272">
        <v>6</v>
      </c>
      <c r="F635" s="272">
        <v>2</v>
      </c>
      <c r="G635" s="272">
        <v>1</v>
      </c>
      <c r="H635" s="272">
        <v>0</v>
      </c>
      <c r="I635" s="403">
        <f t="shared" si="9"/>
        <v>3</v>
      </c>
      <c r="J635" s="272">
        <v>0</v>
      </c>
      <c r="K635" s="456" t="s">
        <v>423</v>
      </c>
      <c r="L635" s="272" t="s">
        <v>437</v>
      </c>
      <c r="M635" s="405" t="s">
        <v>516</v>
      </c>
      <c r="N635" s="200">
        <v>35205.492424242402</v>
      </c>
    </row>
    <row r="636" spans="2:14" ht="15.75" x14ac:dyDescent="0.25">
      <c r="B636" s="453" t="s">
        <v>1072</v>
      </c>
      <c r="C636" s="342">
        <v>13696</v>
      </c>
      <c r="D636" s="454">
        <v>0.139204545454545</v>
      </c>
      <c r="E636" s="272">
        <v>17</v>
      </c>
      <c r="F636" s="272">
        <v>46</v>
      </c>
      <c r="G636" s="272">
        <v>5</v>
      </c>
      <c r="H636" s="272">
        <v>0</v>
      </c>
      <c r="I636" s="403">
        <f t="shared" si="9"/>
        <v>51</v>
      </c>
      <c r="J636" s="272">
        <v>0</v>
      </c>
      <c r="K636" s="456" t="s">
        <v>428</v>
      </c>
      <c r="L636" s="272" t="s">
        <v>803</v>
      </c>
      <c r="M636" s="405" t="s">
        <v>811</v>
      </c>
      <c r="N636" s="200">
        <v>45798.2954545455</v>
      </c>
    </row>
    <row r="637" spans="2:14" ht="15.75" x14ac:dyDescent="0.25">
      <c r="B637" s="453" t="s">
        <v>1073</v>
      </c>
      <c r="C637" s="342">
        <v>13696</v>
      </c>
      <c r="D637" s="454">
        <v>9.86742424242424E-2</v>
      </c>
      <c r="E637" s="272">
        <v>9</v>
      </c>
      <c r="F637" s="272">
        <v>28</v>
      </c>
      <c r="G637" s="272">
        <v>12</v>
      </c>
      <c r="H637" s="272">
        <v>2</v>
      </c>
      <c r="I637" s="403">
        <f t="shared" si="9"/>
        <v>42</v>
      </c>
      <c r="J637" s="272">
        <v>0</v>
      </c>
      <c r="K637" s="455" t="s">
        <v>428</v>
      </c>
      <c r="L637" s="272" t="s">
        <v>803</v>
      </c>
      <c r="M637" s="405" t="s">
        <v>811</v>
      </c>
      <c r="N637" s="200">
        <v>32463.825757575702</v>
      </c>
    </row>
    <row r="638" spans="2:14" ht="15.75" x14ac:dyDescent="0.25">
      <c r="B638" s="453" t="s">
        <v>1074</v>
      </c>
      <c r="C638" s="342">
        <v>13175</v>
      </c>
      <c r="D638" s="454">
        <v>0.17689393939393899</v>
      </c>
      <c r="E638" s="272">
        <v>18</v>
      </c>
      <c r="F638" s="272">
        <v>33</v>
      </c>
      <c r="G638" s="272">
        <v>4</v>
      </c>
      <c r="H638" s="272">
        <v>0</v>
      </c>
      <c r="I638" s="403">
        <f t="shared" si="9"/>
        <v>37</v>
      </c>
      <c r="J638" s="272">
        <v>0</v>
      </c>
      <c r="K638" s="456" t="s">
        <v>422</v>
      </c>
      <c r="L638" s="272" t="s">
        <v>428</v>
      </c>
      <c r="M638" s="405" t="s">
        <v>423</v>
      </c>
      <c r="N638" s="200">
        <v>58198.1060606061</v>
      </c>
    </row>
    <row r="639" spans="2:14" ht="15.75" x14ac:dyDescent="0.25">
      <c r="B639" s="453" t="s">
        <v>1075</v>
      </c>
      <c r="C639" s="342">
        <v>13175</v>
      </c>
      <c r="D639" s="454">
        <v>0.15359848484848401</v>
      </c>
      <c r="E639" s="272">
        <v>14</v>
      </c>
      <c r="F639" s="272">
        <v>10</v>
      </c>
      <c r="G639" s="272">
        <v>1</v>
      </c>
      <c r="H639" s="272">
        <v>2</v>
      </c>
      <c r="I639" s="403">
        <f t="shared" si="9"/>
        <v>13</v>
      </c>
      <c r="J639" s="272">
        <v>0</v>
      </c>
      <c r="K639" s="456" t="s">
        <v>428</v>
      </c>
      <c r="L639" s="272" t="s">
        <v>441</v>
      </c>
      <c r="M639" s="405" t="s">
        <v>510</v>
      </c>
      <c r="N639" s="200">
        <v>50533.901515151498</v>
      </c>
    </row>
    <row r="640" spans="2:14" ht="15.75" x14ac:dyDescent="0.25">
      <c r="B640" s="453" t="s">
        <v>1076</v>
      </c>
      <c r="C640" s="342">
        <v>13042</v>
      </c>
      <c r="D640" s="454">
        <v>0.12405303030303</v>
      </c>
      <c r="E640" s="272">
        <v>12</v>
      </c>
      <c r="F640" s="272">
        <v>18</v>
      </c>
      <c r="G640" s="272">
        <v>0</v>
      </c>
      <c r="H640" s="272">
        <v>2</v>
      </c>
      <c r="I640" s="403">
        <f t="shared" si="9"/>
        <v>20</v>
      </c>
      <c r="J640" s="272">
        <v>0</v>
      </c>
      <c r="K640" s="455" t="s">
        <v>422</v>
      </c>
      <c r="L640" s="272" t="s">
        <v>441</v>
      </c>
      <c r="M640" s="405" t="s">
        <v>510</v>
      </c>
      <c r="N640" s="200">
        <v>40813.446969696997</v>
      </c>
    </row>
    <row r="641" spans="2:14" ht="15.75" x14ac:dyDescent="0.25">
      <c r="B641" s="453" t="s">
        <v>1077</v>
      </c>
      <c r="C641" s="342">
        <v>13042</v>
      </c>
      <c r="D641" s="454">
        <v>0.24924242424242399</v>
      </c>
      <c r="E641" s="272">
        <v>21</v>
      </c>
      <c r="F641" s="272">
        <v>27</v>
      </c>
      <c r="G641" s="272">
        <v>2</v>
      </c>
      <c r="H641" s="272">
        <v>1</v>
      </c>
      <c r="I641" s="403">
        <f t="shared" si="9"/>
        <v>30</v>
      </c>
      <c r="J641" s="272">
        <v>0</v>
      </c>
      <c r="K641" s="456" t="s">
        <v>426</v>
      </c>
      <c r="L641" s="272" t="s">
        <v>441</v>
      </c>
      <c r="M641" s="405" t="s">
        <v>510</v>
      </c>
      <c r="N641" s="200">
        <v>82000.757575757598</v>
      </c>
    </row>
    <row r="642" spans="2:14" ht="15.75" x14ac:dyDescent="0.25">
      <c r="B642" s="453" t="s">
        <v>1078</v>
      </c>
      <c r="C642" s="342">
        <v>13042</v>
      </c>
      <c r="D642" s="454">
        <v>0.21704545454545399</v>
      </c>
      <c r="E642" s="272">
        <v>22</v>
      </c>
      <c r="F642" s="272">
        <v>23</v>
      </c>
      <c r="G642" s="272">
        <v>6</v>
      </c>
      <c r="H642" s="272">
        <v>2</v>
      </c>
      <c r="I642" s="403">
        <f t="shared" si="9"/>
        <v>31</v>
      </c>
      <c r="J642" s="272">
        <v>0</v>
      </c>
      <c r="K642" s="456" t="s">
        <v>426</v>
      </c>
      <c r="L642" s="272" t="s">
        <v>437</v>
      </c>
      <c r="M642" s="405" t="s">
        <v>516</v>
      </c>
      <c r="N642" s="200">
        <v>71407.954545454602</v>
      </c>
    </row>
    <row r="643" spans="2:14" ht="15.75" x14ac:dyDescent="0.25">
      <c r="B643" s="453" t="s">
        <v>1079</v>
      </c>
      <c r="C643" s="342">
        <v>13042</v>
      </c>
      <c r="D643" s="454">
        <v>0.33996212121212099</v>
      </c>
      <c r="E643" s="272">
        <v>32</v>
      </c>
      <c r="F643" s="272">
        <v>55</v>
      </c>
      <c r="G643" s="272">
        <v>0</v>
      </c>
      <c r="H643" s="272">
        <v>1</v>
      </c>
      <c r="I643" s="403">
        <f t="shared" si="9"/>
        <v>56</v>
      </c>
      <c r="J643" s="272">
        <v>0</v>
      </c>
      <c r="K643" s="455" t="s">
        <v>428</v>
      </c>
      <c r="L643" s="272" t="s">
        <v>441</v>
      </c>
      <c r="M643" s="405" t="s">
        <v>510</v>
      </c>
      <c r="N643" s="200">
        <v>111847.537878788</v>
      </c>
    </row>
    <row r="644" spans="2:14" ht="15.75" x14ac:dyDescent="0.25">
      <c r="B644" s="453" t="s">
        <v>1080</v>
      </c>
      <c r="C644" s="342">
        <v>13042</v>
      </c>
      <c r="D644" s="454">
        <v>0.180681818181818</v>
      </c>
      <c r="E644" s="272">
        <v>18</v>
      </c>
      <c r="F644" s="272">
        <v>37</v>
      </c>
      <c r="G644" s="272">
        <v>3</v>
      </c>
      <c r="H644" s="272">
        <v>1</v>
      </c>
      <c r="I644" s="403">
        <f t="shared" si="9"/>
        <v>41</v>
      </c>
      <c r="J644" s="272">
        <v>0</v>
      </c>
      <c r="K644" s="456" t="s">
        <v>426</v>
      </c>
      <c r="L644" s="272" t="s">
        <v>437</v>
      </c>
      <c r="M644" s="405" t="s">
        <v>516</v>
      </c>
      <c r="N644" s="200">
        <v>59444.318181818198</v>
      </c>
    </row>
    <row r="645" spans="2:14" ht="15.75" x14ac:dyDescent="0.25">
      <c r="B645" s="453" t="s">
        <v>1081</v>
      </c>
      <c r="C645" s="342">
        <v>13213</v>
      </c>
      <c r="D645" s="454">
        <v>0.13598484848484799</v>
      </c>
      <c r="E645" s="272">
        <v>8</v>
      </c>
      <c r="F645" s="272">
        <v>6</v>
      </c>
      <c r="G645" s="272">
        <v>2</v>
      </c>
      <c r="H645" s="272">
        <v>1</v>
      </c>
      <c r="I645" s="403">
        <f t="shared" si="9"/>
        <v>9</v>
      </c>
      <c r="J645" s="272">
        <v>0</v>
      </c>
      <c r="K645" s="456" t="s">
        <v>428</v>
      </c>
      <c r="L645" s="272" t="s">
        <v>803</v>
      </c>
      <c r="M645" s="405" t="s">
        <v>811</v>
      </c>
      <c r="N645" s="200">
        <v>44739.015151515203</v>
      </c>
    </row>
    <row r="646" spans="2:14" ht="15.75" x14ac:dyDescent="0.25">
      <c r="B646" s="453" t="s">
        <v>1082</v>
      </c>
      <c r="C646" s="342">
        <v>13351</v>
      </c>
      <c r="D646" s="454">
        <v>0.64375000000000004</v>
      </c>
      <c r="E646" s="272">
        <v>49</v>
      </c>
      <c r="F646" s="272">
        <v>73</v>
      </c>
      <c r="G646" s="272">
        <v>9</v>
      </c>
      <c r="H646" s="272">
        <v>1</v>
      </c>
      <c r="I646" s="403">
        <f t="shared" si="9"/>
        <v>83</v>
      </c>
      <c r="J646" s="272">
        <v>0</v>
      </c>
      <c r="K646" s="455" t="s">
        <v>428</v>
      </c>
      <c r="L646" s="272" t="s">
        <v>441</v>
      </c>
      <c r="M646" s="405" t="s">
        <v>510</v>
      </c>
      <c r="N646" s="200">
        <v>211793.74987897501</v>
      </c>
    </row>
    <row r="647" spans="2:14" ht="15.75" x14ac:dyDescent="0.25">
      <c r="B647" s="453" t="s">
        <v>1083</v>
      </c>
      <c r="C647" s="342">
        <v>13351</v>
      </c>
      <c r="D647" s="454">
        <v>5.6818181818181802E-2</v>
      </c>
      <c r="E647" s="272">
        <v>8</v>
      </c>
      <c r="F647" s="272">
        <v>110</v>
      </c>
      <c r="G647" s="272">
        <v>8</v>
      </c>
      <c r="H647" s="272">
        <v>2</v>
      </c>
      <c r="I647" s="403">
        <f t="shared" si="9"/>
        <v>120</v>
      </c>
      <c r="J647" s="272">
        <v>0</v>
      </c>
      <c r="K647" s="456" t="s">
        <v>426</v>
      </c>
      <c r="L647" s="272" t="s">
        <v>432</v>
      </c>
      <c r="M647" s="405" t="s">
        <v>441</v>
      </c>
      <c r="N647" s="200">
        <v>18693.181818181802</v>
      </c>
    </row>
    <row r="648" spans="2:14" ht="15.75" x14ac:dyDescent="0.25">
      <c r="B648" s="453" t="s">
        <v>1084</v>
      </c>
      <c r="C648" s="342">
        <v>14356</v>
      </c>
      <c r="D648" s="454">
        <v>0.11685606060606001</v>
      </c>
      <c r="E648" s="272">
        <v>10</v>
      </c>
      <c r="F648" s="272">
        <v>184</v>
      </c>
      <c r="G648" s="272">
        <v>10</v>
      </c>
      <c r="H648" s="272">
        <v>2</v>
      </c>
      <c r="I648" s="403">
        <f t="shared" ref="I648:I652" si="10">SUM(F648:H648)</f>
        <v>196</v>
      </c>
      <c r="J648" s="272">
        <v>0</v>
      </c>
      <c r="K648" s="456" t="s">
        <v>428</v>
      </c>
      <c r="L648" s="272" t="s">
        <v>803</v>
      </c>
      <c r="M648" s="405" t="s">
        <v>811</v>
      </c>
      <c r="N648" s="200">
        <v>38445.6439393939</v>
      </c>
    </row>
    <row r="649" spans="2:14" ht="15.75" x14ac:dyDescent="0.25">
      <c r="B649" s="453" t="s">
        <v>1085</v>
      </c>
      <c r="C649" s="342">
        <v>13808</v>
      </c>
      <c r="D649" s="454">
        <v>0.135227272727272</v>
      </c>
      <c r="E649" s="272">
        <v>9</v>
      </c>
      <c r="F649" s="272">
        <v>5</v>
      </c>
      <c r="G649" s="272">
        <v>0</v>
      </c>
      <c r="H649" s="272">
        <v>1</v>
      </c>
      <c r="I649" s="403">
        <f t="shared" si="10"/>
        <v>6</v>
      </c>
      <c r="J649" s="272">
        <v>0</v>
      </c>
      <c r="K649" s="455" t="s">
        <v>422</v>
      </c>
      <c r="L649" s="272" t="s">
        <v>437</v>
      </c>
      <c r="M649" s="405" t="s">
        <v>516</v>
      </c>
      <c r="N649" s="200">
        <v>44489.772727272699</v>
      </c>
    </row>
    <row r="650" spans="2:14" ht="15.75" x14ac:dyDescent="0.25">
      <c r="B650" s="453" t="s">
        <v>1086</v>
      </c>
      <c r="C650" s="342">
        <v>13723</v>
      </c>
      <c r="D650" s="454">
        <v>0.13901515151515101</v>
      </c>
      <c r="E650" s="272">
        <v>6</v>
      </c>
      <c r="F650" s="272">
        <v>9</v>
      </c>
      <c r="G650" s="272">
        <v>2</v>
      </c>
      <c r="H650" s="272">
        <v>0</v>
      </c>
      <c r="I650" s="403">
        <f t="shared" si="10"/>
        <v>11</v>
      </c>
      <c r="J650" s="272">
        <v>0</v>
      </c>
      <c r="K650" s="456" t="s">
        <v>422</v>
      </c>
      <c r="L650" s="272" t="s">
        <v>437</v>
      </c>
      <c r="M650" s="405" t="s">
        <v>516</v>
      </c>
      <c r="N650" s="200">
        <v>45735.984848484899</v>
      </c>
    </row>
    <row r="651" spans="2:14" ht="15.75" x14ac:dyDescent="0.25">
      <c r="B651" s="453" t="s">
        <v>1087</v>
      </c>
      <c r="C651" s="342">
        <v>13303</v>
      </c>
      <c r="D651" s="454">
        <v>6.6856060606060599E-2</v>
      </c>
      <c r="E651" s="272">
        <v>6</v>
      </c>
      <c r="F651" s="272">
        <v>10</v>
      </c>
      <c r="G651" s="272">
        <v>2</v>
      </c>
      <c r="H651" s="272">
        <v>2</v>
      </c>
      <c r="I651" s="403">
        <f t="shared" si="10"/>
        <v>14</v>
      </c>
      <c r="J651" s="272">
        <v>0</v>
      </c>
      <c r="K651" s="456" t="s">
        <v>428</v>
      </c>
      <c r="L651" s="272" t="s">
        <v>838</v>
      </c>
      <c r="M651" s="405" t="s">
        <v>577</v>
      </c>
      <c r="N651" s="200">
        <v>21995.6439393939</v>
      </c>
    </row>
    <row r="652" spans="2:14" ht="16.5" thickBot="1" x14ac:dyDescent="0.3">
      <c r="B652" s="457" t="s">
        <v>1088</v>
      </c>
      <c r="C652" s="458">
        <v>13532</v>
      </c>
      <c r="D652" s="459">
        <v>0.289015151515151</v>
      </c>
      <c r="E652" s="273">
        <v>22</v>
      </c>
      <c r="F652" s="273">
        <v>36</v>
      </c>
      <c r="G652" s="273">
        <v>0</v>
      </c>
      <c r="H652" s="273">
        <v>1</v>
      </c>
      <c r="I652" s="403">
        <f t="shared" si="10"/>
        <v>37</v>
      </c>
      <c r="J652" s="273">
        <v>0</v>
      </c>
      <c r="K652" s="460" t="s">
        <v>422</v>
      </c>
      <c r="L652" s="273" t="s">
        <v>803</v>
      </c>
      <c r="M652" s="413" t="s">
        <v>811</v>
      </c>
      <c r="N652" s="201">
        <v>95085.984848484804</v>
      </c>
    </row>
  </sheetData>
  <mergeCells count="9">
    <mergeCell ref="B4:N4"/>
    <mergeCell ref="B5:B6"/>
    <mergeCell ref="C5:C6"/>
    <mergeCell ref="D5:E5"/>
    <mergeCell ref="F5:I5"/>
    <mergeCell ref="J5:J6"/>
    <mergeCell ref="K5:K6"/>
    <mergeCell ref="L5:M5"/>
    <mergeCell ref="N5:N6"/>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92AE1-2B0C-48C9-A8FE-A5E179A1EA86}">
  <sheetPr>
    <tabColor rgb="FF00B050"/>
  </sheetPr>
  <dimension ref="B3:H44"/>
  <sheetViews>
    <sheetView topLeftCell="A33" workbookViewId="0">
      <selection activeCell="B7" sqref="B7:B43"/>
    </sheetView>
  </sheetViews>
  <sheetFormatPr defaultColWidth="9.140625" defaultRowHeight="15" x14ac:dyDescent="0.25"/>
  <cols>
    <col min="1" max="1" width="9.140625" style="1"/>
    <col min="2" max="2" width="58.140625" style="1" customWidth="1"/>
    <col min="3" max="3" width="12.85546875" style="1" customWidth="1"/>
    <col min="4" max="4" width="9.42578125" style="1" bestFit="1" customWidth="1"/>
    <col min="5" max="7" width="12.42578125" style="1" customWidth="1"/>
    <col min="8" max="8" width="18.85546875" style="1" customWidth="1"/>
    <col min="9" max="16384" width="9.140625" style="1"/>
  </cols>
  <sheetData>
    <row r="3" spans="2:8" ht="15.75" thickBot="1" x14ac:dyDescent="0.3"/>
    <row r="4" spans="2:8" ht="26.25" customHeight="1" thickBot="1" x14ac:dyDescent="0.4">
      <c r="B4" s="537" t="s">
        <v>167</v>
      </c>
      <c r="C4" s="538"/>
      <c r="D4" s="538"/>
      <c r="E4" s="538"/>
      <c r="F4" s="538"/>
      <c r="G4" s="538"/>
      <c r="H4" s="539"/>
    </row>
    <row r="5" spans="2:8" ht="19.5" x14ac:dyDescent="0.25">
      <c r="B5" s="540" t="s">
        <v>113</v>
      </c>
      <c r="C5" s="542" t="s">
        <v>114</v>
      </c>
      <c r="D5" s="542" t="s">
        <v>127</v>
      </c>
      <c r="E5" s="544" t="s">
        <v>128</v>
      </c>
      <c r="F5" s="546" t="s">
        <v>118</v>
      </c>
      <c r="G5" s="546"/>
      <c r="H5" s="547" t="s">
        <v>119</v>
      </c>
    </row>
    <row r="6" spans="2:8" ht="39.75" thickBot="1" x14ac:dyDescent="0.4">
      <c r="B6" s="541"/>
      <c r="C6" s="543"/>
      <c r="D6" s="543"/>
      <c r="E6" s="545"/>
      <c r="F6" s="147" t="s">
        <v>129</v>
      </c>
      <c r="G6" s="147" t="s">
        <v>130</v>
      </c>
      <c r="H6" s="548"/>
    </row>
    <row r="7" spans="2:8" ht="15.95" customHeight="1" x14ac:dyDescent="0.25">
      <c r="B7" s="335" t="s">
        <v>270</v>
      </c>
      <c r="C7" s="336">
        <v>230006</v>
      </c>
      <c r="D7" s="337">
        <v>101</v>
      </c>
      <c r="E7" s="338">
        <v>44825</v>
      </c>
      <c r="F7" s="339">
        <v>44886</v>
      </c>
      <c r="G7" s="339">
        <v>44673</v>
      </c>
      <c r="H7" s="340">
        <v>1500000</v>
      </c>
    </row>
    <row r="8" spans="2:8" ht="15.95" customHeight="1" x14ac:dyDescent="0.25">
      <c r="B8" s="341" t="s">
        <v>271</v>
      </c>
      <c r="C8" s="342">
        <v>230402</v>
      </c>
      <c r="D8" s="343">
        <v>14</v>
      </c>
      <c r="E8" s="344">
        <v>44642</v>
      </c>
      <c r="F8" s="345">
        <v>44795</v>
      </c>
      <c r="G8" s="345">
        <v>44917</v>
      </c>
      <c r="H8" s="346">
        <v>300100</v>
      </c>
    </row>
    <row r="9" spans="2:8" ht="15.95" customHeight="1" x14ac:dyDescent="0.25">
      <c r="B9" s="341" t="s">
        <v>272</v>
      </c>
      <c r="C9" s="342">
        <v>66048</v>
      </c>
      <c r="D9" s="343">
        <v>5</v>
      </c>
      <c r="E9" s="344">
        <v>44915</v>
      </c>
      <c r="F9" s="345">
        <v>44672</v>
      </c>
      <c r="G9" s="345">
        <v>44673</v>
      </c>
      <c r="H9" s="346">
        <v>50000</v>
      </c>
    </row>
    <row r="10" spans="2:8" ht="15.95" customHeight="1" x14ac:dyDescent="0.25">
      <c r="B10" s="341" t="s">
        <v>273</v>
      </c>
      <c r="C10" s="342">
        <v>230606</v>
      </c>
      <c r="D10" s="343">
        <v>28</v>
      </c>
      <c r="E10" s="344">
        <v>44763</v>
      </c>
      <c r="F10" s="345">
        <v>44855</v>
      </c>
      <c r="G10" s="345">
        <v>44642</v>
      </c>
      <c r="H10" s="346">
        <v>210000</v>
      </c>
    </row>
    <row r="11" spans="2:8" ht="15.95" customHeight="1" x14ac:dyDescent="0.25">
      <c r="B11" s="341" t="s">
        <v>274</v>
      </c>
      <c r="C11" s="342">
        <v>230012</v>
      </c>
      <c r="D11" s="343">
        <v>16</v>
      </c>
      <c r="E11" s="344">
        <v>44763</v>
      </c>
      <c r="F11" s="345">
        <v>44855</v>
      </c>
      <c r="G11" s="345">
        <v>44642</v>
      </c>
      <c r="H11" s="346">
        <v>50000</v>
      </c>
    </row>
    <row r="12" spans="2:8" ht="15.95" customHeight="1" x14ac:dyDescent="0.25">
      <c r="B12" s="347" t="s">
        <v>275</v>
      </c>
      <c r="C12" s="342">
        <v>230020</v>
      </c>
      <c r="D12" s="348">
        <v>61</v>
      </c>
      <c r="E12" s="344">
        <v>44795</v>
      </c>
      <c r="F12" s="345">
        <v>44584</v>
      </c>
      <c r="G12" s="345">
        <v>44735</v>
      </c>
      <c r="H12" s="346">
        <v>41939.199999999997</v>
      </c>
    </row>
    <row r="13" spans="2:8" ht="15.95" customHeight="1" x14ac:dyDescent="0.25">
      <c r="B13" s="347" t="s">
        <v>276</v>
      </c>
      <c r="C13" s="342">
        <v>66022</v>
      </c>
      <c r="D13" s="348">
        <v>50</v>
      </c>
      <c r="E13" s="344">
        <v>44915</v>
      </c>
      <c r="F13" s="345">
        <v>44794</v>
      </c>
      <c r="G13" s="345">
        <v>44795</v>
      </c>
      <c r="H13" s="346">
        <v>672980</v>
      </c>
    </row>
    <row r="14" spans="2:8" ht="15.95" customHeight="1" x14ac:dyDescent="0.25">
      <c r="B14" s="347" t="s">
        <v>277</v>
      </c>
      <c r="C14" s="342">
        <v>66001</v>
      </c>
      <c r="D14" s="348">
        <v>70</v>
      </c>
      <c r="E14" s="344">
        <v>44641</v>
      </c>
      <c r="F14" s="345">
        <v>44855</v>
      </c>
      <c r="G14" s="345">
        <v>44734</v>
      </c>
      <c r="H14" s="346">
        <v>1877473</v>
      </c>
    </row>
    <row r="15" spans="2:8" ht="15.95" customHeight="1" x14ac:dyDescent="0.25">
      <c r="B15" s="347" t="s">
        <v>278</v>
      </c>
      <c r="C15" s="342">
        <v>66016</v>
      </c>
      <c r="D15" s="348">
        <v>40</v>
      </c>
      <c r="E15" s="344">
        <v>44885</v>
      </c>
      <c r="F15" s="345">
        <v>44733</v>
      </c>
      <c r="G15" s="345">
        <v>44734</v>
      </c>
      <c r="H15" s="346">
        <v>400000</v>
      </c>
    </row>
    <row r="16" spans="2:8" ht="15.95" customHeight="1" x14ac:dyDescent="0.25">
      <c r="B16" s="347" t="s">
        <v>279</v>
      </c>
      <c r="C16" s="342">
        <v>66032</v>
      </c>
      <c r="D16" s="348">
        <v>40</v>
      </c>
      <c r="E16" s="344">
        <v>44614</v>
      </c>
      <c r="F16" s="345">
        <v>44584</v>
      </c>
      <c r="G16" s="345">
        <v>44796</v>
      </c>
      <c r="H16" s="346">
        <v>40576</v>
      </c>
    </row>
    <row r="17" spans="2:8" ht="15.95" customHeight="1" x14ac:dyDescent="0.25">
      <c r="B17" s="347" t="s">
        <v>280</v>
      </c>
      <c r="C17" s="342">
        <v>66020</v>
      </c>
      <c r="D17" s="348">
        <v>10</v>
      </c>
      <c r="E17" s="344">
        <v>44763</v>
      </c>
      <c r="F17" s="345">
        <v>44642</v>
      </c>
      <c r="G17" s="345">
        <v>44795</v>
      </c>
      <c r="H17" s="346">
        <v>305900.245</v>
      </c>
    </row>
    <row r="18" spans="2:8" ht="15.95" customHeight="1" x14ac:dyDescent="0.25">
      <c r="B18" s="347" t="s">
        <v>281</v>
      </c>
      <c r="C18" s="342">
        <v>66035</v>
      </c>
      <c r="D18" s="348">
        <v>65</v>
      </c>
      <c r="E18" s="344">
        <v>44795</v>
      </c>
      <c r="F18" s="345">
        <v>44584</v>
      </c>
      <c r="G18" s="345">
        <v>44796</v>
      </c>
      <c r="H18" s="346">
        <v>35028.5</v>
      </c>
    </row>
    <row r="19" spans="2:8" ht="15.95" customHeight="1" x14ac:dyDescent="0.25">
      <c r="B19" s="347" t="s">
        <v>282</v>
      </c>
      <c r="C19" s="342">
        <v>230602</v>
      </c>
      <c r="D19" s="348">
        <v>112</v>
      </c>
      <c r="E19" s="344">
        <v>44702</v>
      </c>
      <c r="F19" s="345">
        <v>44794</v>
      </c>
      <c r="G19" s="345">
        <v>44642</v>
      </c>
      <c r="H19" s="346">
        <v>50000</v>
      </c>
    </row>
    <row r="20" spans="2:8" ht="15.95" customHeight="1" x14ac:dyDescent="0.25">
      <c r="B20" s="347" t="s">
        <v>283</v>
      </c>
      <c r="C20" s="342">
        <v>66008</v>
      </c>
      <c r="D20" s="348">
        <v>9</v>
      </c>
      <c r="E20" s="344">
        <v>44855</v>
      </c>
      <c r="F20" s="345">
        <v>44763</v>
      </c>
      <c r="G20" s="345">
        <v>44916</v>
      </c>
      <c r="H20" s="346">
        <v>281970</v>
      </c>
    </row>
    <row r="21" spans="2:8" ht="15.95" customHeight="1" x14ac:dyDescent="0.25">
      <c r="B21" s="347" t="s">
        <v>284</v>
      </c>
      <c r="C21" s="342">
        <v>66030</v>
      </c>
      <c r="D21" s="348">
        <v>50</v>
      </c>
      <c r="E21" s="344">
        <v>44763</v>
      </c>
      <c r="F21" s="345">
        <v>44673</v>
      </c>
      <c r="G21" s="345">
        <v>44826</v>
      </c>
      <c r="H21" s="346">
        <v>1498910</v>
      </c>
    </row>
    <row r="22" spans="2:8" ht="15.95" customHeight="1" x14ac:dyDescent="0.25">
      <c r="B22" s="347" t="s">
        <v>285</v>
      </c>
      <c r="C22" s="342">
        <v>66045</v>
      </c>
      <c r="D22" s="348">
        <v>52</v>
      </c>
      <c r="E22" s="344">
        <v>44825</v>
      </c>
      <c r="F22" s="345">
        <v>44703</v>
      </c>
      <c r="G22" s="345">
        <v>44917</v>
      </c>
      <c r="H22" s="346">
        <v>1708376</v>
      </c>
    </row>
    <row r="23" spans="2:8" ht="15.95" customHeight="1" x14ac:dyDescent="0.25">
      <c r="B23" s="347" t="s">
        <v>286</v>
      </c>
      <c r="C23" s="342">
        <v>230033</v>
      </c>
      <c r="D23" s="348">
        <v>14</v>
      </c>
      <c r="E23" s="344">
        <v>44733</v>
      </c>
      <c r="F23" s="345">
        <v>44642</v>
      </c>
      <c r="G23" s="345">
        <v>44734</v>
      </c>
      <c r="H23" s="346">
        <v>294699.51899999997</v>
      </c>
    </row>
    <row r="24" spans="2:8" ht="15.95" customHeight="1" x14ac:dyDescent="0.25">
      <c r="B24" s="347" t="s">
        <v>287</v>
      </c>
      <c r="C24" s="342">
        <v>66025</v>
      </c>
      <c r="D24" s="348">
        <v>105</v>
      </c>
      <c r="E24" s="344">
        <v>44641</v>
      </c>
      <c r="F24" s="345">
        <v>44794</v>
      </c>
      <c r="G24" s="345">
        <v>44795</v>
      </c>
      <c r="H24" s="346">
        <v>2324840</v>
      </c>
    </row>
    <row r="25" spans="2:8" ht="15.95" customHeight="1" x14ac:dyDescent="0.25">
      <c r="B25" s="347" t="s">
        <v>288</v>
      </c>
      <c r="C25" s="342">
        <v>230623</v>
      </c>
      <c r="D25" s="348">
        <v>65</v>
      </c>
      <c r="E25" s="344">
        <v>44856</v>
      </c>
      <c r="F25" s="345">
        <v>44584</v>
      </c>
      <c r="G25" s="345">
        <v>44765</v>
      </c>
      <c r="H25" s="346">
        <v>44720</v>
      </c>
    </row>
    <row r="26" spans="2:8" ht="15.95" customHeight="1" x14ac:dyDescent="0.25">
      <c r="B26" s="347" t="s">
        <v>289</v>
      </c>
      <c r="C26" s="342">
        <v>66021</v>
      </c>
      <c r="D26" s="348">
        <v>45</v>
      </c>
      <c r="E26" s="344">
        <v>44614</v>
      </c>
      <c r="F26" s="345">
        <v>44734</v>
      </c>
      <c r="G26" s="345">
        <v>44643</v>
      </c>
      <c r="H26" s="346">
        <v>45648</v>
      </c>
    </row>
    <row r="27" spans="2:8" ht="15.95" customHeight="1" x14ac:dyDescent="0.25">
      <c r="B27" s="349" t="s">
        <v>290</v>
      </c>
      <c r="C27" s="350">
        <v>66017</v>
      </c>
      <c r="D27" s="351">
        <v>97</v>
      </c>
      <c r="E27" s="352">
        <v>44614</v>
      </c>
      <c r="F27" s="353">
        <v>44764</v>
      </c>
      <c r="G27" s="353">
        <v>44735</v>
      </c>
      <c r="H27" s="354">
        <v>234972.43</v>
      </c>
    </row>
    <row r="28" spans="2:8" ht="15.95" customHeight="1" x14ac:dyDescent="0.25">
      <c r="B28" s="349" t="s">
        <v>291</v>
      </c>
      <c r="C28" s="350">
        <v>230609</v>
      </c>
      <c r="D28" s="351">
        <v>5</v>
      </c>
      <c r="E28" s="352">
        <v>44916</v>
      </c>
      <c r="F28" s="353">
        <v>44916</v>
      </c>
      <c r="G28" s="353">
        <v>44642</v>
      </c>
      <c r="H28" s="354">
        <v>105250.02499999999</v>
      </c>
    </row>
    <row r="29" spans="2:8" ht="15.95" customHeight="1" x14ac:dyDescent="0.25">
      <c r="B29" s="349" t="s">
        <v>292</v>
      </c>
      <c r="C29" s="350">
        <v>66033</v>
      </c>
      <c r="D29" s="351">
        <v>26</v>
      </c>
      <c r="E29" s="352">
        <v>44885</v>
      </c>
      <c r="F29" s="353">
        <v>44886</v>
      </c>
      <c r="G29" s="353">
        <v>44703</v>
      </c>
      <c r="H29" s="354">
        <v>50000</v>
      </c>
    </row>
    <row r="30" spans="2:8" ht="15.95" customHeight="1" x14ac:dyDescent="0.25">
      <c r="B30" s="349" t="s">
        <v>293</v>
      </c>
      <c r="C30" s="350">
        <v>66036</v>
      </c>
      <c r="D30" s="351">
        <v>31</v>
      </c>
      <c r="E30" s="352">
        <v>44885</v>
      </c>
      <c r="F30" s="353">
        <v>44733</v>
      </c>
      <c r="G30" s="353">
        <v>44703</v>
      </c>
      <c r="H30" s="354">
        <v>300000</v>
      </c>
    </row>
    <row r="31" spans="2:8" ht="15.95" customHeight="1" x14ac:dyDescent="0.25">
      <c r="B31" s="349" t="s">
        <v>294</v>
      </c>
      <c r="C31" s="350">
        <v>66027</v>
      </c>
      <c r="D31" s="351">
        <v>17</v>
      </c>
      <c r="E31" s="352">
        <v>44763</v>
      </c>
      <c r="F31" s="353">
        <v>44614</v>
      </c>
      <c r="G31" s="353">
        <v>44734</v>
      </c>
      <c r="H31" s="354">
        <v>550620</v>
      </c>
    </row>
    <row r="32" spans="2:8" ht="15.95" customHeight="1" x14ac:dyDescent="0.25">
      <c r="B32" s="349" t="s">
        <v>295</v>
      </c>
      <c r="C32" s="350">
        <v>66060</v>
      </c>
      <c r="D32" s="351">
        <v>6</v>
      </c>
      <c r="E32" s="352">
        <v>44885</v>
      </c>
      <c r="F32" s="353">
        <v>44763</v>
      </c>
      <c r="G32" s="353">
        <v>44673</v>
      </c>
      <c r="H32" s="354">
        <v>10000</v>
      </c>
    </row>
    <row r="33" spans="2:8" ht="15.95" customHeight="1" x14ac:dyDescent="0.25">
      <c r="B33" s="349" t="s">
        <v>296</v>
      </c>
      <c r="C33" s="350">
        <v>230604</v>
      </c>
      <c r="D33" s="351">
        <v>36</v>
      </c>
      <c r="E33" s="352">
        <v>44856</v>
      </c>
      <c r="F33" s="353">
        <v>44615</v>
      </c>
      <c r="G33" s="353">
        <v>44765</v>
      </c>
      <c r="H33" s="354">
        <v>24768</v>
      </c>
    </row>
    <row r="34" spans="2:8" ht="15.95" customHeight="1" x14ac:dyDescent="0.25">
      <c r="B34" s="349" t="s">
        <v>297</v>
      </c>
      <c r="C34" s="350">
        <v>66407</v>
      </c>
      <c r="D34" s="351">
        <v>29</v>
      </c>
      <c r="E34" s="352">
        <v>44915</v>
      </c>
      <c r="F34" s="353">
        <v>44702</v>
      </c>
      <c r="G34" s="353">
        <v>44703</v>
      </c>
      <c r="H34" s="354">
        <v>10000</v>
      </c>
    </row>
    <row r="35" spans="2:8" ht="15.95" customHeight="1" x14ac:dyDescent="0.25">
      <c r="B35" s="349" t="s">
        <v>298</v>
      </c>
      <c r="C35" s="350">
        <v>230013</v>
      </c>
      <c r="D35" s="351">
        <v>20</v>
      </c>
      <c r="E35" s="352">
        <v>44763</v>
      </c>
      <c r="F35" s="353">
        <v>44642</v>
      </c>
      <c r="G35" s="353">
        <v>44734</v>
      </c>
      <c r="H35" s="354">
        <v>421000</v>
      </c>
    </row>
    <row r="36" spans="2:8" ht="15.95" customHeight="1" x14ac:dyDescent="0.25">
      <c r="B36" s="349" t="s">
        <v>299</v>
      </c>
      <c r="C36" s="350">
        <v>66427</v>
      </c>
      <c r="D36" s="351">
        <v>7</v>
      </c>
      <c r="E36" s="352">
        <v>44885</v>
      </c>
      <c r="F36" s="353">
        <v>44733</v>
      </c>
      <c r="G36" s="353">
        <v>44734</v>
      </c>
      <c r="H36" s="354">
        <v>10000</v>
      </c>
    </row>
    <row r="37" spans="2:8" ht="15.95" customHeight="1" x14ac:dyDescent="0.25">
      <c r="B37" s="349" t="s">
        <v>300</v>
      </c>
      <c r="C37" s="350">
        <v>66026</v>
      </c>
      <c r="D37" s="351">
        <v>83</v>
      </c>
      <c r="E37" s="352">
        <v>44855</v>
      </c>
      <c r="F37" s="353">
        <v>44673</v>
      </c>
      <c r="G37" s="353">
        <v>44856</v>
      </c>
      <c r="H37" s="354">
        <v>2582952</v>
      </c>
    </row>
    <row r="38" spans="2:8" ht="15.95" customHeight="1" x14ac:dyDescent="0.25">
      <c r="B38" s="349" t="s">
        <v>301</v>
      </c>
      <c r="C38" s="350">
        <v>66098</v>
      </c>
      <c r="D38" s="351">
        <v>22</v>
      </c>
      <c r="E38" s="352">
        <v>44826</v>
      </c>
      <c r="F38" s="353">
        <v>44584</v>
      </c>
      <c r="G38" s="353">
        <v>44735</v>
      </c>
      <c r="H38" s="354">
        <v>22210.240000000002</v>
      </c>
    </row>
    <row r="39" spans="2:8" ht="15.95" customHeight="1" x14ac:dyDescent="0.25">
      <c r="B39" s="349" t="s">
        <v>302</v>
      </c>
      <c r="C39" s="350">
        <v>66011</v>
      </c>
      <c r="D39" s="351">
        <v>24</v>
      </c>
      <c r="E39" s="352">
        <v>44825</v>
      </c>
      <c r="F39" s="353">
        <v>44703</v>
      </c>
      <c r="G39" s="353">
        <v>44917</v>
      </c>
      <c r="H39" s="354">
        <v>22316.799999999999</v>
      </c>
    </row>
    <row r="40" spans="2:8" ht="15.95" customHeight="1" x14ac:dyDescent="0.25">
      <c r="B40" s="349" t="s">
        <v>303</v>
      </c>
      <c r="C40" s="350">
        <v>66028</v>
      </c>
      <c r="D40" s="351">
        <v>49</v>
      </c>
      <c r="E40" s="352">
        <v>44826</v>
      </c>
      <c r="F40" s="353">
        <v>44584</v>
      </c>
      <c r="G40" s="353">
        <v>44735</v>
      </c>
      <c r="H40" s="354">
        <v>49243.839999999997</v>
      </c>
    </row>
    <row r="41" spans="2:8" ht="15.95" customHeight="1" x14ac:dyDescent="0.25">
      <c r="B41" s="349" t="s">
        <v>304</v>
      </c>
      <c r="C41" s="350">
        <v>66047</v>
      </c>
      <c r="D41" s="351">
        <v>1</v>
      </c>
      <c r="E41" s="352">
        <v>44613</v>
      </c>
      <c r="F41" s="353">
        <v>44673</v>
      </c>
      <c r="G41" s="353">
        <v>44734</v>
      </c>
      <c r="H41" s="354">
        <v>1014.4</v>
      </c>
    </row>
    <row r="42" spans="2:8" ht="15.95" customHeight="1" x14ac:dyDescent="0.25">
      <c r="B42" s="349" t="s">
        <v>305</v>
      </c>
      <c r="C42" s="350">
        <v>66415</v>
      </c>
      <c r="D42" s="351">
        <v>10</v>
      </c>
      <c r="E42" s="352">
        <v>44915</v>
      </c>
      <c r="F42" s="353">
        <v>44642</v>
      </c>
      <c r="G42" s="353">
        <v>44795</v>
      </c>
      <c r="H42" s="354">
        <v>317000</v>
      </c>
    </row>
    <row r="43" spans="2:8" ht="15.95" customHeight="1" thickBot="1" x14ac:dyDescent="0.3">
      <c r="B43" s="349" t="s">
        <v>306</v>
      </c>
      <c r="C43" s="350">
        <v>66436</v>
      </c>
      <c r="D43" s="351">
        <v>36</v>
      </c>
      <c r="E43" s="352">
        <v>44795</v>
      </c>
      <c r="F43" s="353">
        <v>44615</v>
      </c>
      <c r="G43" s="353">
        <v>44796</v>
      </c>
      <c r="H43" s="354">
        <v>34489.599999999999</v>
      </c>
    </row>
    <row r="44" spans="2:8" ht="133.5" customHeight="1" thickBot="1" x14ac:dyDescent="0.3">
      <c r="B44" s="534" t="s">
        <v>131</v>
      </c>
      <c r="C44" s="535"/>
      <c r="D44" s="535"/>
      <c r="E44" s="535"/>
      <c r="F44" s="535"/>
      <c r="G44" s="535"/>
      <c r="H44" s="536"/>
    </row>
  </sheetData>
  <mergeCells count="8">
    <mergeCell ref="B44:H44"/>
    <mergeCell ref="B4:H4"/>
    <mergeCell ref="B5:B6"/>
    <mergeCell ref="C5:C6"/>
    <mergeCell ref="D5:D6"/>
    <mergeCell ref="E5:E6"/>
    <mergeCell ref="F5:G5"/>
    <mergeCell ref="H5:H6"/>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C180-1423-4843-A6C7-86F513CA87C0}">
  <sheetPr>
    <tabColor rgb="FF00B050"/>
  </sheetPr>
  <dimension ref="B3:M35"/>
  <sheetViews>
    <sheetView topLeftCell="A30" workbookViewId="0">
      <selection activeCell="B7" sqref="B7:B35"/>
    </sheetView>
  </sheetViews>
  <sheetFormatPr defaultColWidth="9.140625" defaultRowHeight="15" x14ac:dyDescent="0.25"/>
  <cols>
    <col min="1" max="1" width="9.140625" style="162"/>
    <col min="2" max="2" width="26.42578125" style="162" customWidth="1"/>
    <col min="3" max="3" width="12.7109375" style="162" customWidth="1"/>
    <col min="4" max="4" width="42.42578125" style="162" customWidth="1"/>
    <col min="5" max="5" width="16.85546875" style="162" customWidth="1"/>
    <col min="6" max="6" width="11.140625" style="162" customWidth="1"/>
    <col min="7" max="7" width="11.85546875" style="162" customWidth="1"/>
    <col min="8" max="8" width="8.42578125" style="162" bestFit="1" customWidth="1"/>
    <col min="9" max="9" width="15.28515625" style="162" customWidth="1"/>
    <col min="10" max="10" width="12" style="162" customWidth="1"/>
    <col min="11" max="11" width="11" style="162" customWidth="1"/>
    <col min="12" max="12" width="10.140625" style="162" customWidth="1"/>
    <col min="13" max="13" width="16" style="162" customWidth="1"/>
    <col min="14" max="16384" width="9.140625" style="162"/>
  </cols>
  <sheetData>
    <row r="3" spans="2:13" ht="15.75" thickBot="1" x14ac:dyDescent="0.3"/>
    <row r="4" spans="2:13" ht="26.25" customHeight="1" thickBot="1" x14ac:dyDescent="0.4">
      <c r="B4" s="549" t="s">
        <v>268</v>
      </c>
      <c r="C4" s="550"/>
      <c r="D4" s="550"/>
      <c r="E4" s="550"/>
      <c r="F4" s="550"/>
      <c r="G4" s="550"/>
      <c r="H4" s="550"/>
      <c r="I4" s="550"/>
      <c r="J4" s="550"/>
      <c r="K4" s="550"/>
      <c r="L4" s="550"/>
      <c r="M4" s="551"/>
    </row>
    <row r="5" spans="2:13" ht="19.5" x14ac:dyDescent="0.25">
      <c r="B5" s="527" t="s">
        <v>113</v>
      </c>
      <c r="C5" s="529" t="s">
        <v>114</v>
      </c>
      <c r="D5" s="554" t="s">
        <v>115</v>
      </c>
      <c r="E5" s="556" t="s">
        <v>80</v>
      </c>
      <c r="F5" s="557"/>
      <c r="G5" s="557"/>
      <c r="H5" s="558"/>
      <c r="I5" s="554" t="s">
        <v>116</v>
      </c>
      <c r="J5" s="559" t="s">
        <v>128</v>
      </c>
      <c r="K5" s="531" t="s">
        <v>118</v>
      </c>
      <c r="L5" s="531"/>
      <c r="M5" s="532" t="s">
        <v>206</v>
      </c>
    </row>
    <row r="6" spans="2:13" ht="39.75" thickBot="1" x14ac:dyDescent="0.4">
      <c r="B6" s="552"/>
      <c r="C6" s="553"/>
      <c r="D6" s="555"/>
      <c r="E6" s="391" t="s">
        <v>122</v>
      </c>
      <c r="F6" s="391" t="s">
        <v>123</v>
      </c>
      <c r="G6" s="391" t="s">
        <v>124</v>
      </c>
      <c r="H6" s="391" t="s">
        <v>4</v>
      </c>
      <c r="I6" s="555"/>
      <c r="J6" s="560"/>
      <c r="K6" s="392" t="s">
        <v>129</v>
      </c>
      <c r="L6" s="392" t="s">
        <v>130</v>
      </c>
      <c r="M6" s="561"/>
    </row>
    <row r="7" spans="2:13" ht="54" customHeight="1" x14ac:dyDescent="0.25">
      <c r="B7" s="393" t="s">
        <v>310</v>
      </c>
      <c r="C7" s="394">
        <v>13008</v>
      </c>
      <c r="D7" s="395" t="s">
        <v>340</v>
      </c>
      <c r="E7" s="396">
        <v>249</v>
      </c>
      <c r="F7" s="396">
        <v>159</v>
      </c>
      <c r="G7" s="396">
        <v>25</v>
      </c>
      <c r="H7" s="396">
        <f>SUM(E7:G7)</f>
        <v>433</v>
      </c>
      <c r="I7" s="396">
        <v>0</v>
      </c>
      <c r="J7" s="397">
        <v>44757</v>
      </c>
      <c r="K7" s="398">
        <v>44941</v>
      </c>
      <c r="L7" s="397">
        <v>45092</v>
      </c>
      <c r="M7" s="399">
        <v>50000</v>
      </c>
    </row>
    <row r="8" spans="2:13" ht="54" customHeight="1" x14ac:dyDescent="0.25">
      <c r="B8" s="400" t="s">
        <v>311</v>
      </c>
      <c r="C8" s="401">
        <v>13028</v>
      </c>
      <c r="D8" s="402" t="s">
        <v>341</v>
      </c>
      <c r="E8" s="403">
        <v>3595</v>
      </c>
      <c r="F8" s="403">
        <v>242</v>
      </c>
      <c r="G8" s="403">
        <v>24</v>
      </c>
      <c r="H8" s="403">
        <f t="shared" ref="H8:H35" si="0">SUM(E8:G8)</f>
        <v>3861</v>
      </c>
      <c r="I8" s="403">
        <v>35</v>
      </c>
      <c r="J8" s="404">
        <v>44788</v>
      </c>
      <c r="K8" s="405">
        <v>44941</v>
      </c>
      <c r="L8" s="404">
        <v>45092</v>
      </c>
      <c r="M8" s="406">
        <v>50000</v>
      </c>
    </row>
    <row r="9" spans="2:13" ht="54" customHeight="1" x14ac:dyDescent="0.25">
      <c r="B9" s="400" t="s">
        <v>312</v>
      </c>
      <c r="C9" s="401">
        <v>13039</v>
      </c>
      <c r="D9" s="402" t="s">
        <v>342</v>
      </c>
      <c r="E9" s="403">
        <v>299</v>
      </c>
      <c r="F9" s="403">
        <v>178</v>
      </c>
      <c r="G9" s="403">
        <v>24</v>
      </c>
      <c r="H9" s="403">
        <f t="shared" si="0"/>
        <v>501</v>
      </c>
      <c r="I9" s="403">
        <v>29</v>
      </c>
      <c r="J9" s="404">
        <v>44819</v>
      </c>
      <c r="K9" s="405">
        <v>44941</v>
      </c>
      <c r="L9" s="404">
        <v>45153</v>
      </c>
      <c r="M9" s="406">
        <v>50000</v>
      </c>
    </row>
    <row r="10" spans="2:13" ht="54" customHeight="1" x14ac:dyDescent="0.25">
      <c r="B10" s="400" t="s">
        <v>313</v>
      </c>
      <c r="C10" s="401">
        <v>13040</v>
      </c>
      <c r="D10" s="402" t="s">
        <v>343</v>
      </c>
      <c r="E10" s="403">
        <v>992</v>
      </c>
      <c r="F10" s="403">
        <v>112</v>
      </c>
      <c r="G10" s="403">
        <v>51</v>
      </c>
      <c r="H10" s="403">
        <f t="shared" si="0"/>
        <v>1155</v>
      </c>
      <c r="I10" s="403">
        <v>18</v>
      </c>
      <c r="J10" s="404">
        <v>44849</v>
      </c>
      <c r="K10" s="405">
        <v>44941</v>
      </c>
      <c r="L10" s="404">
        <v>45214</v>
      </c>
      <c r="M10" s="406">
        <v>50000</v>
      </c>
    </row>
    <row r="11" spans="2:13" ht="54" customHeight="1" x14ac:dyDescent="0.25">
      <c r="B11" s="400" t="s">
        <v>314</v>
      </c>
      <c r="C11" s="401">
        <v>13048</v>
      </c>
      <c r="D11" s="402" t="s">
        <v>341</v>
      </c>
      <c r="E11" s="403">
        <v>2720</v>
      </c>
      <c r="F11" s="403">
        <v>324</v>
      </c>
      <c r="G11" s="403">
        <v>81</v>
      </c>
      <c r="H11" s="403">
        <f t="shared" si="0"/>
        <v>3125</v>
      </c>
      <c r="I11" s="403">
        <v>84</v>
      </c>
      <c r="J11" s="404">
        <v>44720</v>
      </c>
      <c r="K11" s="405">
        <v>44795</v>
      </c>
      <c r="L11" s="404">
        <v>44849</v>
      </c>
      <c r="M11" s="406">
        <v>2077656.91</v>
      </c>
    </row>
    <row r="12" spans="2:13" ht="54" customHeight="1" x14ac:dyDescent="0.25">
      <c r="B12" s="400" t="s">
        <v>315</v>
      </c>
      <c r="C12" s="401">
        <v>13077</v>
      </c>
      <c r="D12" s="402" t="s">
        <v>342</v>
      </c>
      <c r="E12" s="403">
        <v>105</v>
      </c>
      <c r="F12" s="403">
        <v>332</v>
      </c>
      <c r="G12" s="403">
        <v>48</v>
      </c>
      <c r="H12" s="403">
        <f t="shared" si="0"/>
        <v>485</v>
      </c>
      <c r="I12" s="403">
        <v>15</v>
      </c>
      <c r="J12" s="404">
        <v>44819</v>
      </c>
      <c r="K12" s="405">
        <v>44941</v>
      </c>
      <c r="L12" s="404">
        <v>45184</v>
      </c>
      <c r="M12" s="406">
        <v>50000</v>
      </c>
    </row>
    <row r="13" spans="2:13" ht="54" customHeight="1" x14ac:dyDescent="0.25">
      <c r="B13" s="400" t="s">
        <v>316</v>
      </c>
      <c r="C13" s="401">
        <v>13094</v>
      </c>
      <c r="D13" s="402" t="s">
        <v>344</v>
      </c>
      <c r="E13" s="403">
        <v>1191</v>
      </c>
      <c r="F13" s="403">
        <v>375</v>
      </c>
      <c r="G13" s="403">
        <v>83</v>
      </c>
      <c r="H13" s="403">
        <f t="shared" si="0"/>
        <v>1649</v>
      </c>
      <c r="I13" s="403">
        <v>15</v>
      </c>
      <c r="J13" s="407" t="s">
        <v>317</v>
      </c>
      <c r="K13" s="405"/>
      <c r="L13" s="404"/>
      <c r="M13" s="406">
        <v>5554203.1950000003</v>
      </c>
    </row>
    <row r="14" spans="2:13" ht="54" customHeight="1" x14ac:dyDescent="0.25">
      <c r="B14" s="400" t="s">
        <v>318</v>
      </c>
      <c r="C14" s="401">
        <v>13118</v>
      </c>
      <c r="D14" s="402" t="s">
        <v>343</v>
      </c>
      <c r="E14" s="403">
        <v>1696</v>
      </c>
      <c r="F14" s="403">
        <v>199</v>
      </c>
      <c r="G14" s="403">
        <v>23</v>
      </c>
      <c r="H14" s="403">
        <f t="shared" si="0"/>
        <v>1918</v>
      </c>
      <c r="I14" s="403">
        <v>3</v>
      </c>
      <c r="J14" s="404">
        <v>44516</v>
      </c>
      <c r="K14" s="405">
        <v>44621</v>
      </c>
      <c r="L14" s="404">
        <v>44788</v>
      </c>
      <c r="M14" s="406">
        <v>3377800</v>
      </c>
    </row>
    <row r="15" spans="2:13" ht="54" customHeight="1" x14ac:dyDescent="0.25">
      <c r="B15" s="400" t="s">
        <v>319</v>
      </c>
      <c r="C15" s="401">
        <v>13148</v>
      </c>
      <c r="D15" s="402" t="s">
        <v>343</v>
      </c>
      <c r="E15" s="403">
        <v>1393</v>
      </c>
      <c r="F15" s="403">
        <v>91</v>
      </c>
      <c r="G15" s="403">
        <v>16</v>
      </c>
      <c r="H15" s="403">
        <f t="shared" si="0"/>
        <v>1500</v>
      </c>
      <c r="I15" s="403">
        <v>13</v>
      </c>
      <c r="J15" s="404">
        <v>44585</v>
      </c>
      <c r="K15" s="405">
        <v>44621</v>
      </c>
      <c r="L15" s="404">
        <v>44788</v>
      </c>
      <c r="M15" s="406">
        <v>1219092.6599999999</v>
      </c>
    </row>
    <row r="16" spans="2:13" ht="54" customHeight="1" x14ac:dyDescent="0.25">
      <c r="B16" s="400" t="s">
        <v>320</v>
      </c>
      <c r="C16" s="401">
        <v>13187</v>
      </c>
      <c r="D16" s="402" t="s">
        <v>358</v>
      </c>
      <c r="E16" s="403">
        <v>1560</v>
      </c>
      <c r="F16" s="403">
        <v>191</v>
      </c>
      <c r="G16" s="403">
        <v>30</v>
      </c>
      <c r="H16" s="403">
        <f t="shared" si="0"/>
        <v>1781</v>
      </c>
      <c r="I16" s="403">
        <v>30</v>
      </c>
      <c r="J16" s="404">
        <v>44880</v>
      </c>
      <c r="K16" s="405">
        <v>44941</v>
      </c>
      <c r="L16" s="404">
        <v>45245</v>
      </c>
      <c r="M16" s="406">
        <v>50000</v>
      </c>
    </row>
    <row r="17" spans="2:13" ht="54" customHeight="1" x14ac:dyDescent="0.25">
      <c r="B17" s="400" t="s">
        <v>321</v>
      </c>
      <c r="C17" s="401">
        <v>13227</v>
      </c>
      <c r="D17" s="402" t="s">
        <v>358</v>
      </c>
      <c r="E17" s="403">
        <v>1447</v>
      </c>
      <c r="F17" s="403">
        <v>159</v>
      </c>
      <c r="G17" s="403">
        <v>19</v>
      </c>
      <c r="H17" s="403">
        <f t="shared" si="0"/>
        <v>1625</v>
      </c>
      <c r="I17" s="403">
        <v>46</v>
      </c>
      <c r="J17" s="404">
        <v>44144</v>
      </c>
      <c r="K17" s="404">
        <v>44197</v>
      </c>
      <c r="L17" s="404">
        <v>44596</v>
      </c>
      <c r="M17" s="406">
        <v>50000</v>
      </c>
    </row>
    <row r="18" spans="2:13" ht="54" customHeight="1" x14ac:dyDescent="0.25">
      <c r="B18" s="400" t="s">
        <v>322</v>
      </c>
      <c r="C18" s="401">
        <v>13230</v>
      </c>
      <c r="D18" s="402" t="s">
        <v>349</v>
      </c>
      <c r="E18" s="403">
        <v>572</v>
      </c>
      <c r="F18" s="403">
        <v>411</v>
      </c>
      <c r="G18" s="403">
        <v>22</v>
      </c>
      <c r="H18" s="403">
        <f t="shared" si="0"/>
        <v>1005</v>
      </c>
      <c r="I18" s="403">
        <v>46</v>
      </c>
      <c r="J18" s="404">
        <v>44880</v>
      </c>
      <c r="K18" s="405">
        <v>44941</v>
      </c>
      <c r="L18" s="404">
        <v>45245</v>
      </c>
      <c r="M18" s="406">
        <v>50000</v>
      </c>
    </row>
    <row r="19" spans="2:13" ht="54" customHeight="1" x14ac:dyDescent="0.25">
      <c r="B19" s="400" t="s">
        <v>323</v>
      </c>
      <c r="C19" s="401">
        <v>13292</v>
      </c>
      <c r="D19" s="402" t="s">
        <v>342</v>
      </c>
      <c r="E19" s="403">
        <v>730</v>
      </c>
      <c r="F19" s="403">
        <v>33</v>
      </c>
      <c r="G19" s="403">
        <v>8</v>
      </c>
      <c r="H19" s="403">
        <f t="shared" si="0"/>
        <v>771</v>
      </c>
      <c r="I19" s="403">
        <v>14</v>
      </c>
      <c r="J19" s="404">
        <v>44788</v>
      </c>
      <c r="K19" s="405">
        <v>44941</v>
      </c>
      <c r="L19" s="404">
        <v>45000</v>
      </c>
      <c r="M19" s="406">
        <v>50000</v>
      </c>
    </row>
    <row r="20" spans="2:13" ht="54" customHeight="1" x14ac:dyDescent="0.25">
      <c r="B20" s="400" t="s">
        <v>324</v>
      </c>
      <c r="C20" s="401">
        <v>13296</v>
      </c>
      <c r="D20" s="402" t="s">
        <v>347</v>
      </c>
      <c r="E20" s="403">
        <v>1430</v>
      </c>
      <c r="F20" s="403">
        <v>120</v>
      </c>
      <c r="G20" s="403">
        <v>14</v>
      </c>
      <c r="H20" s="403">
        <f t="shared" si="0"/>
        <v>1564</v>
      </c>
      <c r="I20" s="403">
        <v>4</v>
      </c>
      <c r="J20" s="404">
        <v>44602</v>
      </c>
      <c r="K20" s="405">
        <v>44641</v>
      </c>
      <c r="L20" s="404">
        <v>44819</v>
      </c>
      <c r="M20" s="406">
        <v>4494493.6449999996</v>
      </c>
    </row>
    <row r="21" spans="2:13" ht="54" customHeight="1" x14ac:dyDescent="0.25">
      <c r="B21" s="400" t="s">
        <v>325</v>
      </c>
      <c r="C21" s="401">
        <v>13299</v>
      </c>
      <c r="D21" s="402" t="s">
        <v>342</v>
      </c>
      <c r="E21" s="403">
        <v>729</v>
      </c>
      <c r="F21" s="403">
        <v>55</v>
      </c>
      <c r="G21" s="403">
        <v>18</v>
      </c>
      <c r="H21" s="403">
        <f t="shared" si="0"/>
        <v>802</v>
      </c>
      <c r="I21" s="403">
        <v>2</v>
      </c>
      <c r="J21" s="404">
        <v>44910</v>
      </c>
      <c r="K21" s="405">
        <v>44941</v>
      </c>
      <c r="L21" s="404">
        <v>45245</v>
      </c>
      <c r="M21" s="406">
        <v>50000</v>
      </c>
    </row>
    <row r="22" spans="2:13" ht="54" customHeight="1" x14ac:dyDescent="0.25">
      <c r="B22" s="400" t="s">
        <v>326</v>
      </c>
      <c r="C22" s="401">
        <v>13308</v>
      </c>
      <c r="D22" s="402" t="s">
        <v>346</v>
      </c>
      <c r="E22" s="403">
        <v>1220</v>
      </c>
      <c r="F22" s="403">
        <v>260</v>
      </c>
      <c r="G22" s="403">
        <v>36</v>
      </c>
      <c r="H22" s="403">
        <f t="shared" si="0"/>
        <v>1516</v>
      </c>
      <c r="I22" s="403">
        <v>26</v>
      </c>
      <c r="J22" s="404">
        <v>44011</v>
      </c>
      <c r="K22" s="405">
        <v>44044</v>
      </c>
      <c r="L22" s="404">
        <v>44641</v>
      </c>
      <c r="M22" s="406">
        <v>50000</v>
      </c>
    </row>
    <row r="23" spans="2:13" ht="54" customHeight="1" x14ac:dyDescent="0.25">
      <c r="B23" s="400" t="s">
        <v>327</v>
      </c>
      <c r="C23" s="401">
        <v>13312</v>
      </c>
      <c r="D23" s="402" t="s">
        <v>345</v>
      </c>
      <c r="E23" s="403">
        <v>986</v>
      </c>
      <c r="F23" s="403">
        <v>351</v>
      </c>
      <c r="G23" s="403">
        <v>97</v>
      </c>
      <c r="H23" s="403">
        <f t="shared" si="0"/>
        <v>1434</v>
      </c>
      <c r="I23" s="403">
        <v>4</v>
      </c>
      <c r="J23" s="404">
        <v>44662</v>
      </c>
      <c r="K23" s="405">
        <v>44718</v>
      </c>
      <c r="L23" s="404">
        <v>44880</v>
      </c>
      <c r="M23" s="406">
        <v>312010.92</v>
      </c>
    </row>
    <row r="24" spans="2:13" ht="54" customHeight="1" x14ac:dyDescent="0.25">
      <c r="B24" s="400" t="s">
        <v>328</v>
      </c>
      <c r="C24" s="401">
        <v>13313</v>
      </c>
      <c r="D24" s="402" t="s">
        <v>342</v>
      </c>
      <c r="E24" s="403">
        <v>196</v>
      </c>
      <c r="F24" s="403">
        <v>459</v>
      </c>
      <c r="G24" s="403">
        <v>74</v>
      </c>
      <c r="H24" s="403">
        <f t="shared" si="0"/>
        <v>729</v>
      </c>
      <c r="I24" s="403">
        <v>25</v>
      </c>
      <c r="J24" s="404">
        <v>44298</v>
      </c>
      <c r="K24" s="405">
        <v>44470</v>
      </c>
      <c r="L24" s="404">
        <v>44696</v>
      </c>
      <c r="M24" s="406">
        <v>73036</v>
      </c>
    </row>
    <row r="25" spans="2:13" ht="54" customHeight="1" x14ac:dyDescent="0.25">
      <c r="B25" s="400" t="s">
        <v>329</v>
      </c>
      <c r="C25" s="401">
        <v>13314</v>
      </c>
      <c r="D25" s="402" t="s">
        <v>357</v>
      </c>
      <c r="E25" s="403">
        <v>683</v>
      </c>
      <c r="F25" s="403">
        <v>240</v>
      </c>
      <c r="G25" s="403">
        <v>85</v>
      </c>
      <c r="H25" s="403">
        <f t="shared" si="0"/>
        <v>1008</v>
      </c>
      <c r="I25" s="403">
        <v>4</v>
      </c>
      <c r="J25" s="404">
        <v>44293</v>
      </c>
      <c r="K25" s="405">
        <v>44470</v>
      </c>
      <c r="L25" s="404">
        <v>44696</v>
      </c>
      <c r="M25" s="406">
        <v>29668</v>
      </c>
    </row>
    <row r="26" spans="2:13" ht="54" customHeight="1" x14ac:dyDescent="0.25">
      <c r="B26" s="400" t="s">
        <v>330</v>
      </c>
      <c r="C26" s="401">
        <v>13346</v>
      </c>
      <c r="D26" s="402" t="s">
        <v>354</v>
      </c>
      <c r="E26" s="403">
        <v>1404</v>
      </c>
      <c r="F26" s="403">
        <v>238</v>
      </c>
      <c r="G26" s="403">
        <v>94</v>
      </c>
      <c r="H26" s="403">
        <f t="shared" si="0"/>
        <v>1736</v>
      </c>
      <c r="I26" s="403">
        <v>12</v>
      </c>
      <c r="J26" s="404">
        <v>44616</v>
      </c>
      <c r="K26" s="405">
        <v>44681</v>
      </c>
      <c r="L26" s="404">
        <v>44849</v>
      </c>
      <c r="M26" s="406">
        <v>80785.574999999997</v>
      </c>
    </row>
    <row r="27" spans="2:13" ht="54" customHeight="1" x14ac:dyDescent="0.25">
      <c r="B27" s="400" t="s">
        <v>331</v>
      </c>
      <c r="C27" s="401">
        <v>13433</v>
      </c>
      <c r="D27" s="402" t="s">
        <v>355</v>
      </c>
      <c r="E27" s="403">
        <v>339</v>
      </c>
      <c r="F27" s="403">
        <v>318</v>
      </c>
      <c r="G27" s="403">
        <v>69</v>
      </c>
      <c r="H27" s="403">
        <f t="shared" si="0"/>
        <v>726</v>
      </c>
      <c r="I27" s="403">
        <v>61</v>
      </c>
      <c r="J27" s="404">
        <v>44308</v>
      </c>
      <c r="K27" s="405">
        <v>44470</v>
      </c>
      <c r="L27" s="404">
        <v>44666</v>
      </c>
      <c r="M27" s="406">
        <v>688400</v>
      </c>
    </row>
    <row r="28" spans="2:13" ht="54" customHeight="1" x14ac:dyDescent="0.25">
      <c r="B28" s="400" t="s">
        <v>332</v>
      </c>
      <c r="C28" s="401">
        <v>13651</v>
      </c>
      <c r="D28" s="402" t="s">
        <v>356</v>
      </c>
      <c r="E28" s="403">
        <v>2453</v>
      </c>
      <c r="F28" s="403">
        <v>63</v>
      </c>
      <c r="G28" s="403">
        <v>10</v>
      </c>
      <c r="H28" s="403">
        <f t="shared" si="0"/>
        <v>2526</v>
      </c>
      <c r="I28" s="403">
        <v>50</v>
      </c>
      <c r="J28" s="404">
        <v>44641</v>
      </c>
      <c r="K28" s="405">
        <v>44702</v>
      </c>
      <c r="L28" s="404">
        <v>44880</v>
      </c>
      <c r="M28" s="406">
        <v>50386.214999999997</v>
      </c>
    </row>
    <row r="29" spans="2:13" ht="54" customHeight="1" x14ac:dyDescent="0.25">
      <c r="B29" s="400" t="s">
        <v>333</v>
      </c>
      <c r="C29" s="401">
        <v>13687</v>
      </c>
      <c r="D29" s="402" t="s">
        <v>356</v>
      </c>
      <c r="E29" s="403">
        <v>2054</v>
      </c>
      <c r="F29" s="403">
        <v>70</v>
      </c>
      <c r="G29" s="403">
        <v>2</v>
      </c>
      <c r="H29" s="403">
        <f t="shared" si="0"/>
        <v>2126</v>
      </c>
      <c r="I29" s="403">
        <v>17</v>
      </c>
      <c r="J29" s="404">
        <v>44849</v>
      </c>
      <c r="K29" s="405">
        <v>44941</v>
      </c>
      <c r="L29" s="404">
        <v>45184</v>
      </c>
      <c r="M29" s="406">
        <v>50000</v>
      </c>
    </row>
    <row r="30" spans="2:13" ht="54" customHeight="1" x14ac:dyDescent="0.25">
      <c r="B30" s="400" t="s">
        <v>334</v>
      </c>
      <c r="C30" s="401">
        <v>13770</v>
      </c>
      <c r="D30" s="402" t="s">
        <v>352</v>
      </c>
      <c r="E30" s="403">
        <v>1769</v>
      </c>
      <c r="F30" s="403">
        <v>57</v>
      </c>
      <c r="G30" s="403">
        <v>5</v>
      </c>
      <c r="H30" s="403">
        <f t="shared" si="0"/>
        <v>1831</v>
      </c>
      <c r="I30" s="403">
        <v>3</v>
      </c>
      <c r="J30" s="404">
        <v>44585</v>
      </c>
      <c r="K30" s="405">
        <v>44635</v>
      </c>
      <c r="L30" s="404">
        <v>44880</v>
      </c>
      <c r="M30" s="406">
        <v>5898016.90625</v>
      </c>
    </row>
    <row r="31" spans="2:13" ht="54" customHeight="1" x14ac:dyDescent="0.25">
      <c r="B31" s="400" t="s">
        <v>335</v>
      </c>
      <c r="C31" s="401">
        <v>13984</v>
      </c>
      <c r="D31" s="402" t="s">
        <v>353</v>
      </c>
      <c r="E31" s="403">
        <v>1415</v>
      </c>
      <c r="F31" s="403">
        <v>114</v>
      </c>
      <c r="G31" s="403">
        <v>51</v>
      </c>
      <c r="H31" s="403">
        <f t="shared" si="0"/>
        <v>1580</v>
      </c>
      <c r="I31" s="403">
        <v>51</v>
      </c>
      <c r="J31" s="404">
        <v>44704</v>
      </c>
      <c r="K31" s="405">
        <v>44752</v>
      </c>
      <c r="L31" s="404">
        <v>44880</v>
      </c>
      <c r="M31" s="406">
        <v>1171851.395</v>
      </c>
    </row>
    <row r="32" spans="2:13" ht="54" customHeight="1" x14ac:dyDescent="0.25">
      <c r="B32" s="400" t="s">
        <v>336</v>
      </c>
      <c r="C32" s="401">
        <v>13989</v>
      </c>
      <c r="D32" s="402" t="s">
        <v>350</v>
      </c>
      <c r="E32" s="403">
        <v>2216</v>
      </c>
      <c r="F32" s="403">
        <v>53</v>
      </c>
      <c r="G32" s="403">
        <v>7</v>
      </c>
      <c r="H32" s="403">
        <f t="shared" si="0"/>
        <v>2276</v>
      </c>
      <c r="I32" s="403">
        <v>26</v>
      </c>
      <c r="J32" s="404">
        <v>44602</v>
      </c>
      <c r="K32" s="405">
        <v>44661</v>
      </c>
      <c r="L32" s="404">
        <v>44788</v>
      </c>
      <c r="M32" s="406">
        <v>832493.14500000002</v>
      </c>
    </row>
    <row r="33" spans="2:13" ht="54" customHeight="1" x14ac:dyDescent="0.25">
      <c r="B33" s="400" t="s">
        <v>337</v>
      </c>
      <c r="C33" s="401">
        <v>14094</v>
      </c>
      <c r="D33" s="402" t="s">
        <v>351</v>
      </c>
      <c r="E33" s="403">
        <v>2584</v>
      </c>
      <c r="F33" s="403">
        <v>256</v>
      </c>
      <c r="G33" s="403">
        <v>45</v>
      </c>
      <c r="H33" s="403">
        <f t="shared" si="0"/>
        <v>2885</v>
      </c>
      <c r="I33" s="403">
        <v>6</v>
      </c>
      <c r="J33" s="404">
        <v>44713</v>
      </c>
      <c r="K33" s="405">
        <v>44759</v>
      </c>
      <c r="L33" s="404">
        <v>44910</v>
      </c>
      <c r="M33" s="406">
        <v>8559.0224999999991</v>
      </c>
    </row>
    <row r="34" spans="2:13" ht="54" customHeight="1" x14ac:dyDescent="0.25">
      <c r="B34" s="400" t="s">
        <v>338</v>
      </c>
      <c r="C34" s="401">
        <v>14123</v>
      </c>
      <c r="D34" s="402" t="s">
        <v>349</v>
      </c>
      <c r="E34" s="403">
        <v>1069</v>
      </c>
      <c r="F34" s="403">
        <v>59</v>
      </c>
      <c r="G34" s="403">
        <v>6</v>
      </c>
      <c r="H34" s="403">
        <f t="shared" si="0"/>
        <v>1134</v>
      </c>
      <c r="I34" s="403">
        <v>13</v>
      </c>
      <c r="J34" s="404">
        <v>44683</v>
      </c>
      <c r="K34" s="405">
        <v>44739</v>
      </c>
      <c r="L34" s="404">
        <v>44880</v>
      </c>
      <c r="M34" s="406">
        <v>1248735.8025</v>
      </c>
    </row>
    <row r="35" spans="2:13" ht="54" customHeight="1" thickBot="1" x14ac:dyDescent="0.3">
      <c r="B35" s="408" t="s">
        <v>339</v>
      </c>
      <c r="C35" s="409">
        <v>13309</v>
      </c>
      <c r="D35" s="410" t="s">
        <v>348</v>
      </c>
      <c r="E35" s="411">
        <v>0</v>
      </c>
      <c r="F35" s="411">
        <v>0</v>
      </c>
      <c r="G35" s="411">
        <v>0</v>
      </c>
      <c r="H35" s="411">
        <f t="shared" si="0"/>
        <v>0</v>
      </c>
      <c r="I35" s="411">
        <v>0</v>
      </c>
      <c r="J35" s="412">
        <v>44298</v>
      </c>
      <c r="K35" s="413">
        <v>44470</v>
      </c>
      <c r="L35" s="414">
        <v>44696</v>
      </c>
      <c r="M35" s="415">
        <v>125468</v>
      </c>
    </row>
  </sheetData>
  <mergeCells count="9">
    <mergeCell ref="B4:M4"/>
    <mergeCell ref="B5:B6"/>
    <mergeCell ref="C5:C6"/>
    <mergeCell ref="D5:D6"/>
    <mergeCell ref="E5:H5"/>
    <mergeCell ref="I5:I6"/>
    <mergeCell ref="J5:J6"/>
    <mergeCell ref="K5:L5"/>
    <mergeCell ref="M5:M6"/>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599D0-0C27-4281-883B-0F6FEC1E481F}">
  <sheetPr>
    <tabColor rgb="FF00B050"/>
  </sheetPr>
  <dimension ref="B3:D8"/>
  <sheetViews>
    <sheetView showGridLines="0" workbookViewId="0">
      <selection activeCell="B4" sqref="B4:D8"/>
    </sheetView>
  </sheetViews>
  <sheetFormatPr defaultRowHeight="15" x14ac:dyDescent="0.25"/>
  <cols>
    <col min="3" max="3" width="28.42578125" customWidth="1"/>
    <col min="4" max="4" width="27.42578125" customWidth="1"/>
  </cols>
  <sheetData>
    <row r="3" spans="2:4" ht="15.75" thickBot="1" x14ac:dyDescent="0.3"/>
    <row r="4" spans="2:4" ht="85.5" customHeight="1" thickBot="1" x14ac:dyDescent="0.3">
      <c r="B4" s="98"/>
      <c r="C4" s="491" t="s">
        <v>269</v>
      </c>
      <c r="D4" s="492"/>
    </row>
    <row r="5" spans="2:4" ht="16.5" thickBot="1" x14ac:dyDescent="0.3">
      <c r="B5" s="98"/>
      <c r="C5" s="139" t="s">
        <v>109</v>
      </c>
      <c r="D5" s="140" t="s">
        <v>110</v>
      </c>
    </row>
    <row r="6" spans="2:4" ht="15.75" x14ac:dyDescent="0.25">
      <c r="B6" s="63">
        <v>2022</v>
      </c>
      <c r="C6" s="218">
        <v>0</v>
      </c>
      <c r="D6" s="235">
        <v>0</v>
      </c>
    </row>
    <row r="7" spans="2:4" ht="15.75" x14ac:dyDescent="0.25">
      <c r="B7" s="64">
        <f>B6+1</f>
        <v>2023</v>
      </c>
      <c r="C7" s="219">
        <v>1</v>
      </c>
      <c r="D7" s="236">
        <v>0.7</v>
      </c>
    </row>
    <row r="8" spans="2:4" ht="16.5" thickBot="1" x14ac:dyDescent="0.3">
      <c r="B8" s="65">
        <f t="shared" ref="B8" si="0">B7+1</f>
        <v>2024</v>
      </c>
      <c r="C8" s="220">
        <v>1</v>
      </c>
      <c r="D8" s="237">
        <v>4.28</v>
      </c>
    </row>
  </sheetData>
  <mergeCells count="1">
    <mergeCell ref="C4:D4"/>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A2BBF-6AF5-4386-8EE9-0AE897E21DD7}">
  <sheetPr>
    <tabColor rgb="FF00B050"/>
  </sheetPr>
  <dimension ref="B6:C18"/>
  <sheetViews>
    <sheetView workbookViewId="0">
      <selection activeCell="C20" sqref="C20"/>
    </sheetView>
  </sheetViews>
  <sheetFormatPr defaultColWidth="43.28515625" defaultRowHeight="15.75" x14ac:dyDescent="0.25"/>
  <cols>
    <col min="1" max="1" width="14.5703125" style="98" customWidth="1"/>
    <col min="2" max="2" width="40" style="98" customWidth="1"/>
    <col min="3" max="3" width="57.28515625" style="98" customWidth="1"/>
    <col min="4" max="16384" width="43.28515625" style="98"/>
  </cols>
  <sheetData>
    <row r="6" spans="2:3" ht="16.5" thickBot="1" x14ac:dyDescent="0.3"/>
    <row r="7" spans="2:3" ht="46.5" customHeight="1" thickBot="1" x14ac:dyDescent="0.3">
      <c r="B7" s="506" t="s">
        <v>266</v>
      </c>
      <c r="C7" s="508"/>
    </row>
    <row r="8" spans="2:3" ht="33" customHeight="1" thickBot="1" x14ac:dyDescent="0.3">
      <c r="B8" s="153" t="s">
        <v>138</v>
      </c>
      <c r="C8" s="154" t="s">
        <v>168</v>
      </c>
    </row>
    <row r="9" spans="2:3" ht="33" customHeight="1" thickBot="1" x14ac:dyDescent="0.3">
      <c r="B9" s="155" t="s">
        <v>139</v>
      </c>
      <c r="C9" s="156" t="s">
        <v>140</v>
      </c>
    </row>
    <row r="10" spans="2:3" ht="33" customHeight="1" thickBot="1" x14ac:dyDescent="0.3">
      <c r="B10" s="155" t="s">
        <v>141</v>
      </c>
      <c r="C10" s="156" t="s">
        <v>142</v>
      </c>
    </row>
    <row r="11" spans="2:3" ht="33" customHeight="1" thickBot="1" x14ac:dyDescent="0.3">
      <c r="B11" s="155" t="s">
        <v>143</v>
      </c>
      <c r="C11" s="156" t="s">
        <v>144</v>
      </c>
    </row>
    <row r="12" spans="2:3" ht="33" customHeight="1" thickBot="1" x14ac:dyDescent="0.3">
      <c r="B12" s="155" t="s">
        <v>145</v>
      </c>
      <c r="C12" s="156" t="s">
        <v>146</v>
      </c>
    </row>
    <row r="13" spans="2:3" ht="33" customHeight="1" thickBot="1" x14ac:dyDescent="0.3">
      <c r="B13" s="155" t="s">
        <v>147</v>
      </c>
      <c r="C13" s="156" t="s">
        <v>144</v>
      </c>
    </row>
    <row r="14" spans="2:3" ht="33" customHeight="1" thickBot="1" x14ac:dyDescent="0.3">
      <c r="B14" s="155" t="s">
        <v>148</v>
      </c>
      <c r="C14" s="156" t="s">
        <v>149</v>
      </c>
    </row>
    <row r="15" spans="2:3" ht="33" customHeight="1" thickBot="1" x14ac:dyDescent="0.3">
      <c r="B15" s="155" t="s">
        <v>150</v>
      </c>
      <c r="C15" s="156" t="s">
        <v>151</v>
      </c>
    </row>
    <row r="16" spans="2:3" ht="33" customHeight="1" thickBot="1" x14ac:dyDescent="0.3">
      <c r="B16" s="155" t="s">
        <v>152</v>
      </c>
      <c r="C16" s="156" t="s">
        <v>153</v>
      </c>
    </row>
    <row r="17" spans="2:3" ht="33" customHeight="1" thickBot="1" x14ac:dyDescent="0.3">
      <c r="B17" s="155" t="s">
        <v>154</v>
      </c>
      <c r="C17" s="156" t="s">
        <v>155</v>
      </c>
    </row>
    <row r="18" spans="2:3" ht="33" customHeight="1" thickBot="1" x14ac:dyDescent="0.3">
      <c r="B18" s="155" t="s">
        <v>156</v>
      </c>
      <c r="C18" s="156" t="s">
        <v>157</v>
      </c>
    </row>
  </sheetData>
  <mergeCells count="1">
    <mergeCell ref="B7:C7"/>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C02CD-2092-4CF1-BC30-C2715166A909}">
  <sheetPr>
    <tabColor rgb="FF00B050"/>
  </sheetPr>
  <dimension ref="B2:M25"/>
  <sheetViews>
    <sheetView topLeftCell="A4" workbookViewId="0">
      <selection activeCell="G24" sqref="G24"/>
    </sheetView>
  </sheetViews>
  <sheetFormatPr defaultRowHeight="15" x14ac:dyDescent="0.25"/>
  <cols>
    <col min="2" max="2" width="15.5703125" customWidth="1"/>
    <col min="3" max="3" width="17" customWidth="1"/>
    <col min="4" max="4" width="16" customWidth="1"/>
    <col min="5" max="5" width="18.140625" customWidth="1"/>
    <col min="13" max="13" width="27.42578125" customWidth="1"/>
  </cols>
  <sheetData>
    <row r="2" spans="2:5" ht="15.75" thickBot="1" x14ac:dyDescent="0.3"/>
    <row r="3" spans="2:5" ht="42" customHeight="1" thickBot="1" x14ac:dyDescent="0.3">
      <c r="B3" s="562" t="s">
        <v>197</v>
      </c>
      <c r="C3" s="563"/>
      <c r="D3" s="563"/>
      <c r="E3" s="564"/>
    </row>
    <row r="4" spans="2:5" ht="38.25" thickBot="1" x14ac:dyDescent="0.3">
      <c r="B4" s="172" t="s">
        <v>169</v>
      </c>
      <c r="C4" s="173" t="s">
        <v>170</v>
      </c>
      <c r="D4" s="173" t="s">
        <v>171</v>
      </c>
      <c r="E4" s="173" t="s">
        <v>172</v>
      </c>
    </row>
    <row r="5" spans="2:5" ht="16.5" thickBot="1" x14ac:dyDescent="0.3">
      <c r="B5" s="155">
        <v>1960</v>
      </c>
      <c r="C5" s="174" t="s">
        <v>173</v>
      </c>
      <c r="D5" s="174" t="s">
        <v>174</v>
      </c>
      <c r="E5" s="174">
        <v>115</v>
      </c>
    </row>
    <row r="6" spans="2:5" ht="16.5" thickBot="1" x14ac:dyDescent="0.3">
      <c r="B6" s="155">
        <v>1995</v>
      </c>
      <c r="C6" s="174" t="s">
        <v>175</v>
      </c>
      <c r="D6" s="174" t="s">
        <v>176</v>
      </c>
      <c r="E6" s="174">
        <v>57</v>
      </c>
    </row>
    <row r="7" spans="2:5" ht="16.5" thickBot="1" x14ac:dyDescent="0.3">
      <c r="B7" s="155">
        <v>2004</v>
      </c>
      <c r="C7" s="174" t="s">
        <v>177</v>
      </c>
      <c r="D7" s="174" t="s">
        <v>178</v>
      </c>
      <c r="E7" s="174">
        <v>86</v>
      </c>
    </row>
    <row r="8" spans="2:5" ht="16.5" thickBot="1" x14ac:dyDescent="0.3">
      <c r="B8" s="155">
        <v>2004</v>
      </c>
      <c r="C8" s="174" t="s">
        <v>179</v>
      </c>
      <c r="D8" s="174" t="s">
        <v>180</v>
      </c>
      <c r="E8" s="174">
        <v>63</v>
      </c>
    </row>
    <row r="9" spans="2:5" ht="16.5" thickBot="1" x14ac:dyDescent="0.3">
      <c r="B9" s="155">
        <v>2004</v>
      </c>
      <c r="C9" s="174" t="s">
        <v>181</v>
      </c>
      <c r="D9" s="174" t="s">
        <v>180</v>
      </c>
      <c r="E9" s="174">
        <v>63</v>
      </c>
    </row>
    <row r="10" spans="2:5" ht="16.5" thickBot="1" x14ac:dyDescent="0.3">
      <c r="B10" s="155">
        <v>2005</v>
      </c>
      <c r="C10" s="174" t="s">
        <v>182</v>
      </c>
      <c r="D10" s="174" t="s">
        <v>176</v>
      </c>
      <c r="E10" s="174">
        <v>43</v>
      </c>
    </row>
    <row r="11" spans="2:5" ht="16.5" thickBot="1" x14ac:dyDescent="0.3">
      <c r="B11" s="155">
        <v>2005</v>
      </c>
      <c r="C11" s="174" t="s">
        <v>183</v>
      </c>
      <c r="D11" s="174" t="s">
        <v>176</v>
      </c>
      <c r="E11" s="174">
        <v>44</v>
      </c>
    </row>
    <row r="12" spans="2:5" ht="16.5" thickBot="1" x14ac:dyDescent="0.3">
      <c r="B12" s="155">
        <v>2006</v>
      </c>
      <c r="C12" s="174" t="s">
        <v>184</v>
      </c>
      <c r="D12" s="174" t="s">
        <v>176</v>
      </c>
      <c r="E12" s="174">
        <v>45</v>
      </c>
    </row>
    <row r="13" spans="2:5" ht="16.5" thickBot="1" x14ac:dyDescent="0.3">
      <c r="B13" s="155">
        <v>2007</v>
      </c>
      <c r="C13" s="174" t="s">
        <v>185</v>
      </c>
      <c r="D13" s="174" t="s">
        <v>176</v>
      </c>
      <c r="E13" s="174">
        <v>31</v>
      </c>
    </row>
    <row r="14" spans="2:5" ht="16.5" thickBot="1" x14ac:dyDescent="0.3">
      <c r="B14" s="155">
        <v>2012</v>
      </c>
      <c r="C14" s="174" t="s">
        <v>186</v>
      </c>
      <c r="D14" s="174" t="s">
        <v>176</v>
      </c>
      <c r="E14" s="174">
        <v>53</v>
      </c>
    </row>
    <row r="15" spans="2:5" ht="16.5" thickBot="1" x14ac:dyDescent="0.3">
      <c r="B15" s="155">
        <v>2012</v>
      </c>
      <c r="C15" s="174" t="s">
        <v>187</v>
      </c>
      <c r="D15" s="174" t="s">
        <v>176</v>
      </c>
      <c r="E15" s="174">
        <v>36</v>
      </c>
    </row>
    <row r="16" spans="2:5" ht="16.5" thickBot="1" x14ac:dyDescent="0.3">
      <c r="B16" s="155">
        <v>2013</v>
      </c>
      <c r="C16" s="174" t="s">
        <v>188</v>
      </c>
      <c r="D16" s="174" t="s">
        <v>176</v>
      </c>
      <c r="E16" s="174">
        <v>47</v>
      </c>
    </row>
    <row r="17" spans="2:13" ht="16.5" thickBot="1" x14ac:dyDescent="0.3">
      <c r="B17" s="175">
        <v>2015</v>
      </c>
      <c r="C17" s="176" t="s">
        <v>189</v>
      </c>
      <c r="D17" s="176" t="s">
        <v>176</v>
      </c>
      <c r="E17" s="176" t="s">
        <v>190</v>
      </c>
      <c r="H17" s="565" t="s">
        <v>198</v>
      </c>
      <c r="I17" s="565"/>
      <c r="J17" s="565"/>
      <c r="K17" s="565"/>
      <c r="L17" s="565"/>
      <c r="M17" s="565"/>
    </row>
    <row r="18" spans="2:13" ht="16.5" thickBot="1" x14ac:dyDescent="0.3">
      <c r="B18" s="175">
        <v>2016</v>
      </c>
      <c r="C18" s="176" t="s">
        <v>191</v>
      </c>
      <c r="D18" s="176" t="s">
        <v>176</v>
      </c>
      <c r="E18" s="176" t="s">
        <v>190</v>
      </c>
      <c r="H18" s="565"/>
      <c r="I18" s="565"/>
      <c r="J18" s="565"/>
      <c r="K18" s="565"/>
      <c r="L18" s="565"/>
      <c r="M18" s="565"/>
    </row>
    <row r="19" spans="2:13" ht="16.5" thickBot="1" x14ac:dyDescent="0.3">
      <c r="B19" s="175">
        <v>2016</v>
      </c>
      <c r="C19" s="176" t="s">
        <v>192</v>
      </c>
      <c r="D19" s="176" t="s">
        <v>180</v>
      </c>
      <c r="E19" s="176">
        <v>37</v>
      </c>
      <c r="H19" s="565"/>
      <c r="I19" s="565"/>
      <c r="J19" s="565"/>
      <c r="K19" s="565"/>
      <c r="L19" s="565"/>
      <c r="M19" s="565"/>
    </row>
    <row r="20" spans="2:13" ht="16.5" thickBot="1" x14ac:dyDescent="0.3">
      <c r="B20" s="175">
        <v>2016</v>
      </c>
      <c r="C20" s="176" t="s">
        <v>193</v>
      </c>
      <c r="D20" s="176" t="s">
        <v>176</v>
      </c>
      <c r="E20" s="176">
        <v>20</v>
      </c>
      <c r="H20" s="565"/>
      <c r="I20" s="565"/>
      <c r="J20" s="565"/>
      <c r="K20" s="565"/>
      <c r="L20" s="565"/>
      <c r="M20" s="565"/>
    </row>
    <row r="21" spans="2:13" ht="16.5" thickBot="1" x14ac:dyDescent="0.3">
      <c r="B21" s="175">
        <v>2017</v>
      </c>
      <c r="C21" s="176" t="s">
        <v>194</v>
      </c>
      <c r="D21" s="176" t="s">
        <v>176</v>
      </c>
      <c r="E21" s="176" t="s">
        <v>190</v>
      </c>
      <c r="H21" s="565"/>
      <c r="I21" s="565"/>
      <c r="J21" s="565"/>
      <c r="K21" s="565"/>
      <c r="L21" s="565"/>
      <c r="M21" s="565"/>
    </row>
    <row r="22" spans="2:13" ht="16.5" thickBot="1" x14ac:dyDescent="0.3">
      <c r="B22" s="175">
        <v>2017</v>
      </c>
      <c r="C22" s="176" t="s">
        <v>195</v>
      </c>
      <c r="D22" s="176" t="s">
        <v>180</v>
      </c>
      <c r="E22" s="176">
        <v>90</v>
      </c>
    </row>
    <row r="23" spans="2:13" ht="16.5" thickBot="1" x14ac:dyDescent="0.3">
      <c r="B23" s="175">
        <v>2018</v>
      </c>
      <c r="C23" s="176" t="s">
        <v>184</v>
      </c>
      <c r="D23" s="176" t="s">
        <v>176</v>
      </c>
      <c r="E23" s="176">
        <v>29</v>
      </c>
    </row>
    <row r="24" spans="2:13" ht="16.5" customHeight="1" thickBot="1" x14ac:dyDescent="0.3">
      <c r="B24" s="175">
        <v>2019</v>
      </c>
      <c r="C24" s="176" t="s">
        <v>196</v>
      </c>
      <c r="D24" s="176" t="s">
        <v>176</v>
      </c>
      <c r="E24" s="176">
        <v>26</v>
      </c>
    </row>
    <row r="25" spans="2:13" ht="16.5" customHeight="1" thickBot="1" x14ac:dyDescent="0.3">
      <c r="B25" s="384">
        <v>2021</v>
      </c>
      <c r="C25" s="385" t="s">
        <v>307</v>
      </c>
      <c r="D25" s="176" t="s">
        <v>176</v>
      </c>
      <c r="E25" s="174">
        <v>43</v>
      </c>
    </row>
  </sheetData>
  <mergeCells count="2">
    <mergeCell ref="B3:E3"/>
    <mergeCell ref="H17:M21"/>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D7534-B0E7-40E4-B59F-363BF11ED23D}">
  <sheetPr>
    <tabColor rgb="FF00B050"/>
  </sheetPr>
  <dimension ref="P4:R4"/>
  <sheetViews>
    <sheetView workbookViewId="0">
      <selection activeCell="P4" sqref="P4"/>
    </sheetView>
  </sheetViews>
  <sheetFormatPr defaultRowHeight="15" x14ac:dyDescent="0.25"/>
  <sheetData>
    <row r="4" spans="16:18" ht="21" x14ac:dyDescent="0.35">
      <c r="P4" s="183" t="s">
        <v>200</v>
      </c>
      <c r="Q4" s="183"/>
      <c r="R4" s="183"/>
    </row>
  </sheetData>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F81FB-A038-4A47-8DF0-9A48B3F994B1}">
  <sheetPr>
    <tabColor rgb="FF00B050"/>
  </sheetPr>
  <dimension ref="O3"/>
  <sheetViews>
    <sheetView workbookViewId="0">
      <selection activeCell="P10" sqref="P10"/>
    </sheetView>
  </sheetViews>
  <sheetFormatPr defaultRowHeight="15" x14ac:dyDescent="0.25"/>
  <sheetData>
    <row r="3" spans="15:15" ht="21" x14ac:dyDescent="0.35">
      <c r="O3" s="183" t="s">
        <v>200</v>
      </c>
    </row>
  </sheetData>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5D1A2-C373-4DAD-81D0-67EE0AD3D4C9}">
  <sheetPr>
    <tabColor rgb="FF00B050"/>
  </sheetPr>
  <dimension ref="C3:G7"/>
  <sheetViews>
    <sheetView workbookViewId="0">
      <selection activeCell="C4" sqref="C4:G7"/>
    </sheetView>
  </sheetViews>
  <sheetFormatPr defaultColWidth="9.140625" defaultRowHeight="15.75" x14ac:dyDescent="0.25"/>
  <cols>
    <col min="1" max="1" width="9.140625" style="98"/>
    <col min="2" max="2" width="10" style="98" customWidth="1"/>
    <col min="3" max="3" width="18.42578125" style="98" customWidth="1"/>
    <col min="4" max="7" width="22.5703125" style="98" customWidth="1"/>
    <col min="8" max="9" width="13.7109375" style="98" customWidth="1"/>
    <col min="10" max="16384" width="9.140625" style="98"/>
  </cols>
  <sheetData>
    <row r="3" spans="3:7" ht="16.5" thickBot="1" x14ac:dyDescent="0.3"/>
    <row r="4" spans="3:7" ht="63.75" customHeight="1" thickBot="1" x14ac:dyDescent="0.3">
      <c r="C4" s="506" t="s">
        <v>228</v>
      </c>
      <c r="D4" s="507"/>
      <c r="E4" s="507"/>
      <c r="F4" s="507"/>
      <c r="G4" s="508"/>
    </row>
    <row r="5" spans="3:7" ht="42.75" customHeight="1" x14ac:dyDescent="0.25">
      <c r="C5" s="107"/>
      <c r="D5" s="108" t="s">
        <v>53</v>
      </c>
      <c r="E5" s="109" t="s">
        <v>54</v>
      </c>
      <c r="F5" s="109" t="s">
        <v>55</v>
      </c>
      <c r="G5" s="110" t="s">
        <v>56</v>
      </c>
    </row>
    <row r="6" spans="3:7" ht="16.5" x14ac:dyDescent="0.3">
      <c r="C6" s="111" t="s">
        <v>57</v>
      </c>
      <c r="D6" s="112">
        <v>53</v>
      </c>
      <c r="E6" s="102">
        <v>81</v>
      </c>
      <c r="F6" s="102">
        <v>89</v>
      </c>
      <c r="G6" s="113">
        <v>99.6</v>
      </c>
    </row>
    <row r="7" spans="3:7" ht="17.25" thickBot="1" x14ac:dyDescent="0.35">
      <c r="C7" s="114" t="s">
        <v>58</v>
      </c>
      <c r="D7" s="115">
        <v>47</v>
      </c>
      <c r="E7" s="104">
        <v>19</v>
      </c>
      <c r="F7" s="104">
        <v>11</v>
      </c>
      <c r="G7" s="116">
        <v>0.4</v>
      </c>
    </row>
  </sheetData>
  <mergeCells count="1">
    <mergeCell ref="C4:G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6E8E-7FFC-4F0C-AD6D-849A937B7F81}">
  <sheetPr>
    <tabColor rgb="FF00B050"/>
  </sheetPr>
  <dimension ref="B1:Y35"/>
  <sheetViews>
    <sheetView topLeftCell="A7" workbookViewId="0">
      <selection activeCell="P29" sqref="P29:Y29"/>
    </sheetView>
  </sheetViews>
  <sheetFormatPr defaultColWidth="9.28515625" defaultRowHeight="15" x14ac:dyDescent="0.25"/>
  <cols>
    <col min="1" max="1" width="9.28515625" style="1"/>
    <col min="2" max="2" width="78.7109375" style="1" customWidth="1"/>
    <col min="3" max="12" width="11.7109375" style="1" customWidth="1"/>
    <col min="13" max="13" width="14.28515625" style="1" bestFit="1" customWidth="1"/>
    <col min="14" max="15" width="9.28515625" style="1"/>
    <col min="16" max="25" width="16.140625" style="1" bestFit="1" customWidth="1"/>
    <col min="26" max="16384" width="9.28515625" style="1"/>
  </cols>
  <sheetData>
    <row r="1" spans="2:25" ht="15.75" thickBot="1" x14ac:dyDescent="0.3"/>
    <row r="2" spans="2:25" ht="15" customHeight="1" x14ac:dyDescent="0.25">
      <c r="B2" s="462" t="s">
        <v>164</v>
      </c>
      <c r="C2" s="463"/>
      <c r="D2" s="463"/>
      <c r="E2" s="463"/>
      <c r="F2" s="463"/>
      <c r="G2" s="463"/>
      <c r="H2" s="463"/>
      <c r="I2" s="463"/>
      <c r="J2" s="463"/>
      <c r="K2" s="463"/>
      <c r="L2" s="463"/>
      <c r="M2" s="464"/>
    </row>
    <row r="3" spans="2:25" ht="15" customHeight="1" thickBot="1" x14ac:dyDescent="0.3">
      <c r="B3" s="465"/>
      <c r="C3" s="466"/>
      <c r="D3" s="466"/>
      <c r="E3" s="466"/>
      <c r="F3" s="466"/>
      <c r="G3" s="466"/>
      <c r="H3" s="466"/>
      <c r="I3" s="466"/>
      <c r="J3" s="466"/>
      <c r="K3" s="466"/>
      <c r="L3" s="466"/>
      <c r="M3" s="467"/>
    </row>
    <row r="4" spans="2:25" ht="17.25" thickBot="1" x14ac:dyDescent="0.35">
      <c r="B4" s="2" t="s">
        <v>3</v>
      </c>
      <c r="C4" s="4">
        <v>2022</v>
      </c>
      <c r="D4" s="4">
        <v>2023</v>
      </c>
      <c r="E4" s="4">
        <v>2024</v>
      </c>
      <c r="F4" s="4">
        <v>2025</v>
      </c>
      <c r="G4" s="4">
        <v>2026</v>
      </c>
      <c r="H4" s="4">
        <v>2027</v>
      </c>
      <c r="I4" s="4">
        <v>2028</v>
      </c>
      <c r="J4" s="4">
        <v>2029</v>
      </c>
      <c r="K4" s="249">
        <v>2030</v>
      </c>
      <c r="L4" s="249">
        <v>2031</v>
      </c>
      <c r="M4" s="5" t="s">
        <v>4</v>
      </c>
    </row>
    <row r="5" spans="2:25" ht="16.5" x14ac:dyDescent="0.3">
      <c r="B5" s="245" t="s">
        <v>5</v>
      </c>
      <c r="C5" s="42">
        <f>P5/1000000</f>
        <v>9.2152790000000007</v>
      </c>
      <c r="D5" s="43">
        <f t="shared" ref="D5:L11" si="0">Q5/1000000</f>
        <v>19.872326999999999</v>
      </c>
      <c r="E5" s="43">
        <f t="shared" si="0"/>
        <v>30.810797999999998</v>
      </c>
      <c r="F5" s="43">
        <f t="shared" si="0"/>
        <v>42.163167000000001</v>
      </c>
      <c r="G5" s="43">
        <f t="shared" si="0"/>
        <v>53.873142000000001</v>
      </c>
      <c r="H5" s="43">
        <f t="shared" si="0"/>
        <v>65.435700999999995</v>
      </c>
      <c r="I5" s="43">
        <f t="shared" si="0"/>
        <v>76.789017000000001</v>
      </c>
      <c r="J5" s="43">
        <f t="shared" si="0"/>
        <v>87.933087</v>
      </c>
      <c r="K5" s="43">
        <f t="shared" si="0"/>
        <v>99.253747000000004</v>
      </c>
      <c r="L5" s="44">
        <f t="shared" si="0"/>
        <v>110.710668</v>
      </c>
      <c r="M5" s="52">
        <f>SUM(C5:L5)</f>
        <v>596.05693300000007</v>
      </c>
      <c r="P5" s="330">
        <v>9215279</v>
      </c>
      <c r="Q5" s="330">
        <v>19872327</v>
      </c>
      <c r="R5" s="330">
        <v>30810798</v>
      </c>
      <c r="S5" s="330">
        <v>42163167</v>
      </c>
      <c r="T5" s="330">
        <v>53873142</v>
      </c>
      <c r="U5" s="330">
        <v>65435701</v>
      </c>
      <c r="V5" s="330">
        <v>76789017</v>
      </c>
      <c r="W5" s="330">
        <v>87933087</v>
      </c>
      <c r="X5" s="330">
        <v>99253747</v>
      </c>
      <c r="Y5" s="330">
        <v>110710668</v>
      </c>
    </row>
    <row r="6" spans="2:25" ht="16.5" x14ac:dyDescent="0.3">
      <c r="B6" s="248" t="s">
        <v>6</v>
      </c>
      <c r="C6" s="45">
        <f t="shared" ref="C6:C11" si="1">P6/1000000</f>
        <v>2.8973012199999997</v>
      </c>
      <c r="D6" s="46">
        <f t="shared" si="0"/>
        <v>4.9892741400000009</v>
      </c>
      <c r="E6" s="46">
        <f t="shared" si="0"/>
        <v>6.7200101500000002</v>
      </c>
      <c r="F6" s="46">
        <f t="shared" si="0"/>
        <v>8.4330408200000004</v>
      </c>
      <c r="G6" s="46">
        <f t="shared" si="0"/>
        <v>10.26465999</v>
      </c>
      <c r="H6" s="46">
        <f t="shared" si="0"/>
        <v>12.035015590000002</v>
      </c>
      <c r="I6" s="46">
        <f t="shared" si="0"/>
        <v>13.710901380000001</v>
      </c>
      <c r="J6" s="46">
        <f t="shared" si="0"/>
        <v>15.350787309999999</v>
      </c>
      <c r="K6" s="46">
        <f t="shared" si="0"/>
        <v>16.333247619999998</v>
      </c>
      <c r="L6" s="47">
        <f t="shared" si="0"/>
        <v>16.279221719999999</v>
      </c>
      <c r="M6" s="53">
        <f t="shared" ref="M6:M27" si="2">SUM(C6:L6)</f>
        <v>107.01345993999999</v>
      </c>
      <c r="P6" s="330">
        <v>2897301.2199999997</v>
      </c>
      <c r="Q6" s="330">
        <v>4989274.1400000006</v>
      </c>
      <c r="R6" s="330">
        <v>6720010.1500000004</v>
      </c>
      <c r="S6" s="330">
        <v>8433040.8200000003</v>
      </c>
      <c r="T6" s="330">
        <v>10264659.99</v>
      </c>
      <c r="U6" s="330">
        <v>12035015.590000002</v>
      </c>
      <c r="V6" s="330">
        <v>13710901.380000001</v>
      </c>
      <c r="W6" s="330">
        <v>15350787.309999999</v>
      </c>
      <c r="X6" s="330">
        <v>16333247.619999999</v>
      </c>
      <c r="Y6" s="330">
        <v>16279221.720000001</v>
      </c>
    </row>
    <row r="7" spans="2:25" ht="16.5" customHeight="1" x14ac:dyDescent="0.3">
      <c r="B7" s="248" t="s">
        <v>258</v>
      </c>
      <c r="C7" s="45">
        <f t="shared" si="1"/>
        <v>0</v>
      </c>
      <c r="D7" s="46">
        <f t="shared" si="0"/>
        <v>1.5166000000000001E-2</v>
      </c>
      <c r="E7" s="46">
        <f t="shared" si="0"/>
        <v>0.15115999999999999</v>
      </c>
      <c r="F7" s="46">
        <f t="shared" si="0"/>
        <v>0.342337</v>
      </c>
      <c r="G7" s="46">
        <f t="shared" si="0"/>
        <v>0.536134</v>
      </c>
      <c r="H7" s="46">
        <f t="shared" si="0"/>
        <v>0.71531699999999998</v>
      </c>
      <c r="I7" s="46">
        <f t="shared" si="0"/>
        <v>0.92642000000000002</v>
      </c>
      <c r="J7" s="46">
        <f t="shared" si="0"/>
        <v>1.109181</v>
      </c>
      <c r="K7" s="46">
        <f t="shared" si="0"/>
        <v>1.338244</v>
      </c>
      <c r="L7" s="47">
        <f t="shared" si="0"/>
        <v>1.564443</v>
      </c>
      <c r="M7" s="53">
        <f t="shared" si="2"/>
        <v>6.6984019999999997</v>
      </c>
      <c r="P7" s="330">
        <v>0</v>
      </c>
      <c r="Q7" s="330">
        <v>15166</v>
      </c>
      <c r="R7" s="330">
        <v>151160</v>
      </c>
      <c r="S7" s="330">
        <v>342337</v>
      </c>
      <c r="T7" s="330">
        <v>536134</v>
      </c>
      <c r="U7" s="330">
        <v>715317</v>
      </c>
      <c r="V7" s="330">
        <v>926420</v>
      </c>
      <c r="W7" s="330">
        <v>1109181</v>
      </c>
      <c r="X7" s="330">
        <v>1338244</v>
      </c>
      <c r="Y7" s="330">
        <v>1564443</v>
      </c>
    </row>
    <row r="8" spans="2:25" ht="16.5" customHeight="1" x14ac:dyDescent="0.3">
      <c r="B8" s="248" t="s">
        <v>259</v>
      </c>
      <c r="C8" s="45">
        <f t="shared" si="1"/>
        <v>0</v>
      </c>
      <c r="D8" s="46">
        <f t="shared" si="0"/>
        <v>0</v>
      </c>
      <c r="E8" s="46">
        <f t="shared" si="0"/>
        <v>7.579292E-2</v>
      </c>
      <c r="F8" s="46">
        <f t="shared" si="0"/>
        <v>0.22562389999999999</v>
      </c>
      <c r="G8" s="46">
        <f t="shared" si="0"/>
        <v>0.39541111000000001</v>
      </c>
      <c r="H8" s="46">
        <f t="shared" si="0"/>
        <v>0.55228018999999995</v>
      </c>
      <c r="I8" s="46">
        <f t="shared" si="0"/>
        <v>0.73658648999999987</v>
      </c>
      <c r="J8" s="46">
        <f t="shared" si="0"/>
        <v>0.89667903999999998</v>
      </c>
      <c r="K8" s="46">
        <f t="shared" si="0"/>
        <v>1.0960760599999999</v>
      </c>
      <c r="L8" s="47">
        <f t="shared" si="0"/>
        <v>1.2935998100000003</v>
      </c>
      <c r="M8" s="53">
        <f t="shared" si="2"/>
        <v>5.2720495199999995</v>
      </c>
      <c r="P8" s="330">
        <v>0</v>
      </c>
      <c r="Q8" s="330">
        <v>0</v>
      </c>
      <c r="R8" s="330">
        <v>75792.92</v>
      </c>
      <c r="S8" s="330">
        <v>225623.9</v>
      </c>
      <c r="T8" s="330">
        <v>395411.11</v>
      </c>
      <c r="U8" s="330">
        <v>552280.18999999994</v>
      </c>
      <c r="V8" s="330">
        <v>736586.48999999987</v>
      </c>
      <c r="W8" s="330">
        <v>896679.04</v>
      </c>
      <c r="X8" s="330">
        <v>1096076.0599999998</v>
      </c>
      <c r="Y8" s="330">
        <v>1293599.8100000003</v>
      </c>
    </row>
    <row r="9" spans="2:25" ht="16.5" customHeight="1" x14ac:dyDescent="0.3">
      <c r="B9" s="248" t="s">
        <v>8</v>
      </c>
      <c r="C9" s="45">
        <f t="shared" si="1"/>
        <v>3.309447</v>
      </c>
      <c r="D9" s="46">
        <f t="shared" si="0"/>
        <v>7.3633569999999997</v>
      </c>
      <c r="E9" s="46">
        <f t="shared" si="0"/>
        <v>10.609753</v>
      </c>
      <c r="F9" s="46">
        <f t="shared" si="0"/>
        <v>13.820986</v>
      </c>
      <c r="G9" s="46">
        <f t="shared" si="0"/>
        <v>17.374846000000002</v>
      </c>
      <c r="H9" s="46">
        <f t="shared" si="0"/>
        <v>20.83614</v>
      </c>
      <c r="I9" s="46">
        <f t="shared" si="0"/>
        <v>24.205164</v>
      </c>
      <c r="J9" s="46">
        <f t="shared" si="0"/>
        <v>27.481394999999999</v>
      </c>
      <c r="K9" s="46">
        <f t="shared" si="0"/>
        <v>30.926849000000001</v>
      </c>
      <c r="L9" s="47">
        <f t="shared" si="0"/>
        <v>34.687306</v>
      </c>
      <c r="M9" s="53">
        <f t="shared" si="2"/>
        <v>190.61524299999999</v>
      </c>
      <c r="P9" s="330">
        <v>3309447</v>
      </c>
      <c r="Q9" s="330">
        <v>7363357</v>
      </c>
      <c r="R9" s="330">
        <v>10609753</v>
      </c>
      <c r="S9" s="330">
        <v>13820986</v>
      </c>
      <c r="T9" s="330">
        <v>17374846</v>
      </c>
      <c r="U9" s="330">
        <v>20836140</v>
      </c>
      <c r="V9" s="330">
        <v>24205164</v>
      </c>
      <c r="W9" s="330">
        <v>27481395</v>
      </c>
      <c r="X9" s="330">
        <v>30926849</v>
      </c>
      <c r="Y9" s="330">
        <v>34687306</v>
      </c>
    </row>
    <row r="10" spans="2:25" ht="16.5" customHeight="1" x14ac:dyDescent="0.3">
      <c r="B10" s="248" t="s">
        <v>10</v>
      </c>
      <c r="C10" s="45">
        <f t="shared" si="1"/>
        <v>0.15437013000000002</v>
      </c>
      <c r="D10" s="46">
        <f t="shared" si="0"/>
        <v>0.41887051000000003</v>
      </c>
      <c r="E10" s="46">
        <f t="shared" si="0"/>
        <v>0.71322873999999992</v>
      </c>
      <c r="F10" s="46">
        <f t="shared" si="0"/>
        <v>1.03480879</v>
      </c>
      <c r="G10" s="46">
        <f t="shared" si="0"/>
        <v>1.3874373900000001</v>
      </c>
      <c r="H10" s="46">
        <f t="shared" si="0"/>
        <v>1.7297009699999999</v>
      </c>
      <c r="I10" s="46">
        <f t="shared" si="0"/>
        <v>2.0513332200000001</v>
      </c>
      <c r="J10" s="46">
        <f t="shared" si="0"/>
        <v>2.3424334899999999</v>
      </c>
      <c r="K10" s="46">
        <f t="shared" si="0"/>
        <v>2.5795096900000001</v>
      </c>
      <c r="L10" s="47">
        <f t="shared" si="0"/>
        <v>2.8559313900000003</v>
      </c>
      <c r="M10" s="53">
        <f t="shared" si="2"/>
        <v>15.267624320000001</v>
      </c>
      <c r="P10" s="330">
        <v>154370.13000000003</v>
      </c>
      <c r="Q10" s="330">
        <v>418870.51</v>
      </c>
      <c r="R10" s="330">
        <v>713228.73999999987</v>
      </c>
      <c r="S10" s="330">
        <v>1034808.79</v>
      </c>
      <c r="T10" s="330">
        <v>1387437.3900000001</v>
      </c>
      <c r="U10" s="330">
        <v>1729700.97</v>
      </c>
      <c r="V10" s="330">
        <v>2051333.22</v>
      </c>
      <c r="W10" s="330">
        <v>2342433.4899999998</v>
      </c>
      <c r="X10" s="330">
        <v>2579509.69</v>
      </c>
      <c r="Y10" s="330">
        <v>2855931.39</v>
      </c>
    </row>
    <row r="11" spans="2:25" ht="17.25" thickBot="1" x14ac:dyDescent="0.35">
      <c r="B11" s="244" t="s">
        <v>11</v>
      </c>
      <c r="C11" s="34">
        <f t="shared" si="1"/>
        <v>1.5904849999999999</v>
      </c>
      <c r="D11" s="19">
        <f t="shared" si="0"/>
        <v>3.1366960000000002</v>
      </c>
      <c r="E11" s="19">
        <f t="shared" si="0"/>
        <v>4.6937350000000002</v>
      </c>
      <c r="F11" s="19">
        <f t="shared" si="0"/>
        <v>6.2619389999999999</v>
      </c>
      <c r="G11" s="19">
        <f t="shared" si="0"/>
        <v>7.5733470000000001</v>
      </c>
      <c r="H11" s="19">
        <f t="shared" si="0"/>
        <v>8.5272900000000007</v>
      </c>
      <c r="I11" s="19">
        <f t="shared" si="0"/>
        <v>9.4773910000000008</v>
      </c>
      <c r="J11" s="19">
        <f t="shared" si="0"/>
        <v>10.423579999999999</v>
      </c>
      <c r="K11" s="19">
        <f t="shared" si="0"/>
        <v>11.445970000000001</v>
      </c>
      <c r="L11" s="36">
        <f t="shared" si="0"/>
        <v>12.568428000000001</v>
      </c>
      <c r="M11" s="54">
        <f t="shared" si="2"/>
        <v>75.698861000000008</v>
      </c>
      <c r="P11" s="330">
        <v>1590485</v>
      </c>
      <c r="Q11" s="330">
        <v>3136696</v>
      </c>
      <c r="R11" s="330">
        <v>4693735</v>
      </c>
      <c r="S11" s="330">
        <v>6261939</v>
      </c>
      <c r="T11" s="330">
        <v>7573347</v>
      </c>
      <c r="U11" s="330">
        <v>8527290</v>
      </c>
      <c r="V11" s="330">
        <v>9477391</v>
      </c>
      <c r="W11" s="330">
        <v>10423580</v>
      </c>
      <c r="X11" s="330">
        <v>11445970</v>
      </c>
      <c r="Y11" s="330">
        <v>12568428</v>
      </c>
    </row>
    <row r="12" spans="2:25" ht="17.25" thickBot="1" x14ac:dyDescent="0.35">
      <c r="B12" s="2" t="s">
        <v>12</v>
      </c>
      <c r="C12" s="325">
        <v>2022</v>
      </c>
      <c r="D12" s="323">
        <v>2023</v>
      </c>
      <c r="E12" s="323">
        <v>2024</v>
      </c>
      <c r="F12" s="323">
        <v>2025</v>
      </c>
      <c r="G12" s="323">
        <v>2026</v>
      </c>
      <c r="H12" s="323">
        <v>2027</v>
      </c>
      <c r="I12" s="323">
        <v>2028</v>
      </c>
      <c r="J12" s="323">
        <v>2029</v>
      </c>
      <c r="K12" s="306">
        <v>2030</v>
      </c>
      <c r="L12" s="327">
        <v>2031</v>
      </c>
      <c r="M12" s="252" t="s">
        <v>4</v>
      </c>
      <c r="P12" s="262"/>
      <c r="Q12" s="262"/>
      <c r="R12" s="262"/>
      <c r="S12" s="262"/>
      <c r="T12" s="262"/>
      <c r="U12" s="262"/>
      <c r="V12" s="262"/>
      <c r="W12" s="262"/>
      <c r="X12" s="262"/>
      <c r="Y12" s="262"/>
    </row>
    <row r="13" spans="2:25" ht="16.5" customHeight="1" x14ac:dyDescent="0.3">
      <c r="B13" s="245" t="s">
        <v>5</v>
      </c>
      <c r="C13" s="75">
        <f>P13/1000000</f>
        <v>0.18071580937510187</v>
      </c>
      <c r="D13" s="250">
        <f t="shared" ref="D13:D15" si="3">Q13/1000000</f>
        <v>0.17618653398168838</v>
      </c>
      <c r="E13" s="250">
        <f t="shared" ref="E13:E15" si="4">R13/1000000</f>
        <v>0.18102584295000146</v>
      </c>
      <c r="F13" s="250">
        <f t="shared" ref="F13:F15" si="5">S13/1000000</f>
        <v>0.1479373168270306</v>
      </c>
      <c r="G13" s="250">
        <f t="shared" ref="G13:G15" si="6">T13/1000000</f>
        <v>0.19071886991544681</v>
      </c>
      <c r="H13" s="250">
        <f t="shared" ref="H13:H15" si="7">U13/1000000</f>
        <v>0.195569104026378</v>
      </c>
      <c r="I13" s="250">
        <f t="shared" ref="I13:I15" si="8">V13/1000000</f>
        <v>0.20041937601286142</v>
      </c>
      <c r="J13" s="250">
        <f t="shared" ref="J13:J15" si="9">W13/1000000</f>
        <v>0.20526776354075563</v>
      </c>
      <c r="K13" s="250">
        <f t="shared" ref="K13:K15" si="10">X13/1000000</f>
        <v>0.21011226084042689</v>
      </c>
      <c r="L13" s="321">
        <f t="shared" ref="L13:L15" si="11">Y13/1000000</f>
        <v>0.33041563954134101</v>
      </c>
      <c r="M13" s="295">
        <f t="shared" si="2"/>
        <v>2.0183685170110319</v>
      </c>
      <c r="P13" s="331">
        <v>180715.80937510188</v>
      </c>
      <c r="Q13" s="331">
        <v>176186.53398168838</v>
      </c>
      <c r="R13" s="331">
        <v>181025.84295000145</v>
      </c>
      <c r="S13" s="331">
        <v>147937.31682703059</v>
      </c>
      <c r="T13" s="331">
        <v>190718.86991544682</v>
      </c>
      <c r="U13" s="331">
        <v>195569.10402637802</v>
      </c>
      <c r="V13" s="331">
        <v>200419.37601286141</v>
      </c>
      <c r="W13" s="331">
        <v>205267.76354075564</v>
      </c>
      <c r="X13" s="331">
        <v>210112.2608404269</v>
      </c>
      <c r="Y13" s="331">
        <v>330415.63954134099</v>
      </c>
    </row>
    <row r="14" spans="2:25" ht="16.5" customHeight="1" x14ac:dyDescent="0.3">
      <c r="B14" s="248" t="s">
        <v>13</v>
      </c>
      <c r="C14" s="240">
        <f t="shared" ref="C14" si="12">P14/1000000</f>
        <v>21.160688</v>
      </c>
      <c r="D14" s="247">
        <f t="shared" si="3"/>
        <v>24.001407620248003</v>
      </c>
      <c r="E14" s="247">
        <f t="shared" si="4"/>
        <v>24.223435772652962</v>
      </c>
      <c r="F14" s="247">
        <f t="shared" si="5"/>
        <v>25.645904488106019</v>
      </c>
      <c r="G14" s="247">
        <f t="shared" si="6"/>
        <v>26.768822577868139</v>
      </c>
      <c r="H14" s="247">
        <f t="shared" si="7"/>
        <v>27.992199029425503</v>
      </c>
      <c r="I14" s="247">
        <f t="shared" si="8"/>
        <v>29.516043010014013</v>
      </c>
      <c r="J14" s="247">
        <f t="shared" si="9"/>
        <v>30.940363870214295</v>
      </c>
      <c r="K14" s="247">
        <f t="shared" si="10"/>
        <v>32.502382063725008</v>
      </c>
      <c r="L14" s="304">
        <f t="shared" si="11"/>
        <v>34.267501166911259</v>
      </c>
      <c r="M14" s="296">
        <f t="shared" si="2"/>
        <v>277.01874759916518</v>
      </c>
      <c r="P14" s="331">
        <v>21160688</v>
      </c>
      <c r="Q14" s="331">
        <v>24001407.620248001</v>
      </c>
      <c r="R14" s="331">
        <v>24223435.772652961</v>
      </c>
      <c r="S14" s="331">
        <v>25645904.48810602</v>
      </c>
      <c r="T14" s="331">
        <v>26768822.577868138</v>
      </c>
      <c r="U14" s="331">
        <v>27992199.029425502</v>
      </c>
      <c r="V14" s="331">
        <v>29516043.010014012</v>
      </c>
      <c r="W14" s="331">
        <v>30940363.870214295</v>
      </c>
      <c r="X14" s="331">
        <v>32502382.06372501</v>
      </c>
      <c r="Y14" s="331">
        <v>34267501.166911259</v>
      </c>
    </row>
    <row r="15" spans="2:25" ht="16.5" customHeight="1" x14ac:dyDescent="0.3">
      <c r="B15" s="259" t="s">
        <v>14</v>
      </c>
      <c r="C15" s="29">
        <f>P15/1000000</f>
        <v>1.4</v>
      </c>
      <c r="D15" s="30">
        <f t="shared" si="3"/>
        <v>1.4</v>
      </c>
      <c r="E15" s="30">
        <f t="shared" si="4"/>
        <v>1.4</v>
      </c>
      <c r="F15" s="30">
        <f t="shared" si="5"/>
        <v>1.3</v>
      </c>
      <c r="G15" s="30">
        <f t="shared" si="6"/>
        <v>1.3</v>
      </c>
      <c r="H15" s="30">
        <f t="shared" si="7"/>
        <v>1.3</v>
      </c>
      <c r="I15" s="30">
        <f t="shared" si="8"/>
        <v>1.4</v>
      </c>
      <c r="J15" s="30">
        <f t="shared" si="9"/>
        <v>1.4</v>
      </c>
      <c r="K15" s="30">
        <f t="shared" si="10"/>
        <v>1.3</v>
      </c>
      <c r="L15" s="307">
        <f t="shared" si="11"/>
        <v>1.3</v>
      </c>
      <c r="M15" s="329">
        <f t="shared" si="2"/>
        <v>13.500000000000002</v>
      </c>
      <c r="P15" s="331">
        <v>1400000</v>
      </c>
      <c r="Q15" s="331">
        <v>1400000</v>
      </c>
      <c r="R15" s="331">
        <v>1400000</v>
      </c>
      <c r="S15" s="331">
        <v>1300000</v>
      </c>
      <c r="T15" s="331">
        <v>1300000</v>
      </c>
      <c r="U15" s="331">
        <v>1300000</v>
      </c>
      <c r="V15" s="331">
        <v>1400000</v>
      </c>
      <c r="W15" s="331">
        <v>1400000</v>
      </c>
      <c r="X15" s="331">
        <v>1300000</v>
      </c>
      <c r="Y15" s="331">
        <v>1300000</v>
      </c>
    </row>
    <row r="16" spans="2:25" ht="16.5" customHeight="1" x14ac:dyDescent="0.3">
      <c r="B16" s="248" t="s">
        <v>15</v>
      </c>
      <c r="C16" s="240">
        <f>P16/1000000</f>
        <v>3.3684092041054505</v>
      </c>
      <c r="D16" s="247">
        <f t="shared" ref="D16:L17" si="13">Q16/1000000</f>
        <v>3.4136552532113442</v>
      </c>
      <c r="E16" s="247">
        <f t="shared" si="13"/>
        <v>2.8301703261199656</v>
      </c>
      <c r="F16" s="247">
        <f t="shared" si="13"/>
        <v>2.9189067566741902</v>
      </c>
      <c r="G16" s="247">
        <f t="shared" si="13"/>
        <v>3.0090579115040001</v>
      </c>
      <c r="H16" s="247">
        <f t="shared" si="13"/>
        <v>3.0792033260588072</v>
      </c>
      <c r="I16" s="247">
        <f t="shared" si="13"/>
        <v>3.1510007553128272</v>
      </c>
      <c r="J16" s="247">
        <f t="shared" si="13"/>
        <v>3.2244894672202502</v>
      </c>
      <c r="K16" s="247">
        <f t="shared" si="13"/>
        <v>3.3857139405812622</v>
      </c>
      <c r="L16" s="304">
        <f t="shared" si="13"/>
        <v>3.5549996376103259</v>
      </c>
      <c r="M16" s="296">
        <f t="shared" si="2"/>
        <v>31.935606578398424</v>
      </c>
      <c r="P16" s="331">
        <v>3368409.2041054503</v>
      </c>
      <c r="Q16" s="331">
        <v>3413655.2532113441</v>
      </c>
      <c r="R16" s="331">
        <v>2830170.3261199654</v>
      </c>
      <c r="S16" s="331">
        <v>2918906.7566741901</v>
      </c>
      <c r="T16" s="331">
        <v>3009057.911504</v>
      </c>
      <c r="U16" s="331">
        <v>3079203.3260588073</v>
      </c>
      <c r="V16" s="331">
        <v>3151000.7553128274</v>
      </c>
      <c r="W16" s="331">
        <v>3224489.4672202501</v>
      </c>
      <c r="X16" s="331">
        <v>3385713.9405812621</v>
      </c>
      <c r="Y16" s="331">
        <v>3554999.6376103261</v>
      </c>
    </row>
    <row r="17" spans="2:25" ht="16.5" customHeight="1" x14ac:dyDescent="0.3">
      <c r="B17" s="259" t="s">
        <v>16</v>
      </c>
      <c r="C17" s="29">
        <f t="shared" ref="C17" si="14">P17/1000000</f>
        <v>0</v>
      </c>
      <c r="D17" s="30">
        <f t="shared" si="13"/>
        <v>0</v>
      </c>
      <c r="E17" s="30">
        <f t="shared" si="13"/>
        <v>0</v>
      </c>
      <c r="F17" s="30">
        <f t="shared" si="13"/>
        <v>0</v>
      </c>
      <c r="G17" s="30">
        <f t="shared" si="13"/>
        <v>0</v>
      </c>
      <c r="H17" s="30">
        <f t="shared" si="13"/>
        <v>0</v>
      </c>
      <c r="I17" s="30">
        <f t="shared" si="13"/>
        <v>0</v>
      </c>
      <c r="J17" s="30">
        <f t="shared" si="13"/>
        <v>0</v>
      </c>
      <c r="K17" s="30">
        <f t="shared" si="13"/>
        <v>0</v>
      </c>
      <c r="L17" s="307">
        <f t="shared" si="13"/>
        <v>0</v>
      </c>
      <c r="M17" s="329">
        <f t="shared" si="2"/>
        <v>0</v>
      </c>
      <c r="P17" s="331">
        <v>0</v>
      </c>
      <c r="Q17" s="331">
        <v>0</v>
      </c>
      <c r="R17" s="331">
        <v>0</v>
      </c>
      <c r="S17" s="331">
        <v>0</v>
      </c>
      <c r="T17" s="331">
        <v>0</v>
      </c>
      <c r="U17" s="331">
        <v>0</v>
      </c>
      <c r="V17" s="331">
        <v>0</v>
      </c>
      <c r="W17" s="331">
        <v>0</v>
      </c>
      <c r="X17" s="331">
        <v>0</v>
      </c>
      <c r="Y17" s="331">
        <v>0</v>
      </c>
    </row>
    <row r="18" spans="2:25" ht="16.5" customHeight="1" x14ac:dyDescent="0.3">
      <c r="B18" s="248" t="s">
        <v>6</v>
      </c>
      <c r="C18" s="240">
        <f t="shared" ref="C18:L27" si="15">P18/1000000</f>
        <v>0.46097317352030315</v>
      </c>
      <c r="D18" s="247">
        <f t="shared" si="15"/>
        <v>0.48852105604114898</v>
      </c>
      <c r="E18" s="247">
        <f t="shared" si="15"/>
        <v>0.49829147716197186</v>
      </c>
      <c r="F18" s="247">
        <f t="shared" si="15"/>
        <v>0.50825730670521141</v>
      </c>
      <c r="G18" s="247">
        <f t="shared" si="15"/>
        <v>0.51842245283931565</v>
      </c>
      <c r="H18" s="247">
        <f t="shared" si="15"/>
        <v>0.52879090189610189</v>
      </c>
      <c r="I18" s="247">
        <f t="shared" si="15"/>
        <v>0.53936671993402407</v>
      </c>
      <c r="J18" s="247">
        <f t="shared" si="15"/>
        <v>0.55015405433270448</v>
      </c>
      <c r="K18" s="247">
        <f t="shared" si="15"/>
        <v>0.56115713541935874</v>
      </c>
      <c r="L18" s="304">
        <f t="shared" si="15"/>
        <v>0.57238027812774583</v>
      </c>
      <c r="M18" s="296">
        <f t="shared" si="2"/>
        <v>5.2263145559778854</v>
      </c>
      <c r="P18" s="331">
        <v>460973.17352030316</v>
      </c>
      <c r="Q18" s="331">
        <v>488521.05604114896</v>
      </c>
      <c r="R18" s="331">
        <v>498291.47716197185</v>
      </c>
      <c r="S18" s="331">
        <v>508257.30670521141</v>
      </c>
      <c r="T18" s="331">
        <v>518422.45283931564</v>
      </c>
      <c r="U18" s="331">
        <v>528790.90189610189</v>
      </c>
      <c r="V18" s="331">
        <v>539366.71993402403</v>
      </c>
      <c r="W18" s="331">
        <v>550154.05433270452</v>
      </c>
      <c r="X18" s="331">
        <v>561157.13541935873</v>
      </c>
      <c r="Y18" s="331">
        <v>572380.27812774584</v>
      </c>
    </row>
    <row r="19" spans="2:25" ht="16.5" customHeight="1" x14ac:dyDescent="0.3">
      <c r="B19" s="248" t="s">
        <v>258</v>
      </c>
      <c r="C19" s="240">
        <f t="shared" si="15"/>
        <v>0</v>
      </c>
      <c r="D19" s="247">
        <f t="shared" si="15"/>
        <v>0</v>
      </c>
      <c r="E19" s="247">
        <f t="shared" si="15"/>
        <v>0</v>
      </c>
      <c r="F19" s="247">
        <f t="shared" si="15"/>
        <v>0</v>
      </c>
      <c r="G19" s="247">
        <f t="shared" si="15"/>
        <v>0</v>
      </c>
      <c r="H19" s="247">
        <f t="shared" si="15"/>
        <v>0</v>
      </c>
      <c r="I19" s="247">
        <f t="shared" si="15"/>
        <v>0</v>
      </c>
      <c r="J19" s="247">
        <f t="shared" si="15"/>
        <v>0</v>
      </c>
      <c r="K19" s="247">
        <f t="shared" si="15"/>
        <v>0</v>
      </c>
      <c r="L19" s="304">
        <f t="shared" si="15"/>
        <v>0</v>
      </c>
      <c r="M19" s="296">
        <f t="shared" si="2"/>
        <v>0</v>
      </c>
      <c r="P19" s="331">
        <v>0</v>
      </c>
      <c r="Q19" s="331">
        <v>0</v>
      </c>
      <c r="R19" s="331">
        <v>0</v>
      </c>
      <c r="S19" s="331">
        <v>0</v>
      </c>
      <c r="T19" s="331">
        <v>0</v>
      </c>
      <c r="U19" s="331">
        <v>0</v>
      </c>
      <c r="V19" s="331">
        <v>0</v>
      </c>
      <c r="W19" s="331">
        <v>0</v>
      </c>
      <c r="X19" s="331">
        <v>0</v>
      </c>
      <c r="Y19" s="331">
        <v>0</v>
      </c>
    </row>
    <row r="20" spans="2:25" ht="16.5" customHeight="1" x14ac:dyDescent="0.3">
      <c r="B20" s="248" t="s">
        <v>259</v>
      </c>
      <c r="C20" s="240">
        <f t="shared" si="15"/>
        <v>0</v>
      </c>
      <c r="D20" s="247">
        <f t="shared" si="15"/>
        <v>0</v>
      </c>
      <c r="E20" s="247">
        <f t="shared" si="15"/>
        <v>0</v>
      </c>
      <c r="F20" s="247">
        <f t="shared" si="15"/>
        <v>0</v>
      </c>
      <c r="G20" s="247">
        <f t="shared" si="15"/>
        <v>0</v>
      </c>
      <c r="H20" s="247">
        <f t="shared" si="15"/>
        <v>0</v>
      </c>
      <c r="I20" s="247">
        <f t="shared" si="15"/>
        <v>0</v>
      </c>
      <c r="J20" s="247">
        <f t="shared" si="15"/>
        <v>0</v>
      </c>
      <c r="K20" s="247">
        <f t="shared" si="15"/>
        <v>0</v>
      </c>
      <c r="L20" s="304">
        <f t="shared" si="15"/>
        <v>0</v>
      </c>
      <c r="M20" s="296">
        <f t="shared" si="2"/>
        <v>0</v>
      </c>
      <c r="P20" s="331">
        <v>0</v>
      </c>
      <c r="Q20" s="331">
        <v>0</v>
      </c>
      <c r="R20" s="331">
        <v>0</v>
      </c>
      <c r="S20" s="331">
        <v>0</v>
      </c>
      <c r="T20" s="331">
        <v>0</v>
      </c>
      <c r="U20" s="331">
        <v>0</v>
      </c>
      <c r="V20" s="331">
        <v>0</v>
      </c>
      <c r="W20" s="331">
        <v>0</v>
      </c>
      <c r="X20" s="331">
        <v>0</v>
      </c>
      <c r="Y20" s="331">
        <v>0</v>
      </c>
    </row>
    <row r="21" spans="2:25" ht="16.5" customHeight="1" x14ac:dyDescent="0.3">
      <c r="B21" s="248" t="s">
        <v>8</v>
      </c>
      <c r="C21" s="240">
        <f t="shared" si="15"/>
        <v>0.55685314782499995</v>
      </c>
      <c r="D21" s="247">
        <f t="shared" si="15"/>
        <v>0.61865400000000004</v>
      </c>
      <c r="E21" s="247">
        <f t="shared" si="15"/>
        <v>0.67030008000000008</v>
      </c>
      <c r="F21" s="247">
        <f t="shared" si="15"/>
        <v>0.7201830816</v>
      </c>
      <c r="G21" s="247">
        <f t="shared" si="15"/>
        <v>0.77030774323200002</v>
      </c>
      <c r="H21" s="247">
        <f t="shared" si="15"/>
        <v>0.82067889809663996</v>
      </c>
      <c r="I21" s="247">
        <f t="shared" si="15"/>
        <v>0.87130147605857289</v>
      </c>
      <c r="J21" s="247">
        <f t="shared" si="15"/>
        <v>0.91818050557974396</v>
      </c>
      <c r="K21" s="247">
        <f t="shared" si="15"/>
        <v>0.97332111569133906</v>
      </c>
      <c r="L21" s="304">
        <f t="shared" si="15"/>
        <v>1.0247285380051658</v>
      </c>
      <c r="M21" s="296">
        <f t="shared" si="2"/>
        <v>7.9445085860884603</v>
      </c>
      <c r="P21" s="331">
        <v>556853.14782499999</v>
      </c>
      <c r="Q21" s="331">
        <v>618654</v>
      </c>
      <c r="R21" s="331">
        <v>670300.08000000007</v>
      </c>
      <c r="S21" s="331">
        <v>720183.08160000003</v>
      </c>
      <c r="T21" s="331">
        <v>770307.74323200004</v>
      </c>
      <c r="U21" s="331">
        <v>820678.89809664001</v>
      </c>
      <c r="V21" s="331">
        <v>871301.47605857288</v>
      </c>
      <c r="W21" s="331">
        <v>918180.505579744</v>
      </c>
      <c r="X21" s="331">
        <v>973321.11569133902</v>
      </c>
      <c r="Y21" s="331">
        <v>1024728.5380051659</v>
      </c>
    </row>
    <row r="22" spans="2:25" ht="16.5" customHeight="1" x14ac:dyDescent="0.3">
      <c r="B22" s="248" t="s">
        <v>10</v>
      </c>
      <c r="C22" s="240">
        <f t="shared" si="15"/>
        <v>0</v>
      </c>
      <c r="D22" s="247">
        <f t="shared" si="15"/>
        <v>0</v>
      </c>
      <c r="E22" s="247">
        <f t="shared" si="15"/>
        <v>0</v>
      </c>
      <c r="F22" s="247">
        <f t="shared" si="15"/>
        <v>0</v>
      </c>
      <c r="G22" s="247">
        <f t="shared" si="15"/>
        <v>0</v>
      </c>
      <c r="H22" s="247">
        <f t="shared" si="15"/>
        <v>0</v>
      </c>
      <c r="I22" s="247">
        <f t="shared" si="15"/>
        <v>0</v>
      </c>
      <c r="J22" s="247">
        <f t="shared" si="15"/>
        <v>0</v>
      </c>
      <c r="K22" s="247">
        <f t="shared" si="15"/>
        <v>0</v>
      </c>
      <c r="L22" s="304">
        <f t="shared" si="15"/>
        <v>0</v>
      </c>
      <c r="M22" s="296">
        <f t="shared" si="2"/>
        <v>0</v>
      </c>
      <c r="P22" s="331">
        <v>0</v>
      </c>
      <c r="Q22" s="331">
        <v>0</v>
      </c>
      <c r="R22" s="331">
        <v>0</v>
      </c>
      <c r="S22" s="331">
        <v>0</v>
      </c>
      <c r="T22" s="331">
        <v>0</v>
      </c>
      <c r="U22" s="331">
        <v>0</v>
      </c>
      <c r="V22" s="331">
        <v>0</v>
      </c>
      <c r="W22" s="331">
        <v>0</v>
      </c>
      <c r="X22" s="331">
        <v>0</v>
      </c>
      <c r="Y22" s="331">
        <v>0</v>
      </c>
    </row>
    <row r="23" spans="2:25" ht="16.5" customHeight="1" x14ac:dyDescent="0.3">
      <c r="B23" s="248" t="s">
        <v>17</v>
      </c>
      <c r="C23" s="240">
        <f t="shared" si="15"/>
        <v>1.02</v>
      </c>
      <c r="D23" s="247">
        <f t="shared" si="15"/>
        <v>1.0403579999999999</v>
      </c>
      <c r="E23" s="247">
        <f t="shared" si="15"/>
        <v>1.0611651599999998</v>
      </c>
      <c r="F23" s="247">
        <f t="shared" si="15"/>
        <v>1.0823884631999998</v>
      </c>
      <c r="G23" s="247">
        <f t="shared" si="15"/>
        <v>1.1040362324639998</v>
      </c>
      <c r="H23" s="247">
        <f t="shared" si="15"/>
        <v>1.1261169571132799</v>
      </c>
      <c r="I23" s="247">
        <f t="shared" si="15"/>
        <v>1.1486392962555454</v>
      </c>
      <c r="J23" s="247">
        <f t="shared" si="15"/>
        <v>1.1716120821806566</v>
      </c>
      <c r="K23" s="247">
        <f t="shared" si="15"/>
        <v>1.1950443238242696</v>
      </c>
      <c r="L23" s="304">
        <f t="shared" si="15"/>
        <v>1.218945210300755</v>
      </c>
      <c r="M23" s="296">
        <f t="shared" si="2"/>
        <v>11.168305725338506</v>
      </c>
      <c r="P23" s="331">
        <v>1020000</v>
      </c>
      <c r="Q23" s="331">
        <v>1040357.9999999999</v>
      </c>
      <c r="R23" s="331">
        <v>1061165.1599999999</v>
      </c>
      <c r="S23" s="331">
        <v>1082388.4631999999</v>
      </c>
      <c r="T23" s="331">
        <v>1104036.2324639999</v>
      </c>
      <c r="U23" s="331">
        <v>1126116.95711328</v>
      </c>
      <c r="V23" s="331">
        <v>1148639.2962555455</v>
      </c>
      <c r="W23" s="331">
        <v>1171612.0821806565</v>
      </c>
      <c r="X23" s="331">
        <v>1195044.3238242697</v>
      </c>
      <c r="Y23" s="331">
        <v>1218945.210300755</v>
      </c>
    </row>
    <row r="24" spans="2:25" ht="16.5" customHeight="1" x14ac:dyDescent="0.3">
      <c r="B24" s="248" t="s">
        <v>18</v>
      </c>
      <c r="C24" s="240">
        <f t="shared" si="15"/>
        <v>0.54360192054285017</v>
      </c>
      <c r="D24" s="247">
        <f t="shared" si="15"/>
        <v>0.50691866317622114</v>
      </c>
      <c r="E24" s="247">
        <f t="shared" si="15"/>
        <v>0.51705703643974543</v>
      </c>
      <c r="F24" s="247">
        <f t="shared" si="15"/>
        <v>0.52739817716854043</v>
      </c>
      <c r="G24" s="247">
        <f t="shared" si="15"/>
        <v>0.53794614071191127</v>
      </c>
      <c r="H24" s="247">
        <f t="shared" si="15"/>
        <v>0.54870506352614934</v>
      </c>
      <c r="I24" s="247">
        <f t="shared" si="15"/>
        <v>0.55967916479667257</v>
      </c>
      <c r="J24" s="247">
        <f t="shared" si="15"/>
        <v>0.57087274809260602</v>
      </c>
      <c r="K24" s="247">
        <f t="shared" si="15"/>
        <v>0.582290203054458</v>
      </c>
      <c r="L24" s="304">
        <f t="shared" si="15"/>
        <v>0.59393600711554717</v>
      </c>
      <c r="M24" s="296">
        <f t="shared" si="2"/>
        <v>5.4884051246247019</v>
      </c>
      <c r="P24" s="331">
        <v>543601.92054285016</v>
      </c>
      <c r="Q24" s="331">
        <v>506918.66317622113</v>
      </c>
      <c r="R24" s="331">
        <v>517057.0364397454</v>
      </c>
      <c r="S24" s="331">
        <v>527398.17716854042</v>
      </c>
      <c r="T24" s="331">
        <v>537946.14071191126</v>
      </c>
      <c r="U24" s="331">
        <v>548705.06352614937</v>
      </c>
      <c r="V24" s="331">
        <v>559679.16479667253</v>
      </c>
      <c r="W24" s="331">
        <v>570872.74809260597</v>
      </c>
      <c r="X24" s="331">
        <v>582290.20305445802</v>
      </c>
      <c r="Y24" s="331">
        <v>593936.0071155472</v>
      </c>
    </row>
    <row r="25" spans="2:25" ht="16.5" customHeight="1" x14ac:dyDescent="0.3">
      <c r="B25" s="248" t="s">
        <v>19</v>
      </c>
      <c r="C25" s="240">
        <f t="shared" si="15"/>
        <v>0.92430000000000001</v>
      </c>
      <c r="D25" s="247">
        <f t="shared" si="15"/>
        <v>0.86629999999999996</v>
      </c>
      <c r="E25" s="247">
        <f t="shared" si="15"/>
        <v>0.88362600000000002</v>
      </c>
      <c r="F25" s="247">
        <f t="shared" si="15"/>
        <v>0.90129851999999999</v>
      </c>
      <c r="G25" s="247">
        <f t="shared" si="15"/>
        <v>0.91932449039999997</v>
      </c>
      <c r="H25" s="247">
        <f t="shared" si="15"/>
        <v>0.93771098020800003</v>
      </c>
      <c r="I25" s="247">
        <f t="shared" si="15"/>
        <v>0.95646519981216016</v>
      </c>
      <c r="J25" s="247">
        <f t="shared" si="15"/>
        <v>0.97559450380840329</v>
      </c>
      <c r="K25" s="247">
        <f t="shared" si="15"/>
        <v>0.99510639388457134</v>
      </c>
      <c r="L25" s="304">
        <f t="shared" si="15"/>
        <v>1.0150085217622629</v>
      </c>
      <c r="M25" s="296">
        <f t="shared" si="2"/>
        <v>9.3747346098753983</v>
      </c>
      <c r="P25" s="331">
        <v>924300</v>
      </c>
      <c r="Q25" s="331">
        <v>866300</v>
      </c>
      <c r="R25" s="331">
        <v>883626</v>
      </c>
      <c r="S25" s="331">
        <v>901298.52</v>
      </c>
      <c r="T25" s="331">
        <v>919324.49040000001</v>
      </c>
      <c r="U25" s="331">
        <v>937710.98020800005</v>
      </c>
      <c r="V25" s="331">
        <v>956465.19981216011</v>
      </c>
      <c r="W25" s="331">
        <v>975594.50380840327</v>
      </c>
      <c r="X25" s="331">
        <v>995106.39388457139</v>
      </c>
      <c r="Y25" s="331">
        <v>1015008.5217622629</v>
      </c>
    </row>
    <row r="26" spans="2:25" ht="16.5" customHeight="1" x14ac:dyDescent="0.3">
      <c r="B26" s="259" t="s">
        <v>20</v>
      </c>
      <c r="C26" s="29">
        <f t="shared" si="15"/>
        <v>0.28611000000000003</v>
      </c>
      <c r="D26" s="30">
        <f t="shared" si="15"/>
        <v>0.2918322000000001</v>
      </c>
      <c r="E26" s="30">
        <f t="shared" si="15"/>
        <v>0.29766884400000004</v>
      </c>
      <c r="F26" s="30">
        <f t="shared" si="15"/>
        <v>0.30362222088000007</v>
      </c>
      <c r="G26" s="30">
        <f t="shared" si="15"/>
        <v>0.30969466529760009</v>
      </c>
      <c r="H26" s="30">
        <f t="shared" si="15"/>
        <v>0.31588855860355214</v>
      </c>
      <c r="I26" s="30">
        <f t="shared" si="15"/>
        <v>0.32220632977562313</v>
      </c>
      <c r="J26" s="30">
        <f t="shared" si="15"/>
        <v>0.3286504563711356</v>
      </c>
      <c r="K26" s="30">
        <f t="shared" si="15"/>
        <v>0.34</v>
      </c>
      <c r="L26" s="307">
        <f t="shared" si="15"/>
        <v>0.34</v>
      </c>
      <c r="M26" s="329">
        <f t="shared" si="2"/>
        <v>3.1356732749279108</v>
      </c>
      <c r="P26" s="331">
        <v>286110.00000000006</v>
      </c>
      <c r="Q26" s="331">
        <v>291832.20000000007</v>
      </c>
      <c r="R26" s="331">
        <v>297668.84400000004</v>
      </c>
      <c r="S26" s="331">
        <v>303622.2208800001</v>
      </c>
      <c r="T26" s="331">
        <v>309694.66529760009</v>
      </c>
      <c r="U26" s="331">
        <v>315888.55860355211</v>
      </c>
      <c r="V26" s="331">
        <v>322206.32977562316</v>
      </c>
      <c r="W26" s="331">
        <v>328650.4563711356</v>
      </c>
      <c r="X26" s="331">
        <v>340000</v>
      </c>
      <c r="Y26" s="331">
        <v>340000</v>
      </c>
    </row>
    <row r="27" spans="2:25" ht="16.5" customHeight="1" thickBot="1" x14ac:dyDescent="0.35">
      <c r="B27" s="239" t="s">
        <v>11</v>
      </c>
      <c r="C27" s="34">
        <f t="shared" si="15"/>
        <v>0.8094071409200575</v>
      </c>
      <c r="D27" s="19">
        <f t="shared" si="15"/>
        <v>0.83385123657584037</v>
      </c>
      <c r="E27" s="19">
        <f t="shared" si="15"/>
        <v>0.8590335439204313</v>
      </c>
      <c r="F27" s="19">
        <f t="shared" si="15"/>
        <v>0.88497635694682941</v>
      </c>
      <c r="G27" s="19">
        <f t="shared" si="15"/>
        <v>0.58532291741246401</v>
      </c>
      <c r="H27" s="19">
        <f t="shared" si="15"/>
        <v>0.59702937576071313</v>
      </c>
      <c r="I27" s="19">
        <f t="shared" si="15"/>
        <v>0.60896996327592745</v>
      </c>
      <c r="J27" s="19">
        <f t="shared" si="15"/>
        <v>0.62114936254144604</v>
      </c>
      <c r="K27" s="19">
        <f t="shared" si="15"/>
        <v>0.71</v>
      </c>
      <c r="L27" s="302">
        <f t="shared" si="15"/>
        <v>0.72</v>
      </c>
      <c r="M27" s="319">
        <f t="shared" si="2"/>
        <v>7.229739897353709</v>
      </c>
      <c r="P27" s="331">
        <v>809407.14092005754</v>
      </c>
      <c r="Q27" s="331">
        <v>833851.23657584039</v>
      </c>
      <c r="R27" s="331">
        <v>859033.54392043129</v>
      </c>
      <c r="S27" s="331">
        <v>884976.35694682936</v>
      </c>
      <c r="T27" s="331">
        <v>585322.91741246404</v>
      </c>
      <c r="U27" s="331">
        <v>597029.37576071313</v>
      </c>
      <c r="V27" s="331">
        <v>608969.96327592747</v>
      </c>
      <c r="W27" s="331">
        <v>621149.362541446</v>
      </c>
      <c r="X27" s="331">
        <v>710000</v>
      </c>
      <c r="Y27" s="331">
        <v>720000</v>
      </c>
    </row>
    <row r="28" spans="2:25" ht="16.5" thickBot="1" x14ac:dyDescent="0.3">
      <c r="P28" s="262"/>
      <c r="Q28" s="262"/>
      <c r="R28" s="262"/>
      <c r="S28" s="262"/>
      <c r="T28" s="262"/>
      <c r="U28" s="262"/>
      <c r="V28" s="262"/>
      <c r="W28" s="262"/>
      <c r="X28" s="262"/>
      <c r="Y28" s="262"/>
    </row>
    <row r="29" spans="2:25" ht="15.75" x14ac:dyDescent="0.25">
      <c r="B29" s="63" t="s">
        <v>261</v>
      </c>
      <c r="C29" s="25">
        <f>SUM(C5:C11)</f>
        <v>17.166882350000002</v>
      </c>
      <c r="D29" s="26">
        <f t="shared" ref="D29:L29" si="16">SUM(D5:D11)</f>
        <v>35.795690649999997</v>
      </c>
      <c r="E29" s="26">
        <f t="shared" si="16"/>
        <v>53.774477809999993</v>
      </c>
      <c r="F29" s="26">
        <f t="shared" si="16"/>
        <v>72.281902510000009</v>
      </c>
      <c r="G29" s="26">
        <f t="shared" si="16"/>
        <v>91.404977490000007</v>
      </c>
      <c r="H29" s="26">
        <f t="shared" si="16"/>
        <v>109.83144475</v>
      </c>
      <c r="I29" s="26">
        <f t="shared" si="16"/>
        <v>127.89681308999998</v>
      </c>
      <c r="J29" s="26">
        <f t="shared" si="16"/>
        <v>145.53714283999997</v>
      </c>
      <c r="K29" s="26">
        <f t="shared" si="16"/>
        <v>162.97364336999999</v>
      </c>
      <c r="L29" s="55">
        <f t="shared" si="16"/>
        <v>179.95959791999999</v>
      </c>
      <c r="M29" s="59">
        <f>SUM(C29:L29)</f>
        <v>996.62257277999993</v>
      </c>
      <c r="P29" s="262">
        <f>SUM(P5:P27)</f>
        <v>47877940.746288769</v>
      </c>
      <c r="Q29" s="331">
        <f t="shared" ref="Q29:Y29" si="17">SUM(Q5:Q27)</f>
        <v>69433375.213234246</v>
      </c>
      <c r="R29" s="331">
        <f t="shared" si="17"/>
        <v>87196251.893245071</v>
      </c>
      <c r="S29" s="331">
        <f t="shared" si="17"/>
        <v>107222775.19810778</v>
      </c>
      <c r="T29" s="331">
        <f t="shared" si="17"/>
        <v>127418631.49164486</v>
      </c>
      <c r="U29" s="331">
        <f t="shared" si="17"/>
        <v>147273336.94471511</v>
      </c>
      <c r="V29" s="331">
        <f t="shared" si="17"/>
        <v>167170904.38124827</v>
      </c>
      <c r="W29" s="331">
        <f t="shared" si="17"/>
        <v>186443477.65388194</v>
      </c>
      <c r="X29" s="331">
        <f t="shared" si="17"/>
        <v>205728770.80702066</v>
      </c>
      <c r="Y29" s="331">
        <f t="shared" si="17"/>
        <v>224897512.91937438</v>
      </c>
    </row>
    <row r="30" spans="2:25" ht="15.75" x14ac:dyDescent="0.25">
      <c r="B30" s="64" t="s">
        <v>262</v>
      </c>
      <c r="C30" s="33">
        <f>SUM(C13:C27)</f>
        <v>30.711058396288763</v>
      </c>
      <c r="D30" s="15">
        <f t="shared" ref="D30:L30" si="18">SUM(D13:D27)</f>
        <v>33.637684563234245</v>
      </c>
      <c r="E30" s="15">
        <f t="shared" si="18"/>
        <v>33.421774083245076</v>
      </c>
      <c r="F30" s="15">
        <f t="shared" si="18"/>
        <v>34.940872688107817</v>
      </c>
      <c r="G30" s="15">
        <f t="shared" si="18"/>
        <v>36.013654001644873</v>
      </c>
      <c r="H30" s="15">
        <f t="shared" si="18"/>
        <v>37.44189219471513</v>
      </c>
      <c r="I30" s="15">
        <f t="shared" si="18"/>
        <v>39.274091291248212</v>
      </c>
      <c r="J30" s="15">
        <f t="shared" si="18"/>
        <v>40.90633481388199</v>
      </c>
      <c r="K30" s="15">
        <f t="shared" si="18"/>
        <v>42.75512743702069</v>
      </c>
      <c r="L30" s="37">
        <f t="shared" si="18"/>
        <v>44.937914999374392</v>
      </c>
      <c r="M30" s="60">
        <f>SUM(C30:L30)</f>
        <v>374.04040446876121</v>
      </c>
      <c r="P30" s="262"/>
      <c r="Q30" s="262"/>
      <c r="R30" s="262"/>
      <c r="S30" s="262"/>
      <c r="T30" s="262"/>
      <c r="U30" s="262"/>
      <c r="V30" s="262"/>
      <c r="W30" s="262"/>
      <c r="X30" s="262"/>
      <c r="Y30" s="262"/>
    </row>
    <row r="31" spans="2:25" ht="16.5" thickBot="1" x14ac:dyDescent="0.3">
      <c r="B31" s="65" t="s">
        <v>263</v>
      </c>
      <c r="C31" s="56">
        <f>SUM(C29:C30)</f>
        <v>47.877940746288765</v>
      </c>
      <c r="D31" s="57">
        <f t="shared" ref="D31:M31" si="19">SUM(D29:D30)</f>
        <v>69.433375213234243</v>
      </c>
      <c r="E31" s="57">
        <f t="shared" si="19"/>
        <v>87.196251893245062</v>
      </c>
      <c r="F31" s="57">
        <f t="shared" si="19"/>
        <v>107.22277519810783</v>
      </c>
      <c r="G31" s="57">
        <f t="shared" si="19"/>
        <v>127.41863149164487</v>
      </c>
      <c r="H31" s="57">
        <f t="shared" si="19"/>
        <v>147.27333694471514</v>
      </c>
      <c r="I31" s="57">
        <f t="shared" si="19"/>
        <v>167.17090438124819</v>
      </c>
      <c r="J31" s="57">
        <f t="shared" si="19"/>
        <v>186.44347765388196</v>
      </c>
      <c r="K31" s="57">
        <f t="shared" si="19"/>
        <v>205.72877080702068</v>
      </c>
      <c r="L31" s="58">
        <f t="shared" si="19"/>
        <v>224.89751291937438</v>
      </c>
      <c r="M31" s="61">
        <f t="shared" si="19"/>
        <v>1370.6629772487611</v>
      </c>
    </row>
    <row r="32" spans="2:25" ht="7.5" customHeight="1" thickBot="1" x14ac:dyDescent="0.3">
      <c r="B32" s="62"/>
      <c r="C32" s="62"/>
      <c r="D32" s="62"/>
      <c r="E32" s="62"/>
      <c r="F32" s="62"/>
      <c r="G32" s="62"/>
      <c r="H32" s="62"/>
      <c r="I32" s="62"/>
      <c r="J32" s="62"/>
      <c r="K32" s="62"/>
      <c r="L32" s="62"/>
      <c r="M32" s="62"/>
    </row>
    <row r="33" spans="2:14" x14ac:dyDescent="0.25">
      <c r="B33" s="66" t="s">
        <v>30</v>
      </c>
      <c r="C33" s="69">
        <f>SUM(C5:C10)</f>
        <v>15.576397350000001</v>
      </c>
      <c r="D33" s="70">
        <f t="shared" ref="D33:L33" si="20">SUM(D5:D10)</f>
        <v>32.658994649999997</v>
      </c>
      <c r="E33" s="70">
        <f t="shared" si="20"/>
        <v>49.08074280999999</v>
      </c>
      <c r="F33" s="70">
        <f t="shared" si="20"/>
        <v>66.019963510000011</v>
      </c>
      <c r="G33" s="70">
        <f t="shared" si="20"/>
        <v>83.831630490000009</v>
      </c>
      <c r="H33" s="70">
        <f t="shared" si="20"/>
        <v>101.30415475</v>
      </c>
      <c r="I33" s="70">
        <f t="shared" si="20"/>
        <v>118.41942208999998</v>
      </c>
      <c r="J33" s="70">
        <f t="shared" si="20"/>
        <v>135.11356283999999</v>
      </c>
      <c r="K33" s="70">
        <f t="shared" si="20"/>
        <v>151.52767337</v>
      </c>
      <c r="L33" s="251">
        <f t="shared" si="20"/>
        <v>167.39116991999998</v>
      </c>
      <c r="M33" s="52">
        <f>SUM(C33:L33)</f>
        <v>920.92371178000008</v>
      </c>
    </row>
    <row r="34" spans="2:14" x14ac:dyDescent="0.25">
      <c r="B34" s="67" t="s">
        <v>29</v>
      </c>
      <c r="C34" s="71">
        <f>C13+C14+C16+C18+C19+C21+C23+C24+C25</f>
        <v>28.215541255368706</v>
      </c>
      <c r="D34" s="51">
        <f t="shared" ref="D34:L34" si="21">D13+D14+D16+D18+D19+D21+D23+D24+D25</f>
        <v>31.112001126658406</v>
      </c>
      <c r="E34" s="51">
        <f t="shared" si="21"/>
        <v>30.865071695324644</v>
      </c>
      <c r="F34" s="51">
        <f t="shared" si="21"/>
        <v>32.452274110280989</v>
      </c>
      <c r="G34" s="51">
        <f t="shared" si="21"/>
        <v>33.818636418934815</v>
      </c>
      <c r="H34" s="51">
        <f t="shared" si="21"/>
        <v>35.228974260350867</v>
      </c>
      <c r="I34" s="51">
        <f t="shared" si="21"/>
        <v>36.94291499819667</v>
      </c>
      <c r="J34" s="51">
        <f t="shared" si="21"/>
        <v>38.556534994969411</v>
      </c>
      <c r="K34" s="51">
        <f t="shared" si="21"/>
        <v>40.405127437020688</v>
      </c>
      <c r="L34" s="242">
        <f t="shared" si="21"/>
        <v>42.577914999374393</v>
      </c>
      <c r="M34" s="53">
        <f>SUM(C34:L34)</f>
        <v>350.17499129647956</v>
      </c>
    </row>
    <row r="35" spans="2:14" ht="15.75" thickBot="1" x14ac:dyDescent="0.3">
      <c r="B35" s="68" t="s">
        <v>264</v>
      </c>
      <c r="C35" s="72">
        <f>SUM(C33:C34)</f>
        <v>43.791938605368706</v>
      </c>
      <c r="D35" s="73">
        <f t="shared" ref="D35:M35" si="22">SUM(D33:D34)</f>
        <v>63.770995776658403</v>
      </c>
      <c r="E35" s="73">
        <f t="shared" si="22"/>
        <v>79.945814505324634</v>
      </c>
      <c r="F35" s="73">
        <f t="shared" si="22"/>
        <v>98.472237620280993</v>
      </c>
      <c r="G35" s="73">
        <f t="shared" si="22"/>
        <v>117.65026690893482</v>
      </c>
      <c r="H35" s="73">
        <f t="shared" si="22"/>
        <v>136.53312901035088</v>
      </c>
      <c r="I35" s="73">
        <f t="shared" si="22"/>
        <v>155.36233708819665</v>
      </c>
      <c r="J35" s="73">
        <f t="shared" si="22"/>
        <v>173.6700978349694</v>
      </c>
      <c r="K35" s="73">
        <f t="shared" si="22"/>
        <v>191.9328008070207</v>
      </c>
      <c r="L35" s="253">
        <f t="shared" si="22"/>
        <v>209.96908491937438</v>
      </c>
      <c r="M35" s="254">
        <f t="shared" si="22"/>
        <v>1271.0987030764795</v>
      </c>
      <c r="N35" s="35"/>
    </row>
  </sheetData>
  <mergeCells count="1">
    <mergeCell ref="B2:M3"/>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84AB6-0AE0-4647-B441-7DCC5A313BDC}">
  <sheetPr>
    <tabColor rgb="FF00B050"/>
  </sheetPr>
  <dimension ref="C2:I13"/>
  <sheetViews>
    <sheetView workbookViewId="0">
      <selection activeCell="C3" sqref="C3:I13"/>
    </sheetView>
  </sheetViews>
  <sheetFormatPr defaultColWidth="9.140625" defaultRowHeight="15.75" x14ac:dyDescent="0.25"/>
  <cols>
    <col min="1" max="2" width="9.140625" style="98"/>
    <col min="3" max="3" width="27.140625" style="98" customWidth="1"/>
    <col min="4" max="9" width="15.28515625" style="98" customWidth="1"/>
    <col min="10" max="16384" width="9.140625" style="98"/>
  </cols>
  <sheetData>
    <row r="2" spans="3:9" ht="16.5" thickBot="1" x14ac:dyDescent="0.3"/>
    <row r="3" spans="3:9" ht="17.25" thickBot="1" x14ac:dyDescent="0.3">
      <c r="C3" s="566" t="s">
        <v>77</v>
      </c>
      <c r="D3" s="567"/>
      <c r="E3" s="567"/>
      <c r="F3" s="567"/>
      <c r="G3" s="567"/>
      <c r="H3" s="567"/>
      <c r="I3" s="568"/>
    </row>
    <row r="4" spans="3:9" ht="16.5" x14ac:dyDescent="0.3">
      <c r="C4" s="63"/>
      <c r="D4" s="569">
        <v>2022</v>
      </c>
      <c r="E4" s="570"/>
      <c r="F4" s="569">
        <f>D4+1</f>
        <v>2023</v>
      </c>
      <c r="G4" s="570"/>
      <c r="H4" s="569">
        <f>F4+1</f>
        <v>2024</v>
      </c>
      <c r="I4" s="570"/>
    </row>
    <row r="5" spans="3:9" ht="39" customHeight="1" thickBot="1" x14ac:dyDescent="0.3">
      <c r="C5" s="178" t="s">
        <v>78</v>
      </c>
      <c r="D5" s="131" t="s">
        <v>79</v>
      </c>
      <c r="E5" s="132" t="s">
        <v>80</v>
      </c>
      <c r="F5" s="131" t="s">
        <v>79</v>
      </c>
      <c r="G5" s="132" t="s">
        <v>80</v>
      </c>
      <c r="H5" s="131" t="s">
        <v>79</v>
      </c>
      <c r="I5" s="132" t="s">
        <v>80</v>
      </c>
    </row>
    <row r="6" spans="3:9" ht="16.5" x14ac:dyDescent="0.3">
      <c r="C6" s="177" t="s">
        <v>81</v>
      </c>
      <c r="D6" s="184">
        <v>113.5</v>
      </c>
      <c r="E6" s="185">
        <v>20418</v>
      </c>
      <c r="F6" s="186">
        <v>127.1</v>
      </c>
      <c r="G6" s="185">
        <v>19538</v>
      </c>
      <c r="H6" s="187">
        <v>201.99909700000001</v>
      </c>
      <c r="I6" s="188">
        <v>26880</v>
      </c>
    </row>
    <row r="7" spans="3:9" ht="16.5" x14ac:dyDescent="0.3">
      <c r="C7" s="133" t="s">
        <v>82</v>
      </c>
      <c r="D7" s="189">
        <v>127.6</v>
      </c>
      <c r="E7" s="190">
        <v>5578</v>
      </c>
      <c r="F7" s="191">
        <v>44.9</v>
      </c>
      <c r="G7" s="191">
        <v>681</v>
      </c>
      <c r="H7" s="192">
        <v>100.40563450000001</v>
      </c>
      <c r="I7" s="193">
        <v>4627</v>
      </c>
    </row>
    <row r="8" spans="3:9" ht="16.5" x14ac:dyDescent="0.3">
      <c r="C8" s="133" t="s">
        <v>83</v>
      </c>
      <c r="D8" s="189">
        <v>72.900000000000006</v>
      </c>
      <c r="E8" s="190">
        <v>8794</v>
      </c>
      <c r="F8" s="191">
        <v>149.80000000000001</v>
      </c>
      <c r="G8" s="190">
        <v>18918</v>
      </c>
      <c r="H8" s="192">
        <v>97.898723250000131</v>
      </c>
      <c r="I8" s="193">
        <v>9524</v>
      </c>
    </row>
    <row r="9" spans="3:9" ht="16.5" x14ac:dyDescent="0.3">
      <c r="C9" s="133" t="s">
        <v>84</v>
      </c>
      <c r="D9" s="189">
        <v>202.2</v>
      </c>
      <c r="E9" s="190">
        <v>8347</v>
      </c>
      <c r="F9" s="191">
        <v>31.1</v>
      </c>
      <c r="G9" s="190">
        <v>3579</v>
      </c>
      <c r="H9" s="192">
        <v>174.04384475000023</v>
      </c>
      <c r="I9" s="193">
        <v>5645</v>
      </c>
    </row>
    <row r="10" spans="3:9" ht="16.5" x14ac:dyDescent="0.3">
      <c r="C10" s="133" t="s">
        <v>85</v>
      </c>
      <c r="D10" s="189">
        <v>20.2</v>
      </c>
      <c r="E10" s="190">
        <v>3236</v>
      </c>
      <c r="F10" s="191">
        <v>138.9</v>
      </c>
      <c r="G10" s="190">
        <v>28399</v>
      </c>
      <c r="H10" s="192">
        <v>16.433760000000007</v>
      </c>
      <c r="I10" s="193">
        <v>2874</v>
      </c>
    </row>
    <row r="11" spans="3:9" ht="16.5" x14ac:dyDescent="0.3">
      <c r="C11" s="133" t="s">
        <v>86</v>
      </c>
      <c r="D11" s="189">
        <v>112.4</v>
      </c>
      <c r="E11" s="190">
        <v>20376</v>
      </c>
      <c r="F11" s="191">
        <v>155.80000000000001</v>
      </c>
      <c r="G11" s="190">
        <v>27165</v>
      </c>
      <c r="H11" s="192">
        <v>88.151940749999767</v>
      </c>
      <c r="I11" s="193">
        <v>10391</v>
      </c>
    </row>
    <row r="12" spans="3:9" ht="16.5" x14ac:dyDescent="0.3">
      <c r="C12" s="133" t="s">
        <v>87</v>
      </c>
      <c r="D12" s="189">
        <v>43.2</v>
      </c>
      <c r="E12" s="190">
        <v>5784</v>
      </c>
      <c r="F12" s="191">
        <v>53.2</v>
      </c>
      <c r="G12" s="190">
        <v>7950</v>
      </c>
      <c r="H12" s="192">
        <v>24.781062250000019</v>
      </c>
      <c r="I12" s="193">
        <v>1276</v>
      </c>
    </row>
    <row r="13" spans="3:9" ht="17.25" thickBot="1" x14ac:dyDescent="0.35">
      <c r="C13" s="134" t="s">
        <v>4</v>
      </c>
      <c r="D13" s="194">
        <f>SUM(D6:D12)</f>
        <v>692.00000000000011</v>
      </c>
      <c r="E13" s="195">
        <f>SUM(E6:E12)</f>
        <v>72533</v>
      </c>
      <c r="F13" s="196">
        <f t="shared" ref="F13:I13" si="0">SUM(F6:F12)</f>
        <v>700.80000000000018</v>
      </c>
      <c r="G13" s="195">
        <f t="shared" si="0"/>
        <v>106230</v>
      </c>
      <c r="H13" s="197">
        <f t="shared" si="0"/>
        <v>703.71406250000018</v>
      </c>
      <c r="I13" s="198">
        <f t="shared" si="0"/>
        <v>61217</v>
      </c>
    </row>
  </sheetData>
  <mergeCells count="4">
    <mergeCell ref="C3:I3"/>
    <mergeCell ref="D4:E4"/>
    <mergeCell ref="F4:G4"/>
    <mergeCell ref="H4:I4"/>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FE235-AE58-4446-BAB3-10BC4215BA2C}">
  <sheetPr>
    <tabColor rgb="FF00B050"/>
  </sheetPr>
  <dimension ref="B2:C13"/>
  <sheetViews>
    <sheetView workbookViewId="0">
      <selection activeCell="B3" sqref="B3:C13"/>
    </sheetView>
  </sheetViews>
  <sheetFormatPr defaultColWidth="9.140625" defaultRowHeight="15.75" x14ac:dyDescent="0.25"/>
  <cols>
    <col min="1" max="2" width="9.140625" style="98"/>
    <col min="3" max="3" width="30" style="98" customWidth="1"/>
    <col min="4" max="16384" width="9.140625" style="98"/>
  </cols>
  <sheetData>
    <row r="2" spans="2:3" ht="16.5" thickBot="1" x14ac:dyDescent="0.3"/>
    <row r="3" spans="2:3" ht="66" customHeight="1" thickBot="1" x14ac:dyDescent="0.3">
      <c r="B3" s="571" t="s">
        <v>88</v>
      </c>
      <c r="C3" s="572"/>
    </row>
    <row r="4" spans="2:3" ht="16.5" x14ac:dyDescent="0.3">
      <c r="B4" s="122">
        <v>2022</v>
      </c>
      <c r="C4" s="199">
        <v>6100</v>
      </c>
    </row>
    <row r="5" spans="2:3" ht="16.5" x14ac:dyDescent="0.3">
      <c r="B5" s="123">
        <f>B4+1</f>
        <v>2023</v>
      </c>
      <c r="C5" s="200">
        <v>7100</v>
      </c>
    </row>
    <row r="6" spans="2:3" ht="16.5" x14ac:dyDescent="0.3">
      <c r="B6" s="123">
        <f t="shared" ref="B6:B13" si="0">B5+1</f>
        <v>2024</v>
      </c>
      <c r="C6" s="200">
        <v>4800</v>
      </c>
    </row>
    <row r="7" spans="2:3" ht="16.5" x14ac:dyDescent="0.3">
      <c r="B7" s="123">
        <f t="shared" si="0"/>
        <v>2025</v>
      </c>
      <c r="C7" s="200">
        <v>5300</v>
      </c>
    </row>
    <row r="8" spans="2:3" ht="16.5" x14ac:dyDescent="0.3">
      <c r="B8" s="123">
        <f t="shared" si="0"/>
        <v>2026</v>
      </c>
      <c r="C8" s="200">
        <v>6500</v>
      </c>
    </row>
    <row r="9" spans="2:3" ht="16.5" x14ac:dyDescent="0.3">
      <c r="B9" s="123">
        <f t="shared" si="0"/>
        <v>2027</v>
      </c>
      <c r="C9" s="200">
        <v>5900</v>
      </c>
    </row>
    <row r="10" spans="2:3" ht="16.5" x14ac:dyDescent="0.3">
      <c r="B10" s="123">
        <f t="shared" si="0"/>
        <v>2028</v>
      </c>
      <c r="C10" s="200">
        <v>5900</v>
      </c>
    </row>
    <row r="11" spans="2:3" ht="16.5" x14ac:dyDescent="0.3">
      <c r="B11" s="123">
        <f t="shared" si="0"/>
        <v>2029</v>
      </c>
      <c r="C11" s="200">
        <v>5900</v>
      </c>
    </row>
    <row r="12" spans="2:3" ht="16.5" x14ac:dyDescent="0.3">
      <c r="B12" s="123">
        <f t="shared" si="0"/>
        <v>2030</v>
      </c>
      <c r="C12" s="200">
        <v>6200</v>
      </c>
    </row>
    <row r="13" spans="2:3" ht="17.25" thickBot="1" x14ac:dyDescent="0.35">
      <c r="B13" s="124">
        <f t="shared" si="0"/>
        <v>2031</v>
      </c>
      <c r="C13" s="201">
        <v>6500</v>
      </c>
    </row>
  </sheetData>
  <mergeCells count="1">
    <mergeCell ref="B3:C3"/>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01087-96F5-47FD-86E6-1B99795CD945}">
  <sheetPr>
    <tabColor rgb="FF00B050"/>
  </sheetPr>
  <dimension ref="C2:I13"/>
  <sheetViews>
    <sheetView workbookViewId="0">
      <selection activeCell="H8" sqref="H8"/>
    </sheetView>
  </sheetViews>
  <sheetFormatPr defaultColWidth="9.140625" defaultRowHeight="15.75" x14ac:dyDescent="0.25"/>
  <cols>
    <col min="1" max="2" width="9.140625" style="98"/>
    <col min="3" max="3" width="27.140625" style="98" customWidth="1"/>
    <col min="4" max="9" width="15.28515625" style="98" customWidth="1"/>
    <col min="10" max="16384" width="9.140625" style="98"/>
  </cols>
  <sheetData>
    <row r="2" spans="3:9" ht="16.5" thickBot="1" x14ac:dyDescent="0.3"/>
    <row r="3" spans="3:9" ht="17.25" thickBot="1" x14ac:dyDescent="0.3">
      <c r="C3" s="566" t="s">
        <v>89</v>
      </c>
      <c r="D3" s="567"/>
      <c r="E3" s="567"/>
      <c r="F3" s="567"/>
      <c r="G3" s="567"/>
      <c r="H3" s="567"/>
      <c r="I3" s="568"/>
    </row>
    <row r="4" spans="3:9" ht="16.5" x14ac:dyDescent="0.3">
      <c r="C4" s="135"/>
      <c r="D4" s="569">
        <v>2022</v>
      </c>
      <c r="E4" s="570"/>
      <c r="F4" s="569">
        <f>D4+1</f>
        <v>2023</v>
      </c>
      <c r="G4" s="570"/>
      <c r="H4" s="569">
        <f>F4+1</f>
        <v>2024</v>
      </c>
      <c r="I4" s="570"/>
    </row>
    <row r="5" spans="3:9" ht="39" customHeight="1" thickBot="1" x14ac:dyDescent="0.3">
      <c r="C5" s="178" t="s">
        <v>78</v>
      </c>
      <c r="D5" s="131" t="s">
        <v>79</v>
      </c>
      <c r="E5" s="132" t="s">
        <v>80</v>
      </c>
      <c r="F5" s="131" t="s">
        <v>79</v>
      </c>
      <c r="G5" s="132" t="s">
        <v>80</v>
      </c>
      <c r="H5" s="131" t="s">
        <v>79</v>
      </c>
      <c r="I5" s="132" t="s">
        <v>80</v>
      </c>
    </row>
    <row r="6" spans="3:9" ht="16.5" x14ac:dyDescent="0.3">
      <c r="C6" s="177" t="s">
        <v>81</v>
      </c>
      <c r="D6" s="202">
        <v>36</v>
      </c>
      <c r="E6" s="185">
        <v>9488</v>
      </c>
      <c r="F6" s="203">
        <v>176.8</v>
      </c>
      <c r="G6" s="185">
        <v>25321</v>
      </c>
      <c r="H6" s="203">
        <v>138.1</v>
      </c>
      <c r="I6" s="188">
        <v>18058</v>
      </c>
    </row>
    <row r="7" spans="3:9" ht="16.5" x14ac:dyDescent="0.3">
      <c r="C7" s="133" t="s">
        <v>82</v>
      </c>
      <c r="D7" s="204">
        <v>5.0999999999999996</v>
      </c>
      <c r="E7" s="190">
        <v>904</v>
      </c>
      <c r="F7" s="205">
        <v>0</v>
      </c>
      <c r="G7" s="190">
        <v>0</v>
      </c>
      <c r="H7" s="205">
        <v>0</v>
      </c>
      <c r="I7" s="193">
        <v>0</v>
      </c>
    </row>
    <row r="8" spans="3:9" ht="16.5" x14ac:dyDescent="0.3">
      <c r="C8" s="133" t="s">
        <v>83</v>
      </c>
      <c r="D8" s="204">
        <v>34.5</v>
      </c>
      <c r="E8" s="190">
        <v>12007</v>
      </c>
      <c r="F8" s="205">
        <v>115.3</v>
      </c>
      <c r="G8" s="190">
        <v>16234</v>
      </c>
      <c r="H8" s="205">
        <v>129.30000000000001</v>
      </c>
      <c r="I8" s="193">
        <v>15835</v>
      </c>
    </row>
    <row r="9" spans="3:9" ht="16.5" x14ac:dyDescent="0.3">
      <c r="C9" s="133" t="s">
        <v>84</v>
      </c>
      <c r="D9" s="204">
        <v>12</v>
      </c>
      <c r="E9" s="190">
        <v>7191</v>
      </c>
      <c r="F9" s="205">
        <v>231</v>
      </c>
      <c r="G9" s="190">
        <v>12380</v>
      </c>
      <c r="H9" s="205">
        <v>174.9</v>
      </c>
      <c r="I9" s="193">
        <v>6627</v>
      </c>
    </row>
    <row r="10" spans="3:9" ht="16.5" x14ac:dyDescent="0.3">
      <c r="C10" s="133" t="s">
        <v>85</v>
      </c>
      <c r="D10" s="204">
        <v>23</v>
      </c>
      <c r="E10" s="190">
        <v>13900</v>
      </c>
      <c r="F10" s="205">
        <v>82.1</v>
      </c>
      <c r="G10" s="190">
        <v>3925</v>
      </c>
      <c r="H10" s="205">
        <v>108.6</v>
      </c>
      <c r="I10" s="193">
        <v>3446</v>
      </c>
    </row>
    <row r="11" spans="3:9" ht="16.5" x14ac:dyDescent="0.3">
      <c r="C11" s="133" t="s">
        <v>86</v>
      </c>
      <c r="D11" s="204">
        <v>53.3</v>
      </c>
      <c r="E11" s="190">
        <v>19073</v>
      </c>
      <c r="F11" s="205">
        <v>171.2</v>
      </c>
      <c r="G11" s="190">
        <v>27479</v>
      </c>
      <c r="H11" s="205">
        <v>156.80000000000001</v>
      </c>
      <c r="I11" s="193">
        <v>22301</v>
      </c>
    </row>
    <row r="12" spans="3:9" ht="16.5" x14ac:dyDescent="0.3">
      <c r="C12" s="133" t="s">
        <v>87</v>
      </c>
      <c r="D12" s="204">
        <v>32.1</v>
      </c>
      <c r="E12" s="190">
        <v>14565</v>
      </c>
      <c r="F12" s="205">
        <v>241.5</v>
      </c>
      <c r="G12" s="190">
        <v>7779</v>
      </c>
      <c r="H12" s="205">
        <v>293</v>
      </c>
      <c r="I12" s="193">
        <v>10032</v>
      </c>
    </row>
    <row r="13" spans="3:9" ht="17.25" thickBot="1" x14ac:dyDescent="0.35">
      <c r="C13" s="134" t="s">
        <v>4</v>
      </c>
      <c r="D13" s="206">
        <f>SUM(D6:D12)</f>
        <v>195.99999999999997</v>
      </c>
      <c r="E13" s="195">
        <f t="shared" ref="E13:I13" si="0">SUM(E6:E12)</f>
        <v>77128</v>
      </c>
      <c r="F13" s="196">
        <f t="shared" si="0"/>
        <v>1017.9000000000001</v>
      </c>
      <c r="G13" s="195">
        <f t="shared" si="0"/>
        <v>93118</v>
      </c>
      <c r="H13" s="196">
        <f>SUM(H6:H12)</f>
        <v>1000.7</v>
      </c>
      <c r="I13" s="198">
        <f t="shared" si="0"/>
        <v>76299</v>
      </c>
    </row>
  </sheetData>
  <mergeCells count="4">
    <mergeCell ref="C3:I3"/>
    <mergeCell ref="D4:E4"/>
    <mergeCell ref="F4:G4"/>
    <mergeCell ref="H4:I4"/>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120B5-9273-410E-BA7A-3AF2646775D3}">
  <sheetPr>
    <tabColor rgb="FF00B050"/>
  </sheetPr>
  <dimension ref="B2:C13"/>
  <sheetViews>
    <sheetView workbookViewId="0">
      <selection activeCell="C4" sqref="C4:C6"/>
    </sheetView>
  </sheetViews>
  <sheetFormatPr defaultColWidth="9.140625" defaultRowHeight="15.75" x14ac:dyDescent="0.25"/>
  <cols>
    <col min="1" max="2" width="9.140625" style="98"/>
    <col min="3" max="3" width="30" style="98" customWidth="1"/>
    <col min="4" max="16384" width="9.140625" style="98"/>
  </cols>
  <sheetData>
    <row r="2" spans="2:3" ht="16.5" thickBot="1" x14ac:dyDescent="0.3"/>
    <row r="3" spans="2:3" ht="66" customHeight="1" thickBot="1" x14ac:dyDescent="0.3">
      <c r="B3" s="571" t="s">
        <v>90</v>
      </c>
      <c r="C3" s="572"/>
    </row>
    <row r="4" spans="2:3" ht="16.5" x14ac:dyDescent="0.3">
      <c r="B4" s="122">
        <v>2022</v>
      </c>
      <c r="C4" s="199">
        <v>3500</v>
      </c>
    </row>
    <row r="5" spans="2:3" ht="16.5" x14ac:dyDescent="0.3">
      <c r="B5" s="123">
        <f>B4+1</f>
        <v>2023</v>
      </c>
      <c r="C5" s="200">
        <v>4000</v>
      </c>
    </row>
    <row r="6" spans="2:3" ht="16.5" x14ac:dyDescent="0.3">
      <c r="B6" s="123">
        <f t="shared" ref="B6:B13" si="0">B5+1</f>
        <v>2024</v>
      </c>
      <c r="C6" s="200">
        <v>5600</v>
      </c>
    </row>
    <row r="7" spans="2:3" ht="16.5" x14ac:dyDescent="0.3">
      <c r="B7" s="123">
        <f t="shared" si="0"/>
        <v>2025</v>
      </c>
      <c r="C7" s="200">
        <v>6000</v>
      </c>
    </row>
    <row r="8" spans="2:3" ht="16.5" x14ac:dyDescent="0.3">
      <c r="B8" s="123">
        <f t="shared" si="0"/>
        <v>2026</v>
      </c>
      <c r="C8" s="200">
        <v>5700</v>
      </c>
    </row>
    <row r="9" spans="2:3" ht="16.5" x14ac:dyDescent="0.3">
      <c r="B9" s="123">
        <f t="shared" si="0"/>
        <v>2027</v>
      </c>
      <c r="C9" s="200">
        <v>6200</v>
      </c>
    </row>
    <row r="10" spans="2:3" ht="16.5" x14ac:dyDescent="0.3">
      <c r="B10" s="123">
        <f t="shared" si="0"/>
        <v>2028</v>
      </c>
      <c r="C10" s="200">
        <v>7300</v>
      </c>
    </row>
    <row r="11" spans="2:3" ht="16.5" x14ac:dyDescent="0.3">
      <c r="B11" s="123">
        <f t="shared" si="0"/>
        <v>2029</v>
      </c>
      <c r="C11" s="200">
        <v>6300</v>
      </c>
    </row>
    <row r="12" spans="2:3" ht="16.5" x14ac:dyDescent="0.3">
      <c r="B12" s="123">
        <f t="shared" si="0"/>
        <v>2030</v>
      </c>
      <c r="C12" s="200">
        <v>6600</v>
      </c>
    </row>
    <row r="13" spans="2:3" ht="17.25" thickBot="1" x14ac:dyDescent="0.35">
      <c r="B13" s="124">
        <f t="shared" si="0"/>
        <v>2031</v>
      </c>
      <c r="C13" s="201">
        <v>6900</v>
      </c>
    </row>
  </sheetData>
  <mergeCells count="1">
    <mergeCell ref="B3:C3"/>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0B3C4-BE18-4BBB-9F75-B6FFCCB09B5F}">
  <sheetPr>
    <tabColor rgb="FF00B050"/>
  </sheetPr>
  <dimension ref="C2:F5"/>
  <sheetViews>
    <sheetView workbookViewId="0">
      <selection activeCell="C3" sqref="C3:F5"/>
    </sheetView>
  </sheetViews>
  <sheetFormatPr defaultColWidth="9.140625" defaultRowHeight="15.75" x14ac:dyDescent="0.25"/>
  <cols>
    <col min="1" max="2" width="9.140625" style="98"/>
    <col min="3" max="3" width="13" style="98" customWidth="1"/>
    <col min="4" max="4" width="15.140625" style="98" customWidth="1"/>
    <col min="5" max="5" width="11.7109375" style="98" customWidth="1"/>
    <col min="6" max="6" width="29.28515625" style="98" customWidth="1"/>
    <col min="7" max="16384" width="9.140625" style="98"/>
  </cols>
  <sheetData>
    <row r="2" spans="3:6" ht="16.5" thickBot="1" x14ac:dyDescent="0.3"/>
    <row r="3" spans="3:6" ht="17.25" thickBot="1" x14ac:dyDescent="0.35">
      <c r="C3" s="573" t="s">
        <v>91</v>
      </c>
      <c r="D3" s="574"/>
      <c r="E3" s="575"/>
      <c r="F3" s="576" t="s">
        <v>92</v>
      </c>
    </row>
    <row r="4" spans="3:6" ht="33.75" thickBot="1" x14ac:dyDescent="0.3">
      <c r="C4" s="136" t="s">
        <v>93</v>
      </c>
      <c r="D4" s="137" t="s">
        <v>80</v>
      </c>
      <c r="E4" s="138" t="s">
        <v>94</v>
      </c>
      <c r="F4" s="577"/>
    </row>
    <row r="5" spans="3:6" ht="16.5" thickBot="1" x14ac:dyDescent="0.3">
      <c r="C5" s="207">
        <v>170</v>
      </c>
      <c r="D5" s="208">
        <v>84000</v>
      </c>
      <c r="E5" s="209">
        <v>83.2</v>
      </c>
      <c r="F5" s="210">
        <v>2185</v>
      </c>
    </row>
  </sheetData>
  <mergeCells count="2">
    <mergeCell ref="C3:E3"/>
    <mergeCell ref="F3:F4"/>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CE272-5903-4C39-8CAF-ECC5DBB17220}">
  <sheetPr>
    <tabColor rgb="FF00B050"/>
  </sheetPr>
  <dimension ref="B1:G8"/>
  <sheetViews>
    <sheetView showGridLines="0" workbookViewId="0">
      <selection activeCell="C6" sqref="C6:D8"/>
    </sheetView>
  </sheetViews>
  <sheetFormatPr defaultRowHeight="15" x14ac:dyDescent="0.25"/>
  <cols>
    <col min="3" max="3" width="28.42578125" customWidth="1"/>
    <col min="4" max="4" width="27.42578125" customWidth="1"/>
  </cols>
  <sheetData>
    <row r="1" spans="2:7" x14ac:dyDescent="0.25">
      <c r="G1" t="s">
        <v>201</v>
      </c>
    </row>
    <row r="3" spans="2:7" ht="15.75" thickBot="1" x14ac:dyDescent="0.3"/>
    <row r="4" spans="2:7" ht="85.5" customHeight="1" thickBot="1" x14ac:dyDescent="0.3">
      <c r="B4" s="98"/>
      <c r="C4" s="491" t="s">
        <v>111</v>
      </c>
      <c r="D4" s="492"/>
    </row>
    <row r="5" spans="2:7" ht="16.5" thickBot="1" x14ac:dyDescent="0.3">
      <c r="B5" s="98"/>
      <c r="C5" s="139" t="s">
        <v>109</v>
      </c>
      <c r="D5" s="140" t="s">
        <v>110</v>
      </c>
    </row>
    <row r="6" spans="2:7" ht="15.75" x14ac:dyDescent="0.25">
      <c r="B6" s="63">
        <v>2022</v>
      </c>
      <c r="C6" s="218">
        <v>0</v>
      </c>
      <c r="D6" s="235">
        <v>0</v>
      </c>
    </row>
    <row r="7" spans="2:7" ht="15.75" x14ac:dyDescent="0.25">
      <c r="B7" s="64">
        <f>B6+1</f>
        <v>2023</v>
      </c>
      <c r="C7" s="219">
        <v>1</v>
      </c>
      <c r="D7" s="236">
        <v>0.7</v>
      </c>
    </row>
    <row r="8" spans="2:7" ht="16.5" thickBot="1" x14ac:dyDescent="0.3">
      <c r="B8" s="65">
        <f t="shared" ref="B8" si="0">B7+1</f>
        <v>2024</v>
      </c>
      <c r="C8" s="220">
        <v>1</v>
      </c>
      <c r="D8" s="237">
        <v>4.3</v>
      </c>
    </row>
  </sheetData>
  <mergeCells count="1">
    <mergeCell ref="C4:D4"/>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502C8-1E4B-49A0-B1F0-D37BDF31D07A}">
  <sheetPr>
    <tabColor rgb="FF00B050"/>
  </sheetPr>
  <dimension ref="B2:C13"/>
  <sheetViews>
    <sheetView workbookViewId="0">
      <selection activeCell="B3" sqref="B3:C13"/>
    </sheetView>
  </sheetViews>
  <sheetFormatPr defaultColWidth="9.140625" defaultRowHeight="15.75" x14ac:dyDescent="0.25"/>
  <cols>
    <col min="1" max="2" width="9.140625" style="98"/>
    <col min="3" max="3" width="29.7109375" style="98" customWidth="1"/>
    <col min="4" max="5" width="9.140625" style="98"/>
    <col min="6" max="6" width="17.140625" style="98" bestFit="1" customWidth="1"/>
    <col min="7" max="16384" width="9.140625" style="98"/>
  </cols>
  <sheetData>
    <row r="2" spans="2:3" ht="16.5" thickBot="1" x14ac:dyDescent="0.3"/>
    <row r="3" spans="2:3" ht="47.25" customHeight="1" thickBot="1" x14ac:dyDescent="0.3">
      <c r="B3" s="571" t="s">
        <v>73</v>
      </c>
      <c r="C3" s="572"/>
    </row>
    <row r="4" spans="2:3" ht="16.5" x14ac:dyDescent="0.3">
      <c r="B4" s="122">
        <v>2022</v>
      </c>
      <c r="C4" s="361">
        <v>724</v>
      </c>
    </row>
    <row r="5" spans="2:3" ht="16.5" x14ac:dyDescent="0.3">
      <c r="B5" s="123">
        <f>B4+1</f>
        <v>2023</v>
      </c>
      <c r="C5" s="362">
        <v>879</v>
      </c>
    </row>
    <row r="6" spans="2:3" ht="16.5" x14ac:dyDescent="0.3">
      <c r="B6" s="123">
        <f t="shared" ref="B6:B13" si="0">B5+1</f>
        <v>2024</v>
      </c>
      <c r="C6" s="362">
        <v>1844.0170000000001</v>
      </c>
    </row>
    <row r="7" spans="2:3" ht="16.5" x14ac:dyDescent="0.3">
      <c r="B7" s="123">
        <f t="shared" si="0"/>
        <v>2025</v>
      </c>
      <c r="C7" s="362">
        <v>1613.7619999999999</v>
      </c>
    </row>
    <row r="8" spans="2:3" ht="16.5" x14ac:dyDescent="0.3">
      <c r="B8" s="123">
        <f t="shared" si="0"/>
        <v>2026</v>
      </c>
      <c r="C8" s="362">
        <v>2838.058</v>
      </c>
    </row>
    <row r="9" spans="2:3" ht="16.5" x14ac:dyDescent="0.3">
      <c r="B9" s="123">
        <f t="shared" si="0"/>
        <v>2027</v>
      </c>
      <c r="C9" s="362">
        <v>3403.7260000000001</v>
      </c>
    </row>
    <row r="10" spans="2:3" ht="16.5" x14ac:dyDescent="0.3">
      <c r="B10" s="123">
        <f t="shared" si="0"/>
        <v>2028</v>
      </c>
      <c r="C10" s="362">
        <v>1931.6869999999999</v>
      </c>
    </row>
    <row r="11" spans="2:3" ht="16.5" x14ac:dyDescent="0.3">
      <c r="B11" s="123">
        <f t="shared" si="0"/>
        <v>2029</v>
      </c>
      <c r="C11" s="362">
        <v>1166.5740000000001</v>
      </c>
    </row>
    <row r="12" spans="2:3" ht="16.5" x14ac:dyDescent="0.3">
      <c r="B12" s="123">
        <f t="shared" si="0"/>
        <v>2030</v>
      </c>
      <c r="C12" s="362">
        <v>997.36099999999999</v>
      </c>
    </row>
    <row r="13" spans="2:3" ht="17.25" thickBot="1" x14ac:dyDescent="0.35">
      <c r="B13" s="124">
        <f t="shared" si="0"/>
        <v>2031</v>
      </c>
      <c r="C13" s="363">
        <v>4424.7719999999999</v>
      </c>
    </row>
  </sheetData>
  <mergeCells count="1">
    <mergeCell ref="B3:C3"/>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EAE7F-4D7C-4C12-943A-57473CC35A33}">
  <sheetPr>
    <tabColor rgb="FF00B050"/>
  </sheetPr>
  <dimension ref="B2:C15"/>
  <sheetViews>
    <sheetView workbookViewId="0">
      <selection activeCell="B3" sqref="B3:C13"/>
    </sheetView>
  </sheetViews>
  <sheetFormatPr defaultColWidth="9.140625" defaultRowHeight="15.75" x14ac:dyDescent="0.25"/>
  <cols>
    <col min="1" max="2" width="9.140625" style="98"/>
    <col min="3" max="3" width="29.5703125" style="98" customWidth="1"/>
    <col min="4" max="6" width="9.140625" style="98"/>
    <col min="7" max="7" width="17.140625" style="98" bestFit="1" customWidth="1"/>
    <col min="8" max="16384" width="9.140625" style="98"/>
  </cols>
  <sheetData>
    <row r="2" spans="2:3" ht="16.5" thickBot="1" x14ac:dyDescent="0.3"/>
    <row r="3" spans="2:3" ht="47.25" customHeight="1" thickBot="1" x14ac:dyDescent="0.3">
      <c r="B3" s="571" t="s">
        <v>72</v>
      </c>
      <c r="C3" s="572"/>
    </row>
    <row r="4" spans="2:3" ht="16.5" x14ac:dyDescent="0.3">
      <c r="B4" s="366">
        <v>2022</v>
      </c>
      <c r="C4" s="361">
        <v>1686</v>
      </c>
    </row>
    <row r="5" spans="2:3" ht="16.5" x14ac:dyDescent="0.3">
      <c r="B5" s="367">
        <f>B4+1</f>
        <v>2023</v>
      </c>
      <c r="C5" s="362">
        <v>2158</v>
      </c>
    </row>
    <row r="6" spans="2:3" ht="16.5" x14ac:dyDescent="0.3">
      <c r="B6" s="367">
        <f t="shared" ref="B6:B13" si="0">B5+1</f>
        <v>2024</v>
      </c>
      <c r="C6" s="362">
        <v>1162.5630000000001</v>
      </c>
    </row>
    <row r="7" spans="2:3" ht="16.5" x14ac:dyDescent="0.3">
      <c r="B7" s="367">
        <f t="shared" si="0"/>
        <v>2025</v>
      </c>
      <c r="C7" s="362">
        <v>2089.1309999999999</v>
      </c>
    </row>
    <row r="8" spans="2:3" ht="16.5" x14ac:dyDescent="0.3">
      <c r="B8" s="367">
        <f t="shared" si="0"/>
        <v>2026</v>
      </c>
      <c r="C8" s="362">
        <v>608.45799999999997</v>
      </c>
    </row>
    <row r="9" spans="2:3" ht="16.5" x14ac:dyDescent="0.3">
      <c r="B9" s="367">
        <f t="shared" si="0"/>
        <v>2027</v>
      </c>
      <c r="C9" s="362">
        <v>0</v>
      </c>
    </row>
    <row r="10" spans="2:3" ht="16.5" x14ac:dyDescent="0.3">
      <c r="B10" s="367">
        <f t="shared" si="0"/>
        <v>2028</v>
      </c>
      <c r="C10" s="362">
        <v>1210.654</v>
      </c>
    </row>
    <row r="11" spans="2:3" ht="16.5" x14ac:dyDescent="0.3">
      <c r="B11" s="367">
        <f t="shared" si="0"/>
        <v>2029</v>
      </c>
      <c r="C11" s="362">
        <v>1672.1969999999999</v>
      </c>
    </row>
    <row r="12" spans="2:3" ht="16.5" x14ac:dyDescent="0.3">
      <c r="B12" s="367">
        <f t="shared" si="0"/>
        <v>2030</v>
      </c>
      <c r="C12" s="362">
        <v>1043.463</v>
      </c>
    </row>
    <row r="13" spans="2:3" ht="17.25" thickBot="1" x14ac:dyDescent="0.35">
      <c r="B13" s="368">
        <f t="shared" si="0"/>
        <v>2031</v>
      </c>
      <c r="C13" s="363">
        <v>0</v>
      </c>
    </row>
    <row r="15" spans="2:3" x14ac:dyDescent="0.25">
      <c r="C15" s="125"/>
    </row>
  </sheetData>
  <mergeCells count="1">
    <mergeCell ref="B3:C3"/>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1186B-B4AE-4D77-B281-ECB0829923CE}">
  <sheetPr>
    <tabColor rgb="FF00B050"/>
  </sheetPr>
  <dimension ref="B1:Y27"/>
  <sheetViews>
    <sheetView workbookViewId="0">
      <selection activeCell="P14" sqref="P14:R17"/>
    </sheetView>
  </sheetViews>
  <sheetFormatPr defaultColWidth="9.28515625" defaultRowHeight="15" x14ac:dyDescent="0.25"/>
  <cols>
    <col min="1" max="1" width="9.28515625" style="1"/>
    <col min="2" max="2" width="78.7109375" style="1" customWidth="1"/>
    <col min="3" max="12" width="11.7109375" style="1" customWidth="1"/>
    <col min="13" max="13" width="14.28515625" style="1" bestFit="1" customWidth="1"/>
    <col min="14" max="15" width="9.28515625" style="1"/>
    <col min="16" max="25" width="16.140625" style="1" bestFit="1" customWidth="1"/>
    <col min="26" max="16384" width="9.28515625" style="1"/>
  </cols>
  <sheetData>
    <row r="1" spans="2:25" ht="15.75" thickBot="1" x14ac:dyDescent="0.3"/>
    <row r="2" spans="2:25" ht="15" customHeight="1" x14ac:dyDescent="0.25">
      <c r="B2" s="462" t="s">
        <v>33</v>
      </c>
      <c r="C2" s="463"/>
      <c r="D2" s="463"/>
      <c r="E2" s="463"/>
      <c r="F2" s="463"/>
      <c r="G2" s="463"/>
      <c r="H2" s="463"/>
      <c r="I2" s="463"/>
      <c r="J2" s="463"/>
      <c r="K2" s="463"/>
      <c r="L2" s="463"/>
      <c r="M2" s="464"/>
    </row>
    <row r="3" spans="2:25" ht="15" customHeight="1" thickBot="1" x14ac:dyDescent="0.3">
      <c r="B3" s="465"/>
      <c r="C3" s="466"/>
      <c r="D3" s="466"/>
      <c r="E3" s="466"/>
      <c r="F3" s="466"/>
      <c r="G3" s="466"/>
      <c r="H3" s="466"/>
      <c r="I3" s="466"/>
      <c r="J3" s="466"/>
      <c r="K3" s="466"/>
      <c r="L3" s="466"/>
      <c r="M3" s="467"/>
    </row>
    <row r="4" spans="2:25" ht="17.25" thickBot="1" x14ac:dyDescent="0.35">
      <c r="B4" s="2" t="s">
        <v>3</v>
      </c>
      <c r="C4" s="3">
        <v>2022</v>
      </c>
      <c r="D4" s="4">
        <v>2023</v>
      </c>
      <c r="E4" s="4">
        <v>2024</v>
      </c>
      <c r="F4" s="4">
        <v>2025</v>
      </c>
      <c r="G4" s="4">
        <v>2026</v>
      </c>
      <c r="H4" s="4">
        <v>2027</v>
      </c>
      <c r="I4" s="4">
        <v>2028</v>
      </c>
      <c r="J4" s="4">
        <v>2029</v>
      </c>
      <c r="K4" s="249">
        <v>2030</v>
      </c>
      <c r="L4" s="294">
        <v>2031</v>
      </c>
      <c r="M4" s="252" t="s">
        <v>4</v>
      </c>
    </row>
    <row r="5" spans="2:25" ht="16.5" x14ac:dyDescent="0.3">
      <c r="B5" s="277" t="s">
        <v>5</v>
      </c>
      <c r="C5" s="42">
        <f>'2022-2031 SPP Total Costs'!C5</f>
        <v>105.66267139999997</v>
      </c>
      <c r="D5" s="43">
        <f>'2022-2031 SPP Total Costs'!D5</f>
        <v>104.54272771352991</v>
      </c>
      <c r="E5" s="43">
        <f>'2022-2031 SPP Total Costs'!E5</f>
        <v>105</v>
      </c>
      <c r="F5" s="43">
        <f>'2022-2031 SPP Total Costs'!F5</f>
        <v>105</v>
      </c>
      <c r="G5" s="43">
        <f>'2022-2031 SPP Total Costs'!G5</f>
        <v>105</v>
      </c>
      <c r="H5" s="43">
        <f>'2022-2031 SPP Total Costs'!H5</f>
        <v>105</v>
      </c>
      <c r="I5" s="43">
        <f>'2022-2031 SPP Total Costs'!I5</f>
        <v>105</v>
      </c>
      <c r="J5" s="43">
        <f>'2022-2031 SPP Total Costs'!J5</f>
        <v>105</v>
      </c>
      <c r="K5" s="43">
        <f>'2022-2031 SPP Total Costs'!K5</f>
        <v>114.99999999999999</v>
      </c>
      <c r="L5" s="44">
        <f>'2022-2031 SPP Total Costs'!L5</f>
        <v>114.99999999999999</v>
      </c>
      <c r="M5" s="179">
        <f>SUM(C5:L5)</f>
        <v>1070.2053991135299</v>
      </c>
      <c r="P5" s="331">
        <v>105662671.39999996</v>
      </c>
      <c r="Q5" s="331">
        <v>104542727.71352991</v>
      </c>
      <c r="R5" s="331">
        <v>105000000</v>
      </c>
      <c r="S5" s="331">
        <v>105000000</v>
      </c>
      <c r="T5" s="331">
        <v>105000000</v>
      </c>
      <c r="U5" s="331">
        <v>105000000</v>
      </c>
      <c r="V5" s="331">
        <v>105000000</v>
      </c>
      <c r="W5" s="331">
        <v>105000000</v>
      </c>
      <c r="X5" s="331">
        <v>114999999.99999999</v>
      </c>
      <c r="Y5" s="331">
        <v>114999999.99999999</v>
      </c>
    </row>
    <row r="6" spans="2:25" ht="16.5" x14ac:dyDescent="0.3">
      <c r="B6" s="278" t="s">
        <v>6</v>
      </c>
      <c r="C6" s="45">
        <f>'2022-2031 SPP Total Costs'!C6</f>
        <v>16.478997809999999</v>
      </c>
      <c r="D6" s="46">
        <f>'2022-2031 SPP Total Costs'!D6</f>
        <v>17.463787199999999</v>
      </c>
      <c r="E6" s="46">
        <f>'2022-2031 SPP Total Costs'!E6</f>
        <v>17.540040000000001</v>
      </c>
      <c r="F6" s="46">
        <f>'2022-2031 SPP Total Costs'!F6</f>
        <v>17.916840000000001</v>
      </c>
      <c r="G6" s="46">
        <f>'2022-2031 SPP Total Costs'!G6</f>
        <v>18.240120000000001</v>
      </c>
      <c r="H6" s="46">
        <f>'2022-2031 SPP Total Costs'!H6</f>
        <v>16.889759999999999</v>
      </c>
      <c r="I6" s="46">
        <f>'2022-2031 SPP Total Costs'!I6</f>
        <v>17.347560000000001</v>
      </c>
      <c r="J6" s="46">
        <f>'2022-2031 SPP Total Costs'!J6</f>
        <v>17.242439999999998</v>
      </c>
      <c r="K6" s="46">
        <f>'2022-2031 SPP Total Costs'!K6</f>
        <v>0</v>
      </c>
      <c r="L6" s="47">
        <f>'2022-2031 SPP Total Costs'!L6</f>
        <v>0</v>
      </c>
      <c r="M6" s="180">
        <f t="shared" ref="M6:M27" si="0">SUM(C6:L6)</f>
        <v>139.11954501</v>
      </c>
      <c r="P6" s="331">
        <v>16478997.810000001</v>
      </c>
      <c r="Q6" s="331">
        <v>17463787.199999999</v>
      </c>
      <c r="R6" s="331">
        <v>17540040</v>
      </c>
      <c r="S6" s="331">
        <v>17916840</v>
      </c>
      <c r="T6" s="331">
        <v>18240120</v>
      </c>
      <c r="U6" s="331">
        <v>16889760</v>
      </c>
      <c r="V6" s="331">
        <v>17347560</v>
      </c>
      <c r="W6" s="331">
        <v>17242440</v>
      </c>
      <c r="X6" s="331">
        <v>0</v>
      </c>
      <c r="Y6" s="331">
        <v>0</v>
      </c>
    </row>
    <row r="7" spans="2:25" ht="16.5" customHeight="1" x14ac:dyDescent="0.3">
      <c r="B7" s="278" t="s">
        <v>258</v>
      </c>
      <c r="C7" s="45">
        <f>'2022-2031 SPP Total Costs'!C7</f>
        <v>0</v>
      </c>
      <c r="D7" s="46">
        <f>'2022-2031 SPP Total Costs'!D7</f>
        <v>0.7</v>
      </c>
      <c r="E7" s="46">
        <f>'2022-2031 SPP Total Costs'!E7</f>
        <v>2.221174377224199</v>
      </c>
      <c r="F7" s="46">
        <f>'2022-2031 SPP Total Costs'!F7</f>
        <v>1.3820640569395017</v>
      </c>
      <c r="G7" s="46">
        <f>'2022-2031 SPP Total Costs'!G7</f>
        <v>1.7275800711743774</v>
      </c>
      <c r="H7" s="46">
        <f>'2022-2031 SPP Total Costs'!H7</f>
        <v>1.5301423487544479</v>
      </c>
      <c r="I7" s="46">
        <f>'2022-2031 SPP Total Costs'!I7</f>
        <v>2.4679715302491103</v>
      </c>
      <c r="J7" s="46">
        <f>'2022-2031 SPP Total Costs'!J7</f>
        <v>0.71051601423487543</v>
      </c>
      <c r="K7" s="46">
        <f>'2022-2031 SPP Total Costs'!K7</f>
        <v>3.7513167259786484</v>
      </c>
      <c r="L7" s="47">
        <f>'2022-2031 SPP Total Costs'!L7</f>
        <v>0.80923487544483963</v>
      </c>
      <c r="M7" s="180">
        <f t="shared" si="0"/>
        <v>15.3</v>
      </c>
      <c r="P7" s="331">
        <v>0</v>
      </c>
      <c r="Q7" s="331">
        <v>700000</v>
      </c>
      <c r="R7" s="331">
        <v>2221174.377224199</v>
      </c>
      <c r="S7" s="331">
        <v>1382064.0569395018</v>
      </c>
      <c r="T7" s="331">
        <v>1727580.0711743773</v>
      </c>
      <c r="U7" s="331">
        <v>1530142.3487544479</v>
      </c>
      <c r="V7" s="331">
        <v>2467971.5302491104</v>
      </c>
      <c r="W7" s="331">
        <v>710516.01423487545</v>
      </c>
      <c r="X7" s="331">
        <v>3751316.7259786483</v>
      </c>
      <c r="Y7" s="331">
        <v>809234.87544483959</v>
      </c>
    </row>
    <row r="8" spans="2:25" ht="16.5" customHeight="1" x14ac:dyDescent="0.3">
      <c r="B8" s="278" t="s">
        <v>259</v>
      </c>
      <c r="C8" s="45">
        <f>'2022-2031 SPP Total Costs'!C8</f>
        <v>0</v>
      </c>
      <c r="D8" s="46">
        <f>'2022-2031 SPP Total Costs'!D8</f>
        <v>0</v>
      </c>
      <c r="E8" s="46">
        <f>'2022-2031 SPP Total Costs'!E8</f>
        <v>2.0538256227758014</v>
      </c>
      <c r="F8" s="46">
        <f>'2022-2031 SPP Total Costs'!F8</f>
        <v>1.277935943060498</v>
      </c>
      <c r="G8" s="46">
        <f>'2022-2031 SPP Total Costs'!G8</f>
        <v>1.5974199288256237</v>
      </c>
      <c r="H8" s="46">
        <f>'2022-2031 SPP Total Costs'!H8</f>
        <v>1.4148576512455515</v>
      </c>
      <c r="I8" s="46">
        <f>'2022-2031 SPP Total Costs'!I8</f>
        <v>2.2820284697508892</v>
      </c>
      <c r="J8" s="46">
        <f>'2022-2031 SPP Total Costs'!J8</f>
        <v>0.65698398576512462</v>
      </c>
      <c r="K8" s="46">
        <f>'2022-2031 SPP Total Costs'!K8</f>
        <v>3.4686832740213518</v>
      </c>
      <c r="L8" s="47">
        <f>'2022-2031 SPP Total Costs'!L8</f>
        <v>0.74826512455516014</v>
      </c>
      <c r="M8" s="180">
        <f t="shared" si="0"/>
        <v>13.500000000000002</v>
      </c>
      <c r="P8" s="331">
        <v>0</v>
      </c>
      <c r="Q8" s="331">
        <v>0</v>
      </c>
      <c r="R8" s="331">
        <v>2053825.6227758012</v>
      </c>
      <c r="S8" s="331">
        <v>1277935.943060498</v>
      </c>
      <c r="T8" s="331">
        <v>1597419.9288256236</v>
      </c>
      <c r="U8" s="331">
        <v>1414857.6512455514</v>
      </c>
      <c r="V8" s="331">
        <v>2282028.4697508891</v>
      </c>
      <c r="W8" s="331">
        <v>656983.98576512467</v>
      </c>
      <c r="X8" s="331">
        <v>3468683.2740213517</v>
      </c>
      <c r="Y8" s="331">
        <v>748265.12455516018</v>
      </c>
    </row>
    <row r="9" spans="2:25" ht="16.5" customHeight="1" x14ac:dyDescent="0.3">
      <c r="B9" s="278" t="s">
        <v>8</v>
      </c>
      <c r="C9" s="45">
        <f>'2022-2031 SPP Total Costs'!C9</f>
        <v>32.842657446250001</v>
      </c>
      <c r="D9" s="46">
        <f>'2022-2031 SPP Total Costs'!D9</f>
        <v>30.115182999999998</v>
      </c>
      <c r="E9" s="46">
        <f>'2022-2031 SPP Total Costs'!E9</f>
        <v>29.998165038799893</v>
      </c>
      <c r="F9" s="46">
        <f>'2022-2031 SPP Total Costs'!F9</f>
        <v>29.988469854200002</v>
      </c>
      <c r="G9" s="46">
        <f>'2022-2031 SPP Total Costs'!G9</f>
        <v>29.989699957899894</v>
      </c>
      <c r="H9" s="46">
        <f>'2022-2031 SPP Total Costs'!H9</f>
        <v>29.996667752199997</v>
      </c>
      <c r="I9" s="46">
        <f>'2022-2031 SPP Total Costs'!I9</f>
        <v>29.993019549399907</v>
      </c>
      <c r="J9" s="46">
        <f>'2022-2031 SPP Total Costs'!J9</f>
        <v>29.987340385099994</v>
      </c>
      <c r="K9" s="46">
        <f>'2022-2031 SPP Total Costs'!K9</f>
        <v>36.994874848599999</v>
      </c>
      <c r="L9" s="47">
        <f>'2022-2031 SPP Total Costs'!L9</f>
        <v>36.992343985599994</v>
      </c>
      <c r="M9" s="180">
        <f t="shared" si="0"/>
        <v>316.89842181804966</v>
      </c>
      <c r="P9" s="331">
        <v>32842657.446249999</v>
      </c>
      <c r="Q9" s="331">
        <v>30115183</v>
      </c>
      <c r="R9" s="331">
        <v>29998165.038799893</v>
      </c>
      <c r="S9" s="331">
        <v>29988469.854200002</v>
      </c>
      <c r="T9" s="331">
        <v>29989699.957899895</v>
      </c>
      <c r="U9" s="331">
        <v>29996667.752199996</v>
      </c>
      <c r="V9" s="331">
        <v>29993019.549399909</v>
      </c>
      <c r="W9" s="331">
        <v>29987340.385099996</v>
      </c>
      <c r="X9" s="331">
        <v>36994874.8486</v>
      </c>
      <c r="Y9" s="331">
        <v>36992343.985599995</v>
      </c>
    </row>
    <row r="10" spans="2:25" ht="16.5" customHeight="1" x14ac:dyDescent="0.3">
      <c r="B10" s="278" t="s">
        <v>10</v>
      </c>
      <c r="C10" s="45">
        <f>'2022-2031 SPP Total Costs'!C10</f>
        <v>2.4099560799999997</v>
      </c>
      <c r="D10" s="46">
        <f>'2022-2031 SPP Total Costs'!D10</f>
        <v>3.0374458800000008</v>
      </c>
      <c r="E10" s="46">
        <f>'2022-2031 SPP Total Costs'!E10</f>
        <v>3.0065800000000005</v>
      </c>
      <c r="F10" s="46">
        <f>'2022-2031 SPP Total Costs'!F10</f>
        <v>3.7028929999999995</v>
      </c>
      <c r="G10" s="46">
        <f>'2022-2031 SPP Total Costs'!G10</f>
        <v>3.4465159999999995</v>
      </c>
      <c r="H10" s="46">
        <f>'2022-2031 SPP Total Costs'!H10</f>
        <v>3.4037260000000003</v>
      </c>
      <c r="I10" s="46">
        <f>'2022-2031 SPP Total Costs'!I10</f>
        <v>3.1423410000000001</v>
      </c>
      <c r="J10" s="46">
        <f>'2022-2031 SPP Total Costs'!J10</f>
        <v>2.8387709999999999</v>
      </c>
      <c r="K10" s="46">
        <f>'2022-2031 SPP Total Costs'!K10</f>
        <v>2.0408240000000002</v>
      </c>
      <c r="L10" s="47">
        <f>'2022-2031 SPP Total Costs'!L10</f>
        <v>4.4247719999999999</v>
      </c>
      <c r="M10" s="180">
        <f t="shared" si="0"/>
        <v>31.453824960000002</v>
      </c>
      <c r="P10" s="331">
        <v>2409956.0799999996</v>
      </c>
      <c r="Q10" s="331">
        <v>3037445.8800000008</v>
      </c>
      <c r="R10" s="331">
        <v>3006580.0000000005</v>
      </c>
      <c r="S10" s="331">
        <v>3702892.9999999995</v>
      </c>
      <c r="T10" s="331">
        <v>3446515.9999999995</v>
      </c>
      <c r="U10" s="331">
        <v>3403726.0000000005</v>
      </c>
      <c r="V10" s="331">
        <v>3142341</v>
      </c>
      <c r="W10" s="331">
        <v>2838771</v>
      </c>
      <c r="X10" s="331">
        <v>2040824.0000000002</v>
      </c>
      <c r="Y10" s="331">
        <v>4424772</v>
      </c>
    </row>
    <row r="11" spans="2:25" ht="17.25" thickBot="1" x14ac:dyDescent="0.35">
      <c r="B11" s="279" t="s">
        <v>11</v>
      </c>
      <c r="C11" s="164">
        <f>'2022-2031 SPP Total Costs'!C11</f>
        <v>12.509019450582706</v>
      </c>
      <c r="D11" s="165">
        <f>'2022-2031 SPP Total Costs'!D11</f>
        <v>12.886791837990261</v>
      </c>
      <c r="E11" s="165">
        <f>'2022-2031 SPP Total Costs'!E11</f>
        <v>13.275972951497575</v>
      </c>
      <c r="F11" s="165">
        <f>'2022-2031 SPP Total Costs'!F11</f>
        <v>13.676907334632819</v>
      </c>
      <c r="G11" s="165">
        <f>'2022-2031 SPP Total Costs'!G11</f>
        <v>9.045899632738081</v>
      </c>
      <c r="H11" s="165">
        <f>'2022-2031 SPP Total Costs'!H11</f>
        <v>9.2268176253928385</v>
      </c>
      <c r="I11" s="165">
        <f>'2022-2031 SPP Total Costs'!I11</f>
        <v>9.4113539779006974</v>
      </c>
      <c r="J11" s="165">
        <f>'2022-2031 SPP Total Costs'!J11</f>
        <v>9.5995810574587122</v>
      </c>
      <c r="K11" s="165">
        <f>'2022-2031 SPP Total Costs'!K11</f>
        <v>11.22343578670572</v>
      </c>
      <c r="L11" s="166">
        <f>'2022-2031 SPP Total Costs'!L11</f>
        <v>11.399848024952037</v>
      </c>
      <c r="M11" s="167">
        <f t="shared" si="0"/>
        <v>112.25562767985144</v>
      </c>
      <c r="P11" s="331">
        <v>12509019.450582705</v>
      </c>
      <c r="Q11" s="331">
        <v>12886791.837990262</v>
      </c>
      <c r="R11" s="331">
        <v>13275972.951497575</v>
      </c>
      <c r="S11" s="331">
        <v>13676907.33463282</v>
      </c>
      <c r="T11" s="331">
        <v>9045899.6327380817</v>
      </c>
      <c r="U11" s="331">
        <v>9226817.6253928393</v>
      </c>
      <c r="V11" s="331">
        <v>9411353.9779006969</v>
      </c>
      <c r="W11" s="331">
        <v>9599581.0574587118</v>
      </c>
      <c r="X11" s="331">
        <v>11223435.786705719</v>
      </c>
      <c r="Y11" s="331">
        <v>11399848.024952037</v>
      </c>
    </row>
    <row r="12" spans="2:25" ht="17.25" thickBot="1" x14ac:dyDescent="0.35">
      <c r="B12" s="280" t="s">
        <v>12</v>
      </c>
      <c r="C12" s="281">
        <v>2022</v>
      </c>
      <c r="D12" s="282">
        <v>2023</v>
      </c>
      <c r="E12" s="282">
        <v>2024</v>
      </c>
      <c r="F12" s="282">
        <v>2025</v>
      </c>
      <c r="G12" s="282">
        <v>2026</v>
      </c>
      <c r="H12" s="282">
        <v>2027</v>
      </c>
      <c r="I12" s="282">
        <v>2028</v>
      </c>
      <c r="J12" s="282">
        <v>2029</v>
      </c>
      <c r="K12" s="283">
        <v>2030</v>
      </c>
      <c r="L12" s="284">
        <v>2031</v>
      </c>
      <c r="M12" s="285" t="s">
        <v>4</v>
      </c>
      <c r="P12" s="331"/>
      <c r="Q12" s="331"/>
      <c r="R12" s="331"/>
      <c r="S12" s="331"/>
      <c r="T12" s="331"/>
      <c r="U12" s="331"/>
      <c r="V12" s="331"/>
      <c r="W12" s="331"/>
      <c r="X12" s="331"/>
      <c r="Y12" s="331"/>
    </row>
    <row r="13" spans="2:25" ht="16.5" customHeight="1" x14ac:dyDescent="0.3">
      <c r="B13" s="277" t="s">
        <v>5</v>
      </c>
      <c r="C13" s="168">
        <f>'2022-2031 SPP Total Costs'!C13</f>
        <v>0.18071580937510187</v>
      </c>
      <c r="D13" s="286">
        <f>'2022-2031 SPP Total Costs'!D13</f>
        <v>0.17618653398168838</v>
      </c>
      <c r="E13" s="286">
        <f>'2022-2031 SPP Total Costs'!E13</f>
        <v>0.18102584295000146</v>
      </c>
      <c r="F13" s="286">
        <f>'2022-2031 SPP Total Costs'!F13</f>
        <v>0.1479373168270306</v>
      </c>
      <c r="G13" s="286">
        <f>'2022-2031 SPP Total Costs'!G13</f>
        <v>0.19071886991544681</v>
      </c>
      <c r="H13" s="286">
        <f>'2022-2031 SPP Total Costs'!H13</f>
        <v>0.195569104026378</v>
      </c>
      <c r="I13" s="286">
        <f>'2022-2031 SPP Total Costs'!I13</f>
        <v>0.20041937601286142</v>
      </c>
      <c r="J13" s="286">
        <f>'2022-2031 SPP Total Costs'!J13</f>
        <v>0.20526776354075563</v>
      </c>
      <c r="K13" s="286">
        <f>'2022-2031 SPP Total Costs'!K13</f>
        <v>0.21011226084042689</v>
      </c>
      <c r="L13" s="287">
        <f>'2022-2031 SPP Total Costs'!L13</f>
        <v>0.33041563954134101</v>
      </c>
      <c r="M13" s="38">
        <f t="shared" si="0"/>
        <v>2.0183685170110319</v>
      </c>
      <c r="P13" s="331">
        <v>180715.80937510188</v>
      </c>
      <c r="Q13" s="331">
        <v>176186.53398168838</v>
      </c>
      <c r="R13" s="331">
        <v>181025.84295000145</v>
      </c>
      <c r="S13" s="331">
        <v>147937.31682703059</v>
      </c>
      <c r="T13" s="331">
        <v>190718.86991544682</v>
      </c>
      <c r="U13" s="331">
        <v>195569.10402637802</v>
      </c>
      <c r="V13" s="331">
        <v>200419.37601286141</v>
      </c>
      <c r="W13" s="331">
        <v>205267.76354075564</v>
      </c>
      <c r="X13" s="331">
        <v>210112.2608404269</v>
      </c>
      <c r="Y13" s="331">
        <v>330415.63954134099</v>
      </c>
    </row>
    <row r="14" spans="2:25" ht="16.5" customHeight="1" x14ac:dyDescent="0.3">
      <c r="B14" s="278" t="s">
        <v>13</v>
      </c>
      <c r="C14" s="288">
        <f>'2022-2031 SPP Total Costs'!C14</f>
        <v>21.160688</v>
      </c>
      <c r="D14" s="289">
        <f>'2022-2031 SPP Total Costs'!D14</f>
        <v>24.001407620248003</v>
      </c>
      <c r="E14" s="289">
        <f>'2022-2031 SPP Total Costs'!E14</f>
        <v>24.223435772652962</v>
      </c>
      <c r="F14" s="289">
        <f>'2022-2031 SPP Total Costs'!F14</f>
        <v>25.645904488106019</v>
      </c>
      <c r="G14" s="289">
        <f>'2022-2031 SPP Total Costs'!G14</f>
        <v>26.768822577868139</v>
      </c>
      <c r="H14" s="289">
        <f>'2022-2031 SPP Total Costs'!H14</f>
        <v>27.992199029425503</v>
      </c>
      <c r="I14" s="289">
        <f>'2022-2031 SPP Total Costs'!I14</f>
        <v>29.516043010014013</v>
      </c>
      <c r="J14" s="289">
        <f>'2022-2031 SPP Total Costs'!J14</f>
        <v>30.940363870214295</v>
      </c>
      <c r="K14" s="289">
        <f>'2022-2031 SPP Total Costs'!K14</f>
        <v>32.502382063725008</v>
      </c>
      <c r="L14" s="290">
        <f>'2022-2031 SPP Total Costs'!L14</f>
        <v>34.267501166911259</v>
      </c>
      <c r="M14" s="39">
        <f t="shared" si="0"/>
        <v>277.01874759916518</v>
      </c>
      <c r="P14" s="331">
        <v>21160688</v>
      </c>
      <c r="Q14" s="331">
        <v>24001407.620248001</v>
      </c>
      <c r="R14" s="331">
        <v>24223435.772652961</v>
      </c>
      <c r="S14" s="331">
        <v>25645904.48810602</v>
      </c>
      <c r="T14" s="331">
        <v>26768822.577868138</v>
      </c>
      <c r="U14" s="331">
        <v>27992199.029425502</v>
      </c>
      <c r="V14" s="331">
        <v>29516043.010014012</v>
      </c>
      <c r="W14" s="331">
        <v>30940363.870214295</v>
      </c>
      <c r="X14" s="331">
        <v>32502382.06372501</v>
      </c>
      <c r="Y14" s="331">
        <v>34267501.166911259</v>
      </c>
    </row>
    <row r="15" spans="2:25" ht="16.5" customHeight="1" x14ac:dyDescent="0.3">
      <c r="B15" s="278" t="s">
        <v>14</v>
      </c>
      <c r="C15" s="288">
        <f>'2022-2031 SPP Total Costs'!C15</f>
        <v>1.4</v>
      </c>
      <c r="D15" s="289">
        <f>'2022-2031 SPP Total Costs'!D15</f>
        <v>1.4</v>
      </c>
      <c r="E15" s="289">
        <f>'2022-2031 SPP Total Costs'!E15</f>
        <v>1.4</v>
      </c>
      <c r="F15" s="289">
        <f>'2022-2031 SPP Total Costs'!F15</f>
        <v>1.3</v>
      </c>
      <c r="G15" s="289">
        <f>'2022-2031 SPP Total Costs'!G15</f>
        <v>1.3</v>
      </c>
      <c r="H15" s="289">
        <f>'2022-2031 SPP Total Costs'!H15</f>
        <v>1.3</v>
      </c>
      <c r="I15" s="289">
        <f>'2022-2031 SPP Total Costs'!I15</f>
        <v>1.4</v>
      </c>
      <c r="J15" s="289">
        <f>'2022-2031 SPP Total Costs'!J15</f>
        <v>1.4</v>
      </c>
      <c r="K15" s="289">
        <f>'2022-2031 SPP Total Costs'!K15</f>
        <v>1.3</v>
      </c>
      <c r="L15" s="290">
        <f>'2022-2031 SPP Total Costs'!L15</f>
        <v>1.3</v>
      </c>
      <c r="M15" s="39">
        <f t="shared" si="0"/>
        <v>13.500000000000002</v>
      </c>
      <c r="P15" s="331">
        <v>1400000</v>
      </c>
      <c r="Q15" s="331">
        <v>1400000</v>
      </c>
      <c r="R15" s="331">
        <v>1400000</v>
      </c>
      <c r="S15" s="331">
        <v>1300000</v>
      </c>
      <c r="T15" s="331">
        <v>1300000</v>
      </c>
      <c r="U15" s="331">
        <v>1300000</v>
      </c>
      <c r="V15" s="331">
        <v>1400000</v>
      </c>
      <c r="W15" s="331">
        <v>1400000</v>
      </c>
      <c r="X15" s="331">
        <v>1300000</v>
      </c>
      <c r="Y15" s="331">
        <v>1300000</v>
      </c>
    </row>
    <row r="16" spans="2:25" ht="16.5" customHeight="1" x14ac:dyDescent="0.3">
      <c r="B16" s="278" t="s">
        <v>15</v>
      </c>
      <c r="C16" s="288">
        <f>'2022-2031 SPP Total Costs'!C16</f>
        <v>3.6124450000000001</v>
      </c>
      <c r="D16" s="289">
        <f>'2022-2031 SPP Total Costs'!D16</f>
        <v>3.6609690521439999</v>
      </c>
      <c r="E16" s="289">
        <f>'2022-2031 SPP Total Costs'!E16</f>
        <v>3.0352115863118794</v>
      </c>
      <c r="F16" s="289">
        <f>'2022-2031 SPP Total Costs'!F16</f>
        <v>3.1303768276616419</v>
      </c>
      <c r="G16" s="289">
        <f>'2022-2031 SPP Total Costs'!G16</f>
        <v>3.2270592877713717</v>
      </c>
      <c r="H16" s="289">
        <f>'2022-2031 SPP Total Costs'!H16</f>
        <v>3.3022866240975515</v>
      </c>
      <c r="I16" s="289">
        <f>'2022-2031 SPP Total Costs'!I16</f>
        <v>3.3792856609145225</v>
      </c>
      <c r="J16" s="289">
        <f>'2022-2031 SPP Total Costs'!J16</f>
        <v>3.458098511076209</v>
      </c>
      <c r="K16" s="289">
        <f>'2022-2031 SPP Total Costs'!K16</f>
        <v>3.6310034366300195</v>
      </c>
      <c r="L16" s="290">
        <f>'2022-2031 SPP Total Costs'!L16</f>
        <v>3.812553608461521</v>
      </c>
      <c r="M16" s="39">
        <f t="shared" si="0"/>
        <v>34.249289595068717</v>
      </c>
      <c r="P16" s="331">
        <v>3612445</v>
      </c>
      <c r="Q16" s="331">
        <v>3660969.0521439998</v>
      </c>
      <c r="R16" s="331">
        <v>3035211.5863118796</v>
      </c>
      <c r="S16" s="331">
        <v>3130376.8276616419</v>
      </c>
      <c r="T16" s="331">
        <v>3227059.2877713717</v>
      </c>
      <c r="U16" s="331">
        <v>3302286.6240975517</v>
      </c>
      <c r="V16" s="331">
        <v>3379285.6609145226</v>
      </c>
      <c r="W16" s="331">
        <v>3458098.5110762091</v>
      </c>
      <c r="X16" s="331">
        <v>3631003.4366300195</v>
      </c>
      <c r="Y16" s="331">
        <v>3812553.6084615211</v>
      </c>
    </row>
    <row r="17" spans="2:25" ht="16.5" customHeight="1" x14ac:dyDescent="0.3">
      <c r="B17" s="278" t="s">
        <v>16</v>
      </c>
      <c r="C17" s="288">
        <f>'2022-2031 SPP Total Costs'!C17</f>
        <v>0</v>
      </c>
      <c r="D17" s="289">
        <f>'2022-2031 SPP Total Costs'!D17</f>
        <v>0</v>
      </c>
      <c r="E17" s="289">
        <f>'2022-2031 SPP Total Costs'!E17</f>
        <v>0</v>
      </c>
      <c r="F17" s="289">
        <f>'2022-2031 SPP Total Costs'!F17</f>
        <v>0</v>
      </c>
      <c r="G17" s="289">
        <f>'2022-2031 SPP Total Costs'!G17</f>
        <v>0</v>
      </c>
      <c r="H17" s="289">
        <f>'2022-2031 SPP Total Costs'!H17</f>
        <v>0</v>
      </c>
      <c r="I17" s="289">
        <f>'2022-2031 SPP Total Costs'!I17</f>
        <v>0</v>
      </c>
      <c r="J17" s="289">
        <f>'2022-2031 SPP Total Costs'!J17</f>
        <v>0</v>
      </c>
      <c r="K17" s="289">
        <f>'2022-2031 SPP Total Costs'!K17</f>
        <v>0</v>
      </c>
      <c r="L17" s="290">
        <f>'2022-2031 SPP Total Costs'!L17</f>
        <v>0</v>
      </c>
      <c r="M17" s="39">
        <f t="shared" si="0"/>
        <v>0</v>
      </c>
      <c r="P17" s="331">
        <v>0</v>
      </c>
      <c r="Q17" s="331">
        <v>0</v>
      </c>
      <c r="R17" s="331">
        <v>0</v>
      </c>
      <c r="S17" s="331">
        <v>0</v>
      </c>
      <c r="T17" s="331">
        <v>0</v>
      </c>
      <c r="U17" s="331">
        <v>0</v>
      </c>
      <c r="V17" s="331">
        <v>0</v>
      </c>
      <c r="W17" s="331">
        <v>0</v>
      </c>
      <c r="X17" s="331">
        <v>0</v>
      </c>
      <c r="Y17" s="331">
        <v>0</v>
      </c>
    </row>
    <row r="18" spans="2:25" ht="16.5" customHeight="1" x14ac:dyDescent="0.3">
      <c r="B18" s="278" t="s">
        <v>6</v>
      </c>
      <c r="C18" s="288">
        <f>'2022-2031 SPP Total Costs'!C18</f>
        <v>0.49436993396999995</v>
      </c>
      <c r="D18" s="289">
        <f>'2022-2031 SPP Total Costs'!D18</f>
        <v>0.52391361599999997</v>
      </c>
      <c r="E18" s="289">
        <f>'2022-2031 SPP Total Costs'!E18</f>
        <v>0.53439188831999995</v>
      </c>
      <c r="F18" s="289">
        <f>'2022-2031 SPP Total Costs'!F18</f>
        <v>0.54507972608639998</v>
      </c>
      <c r="G18" s="289">
        <f>'2022-2031 SPP Total Costs'!G18</f>
        <v>0.55598132060812799</v>
      </c>
      <c r="H18" s="289">
        <f>'2022-2031 SPP Total Costs'!H18</f>
        <v>0.56710094702029057</v>
      </c>
      <c r="I18" s="289">
        <f>'2022-2031 SPP Total Costs'!I18</f>
        <v>0.57844296596069644</v>
      </c>
      <c r="J18" s="289">
        <f>'2022-2031 SPP Total Costs'!J18</f>
        <v>0.59001182527991036</v>
      </c>
      <c r="K18" s="289">
        <f>'2022-2031 SPP Total Costs'!K18</f>
        <v>0.60181206178550861</v>
      </c>
      <c r="L18" s="290">
        <f>'2022-2031 SPP Total Costs'!L18</f>
        <v>0.61384830302121884</v>
      </c>
      <c r="M18" s="39">
        <f t="shared" si="0"/>
        <v>5.6049525880521536</v>
      </c>
      <c r="P18" s="331">
        <v>494369.93396999995</v>
      </c>
      <c r="Q18" s="331">
        <v>523913.61599999998</v>
      </c>
      <c r="R18" s="331">
        <v>534391.88831999991</v>
      </c>
      <c r="S18" s="331">
        <v>545079.72608639998</v>
      </c>
      <c r="T18" s="331">
        <v>555981.32060812798</v>
      </c>
      <c r="U18" s="331">
        <v>567100.94702029054</v>
      </c>
      <c r="V18" s="331">
        <v>578442.96596069646</v>
      </c>
      <c r="W18" s="331">
        <v>590011.82527991035</v>
      </c>
      <c r="X18" s="331">
        <v>601812.06178550865</v>
      </c>
      <c r="Y18" s="331">
        <v>613848.30302121886</v>
      </c>
    </row>
    <row r="19" spans="2:25" ht="16.5" customHeight="1" x14ac:dyDescent="0.3">
      <c r="B19" s="278" t="s">
        <v>258</v>
      </c>
      <c r="C19" s="288">
        <f>'2022-2031 SPP Total Costs'!C19</f>
        <v>0</v>
      </c>
      <c r="D19" s="289">
        <f>'2022-2031 SPP Total Costs'!D19</f>
        <v>0</v>
      </c>
      <c r="E19" s="289">
        <f>'2022-2031 SPP Total Costs'!E19</f>
        <v>0</v>
      </c>
      <c r="F19" s="289">
        <f>'2022-2031 SPP Total Costs'!F19</f>
        <v>0</v>
      </c>
      <c r="G19" s="289">
        <f>'2022-2031 SPP Total Costs'!G19</f>
        <v>0</v>
      </c>
      <c r="H19" s="289">
        <f>'2022-2031 SPP Total Costs'!H19</f>
        <v>0</v>
      </c>
      <c r="I19" s="289">
        <f>'2022-2031 SPP Total Costs'!I19</f>
        <v>0</v>
      </c>
      <c r="J19" s="289">
        <f>'2022-2031 SPP Total Costs'!J19</f>
        <v>0</v>
      </c>
      <c r="K19" s="289">
        <f>'2022-2031 SPP Total Costs'!K19</f>
        <v>0</v>
      </c>
      <c r="L19" s="290">
        <f>'2022-2031 SPP Total Costs'!L19</f>
        <v>0</v>
      </c>
      <c r="M19" s="39">
        <f t="shared" si="0"/>
        <v>0</v>
      </c>
      <c r="P19" s="331">
        <v>0</v>
      </c>
      <c r="Q19" s="331">
        <v>0</v>
      </c>
      <c r="R19" s="331">
        <v>0</v>
      </c>
      <c r="S19" s="331">
        <v>0</v>
      </c>
      <c r="T19" s="331">
        <v>0</v>
      </c>
      <c r="U19" s="331">
        <v>0</v>
      </c>
      <c r="V19" s="331">
        <v>0</v>
      </c>
      <c r="W19" s="331">
        <v>0</v>
      </c>
      <c r="X19" s="331">
        <v>0</v>
      </c>
      <c r="Y19" s="331">
        <v>0</v>
      </c>
    </row>
    <row r="20" spans="2:25" ht="16.5" customHeight="1" x14ac:dyDescent="0.3">
      <c r="B20" s="278" t="s">
        <v>259</v>
      </c>
      <c r="C20" s="288">
        <f>'2022-2031 SPP Total Costs'!C20</f>
        <v>0</v>
      </c>
      <c r="D20" s="289">
        <f>'2022-2031 SPP Total Costs'!D20</f>
        <v>0</v>
      </c>
      <c r="E20" s="289">
        <f>'2022-2031 SPP Total Costs'!E20</f>
        <v>0</v>
      </c>
      <c r="F20" s="289">
        <f>'2022-2031 SPP Total Costs'!F20</f>
        <v>0</v>
      </c>
      <c r="G20" s="289">
        <f>'2022-2031 SPP Total Costs'!G20</f>
        <v>0</v>
      </c>
      <c r="H20" s="289">
        <f>'2022-2031 SPP Total Costs'!H20</f>
        <v>0</v>
      </c>
      <c r="I20" s="289">
        <f>'2022-2031 SPP Total Costs'!I20</f>
        <v>0</v>
      </c>
      <c r="J20" s="289">
        <f>'2022-2031 SPP Total Costs'!J20</f>
        <v>0</v>
      </c>
      <c r="K20" s="289">
        <f>'2022-2031 SPP Total Costs'!K20</f>
        <v>0</v>
      </c>
      <c r="L20" s="290">
        <f>'2022-2031 SPP Total Costs'!L20</f>
        <v>0</v>
      </c>
      <c r="M20" s="39">
        <f t="shared" si="0"/>
        <v>0</v>
      </c>
      <c r="P20" s="331">
        <v>0</v>
      </c>
      <c r="Q20" s="331">
        <v>0</v>
      </c>
      <c r="R20" s="331">
        <v>0</v>
      </c>
      <c r="S20" s="331">
        <v>0</v>
      </c>
      <c r="T20" s="331">
        <v>0</v>
      </c>
      <c r="U20" s="331">
        <v>0</v>
      </c>
      <c r="V20" s="331">
        <v>0</v>
      </c>
      <c r="W20" s="331">
        <v>0</v>
      </c>
      <c r="X20" s="331">
        <v>0</v>
      </c>
      <c r="Y20" s="331">
        <v>0</v>
      </c>
    </row>
    <row r="21" spans="2:25" ht="16.5" customHeight="1" x14ac:dyDescent="0.3">
      <c r="B21" s="278" t="s">
        <v>8</v>
      </c>
      <c r="C21" s="288">
        <f>'2022-2031 SPP Total Costs'!C21</f>
        <v>0.55685314782499995</v>
      </c>
      <c r="D21" s="289">
        <f>'2022-2031 SPP Total Costs'!D21</f>
        <v>0.61865400000000004</v>
      </c>
      <c r="E21" s="289">
        <f>'2022-2031 SPP Total Costs'!E21</f>
        <v>0.67030008000000008</v>
      </c>
      <c r="F21" s="289">
        <f>'2022-2031 SPP Total Costs'!F21</f>
        <v>0.7201830816</v>
      </c>
      <c r="G21" s="289">
        <f>'2022-2031 SPP Total Costs'!G21</f>
        <v>0.77030774323200002</v>
      </c>
      <c r="H21" s="289">
        <f>'2022-2031 SPP Total Costs'!H21</f>
        <v>0.82067889809663996</v>
      </c>
      <c r="I21" s="289">
        <f>'2022-2031 SPP Total Costs'!I21</f>
        <v>0.87130147605857289</v>
      </c>
      <c r="J21" s="289">
        <f>'2022-2031 SPP Total Costs'!J21</f>
        <v>0.91818050557974396</v>
      </c>
      <c r="K21" s="289">
        <f>'2022-2031 SPP Total Costs'!K21</f>
        <v>0.97332111569133906</v>
      </c>
      <c r="L21" s="290">
        <f>'2022-2031 SPP Total Costs'!L21</f>
        <v>1.0247285380051658</v>
      </c>
      <c r="M21" s="39">
        <f t="shared" si="0"/>
        <v>7.9445085860884603</v>
      </c>
      <c r="P21" s="331">
        <v>556853.14782499999</v>
      </c>
      <c r="Q21" s="331">
        <v>618654</v>
      </c>
      <c r="R21" s="331">
        <v>670300.08000000007</v>
      </c>
      <c r="S21" s="331">
        <v>720183.08160000003</v>
      </c>
      <c r="T21" s="331">
        <v>770307.74323200004</v>
      </c>
      <c r="U21" s="331">
        <v>820678.89809664001</v>
      </c>
      <c r="V21" s="331">
        <v>871301.47605857288</v>
      </c>
      <c r="W21" s="331">
        <v>918180.505579744</v>
      </c>
      <c r="X21" s="331">
        <v>973321.11569133902</v>
      </c>
      <c r="Y21" s="331">
        <v>1024728.5380051659</v>
      </c>
    </row>
    <row r="22" spans="2:25" ht="16.5" customHeight="1" x14ac:dyDescent="0.3">
      <c r="B22" s="278" t="s">
        <v>10</v>
      </c>
      <c r="C22" s="288">
        <f>'2022-2031 SPP Total Costs'!C22</f>
        <v>0</v>
      </c>
      <c r="D22" s="289">
        <f>'2022-2031 SPP Total Costs'!D22</f>
        <v>0</v>
      </c>
      <c r="E22" s="289">
        <f>'2022-2031 SPP Total Costs'!E22</f>
        <v>0</v>
      </c>
      <c r="F22" s="289">
        <f>'2022-2031 SPP Total Costs'!F22</f>
        <v>0</v>
      </c>
      <c r="G22" s="289">
        <f>'2022-2031 SPP Total Costs'!G22</f>
        <v>0</v>
      </c>
      <c r="H22" s="289">
        <f>'2022-2031 SPP Total Costs'!H22</f>
        <v>0</v>
      </c>
      <c r="I22" s="289">
        <f>'2022-2031 SPP Total Costs'!I22</f>
        <v>0</v>
      </c>
      <c r="J22" s="289">
        <f>'2022-2031 SPP Total Costs'!J22</f>
        <v>0</v>
      </c>
      <c r="K22" s="289">
        <f>'2022-2031 SPP Total Costs'!K22</f>
        <v>0</v>
      </c>
      <c r="L22" s="290">
        <f>'2022-2031 SPP Total Costs'!L22</f>
        <v>0</v>
      </c>
      <c r="M22" s="39">
        <f t="shared" si="0"/>
        <v>0</v>
      </c>
      <c r="P22" s="331">
        <v>0</v>
      </c>
      <c r="Q22" s="331">
        <v>0</v>
      </c>
      <c r="R22" s="331">
        <v>0</v>
      </c>
      <c r="S22" s="331">
        <v>0</v>
      </c>
      <c r="T22" s="331">
        <v>0</v>
      </c>
      <c r="U22" s="331">
        <v>0</v>
      </c>
      <c r="V22" s="331">
        <v>0</v>
      </c>
      <c r="W22" s="331">
        <v>0</v>
      </c>
      <c r="X22" s="331">
        <v>0</v>
      </c>
      <c r="Y22" s="331">
        <v>0</v>
      </c>
    </row>
    <row r="23" spans="2:25" ht="16.5" customHeight="1" x14ac:dyDescent="0.3">
      <c r="B23" s="278" t="s">
        <v>17</v>
      </c>
      <c r="C23" s="288">
        <f>'2022-2031 SPP Total Costs'!C23</f>
        <v>1.02</v>
      </c>
      <c r="D23" s="289">
        <f>'2022-2031 SPP Total Costs'!D23</f>
        <v>1.0403579999999999</v>
      </c>
      <c r="E23" s="289">
        <f>'2022-2031 SPP Total Costs'!E23</f>
        <v>1.0611651599999998</v>
      </c>
      <c r="F23" s="289">
        <f>'2022-2031 SPP Total Costs'!F23</f>
        <v>1.0823884631999998</v>
      </c>
      <c r="G23" s="289">
        <f>'2022-2031 SPP Total Costs'!G23</f>
        <v>1.1040362324639998</v>
      </c>
      <c r="H23" s="289">
        <f>'2022-2031 SPP Total Costs'!H23</f>
        <v>1.1261169571132799</v>
      </c>
      <c r="I23" s="289">
        <f>'2022-2031 SPP Total Costs'!I23</f>
        <v>1.1486392962555454</v>
      </c>
      <c r="J23" s="289">
        <f>'2022-2031 SPP Total Costs'!J23</f>
        <v>1.1716120821806566</v>
      </c>
      <c r="K23" s="289">
        <f>'2022-2031 SPP Total Costs'!K23</f>
        <v>1.1950443238242696</v>
      </c>
      <c r="L23" s="290">
        <f>'2022-2031 SPP Total Costs'!L23</f>
        <v>1.218945210300755</v>
      </c>
      <c r="M23" s="39">
        <f t="shared" si="0"/>
        <v>11.168305725338506</v>
      </c>
      <c r="P23" s="331">
        <v>1020000</v>
      </c>
      <c r="Q23" s="331">
        <v>1040357.9999999999</v>
      </c>
      <c r="R23" s="331">
        <v>1061165.1599999999</v>
      </c>
      <c r="S23" s="331">
        <v>1082388.4631999999</v>
      </c>
      <c r="T23" s="331">
        <v>1104036.2324639999</v>
      </c>
      <c r="U23" s="331">
        <v>1126116.95711328</v>
      </c>
      <c r="V23" s="331">
        <v>1148639.2962555455</v>
      </c>
      <c r="W23" s="331">
        <v>1171612.0821806565</v>
      </c>
      <c r="X23" s="331">
        <v>1195044.3238242697</v>
      </c>
      <c r="Y23" s="331">
        <v>1218945.210300755</v>
      </c>
    </row>
    <row r="24" spans="2:25" ht="16.5" customHeight="1" x14ac:dyDescent="0.3">
      <c r="B24" s="278" t="s">
        <v>18</v>
      </c>
      <c r="C24" s="288">
        <f>'2022-2031 SPP Total Costs'!C24</f>
        <v>0.58298500000000009</v>
      </c>
      <c r="D24" s="289">
        <f>'2022-2031 SPP Total Costs'!D24</f>
        <v>0.54364410000000007</v>
      </c>
      <c r="E24" s="289">
        <f>'2022-2031 SPP Total Costs'!E24</f>
        <v>0.55451698199999999</v>
      </c>
      <c r="F24" s="289">
        <f>'2022-2031 SPP Total Costs'!F24</f>
        <v>0.56560732164000005</v>
      </c>
      <c r="G24" s="289">
        <f>'2022-2031 SPP Total Costs'!G24</f>
        <v>0.57691946807280003</v>
      </c>
      <c r="H24" s="289">
        <f>'2022-2031 SPP Total Costs'!H24</f>
        <v>0.58845785743425605</v>
      </c>
      <c r="I24" s="289">
        <f>'2022-2031 SPP Total Costs'!I24</f>
        <v>0.60022701458294125</v>
      </c>
      <c r="J24" s="289">
        <f>'2022-2031 SPP Total Costs'!J24</f>
        <v>0.61223155487460013</v>
      </c>
      <c r="K24" s="289">
        <f>'2022-2031 SPP Total Costs'!K24</f>
        <v>0.62447618597209209</v>
      </c>
      <c r="L24" s="290">
        <f>'2022-2031 SPP Total Costs'!L24</f>
        <v>0.63696570969153399</v>
      </c>
      <c r="M24" s="39">
        <f t="shared" si="0"/>
        <v>5.8860311942682237</v>
      </c>
      <c r="P24" s="331">
        <v>582985.00000000012</v>
      </c>
      <c r="Q24" s="331">
        <v>543644.10000000009</v>
      </c>
      <c r="R24" s="331">
        <v>554516.98199999996</v>
      </c>
      <c r="S24" s="331">
        <v>565607.3216400001</v>
      </c>
      <c r="T24" s="331">
        <v>576919.46807280008</v>
      </c>
      <c r="U24" s="331">
        <v>588457.857434256</v>
      </c>
      <c r="V24" s="331">
        <v>600227.01458294131</v>
      </c>
      <c r="W24" s="331">
        <v>612231.55487460014</v>
      </c>
      <c r="X24" s="331">
        <v>624476.18597209209</v>
      </c>
      <c r="Y24" s="331">
        <v>636965.70969153394</v>
      </c>
    </row>
    <row r="25" spans="2:25" ht="16.5" customHeight="1" x14ac:dyDescent="0.3">
      <c r="B25" s="278" t="s">
        <v>19</v>
      </c>
      <c r="C25" s="288">
        <f>'2022-2031 SPP Total Costs'!C25</f>
        <v>0.92430000000000001</v>
      </c>
      <c r="D25" s="289">
        <f>'2022-2031 SPP Total Costs'!D25</f>
        <v>0.86629999999999996</v>
      </c>
      <c r="E25" s="289">
        <f>'2022-2031 SPP Total Costs'!E25</f>
        <v>0.88362600000000002</v>
      </c>
      <c r="F25" s="289">
        <f>'2022-2031 SPP Total Costs'!F25</f>
        <v>0.90129851999999999</v>
      </c>
      <c r="G25" s="289">
        <f>'2022-2031 SPP Total Costs'!G25</f>
        <v>0.91932449039999997</v>
      </c>
      <c r="H25" s="289">
        <f>'2022-2031 SPP Total Costs'!H25</f>
        <v>0.93771098020800003</v>
      </c>
      <c r="I25" s="289">
        <f>'2022-2031 SPP Total Costs'!I25</f>
        <v>0.95646519981216016</v>
      </c>
      <c r="J25" s="289">
        <f>'2022-2031 SPP Total Costs'!J25</f>
        <v>0.97559450380840329</v>
      </c>
      <c r="K25" s="289">
        <f>'2022-2031 SPP Total Costs'!K25</f>
        <v>0.99510639388457134</v>
      </c>
      <c r="L25" s="290">
        <f>'2022-2031 SPP Total Costs'!L25</f>
        <v>1.0150085217622629</v>
      </c>
      <c r="M25" s="39">
        <f t="shared" si="0"/>
        <v>9.3747346098753983</v>
      </c>
      <c r="P25" s="331">
        <v>924300</v>
      </c>
      <c r="Q25" s="331">
        <v>866300</v>
      </c>
      <c r="R25" s="331">
        <v>883626</v>
      </c>
      <c r="S25" s="331">
        <v>901298.52</v>
      </c>
      <c r="T25" s="331">
        <v>919324.49040000001</v>
      </c>
      <c r="U25" s="331">
        <v>937710.98020800005</v>
      </c>
      <c r="V25" s="331">
        <v>956465.19981216011</v>
      </c>
      <c r="W25" s="331">
        <v>975594.50380840327</v>
      </c>
      <c r="X25" s="331">
        <v>995106.39388457139</v>
      </c>
      <c r="Y25" s="331">
        <v>1015008.5217622629</v>
      </c>
    </row>
    <row r="26" spans="2:25" ht="16.5" customHeight="1" x14ac:dyDescent="0.3">
      <c r="B26" s="278" t="s">
        <v>20</v>
      </c>
      <c r="C26" s="288">
        <f>'2022-2031 SPP Total Costs'!C26</f>
        <v>0.28611000000000003</v>
      </c>
      <c r="D26" s="289">
        <f>'2022-2031 SPP Total Costs'!D26</f>
        <v>0.2918322000000001</v>
      </c>
      <c r="E26" s="289">
        <f>'2022-2031 SPP Total Costs'!E26</f>
        <v>0.29766884400000004</v>
      </c>
      <c r="F26" s="289">
        <f>'2022-2031 SPP Total Costs'!F26</f>
        <v>0.30362222088000007</v>
      </c>
      <c r="G26" s="289">
        <f>'2022-2031 SPP Total Costs'!G26</f>
        <v>0.30969466529760009</v>
      </c>
      <c r="H26" s="289">
        <f>'2022-2031 SPP Total Costs'!H26</f>
        <v>0.31588855860355214</v>
      </c>
      <c r="I26" s="289">
        <f>'2022-2031 SPP Total Costs'!I26</f>
        <v>0.32220632977562313</v>
      </c>
      <c r="J26" s="289">
        <f>'2022-2031 SPP Total Costs'!J26</f>
        <v>0.3286504563711356</v>
      </c>
      <c r="K26" s="289">
        <f>'2022-2031 SPP Total Costs'!K26</f>
        <v>0.34</v>
      </c>
      <c r="L26" s="290">
        <f>'2022-2031 SPP Total Costs'!L26</f>
        <v>0.34</v>
      </c>
      <c r="M26" s="39">
        <f t="shared" si="0"/>
        <v>3.1356732749279108</v>
      </c>
      <c r="P26" s="331">
        <v>286110.00000000006</v>
      </c>
      <c r="Q26" s="331">
        <v>291832.20000000007</v>
      </c>
      <c r="R26" s="331">
        <v>297668.84400000004</v>
      </c>
      <c r="S26" s="331">
        <v>303622.2208800001</v>
      </c>
      <c r="T26" s="331">
        <v>309694.66529760009</v>
      </c>
      <c r="U26" s="331">
        <v>315888.55860355211</v>
      </c>
      <c r="V26" s="331">
        <v>322206.32977562316</v>
      </c>
      <c r="W26" s="331">
        <v>328650.4563711356</v>
      </c>
      <c r="X26" s="331">
        <v>340000</v>
      </c>
      <c r="Y26" s="331">
        <v>340000</v>
      </c>
    </row>
    <row r="27" spans="2:25" ht="16.5" customHeight="1" thickBot="1" x14ac:dyDescent="0.35">
      <c r="B27" s="291" t="s">
        <v>11</v>
      </c>
      <c r="C27" s="298">
        <f>'2022-2031 SPP Total Costs'!C27</f>
        <v>0.8094071409200575</v>
      </c>
      <c r="D27" s="299">
        <f>'2022-2031 SPP Total Costs'!D27</f>
        <v>0.83385123657584037</v>
      </c>
      <c r="E27" s="299">
        <f>'2022-2031 SPP Total Costs'!E27</f>
        <v>0.8590335439204313</v>
      </c>
      <c r="F27" s="299">
        <f>'2022-2031 SPP Total Costs'!F27</f>
        <v>0.88497635694682941</v>
      </c>
      <c r="G27" s="299">
        <f>'2022-2031 SPP Total Costs'!G27</f>
        <v>0.58532291741246401</v>
      </c>
      <c r="H27" s="299">
        <f>'2022-2031 SPP Total Costs'!H27</f>
        <v>0.59702937576071313</v>
      </c>
      <c r="I27" s="299">
        <f>'2022-2031 SPP Total Costs'!I27</f>
        <v>0.60896996327592745</v>
      </c>
      <c r="J27" s="299">
        <f>'2022-2031 SPP Total Costs'!J27</f>
        <v>0.62114936254144604</v>
      </c>
      <c r="K27" s="299">
        <f>'2022-2031 SPP Total Costs'!K27</f>
        <v>0.71</v>
      </c>
      <c r="L27" s="300">
        <f>'2022-2031 SPP Total Costs'!L27</f>
        <v>0.72</v>
      </c>
      <c r="M27" s="171">
        <f t="shared" si="0"/>
        <v>7.229739897353709</v>
      </c>
      <c r="P27" s="331">
        <v>809407.14092005754</v>
      </c>
      <c r="Q27" s="331">
        <v>833851.23657584039</v>
      </c>
      <c r="R27" s="331">
        <v>859033.54392043129</v>
      </c>
      <c r="S27" s="331">
        <v>884976.35694682936</v>
      </c>
      <c r="T27" s="331">
        <v>585322.91741246404</v>
      </c>
      <c r="U27" s="331">
        <v>597029.37576071313</v>
      </c>
      <c r="V27" s="331">
        <v>608969.96327592747</v>
      </c>
      <c r="W27" s="331">
        <v>621149.362541446</v>
      </c>
      <c r="X27" s="331">
        <v>710000</v>
      </c>
      <c r="Y27" s="331">
        <v>720000</v>
      </c>
    </row>
  </sheetData>
  <mergeCells count="1">
    <mergeCell ref="B2:M3"/>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7A4F6-4E86-4BAE-8A32-85BBAC453629}">
  <sheetPr>
    <tabColor rgb="FF00B050"/>
  </sheetPr>
  <dimension ref="B2:H25"/>
  <sheetViews>
    <sheetView showGridLines="0" workbookViewId="0">
      <selection activeCell="D16" sqref="D16"/>
    </sheetView>
  </sheetViews>
  <sheetFormatPr defaultColWidth="9.140625" defaultRowHeight="15.75" x14ac:dyDescent="0.25"/>
  <cols>
    <col min="1" max="1" width="9.140625" style="98"/>
    <col min="2" max="2" width="7" style="98" bestFit="1" customWidth="1"/>
    <col min="3" max="3" width="36.85546875" style="98" customWidth="1"/>
    <col min="4" max="7" width="18.42578125" style="98" customWidth="1"/>
    <col min="8" max="8" width="12.7109375" style="98" bestFit="1" customWidth="1"/>
    <col min="9" max="16384" width="9.140625" style="98"/>
  </cols>
  <sheetData>
    <row r="2" spans="2:8" ht="16.5" thickBot="1" x14ac:dyDescent="0.3"/>
    <row r="3" spans="2:8" ht="59.25" customHeight="1" thickBot="1" x14ac:dyDescent="0.3">
      <c r="D3" s="491" t="s">
        <v>360</v>
      </c>
      <c r="E3" s="578"/>
      <c r="F3" s="492"/>
    </row>
    <row r="4" spans="2:8" ht="26.25" customHeight="1" thickBot="1" x14ac:dyDescent="0.3">
      <c r="B4" s="432"/>
      <c r="C4" s="424"/>
      <c r="D4" s="150">
        <v>2022</v>
      </c>
      <c r="E4" s="151">
        <v>2023</v>
      </c>
      <c r="F4" s="152">
        <v>2024</v>
      </c>
    </row>
    <row r="5" spans="2:8" ht="31.5" customHeight="1" x14ac:dyDescent="0.25">
      <c r="C5" s="429" t="s">
        <v>96</v>
      </c>
      <c r="D5" s="436">
        <v>6100</v>
      </c>
      <c r="E5" s="437">
        <v>7100</v>
      </c>
      <c r="F5" s="199">
        <v>4800</v>
      </c>
    </row>
    <row r="6" spans="2:8" ht="31.5" customHeight="1" x14ac:dyDescent="0.25">
      <c r="C6" s="430" t="s">
        <v>97</v>
      </c>
      <c r="D6" s="438">
        <v>3500</v>
      </c>
      <c r="E6" s="425">
        <v>4000</v>
      </c>
      <c r="F6" s="200">
        <v>5600</v>
      </c>
    </row>
    <row r="7" spans="2:8" ht="31.5" customHeight="1" x14ac:dyDescent="0.25">
      <c r="C7" s="430" t="s">
        <v>98</v>
      </c>
      <c r="D7" s="439">
        <v>695</v>
      </c>
      <c r="E7" s="426">
        <v>695</v>
      </c>
      <c r="F7" s="440">
        <v>0</v>
      </c>
    </row>
    <row r="8" spans="2:8" ht="31.5" customHeight="1" x14ac:dyDescent="0.25">
      <c r="C8" s="431" t="s">
        <v>417</v>
      </c>
      <c r="D8" s="427">
        <v>11561</v>
      </c>
      <c r="E8" s="428">
        <v>12901</v>
      </c>
      <c r="F8" s="441">
        <v>13823</v>
      </c>
    </row>
    <row r="9" spans="2:8" ht="31.5" customHeight="1" x14ac:dyDescent="0.25">
      <c r="C9" s="431" t="s">
        <v>418</v>
      </c>
      <c r="D9" s="439">
        <v>2917</v>
      </c>
      <c r="E9" s="426">
        <v>2966</v>
      </c>
      <c r="F9" s="440">
        <v>3035</v>
      </c>
    </row>
    <row r="10" spans="2:8" ht="31.5" customHeight="1" thickBot="1" x14ac:dyDescent="0.3">
      <c r="C10" s="433" t="s">
        <v>419</v>
      </c>
      <c r="D10" s="442">
        <v>1400</v>
      </c>
      <c r="E10" s="443">
        <v>1400</v>
      </c>
      <c r="F10" s="201">
        <v>1400</v>
      </c>
    </row>
    <row r="11" spans="2:8" ht="31.5" customHeight="1" thickBot="1" x14ac:dyDescent="0.3">
      <c r="C11" s="434" t="s">
        <v>4</v>
      </c>
      <c r="D11" s="445">
        <f>SUM(D5:D10)</f>
        <v>26173</v>
      </c>
      <c r="E11" s="435">
        <f t="shared" ref="E11:F11" si="0">SUM(E5:E10)</f>
        <v>29062</v>
      </c>
      <c r="F11" s="446">
        <f t="shared" si="0"/>
        <v>28658</v>
      </c>
      <c r="H11" s="125"/>
    </row>
    <row r="24" spans="4:6" x14ac:dyDescent="0.25">
      <c r="D24" s="125"/>
      <c r="E24" s="125"/>
      <c r="F24" s="125"/>
    </row>
    <row r="25" spans="4:6" x14ac:dyDescent="0.25">
      <c r="D25" s="125"/>
      <c r="E25" s="125"/>
      <c r="F25" s="125"/>
    </row>
  </sheetData>
  <mergeCells count="1">
    <mergeCell ref="D3:F3"/>
  </mergeCells>
  <pageMargins left="0.7" right="0.7" top="0.75" bottom="0.75" header="0.3" footer="0.3"/>
  <pageSetup orientation="portrait" r:id="rId1"/>
  <ignoredErrors>
    <ignoredError sqref="D11:F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43970-5190-47C5-98E2-DC7C34BB10AC}">
  <dimension ref="B1:AE32"/>
  <sheetViews>
    <sheetView showGridLines="0" topLeftCell="R1" workbookViewId="0">
      <selection activeCell="U13" sqref="U13"/>
    </sheetView>
  </sheetViews>
  <sheetFormatPr defaultColWidth="9.28515625" defaultRowHeight="15" x14ac:dyDescent="0.25"/>
  <cols>
    <col min="1" max="1" width="9.28515625" style="1"/>
    <col min="2" max="2" width="47.28515625" style="1" customWidth="1"/>
    <col min="3" max="3" width="9.5703125" style="1" customWidth="1"/>
    <col min="4" max="4" width="11.28515625" style="1" bestFit="1" customWidth="1"/>
    <col min="5" max="12" width="11.42578125" style="1" bestFit="1" customWidth="1"/>
    <col min="13" max="13" width="14.28515625" style="1" bestFit="1" customWidth="1"/>
    <col min="14" max="18" width="14.28515625" style="1" customWidth="1"/>
    <col min="19" max="19" width="36.85546875" style="1" bestFit="1" customWidth="1"/>
    <col min="20" max="21" width="19.7109375" style="1" customWidth="1"/>
    <col min="22" max="22" width="2.5703125" style="1" customWidth="1"/>
    <col min="23" max="23" width="24.7109375" style="1" customWidth="1"/>
    <col min="24" max="24" width="2.5703125" style="1" customWidth="1"/>
    <col min="25" max="26" width="19.7109375" style="1" customWidth="1"/>
    <col min="27" max="27" width="2.5703125" style="1" customWidth="1"/>
    <col min="28" max="28" width="13.7109375" style="1" customWidth="1"/>
    <col min="29" max="29" width="11" style="1" customWidth="1"/>
    <col min="30" max="16384" width="9.28515625" style="1"/>
  </cols>
  <sheetData>
    <row r="1" spans="2:31" ht="15.75" thickBot="1" x14ac:dyDescent="0.3"/>
    <row r="2" spans="2:31" ht="15" customHeight="1" x14ac:dyDescent="0.25">
      <c r="B2" s="462" t="s">
        <v>0</v>
      </c>
      <c r="C2" s="463"/>
      <c r="D2" s="463"/>
      <c r="E2" s="463"/>
      <c r="F2" s="463"/>
      <c r="G2" s="463"/>
      <c r="H2" s="463"/>
      <c r="I2" s="463"/>
      <c r="J2" s="463"/>
      <c r="K2" s="463"/>
      <c r="L2" s="463"/>
      <c r="M2" s="464"/>
      <c r="N2" s="76"/>
      <c r="O2" s="76"/>
      <c r="P2" s="76"/>
      <c r="Q2" s="76"/>
      <c r="R2" s="76"/>
      <c r="T2" s="474" t="s">
        <v>34</v>
      </c>
      <c r="U2" s="474"/>
      <c r="V2" s="474"/>
      <c r="W2" s="474"/>
      <c r="X2" s="474"/>
      <c r="Y2" s="474"/>
      <c r="Z2" s="474"/>
      <c r="AA2" s="474"/>
      <c r="AB2" s="474"/>
      <c r="AC2" s="474"/>
    </row>
    <row r="3" spans="2:31" ht="15" customHeight="1" thickBot="1" x14ac:dyDescent="0.35">
      <c r="B3" s="465"/>
      <c r="C3" s="466"/>
      <c r="D3" s="466"/>
      <c r="E3" s="466"/>
      <c r="F3" s="466"/>
      <c r="G3" s="466"/>
      <c r="H3" s="466"/>
      <c r="I3" s="466"/>
      <c r="J3" s="466"/>
      <c r="K3" s="466"/>
      <c r="L3" s="466"/>
      <c r="M3" s="467"/>
      <c r="N3" s="76"/>
      <c r="O3" s="76"/>
      <c r="P3" s="76"/>
      <c r="Q3" s="76"/>
      <c r="R3" s="76"/>
      <c r="T3" s="475" t="s">
        <v>158</v>
      </c>
      <c r="U3" s="476"/>
      <c r="V3" s="77"/>
      <c r="W3" s="157" t="s">
        <v>160</v>
      </c>
      <c r="X3" s="77"/>
      <c r="Y3" s="469" t="s">
        <v>159</v>
      </c>
      <c r="Z3" s="470"/>
      <c r="AA3" s="77"/>
      <c r="AB3" s="158" t="s">
        <v>2</v>
      </c>
      <c r="AC3" s="158" t="s">
        <v>2</v>
      </c>
    </row>
    <row r="4" spans="2:31" ht="17.25" thickBot="1" x14ac:dyDescent="0.35">
      <c r="B4" s="2" t="s">
        <v>3</v>
      </c>
      <c r="C4" s="3">
        <v>2020</v>
      </c>
      <c r="D4" s="4">
        <v>2021</v>
      </c>
      <c r="E4" s="4">
        <v>2022</v>
      </c>
      <c r="F4" s="4">
        <v>2023</v>
      </c>
      <c r="G4" s="4">
        <v>2024</v>
      </c>
      <c r="H4" s="4">
        <v>2025</v>
      </c>
      <c r="I4" s="4">
        <v>2026</v>
      </c>
      <c r="J4" s="4">
        <v>2027</v>
      </c>
      <c r="K4" s="4">
        <v>2028</v>
      </c>
      <c r="L4" s="4">
        <v>2029</v>
      </c>
      <c r="M4" s="5" t="s">
        <v>4</v>
      </c>
      <c r="N4" s="78"/>
      <c r="O4" s="78"/>
      <c r="P4" s="78"/>
      <c r="Q4" s="78"/>
      <c r="R4" s="78"/>
      <c r="T4" s="80">
        <v>2022</v>
      </c>
      <c r="U4" s="80">
        <v>2023</v>
      </c>
      <c r="V4" s="79"/>
      <c r="W4" s="80">
        <v>2022</v>
      </c>
      <c r="X4" s="79"/>
      <c r="Y4" s="80">
        <v>2022</v>
      </c>
      <c r="Z4" s="80">
        <v>2023</v>
      </c>
      <c r="AA4" s="79"/>
      <c r="AB4" s="81">
        <v>2022</v>
      </c>
      <c r="AC4" s="81">
        <v>2023</v>
      </c>
    </row>
    <row r="5" spans="2:31" ht="33" x14ac:dyDescent="0.3">
      <c r="B5" s="82" t="s">
        <v>5</v>
      </c>
      <c r="C5" s="8">
        <v>8</v>
      </c>
      <c r="D5" s="9">
        <v>79.450084932599907</v>
      </c>
      <c r="E5" s="9">
        <v>108.07603559096387</v>
      </c>
      <c r="F5" s="9">
        <v>101.44064414640874</v>
      </c>
      <c r="G5" s="9">
        <v>106.9999796233909</v>
      </c>
      <c r="H5" s="9">
        <v>110.77515502519012</v>
      </c>
      <c r="I5" s="9">
        <v>113.95996607555244</v>
      </c>
      <c r="J5" s="9">
        <v>111.42292702204892</v>
      </c>
      <c r="K5" s="9">
        <v>115.52375472322406</v>
      </c>
      <c r="L5" s="9">
        <v>121.16621532613016</v>
      </c>
      <c r="M5" s="10">
        <f>SUM(C5:L5)</f>
        <v>976.81476246550915</v>
      </c>
      <c r="N5" s="12"/>
      <c r="O5" s="12"/>
      <c r="P5" s="12"/>
      <c r="Q5" s="12"/>
      <c r="R5" s="477" t="s">
        <v>3</v>
      </c>
      <c r="S5" s="83" t="s">
        <v>5</v>
      </c>
      <c r="T5" s="84">
        <f>'2020-2029 SPP Total Costs'!E5</f>
        <v>108.07603559096387</v>
      </c>
      <c r="U5" s="84">
        <f>'2020-2029 SPP Total Costs'!F5</f>
        <v>101.44064414640874</v>
      </c>
      <c r="V5" s="85"/>
      <c r="W5" s="86"/>
      <c r="X5" s="85"/>
      <c r="Y5" s="86">
        <f>'2022-2031 SPP Total Costs'!C5</f>
        <v>105.66267139999997</v>
      </c>
      <c r="Z5" s="86">
        <f>'2022-2031 SPP Total Costs'!D5</f>
        <v>104.54272771352991</v>
      </c>
      <c r="AA5" s="85"/>
      <c r="AB5" s="51">
        <f>Y5-T5</f>
        <v>-2.4133641909639039</v>
      </c>
      <c r="AC5" s="51">
        <f>Z5-U5</f>
        <v>3.1020835671211699</v>
      </c>
    </row>
    <row r="6" spans="2:31" ht="33" x14ac:dyDescent="0.3">
      <c r="B6" s="87" t="s">
        <v>6</v>
      </c>
      <c r="C6" s="14">
        <v>5.5</v>
      </c>
      <c r="D6" s="15">
        <v>15.210372599999999</v>
      </c>
      <c r="E6" s="15">
        <v>14.984766755999999</v>
      </c>
      <c r="F6" s="15">
        <v>16.513319730959999</v>
      </c>
      <c r="G6" s="15">
        <v>11.994051913704</v>
      </c>
      <c r="H6" s="15">
        <v>19.044620998637761</v>
      </c>
      <c r="I6" s="15">
        <v>17.924113681247754</v>
      </c>
      <c r="J6" s="15">
        <v>16.27676104202353</v>
      </c>
      <c r="K6" s="15">
        <v>19.562142191151924</v>
      </c>
      <c r="L6" s="15">
        <v>12.105570664602835</v>
      </c>
      <c r="M6" s="16">
        <f t="shared" ref="M6:M23" si="0">SUM(C6:L6)</f>
        <v>149.1157195783278</v>
      </c>
      <c r="N6" s="12"/>
      <c r="O6" s="12"/>
      <c r="P6" s="12"/>
      <c r="Q6" s="12"/>
      <c r="R6" s="477"/>
      <c r="S6" s="83" t="s">
        <v>6</v>
      </c>
      <c r="T6" s="84">
        <f>'2020-2029 SPP Total Costs'!E6</f>
        <v>14.984766755999999</v>
      </c>
      <c r="U6" s="84">
        <f>'2020-2029 SPP Total Costs'!F6</f>
        <v>16.513319730959999</v>
      </c>
      <c r="V6" s="85"/>
      <c r="W6" s="86"/>
      <c r="X6" s="85"/>
      <c r="Y6" s="86">
        <f>'2022-2031 SPP Total Costs'!C6</f>
        <v>16.478997809999999</v>
      </c>
      <c r="Z6" s="86">
        <f>'2022-2031 SPP Total Costs'!D6</f>
        <v>17.463787199999999</v>
      </c>
      <c r="AA6" s="85"/>
      <c r="AB6" s="51">
        <f t="shared" ref="AB6:AB9" si="1">Y6-T6</f>
        <v>1.4942310540000001</v>
      </c>
      <c r="AC6" s="51">
        <f t="shared" ref="AC6:AC9" si="2">Z6-U6</f>
        <v>0.95046746903999946</v>
      </c>
    </row>
    <row r="7" spans="2:31" ht="33" x14ac:dyDescent="0.3">
      <c r="B7" s="13" t="s">
        <v>7</v>
      </c>
      <c r="C7" s="14">
        <v>0</v>
      </c>
      <c r="D7" s="15">
        <v>0</v>
      </c>
      <c r="E7" s="15">
        <v>0</v>
      </c>
      <c r="F7" s="15">
        <v>0</v>
      </c>
      <c r="G7" s="15">
        <v>7.3388900448000003</v>
      </c>
      <c r="H7" s="15">
        <v>5.5380693088511999</v>
      </c>
      <c r="I7" s="15">
        <v>4.6656909030107521</v>
      </c>
      <c r="J7" s="15">
        <v>6.7129190417423912</v>
      </c>
      <c r="K7" s="15">
        <v>5.2373174330801264</v>
      </c>
      <c r="L7" s="15">
        <v>2.8753927201052796</v>
      </c>
      <c r="M7" s="16">
        <f t="shared" si="0"/>
        <v>32.36827945158975</v>
      </c>
      <c r="N7" s="12"/>
      <c r="O7" s="12"/>
      <c r="P7" s="12"/>
      <c r="Q7" s="12"/>
      <c r="R7" s="477"/>
      <c r="S7" s="83" t="s">
        <v>7</v>
      </c>
      <c r="T7" s="84">
        <f>'2020-2029 SPP Total Costs'!E7</f>
        <v>0</v>
      </c>
      <c r="U7" s="84">
        <f>'2020-2029 SPP Total Costs'!F7</f>
        <v>0</v>
      </c>
      <c r="V7" s="85"/>
      <c r="W7" s="86"/>
      <c r="X7" s="85"/>
      <c r="Y7" s="86">
        <f>'2022-2031 SPP Total Costs'!C7</f>
        <v>0</v>
      </c>
      <c r="Z7" s="86">
        <f>'2022-2031 SPP Total Costs'!D7</f>
        <v>0.7</v>
      </c>
      <c r="AA7" s="85"/>
      <c r="AB7" s="51">
        <f t="shared" si="1"/>
        <v>0</v>
      </c>
      <c r="AC7" s="51">
        <f t="shared" si="2"/>
        <v>0.7</v>
      </c>
    </row>
    <row r="8" spans="2:31" ht="33" x14ac:dyDescent="0.3">
      <c r="B8" s="87" t="s">
        <v>8</v>
      </c>
      <c r="C8" s="14">
        <v>6.5</v>
      </c>
      <c r="D8" s="15">
        <v>15.383744040000002</v>
      </c>
      <c r="E8" s="15">
        <v>29.581441423200001</v>
      </c>
      <c r="F8" s="15">
        <v>33.388385106167995</v>
      </c>
      <c r="G8" s="15">
        <v>32.4869444113464</v>
      </c>
      <c r="H8" s="15">
        <v>33.19300687766777</v>
      </c>
      <c r="I8" s="15">
        <v>33.824216188199408</v>
      </c>
      <c r="J8" s="15">
        <v>32.756329430784547</v>
      </c>
      <c r="K8" s="15">
        <v>36.364312999480489</v>
      </c>
      <c r="L8" s="15">
        <v>36.249118753219797</v>
      </c>
      <c r="M8" s="16">
        <f t="shared" si="0"/>
        <v>289.72749923006643</v>
      </c>
      <c r="N8" s="12"/>
      <c r="O8" s="12"/>
      <c r="P8" s="12"/>
      <c r="Q8" s="12"/>
      <c r="R8" s="477"/>
      <c r="S8" s="83" t="s">
        <v>8</v>
      </c>
      <c r="T8" s="84">
        <f>'2020-2029 SPP Total Costs'!E8</f>
        <v>29.581441423200001</v>
      </c>
      <c r="U8" s="84">
        <f>'2020-2029 SPP Total Costs'!F8</f>
        <v>33.388385106167995</v>
      </c>
      <c r="V8" s="85"/>
      <c r="W8" s="86"/>
      <c r="X8" s="85"/>
      <c r="Y8" s="86">
        <f>'2022-2031 SPP Total Costs'!C9</f>
        <v>32.842657446250001</v>
      </c>
      <c r="Z8" s="86">
        <f>'2022-2031 SPP Total Costs'!D9</f>
        <v>30.115182999999998</v>
      </c>
      <c r="AA8" s="85"/>
      <c r="AB8" s="51">
        <f t="shared" si="1"/>
        <v>3.2612160230500002</v>
      </c>
      <c r="AC8" s="51">
        <f t="shared" si="2"/>
        <v>-3.2732021061679966</v>
      </c>
    </row>
    <row r="9" spans="2:31" ht="33" x14ac:dyDescent="0.3">
      <c r="B9" s="13" t="s">
        <v>10</v>
      </c>
      <c r="C9" s="14">
        <v>0</v>
      </c>
      <c r="D9" s="15">
        <v>1.38325974</v>
      </c>
      <c r="E9" s="15">
        <v>1.5179352767999998</v>
      </c>
      <c r="F9" s="15">
        <v>1.5591034470239999</v>
      </c>
      <c r="G9" s="15">
        <v>1.66089148332912</v>
      </c>
      <c r="H9" s="15">
        <v>1.3967074833609312</v>
      </c>
      <c r="I9" s="15">
        <v>0.54058386298236305</v>
      </c>
      <c r="J9" s="15">
        <v>3.1703023728862858</v>
      </c>
      <c r="K9" s="15">
        <v>1.926007668613573</v>
      </c>
      <c r="L9" s="15">
        <v>1.5715515081086133</v>
      </c>
      <c r="M9" s="16">
        <f t="shared" si="0"/>
        <v>14.726342843104888</v>
      </c>
      <c r="N9" s="12"/>
      <c r="O9" s="12"/>
      <c r="P9" s="12"/>
      <c r="Q9" s="12"/>
      <c r="R9" s="477"/>
      <c r="S9" s="83" t="s">
        <v>10</v>
      </c>
      <c r="T9" s="84">
        <f>'2020-2029 SPP Total Costs'!E9</f>
        <v>1.5179352767999998</v>
      </c>
      <c r="U9" s="84">
        <f>'2020-2029 SPP Total Costs'!F9</f>
        <v>1.5591034470239999</v>
      </c>
      <c r="V9" s="85"/>
      <c r="W9" s="86"/>
      <c r="X9" s="85"/>
      <c r="Y9" s="86">
        <f>'2022-2031 SPP Total Costs'!C10</f>
        <v>2.4099560799999997</v>
      </c>
      <c r="Z9" s="86">
        <f>'2022-2031 SPP Total Costs'!D10</f>
        <v>3.0374458800000008</v>
      </c>
      <c r="AA9" s="85"/>
      <c r="AB9" s="51">
        <f t="shared" si="1"/>
        <v>0.89202080319999988</v>
      </c>
      <c r="AC9" s="51">
        <f t="shared" si="2"/>
        <v>1.4783424329760009</v>
      </c>
      <c r="AD9" s="12"/>
      <c r="AE9" s="12"/>
    </row>
    <row r="10" spans="2:31" ht="17.25" thickBot="1" x14ac:dyDescent="0.35">
      <c r="B10" s="88" t="s">
        <v>11</v>
      </c>
      <c r="C10" s="89">
        <v>9.4192126768083408</v>
      </c>
      <c r="D10" s="57">
        <v>11.18328</v>
      </c>
      <c r="E10" s="57">
        <v>14.716493471273772</v>
      </c>
      <c r="F10" s="57">
        <v>15.160931574106188</v>
      </c>
      <c r="G10" s="57">
        <v>15.618791707644204</v>
      </c>
      <c r="H10" s="57">
        <v>16.09047921721508</v>
      </c>
      <c r="I10" s="57">
        <v>10.6422348620448</v>
      </c>
      <c r="J10" s="57">
        <v>10.855079559285693</v>
      </c>
      <c r="K10" s="57">
        <v>11.072181150471408</v>
      </c>
      <c r="L10" s="57">
        <v>11.293624773480836</v>
      </c>
      <c r="M10" s="74">
        <f t="shared" si="0"/>
        <v>126.05230899233032</v>
      </c>
      <c r="N10" s="12"/>
      <c r="O10" s="12"/>
      <c r="P10" s="12"/>
      <c r="Q10" s="12"/>
      <c r="R10" s="90"/>
      <c r="S10" s="91"/>
      <c r="T10" s="92"/>
      <c r="U10" s="92"/>
      <c r="V10" s="85"/>
      <c r="W10" s="11"/>
      <c r="X10" s="85"/>
      <c r="Y10" s="11"/>
      <c r="Z10" s="11"/>
      <c r="AA10" s="85"/>
      <c r="AB10" s="51">
        <f>SUM(AB5:AB9)</f>
        <v>3.2341036892860964</v>
      </c>
      <c r="AC10" s="51">
        <f>SUM(AC5:AC9)</f>
        <v>2.9576913629691739</v>
      </c>
      <c r="AD10" s="1" t="s">
        <v>161</v>
      </c>
    </row>
    <row r="11" spans="2:31" ht="17.25" thickBot="1" x14ac:dyDescent="0.35">
      <c r="B11" s="2" t="s">
        <v>12</v>
      </c>
      <c r="C11" s="22">
        <v>2020</v>
      </c>
      <c r="D11" s="23">
        <v>2021</v>
      </c>
      <c r="E11" s="23">
        <v>2022</v>
      </c>
      <c r="F11" s="23">
        <v>2023</v>
      </c>
      <c r="G11" s="23">
        <v>2024</v>
      </c>
      <c r="H11" s="23">
        <v>2025</v>
      </c>
      <c r="I11" s="23">
        <v>2026</v>
      </c>
      <c r="J11" s="23">
        <v>2027</v>
      </c>
      <c r="K11" s="23">
        <v>2028</v>
      </c>
      <c r="L11" s="23">
        <v>2029</v>
      </c>
      <c r="M11" s="5" t="s">
        <v>4</v>
      </c>
      <c r="N11" s="78"/>
      <c r="O11" s="78"/>
      <c r="P11" s="78"/>
      <c r="Q11" s="78"/>
      <c r="R11" s="93"/>
      <c r="S11" s="79"/>
      <c r="T11" s="79"/>
      <c r="U11" s="79"/>
      <c r="V11" s="79"/>
      <c r="W11" s="94"/>
      <c r="X11" s="79"/>
      <c r="Y11" s="94"/>
      <c r="Z11" s="94"/>
      <c r="AA11" s="79"/>
      <c r="AB11" s="93"/>
      <c r="AC11" s="93"/>
    </row>
    <row r="12" spans="2:31" ht="33" customHeight="1" thickBot="1" x14ac:dyDescent="0.35">
      <c r="B12" s="24" t="s">
        <v>13</v>
      </c>
      <c r="C12" s="25">
        <v>16.487881000000002</v>
      </c>
      <c r="D12" s="26">
        <v>19.758638620000003</v>
      </c>
      <c r="E12" s="26">
        <v>21.179811392399998</v>
      </c>
      <c r="F12" s="26">
        <v>24.001407620248003</v>
      </c>
      <c r="G12" s="26">
        <v>24.223435772652962</v>
      </c>
      <c r="H12" s="26">
        <v>25.545904488106022</v>
      </c>
      <c r="I12" s="26">
        <v>26.768822577868139</v>
      </c>
      <c r="J12" s="26">
        <v>27.992199029425503</v>
      </c>
      <c r="K12" s="26">
        <v>29.416043010014011</v>
      </c>
      <c r="L12" s="26">
        <v>30.940363870214295</v>
      </c>
      <c r="M12" s="27">
        <f t="shared" ref="M12" si="3">SUM(C12:L12)</f>
        <v>246.31450738092897</v>
      </c>
      <c r="N12" s="12"/>
      <c r="O12" s="12"/>
      <c r="P12" s="12"/>
      <c r="Q12" s="12"/>
      <c r="R12" s="471" t="s">
        <v>12</v>
      </c>
      <c r="S12" s="159" t="s">
        <v>5</v>
      </c>
      <c r="T12" s="161">
        <v>0</v>
      </c>
      <c r="U12" s="161">
        <v>0</v>
      </c>
      <c r="V12" s="79"/>
      <c r="W12" s="86"/>
      <c r="X12" s="79"/>
      <c r="Y12" s="86">
        <f>'2022-2031 SPP Total Costs'!C13</f>
        <v>0.18071580937510187</v>
      </c>
      <c r="Z12" s="86">
        <f>'2022-2031 SPP Total Costs'!D13</f>
        <v>0.17618653398168838</v>
      </c>
      <c r="AA12" s="79"/>
      <c r="AB12" s="51">
        <f t="shared" ref="AB12:AB20" si="4">Y12-T12</f>
        <v>0.18071580937510187</v>
      </c>
      <c r="AC12" s="51">
        <f t="shared" ref="AC12:AC20" si="5">Z12-U12</f>
        <v>0.17618653398168838</v>
      </c>
    </row>
    <row r="13" spans="2:31" ht="33" customHeight="1" x14ac:dyDescent="0.3">
      <c r="B13" s="24" t="s">
        <v>13</v>
      </c>
      <c r="C13" s="25">
        <v>16.487881000000002</v>
      </c>
      <c r="D13" s="26">
        <v>19.758638620000003</v>
      </c>
      <c r="E13" s="26">
        <v>21.179811392399998</v>
      </c>
      <c r="F13" s="26">
        <v>24.001407620248003</v>
      </c>
      <c r="G13" s="26">
        <v>24.223435772652962</v>
      </c>
      <c r="H13" s="26">
        <v>25.545904488106022</v>
      </c>
      <c r="I13" s="26">
        <v>26.768822577868139</v>
      </c>
      <c r="J13" s="26">
        <v>27.992199029425503</v>
      </c>
      <c r="K13" s="26">
        <v>29.416043010014011</v>
      </c>
      <c r="L13" s="26">
        <v>30.940363870214295</v>
      </c>
      <c r="M13" s="27">
        <f t="shared" si="0"/>
        <v>246.31450738092897</v>
      </c>
      <c r="N13" s="12"/>
      <c r="O13" s="12"/>
      <c r="P13" s="12"/>
      <c r="Q13" s="12"/>
      <c r="R13" s="472"/>
      <c r="S13" s="160" t="s">
        <v>13</v>
      </c>
      <c r="T13" s="95">
        <f>'2020-2029 SPP Total Costs'!E12</f>
        <v>21.179811392399998</v>
      </c>
      <c r="U13" s="95">
        <f>'2020-2029 SPP Total Costs'!F12</f>
        <v>24.001407620248003</v>
      </c>
      <c r="V13" s="79"/>
      <c r="W13" s="86"/>
      <c r="X13" s="79"/>
      <c r="Y13" s="86">
        <f>'2022-2031 SPP Total Costs'!C14</f>
        <v>21.160688</v>
      </c>
      <c r="Z13" s="86">
        <f>'2022-2031 SPP Total Costs'!D14</f>
        <v>24.001407620248003</v>
      </c>
      <c r="AA13" s="79"/>
      <c r="AB13" s="51">
        <f t="shared" si="4"/>
        <v>-1.9123392399997385E-2</v>
      </c>
      <c r="AC13" s="51">
        <f t="shared" si="5"/>
        <v>0</v>
      </c>
    </row>
    <row r="14" spans="2:31" ht="33" customHeight="1" x14ac:dyDescent="0.3">
      <c r="B14" s="13" t="s">
        <v>14</v>
      </c>
      <c r="C14" s="33">
        <v>1.3</v>
      </c>
      <c r="D14" s="15">
        <v>1.3</v>
      </c>
      <c r="E14" s="15">
        <v>1.2</v>
      </c>
      <c r="F14" s="15">
        <v>1.1000000000000001</v>
      </c>
      <c r="G14" s="15">
        <v>1.1000000000000001</v>
      </c>
      <c r="H14" s="15">
        <v>1.1000000000000001</v>
      </c>
      <c r="I14" s="15">
        <v>1.2</v>
      </c>
      <c r="J14" s="15">
        <v>1.2</v>
      </c>
      <c r="K14" s="15">
        <v>1.3</v>
      </c>
      <c r="L14" s="15">
        <v>1.3</v>
      </c>
      <c r="M14" s="16">
        <f t="shared" si="0"/>
        <v>12.1</v>
      </c>
      <c r="N14" s="12"/>
      <c r="O14" s="12"/>
      <c r="P14" s="12"/>
      <c r="Q14" s="12"/>
      <c r="R14" s="472"/>
      <c r="S14" s="96" t="s">
        <v>15</v>
      </c>
      <c r="T14" s="95">
        <f>'2020-2029 SPP Total Costs'!E14</f>
        <v>3.5933214971999994</v>
      </c>
      <c r="U14" s="95">
        <f>'2020-2029 SPP Total Costs'!F14</f>
        <v>3.6609690521439999</v>
      </c>
      <c r="V14" s="79"/>
      <c r="W14" s="86"/>
      <c r="X14" s="79"/>
      <c r="Y14" s="86">
        <f>'2022-2031 SPP Total Costs'!C16</f>
        <v>3.6124450000000001</v>
      </c>
      <c r="Z14" s="86">
        <f>'2022-2031 SPP Total Costs'!D16</f>
        <v>3.6609690521439999</v>
      </c>
      <c r="AA14" s="79"/>
      <c r="AB14" s="51">
        <f t="shared" si="4"/>
        <v>1.9123502800000747E-2</v>
      </c>
      <c r="AC14" s="51">
        <f t="shared" si="5"/>
        <v>0</v>
      </c>
    </row>
    <row r="15" spans="2:31" ht="33" customHeight="1" x14ac:dyDescent="0.3">
      <c r="B15" s="13" t="s">
        <v>15</v>
      </c>
      <c r="C15" s="33">
        <v>2.6324429999999999</v>
      </c>
      <c r="D15" s="15">
        <v>3.5272318600000006</v>
      </c>
      <c r="E15" s="15">
        <v>3.5933214971999994</v>
      </c>
      <c r="F15" s="15">
        <v>3.6609690521439999</v>
      </c>
      <c r="G15" s="15">
        <v>3.0352115863118794</v>
      </c>
      <c r="H15" s="15">
        <v>3.1303768276616419</v>
      </c>
      <c r="I15" s="15">
        <v>3.2270592877713717</v>
      </c>
      <c r="J15" s="15">
        <v>3.3022866240975515</v>
      </c>
      <c r="K15" s="15">
        <v>3.3792856609145225</v>
      </c>
      <c r="L15" s="15">
        <v>3.458098511076209</v>
      </c>
      <c r="M15" s="16">
        <f t="shared" si="0"/>
        <v>32.946283907177182</v>
      </c>
      <c r="N15" s="12"/>
      <c r="O15" s="12"/>
      <c r="P15" s="12"/>
      <c r="Q15" s="12"/>
      <c r="R15" s="472"/>
      <c r="S15" s="96" t="s">
        <v>6</v>
      </c>
      <c r="T15" s="95">
        <f>'2020-2029 SPP Total Costs'!E16</f>
        <v>0.29969533511999996</v>
      </c>
      <c r="U15" s="95">
        <f>'2020-2029 SPP Total Costs'!F16</f>
        <v>0.33026639461919999</v>
      </c>
      <c r="V15" s="79"/>
      <c r="W15" s="86"/>
      <c r="X15" s="79"/>
      <c r="Y15" s="86">
        <f>'2022-2031 SPP Total Costs'!C18</f>
        <v>0.49436993396999995</v>
      </c>
      <c r="Z15" s="86">
        <f>'2022-2031 SPP Total Costs'!D18</f>
        <v>0.52391361599999997</v>
      </c>
      <c r="AA15" s="79"/>
      <c r="AB15" s="51">
        <f t="shared" si="4"/>
        <v>0.19467459884999999</v>
      </c>
      <c r="AC15" s="51">
        <f t="shared" si="5"/>
        <v>0.19364722138079998</v>
      </c>
    </row>
    <row r="16" spans="2:31" ht="33" customHeight="1" x14ac:dyDescent="0.3">
      <c r="B16" s="13"/>
      <c r="C16" s="33"/>
      <c r="D16" s="15"/>
      <c r="E16" s="15"/>
      <c r="F16" s="15"/>
      <c r="G16" s="15"/>
      <c r="H16" s="15"/>
      <c r="I16" s="15"/>
      <c r="J16" s="15"/>
      <c r="K16" s="15"/>
      <c r="L16" s="15"/>
      <c r="M16" s="16"/>
      <c r="N16" s="12"/>
      <c r="O16" s="12"/>
      <c r="P16" s="12"/>
      <c r="Q16" s="12"/>
      <c r="R16" s="472"/>
      <c r="S16" s="83" t="s">
        <v>7</v>
      </c>
      <c r="T16" s="95">
        <v>0</v>
      </c>
      <c r="U16" s="95">
        <v>0</v>
      </c>
      <c r="V16" s="79"/>
      <c r="W16" s="86"/>
      <c r="X16" s="79"/>
      <c r="Y16" s="86">
        <f>'2022-2031 SPP Total Costs'!C19</f>
        <v>0</v>
      </c>
      <c r="Z16" s="86">
        <f>'2022-2031 SPP Total Costs'!D19</f>
        <v>0</v>
      </c>
      <c r="AA16" s="79"/>
      <c r="AB16" s="51">
        <f t="shared" si="4"/>
        <v>0</v>
      </c>
      <c r="AC16" s="51">
        <f t="shared" si="5"/>
        <v>0</v>
      </c>
    </row>
    <row r="17" spans="2:31" ht="33" customHeight="1" x14ac:dyDescent="0.3">
      <c r="B17" s="13" t="s">
        <v>16</v>
      </c>
      <c r="C17" s="33">
        <v>0</v>
      </c>
      <c r="D17" s="15">
        <v>0</v>
      </c>
      <c r="E17" s="15">
        <v>0</v>
      </c>
      <c r="F17" s="15">
        <v>0</v>
      </c>
      <c r="G17" s="15">
        <v>0</v>
      </c>
      <c r="H17" s="15">
        <v>0</v>
      </c>
      <c r="I17" s="15">
        <v>0</v>
      </c>
      <c r="J17" s="15">
        <v>0</v>
      </c>
      <c r="K17" s="15">
        <v>0</v>
      </c>
      <c r="L17" s="15">
        <v>0</v>
      </c>
      <c r="M17" s="16">
        <f t="shared" si="0"/>
        <v>0</v>
      </c>
      <c r="N17" s="12"/>
      <c r="O17" s="12"/>
      <c r="P17" s="12"/>
      <c r="Q17" s="12"/>
      <c r="R17" s="472"/>
      <c r="S17" s="96" t="s">
        <v>8</v>
      </c>
      <c r="T17" s="95">
        <f>'2020-2029 SPP Total Costs'!E17</f>
        <v>0.40055400000000002</v>
      </c>
      <c r="U17" s="95">
        <f>'2020-2029 SPP Total Costs'!F17</f>
        <v>0.79378358399999993</v>
      </c>
      <c r="V17" s="79"/>
      <c r="W17" s="86"/>
      <c r="X17" s="79"/>
      <c r="Y17" s="86">
        <f>'2022-2031 SPP Total Costs'!C21</f>
        <v>0.55685314782499995</v>
      </c>
      <c r="Z17" s="86">
        <f>'2022-2031 SPP Total Costs'!D21</f>
        <v>0.61865400000000004</v>
      </c>
      <c r="AA17" s="79"/>
      <c r="AB17" s="51">
        <f t="shared" si="4"/>
        <v>0.15629914782499993</v>
      </c>
      <c r="AC17" s="51">
        <f t="shared" si="5"/>
        <v>-0.17512958399999989</v>
      </c>
    </row>
    <row r="18" spans="2:31" ht="33" customHeight="1" x14ac:dyDescent="0.3">
      <c r="B18" s="13" t="s">
        <v>6</v>
      </c>
      <c r="C18" s="33">
        <v>0.11</v>
      </c>
      <c r="D18" s="15">
        <v>0.30420745199999999</v>
      </c>
      <c r="E18" s="15">
        <v>0.29969533511999996</v>
      </c>
      <c r="F18" s="15">
        <v>0.33026639461919999</v>
      </c>
      <c r="G18" s="15">
        <v>0.23988103827408</v>
      </c>
      <c r="H18" s="15">
        <v>0.38089241997275525</v>
      </c>
      <c r="I18" s="15">
        <v>0.35848227362495505</v>
      </c>
      <c r="J18" s="15">
        <v>0.3255352208404706</v>
      </c>
      <c r="K18" s="15">
        <v>0.39124284382303848</v>
      </c>
      <c r="L18" s="15">
        <v>0.24211141329205671</v>
      </c>
      <c r="M18" s="16">
        <f t="shared" si="0"/>
        <v>2.9823143915665558</v>
      </c>
      <c r="N18" s="12"/>
      <c r="O18" s="12"/>
      <c r="P18" s="12"/>
      <c r="Q18" s="12"/>
      <c r="R18" s="472"/>
      <c r="S18" s="96" t="s">
        <v>17</v>
      </c>
      <c r="T18" s="95">
        <f>'2020-2029 SPP Total Costs'!E18</f>
        <v>1.02</v>
      </c>
      <c r="U18" s="95">
        <f>'2020-2029 SPP Total Costs'!F18</f>
        <v>1.0404</v>
      </c>
      <c r="V18" s="79"/>
      <c r="W18" s="86"/>
      <c r="X18" s="79"/>
      <c r="Y18" s="86">
        <f>'2022-2031 SPP Total Costs'!C23</f>
        <v>1.02</v>
      </c>
      <c r="Z18" s="86">
        <f>'2022-2031 SPP Total Costs'!D23</f>
        <v>1.0403579999999999</v>
      </c>
      <c r="AA18" s="79"/>
      <c r="AB18" s="51">
        <f t="shared" si="4"/>
        <v>0</v>
      </c>
      <c r="AC18" s="51">
        <f t="shared" si="5"/>
        <v>-4.2000000000097515E-5</v>
      </c>
    </row>
    <row r="19" spans="2:31" ht="33" customHeight="1" x14ac:dyDescent="0.3">
      <c r="B19" s="13" t="s">
        <v>8</v>
      </c>
      <c r="C19" s="33">
        <v>0.21</v>
      </c>
      <c r="D19" s="15">
        <v>0.38147999999999999</v>
      </c>
      <c r="E19" s="15">
        <v>0.40055400000000002</v>
      </c>
      <c r="F19" s="15">
        <v>0.79378358399999993</v>
      </c>
      <c r="G19" s="15">
        <v>0.82156600944000002</v>
      </c>
      <c r="H19" s="15">
        <v>1.0201706621568001</v>
      </c>
      <c r="I19" s="15">
        <v>1.0591557553177922</v>
      </c>
      <c r="J19" s="15">
        <v>1.1687876668331423</v>
      </c>
      <c r="K19" s="15">
        <v>1.4241519776082538</v>
      </c>
      <c r="L19" s="15">
        <v>1.6366792727282546</v>
      </c>
      <c r="M19" s="16">
        <f t="shared" si="0"/>
        <v>8.9163289280842442</v>
      </c>
      <c r="N19" s="12"/>
      <c r="O19" s="12"/>
      <c r="P19" s="12"/>
      <c r="Q19" s="12"/>
      <c r="R19" s="472"/>
      <c r="S19" s="96" t="s">
        <v>18</v>
      </c>
      <c r="T19" s="95">
        <f>'2020-2029 SPP Total Costs'!E19</f>
        <v>0.48378600000000005</v>
      </c>
      <c r="U19" s="95">
        <f>'2020-2029 SPP Total Costs'!F19</f>
        <v>0.4934617200000001</v>
      </c>
      <c r="V19" s="79"/>
      <c r="W19" s="86"/>
      <c r="X19" s="79"/>
      <c r="Y19" s="86">
        <f>'2022-2031 SPP Total Costs'!C24</f>
        <v>0.58298500000000009</v>
      </c>
      <c r="Z19" s="86">
        <f>'2022-2031 SPP Total Costs'!D24</f>
        <v>0.54364410000000007</v>
      </c>
      <c r="AA19" s="79"/>
      <c r="AB19" s="51">
        <f t="shared" si="4"/>
        <v>9.9199000000000037E-2</v>
      </c>
      <c r="AC19" s="51">
        <f t="shared" si="5"/>
        <v>5.0182379999999971E-2</v>
      </c>
    </row>
    <row r="20" spans="2:31" ht="33" customHeight="1" x14ac:dyDescent="0.3">
      <c r="B20" s="13" t="s">
        <v>18</v>
      </c>
      <c r="C20" s="33">
        <v>0.46500000000000002</v>
      </c>
      <c r="D20" s="15">
        <v>0.47429999999999994</v>
      </c>
      <c r="E20" s="15">
        <v>0.48378600000000005</v>
      </c>
      <c r="F20" s="15">
        <v>0.4934617200000001</v>
      </c>
      <c r="G20" s="15">
        <v>0.50333095439999997</v>
      </c>
      <c r="H20" s="15">
        <v>0.51339757348800008</v>
      </c>
      <c r="I20" s="15">
        <v>0.52366552495775998</v>
      </c>
      <c r="J20" s="15">
        <v>0.53413883545691532</v>
      </c>
      <c r="K20" s="15">
        <v>0.54482161216605351</v>
      </c>
      <c r="L20" s="15">
        <v>0.55571804440937467</v>
      </c>
      <c r="M20" s="16">
        <f t="shared" si="0"/>
        <v>5.0916202648781033</v>
      </c>
      <c r="N20" s="12"/>
      <c r="O20" s="12"/>
      <c r="P20" s="12"/>
      <c r="Q20" s="12"/>
      <c r="R20" s="473"/>
      <c r="S20" s="96" t="s">
        <v>19</v>
      </c>
      <c r="T20" s="95">
        <f>'2020-2029 SPP Total Costs'!E20</f>
        <v>0.19975679999999993</v>
      </c>
      <c r="U20" s="95">
        <f>'2020-2029 SPP Total Costs'!F20</f>
        <v>0.20375193599999991</v>
      </c>
      <c r="V20" s="79"/>
      <c r="W20" s="86"/>
      <c r="X20" s="79"/>
      <c r="Y20" s="86">
        <f>'2022-2031 SPP Total Costs'!C25</f>
        <v>0.92430000000000001</v>
      </c>
      <c r="Z20" s="86">
        <f>'2022-2031 SPP Total Costs'!D25</f>
        <v>0.86629999999999996</v>
      </c>
      <c r="AA20" s="79"/>
      <c r="AB20" s="51">
        <f t="shared" si="4"/>
        <v>0.72454320000000005</v>
      </c>
      <c r="AC20" s="51">
        <f t="shared" si="5"/>
        <v>0.6625480640000001</v>
      </c>
    </row>
    <row r="21" spans="2:31" ht="33" customHeight="1" x14ac:dyDescent="0.3">
      <c r="B21" s="13" t="s">
        <v>19</v>
      </c>
      <c r="C21" s="33">
        <v>0.99399999999999999</v>
      </c>
      <c r="D21" s="15">
        <v>0.38872000000000001</v>
      </c>
      <c r="E21" s="15">
        <v>0.19975679999999993</v>
      </c>
      <c r="F21" s="15">
        <v>0.20375193599999991</v>
      </c>
      <c r="G21" s="15">
        <v>0.20782697471999989</v>
      </c>
      <c r="H21" s="15">
        <v>0.21198351421439993</v>
      </c>
      <c r="I21" s="15">
        <v>0.21622318449868794</v>
      </c>
      <c r="J21" s="15">
        <v>0.22054764818866165</v>
      </c>
      <c r="K21" s="15">
        <v>0.22495860115243493</v>
      </c>
      <c r="L21" s="15">
        <v>0.22945777317548358</v>
      </c>
      <c r="M21" s="16">
        <f t="shared" si="0"/>
        <v>3.0972264319496676</v>
      </c>
      <c r="N21" s="12"/>
      <c r="O21" s="12"/>
      <c r="P21" s="12"/>
      <c r="Q21" s="12"/>
      <c r="R21" s="12"/>
      <c r="T21" s="162"/>
      <c r="U21" s="162"/>
      <c r="V21" s="162"/>
      <c r="W21" s="162"/>
      <c r="X21" s="162"/>
      <c r="Y21" s="162"/>
      <c r="Z21" s="162"/>
      <c r="AA21" s="79"/>
      <c r="AB21" s="51">
        <f>SUM(AB13:AB20)</f>
        <v>1.1747160570750035</v>
      </c>
      <c r="AC21" s="51">
        <f>SUM(AC13:AC20)</f>
        <v>0.73120608138080012</v>
      </c>
      <c r="AD21" s="1" t="s">
        <v>161</v>
      </c>
    </row>
    <row r="22" spans="2:31" ht="33" customHeight="1" x14ac:dyDescent="0.3">
      <c r="B22" s="13" t="s">
        <v>20</v>
      </c>
      <c r="C22" s="33">
        <v>0.27500000000000002</v>
      </c>
      <c r="D22" s="15">
        <v>0.28050000000000003</v>
      </c>
      <c r="E22" s="15">
        <v>0.28611000000000003</v>
      </c>
      <c r="F22" s="15">
        <v>0.2918322000000001</v>
      </c>
      <c r="G22" s="15">
        <v>0.29766884400000004</v>
      </c>
      <c r="H22" s="15">
        <v>0.30362222088000007</v>
      </c>
      <c r="I22" s="15">
        <v>0.30969466529760009</v>
      </c>
      <c r="J22" s="15">
        <v>0.31588855860355214</v>
      </c>
      <c r="K22" s="15">
        <v>0.32220632977562313</v>
      </c>
      <c r="L22" s="15">
        <v>0.3286504563711356</v>
      </c>
      <c r="M22" s="16">
        <f t="shared" si="0"/>
        <v>3.0111732749279114</v>
      </c>
      <c r="N22" s="12"/>
      <c r="O22" s="12"/>
      <c r="P22" s="12"/>
      <c r="Q22" s="12"/>
      <c r="R22" s="12"/>
    </row>
    <row r="23" spans="2:31" ht="33" customHeight="1" thickBot="1" x14ac:dyDescent="0.35">
      <c r="B23" s="88" t="s">
        <v>11</v>
      </c>
      <c r="C23" s="56">
        <v>0.5180566972244588</v>
      </c>
      <c r="D23" s="57">
        <v>0.61508039999999997</v>
      </c>
      <c r="E23" s="57">
        <v>0.8094071409200575</v>
      </c>
      <c r="F23" s="57">
        <v>0.83385123657584037</v>
      </c>
      <c r="G23" s="57">
        <v>0.8590335439204313</v>
      </c>
      <c r="H23" s="57">
        <v>0.88497635694682941</v>
      </c>
      <c r="I23" s="57">
        <v>0.58532291741246401</v>
      </c>
      <c r="J23" s="57">
        <v>0.59702937576071313</v>
      </c>
      <c r="K23" s="57">
        <v>0.60896996327592745</v>
      </c>
      <c r="L23" s="57">
        <v>0.62114936254144604</v>
      </c>
      <c r="M23" s="74">
        <f t="shared" si="0"/>
        <v>6.9328769945781676</v>
      </c>
      <c r="N23" s="12"/>
      <c r="O23" s="12"/>
      <c r="P23" s="12"/>
      <c r="Q23" s="12"/>
      <c r="AE23" s="12"/>
    </row>
    <row r="25" spans="2:31" x14ac:dyDescent="0.25">
      <c r="B25" s="1" t="s">
        <v>23</v>
      </c>
      <c r="C25" s="12" t="e">
        <f>C5+C6+C7+C8+C9+C13+C15+C18+C19+#REF!+C20+C21</f>
        <v>#REF!</v>
      </c>
      <c r="D25" s="12" t="e">
        <f>D5+D6+D7+D8+D9+D13+D15+D18+D19+#REF!+D20+D21</f>
        <v>#REF!</v>
      </c>
      <c r="E25" s="12" t="e">
        <f>E5+E6+E7+E8+E9+E13+E15+E18+E19+#REF!+E20+E21</f>
        <v>#REF!</v>
      </c>
      <c r="F25" s="12" t="e">
        <f>F5+F6+F7+F8+F9+F13+F15+F18+F19+#REF!+F20+F21</f>
        <v>#REF!</v>
      </c>
      <c r="G25" s="12" t="e">
        <f>G5+G6+G7+G8+G9+G13+G15+G18+G19+#REF!+G20+G21</f>
        <v>#REF!</v>
      </c>
      <c r="H25" s="12" t="e">
        <f>H5+H6+H7+H8+H9+H13+H15+H18+H19+#REF!+H20+H21</f>
        <v>#REF!</v>
      </c>
      <c r="I25" s="12" t="e">
        <f>I5+I6+I7+I8+I9+I13+I15+I18+I19+#REF!+I20+I21</f>
        <v>#REF!</v>
      </c>
      <c r="J25" s="12" t="e">
        <f>J5+J6+J7+J8+J9+J13+J15+J18+J19+#REF!+J20+J21</f>
        <v>#REF!</v>
      </c>
      <c r="K25" s="12" t="e">
        <f>K5+K6+K7+K8+K9+K13+K15+K18+K19+#REF!+K20+K21</f>
        <v>#REF!</v>
      </c>
      <c r="L25" s="12" t="e">
        <f>L5+L6+L7+L8+L9+L13+L15+L18+L19+#REF!+L20+L21</f>
        <v>#REF!</v>
      </c>
      <c r="M25" s="12" t="e">
        <f>SUM(C25:L25)</f>
        <v>#REF!</v>
      </c>
      <c r="N25" s="12"/>
      <c r="O25" s="12"/>
      <c r="P25" s="12"/>
      <c r="Q25" s="12"/>
      <c r="R25" s="12"/>
      <c r="T25" s="35"/>
      <c r="U25" s="35"/>
      <c r="W25" s="11"/>
      <c r="Y25" s="11"/>
      <c r="Z25" s="11"/>
    </row>
    <row r="26" spans="2:31" x14ac:dyDescent="0.25">
      <c r="B26" s="1" t="s">
        <v>24</v>
      </c>
      <c r="C26" s="1">
        <v>-10.4</v>
      </c>
      <c r="D26" s="1">
        <v>-15</v>
      </c>
      <c r="E26" s="1">
        <v>-15</v>
      </c>
      <c r="F26" s="1">
        <v>-15</v>
      </c>
      <c r="G26" s="1">
        <v>-15</v>
      </c>
      <c r="H26" s="1">
        <v>-15</v>
      </c>
      <c r="I26" s="1">
        <v>-15</v>
      </c>
      <c r="J26" s="1">
        <v>-15</v>
      </c>
      <c r="K26" s="1">
        <v>-15</v>
      </c>
      <c r="L26" s="1">
        <v>-15</v>
      </c>
      <c r="M26" s="1">
        <f>SUM(C26:L26)</f>
        <v>-145.4</v>
      </c>
      <c r="S26" s="35"/>
    </row>
    <row r="27" spans="2:31" x14ac:dyDescent="0.25">
      <c r="V27" s="35"/>
      <c r="X27" s="35"/>
      <c r="AA27" s="35"/>
    </row>
    <row r="28" spans="2:31" x14ac:dyDescent="0.25">
      <c r="M28" s="12" t="e">
        <f>SUM(M25:M27)</f>
        <v>#REF!</v>
      </c>
      <c r="N28" s="12"/>
      <c r="O28" s="12"/>
      <c r="P28" s="12"/>
      <c r="Q28" s="12"/>
    </row>
    <row r="32" spans="2:31" x14ac:dyDescent="0.25">
      <c r="L32" s="1" t="s">
        <v>26</v>
      </c>
    </row>
  </sheetData>
  <mergeCells count="6">
    <mergeCell ref="Y3:Z3"/>
    <mergeCell ref="R12:R20"/>
    <mergeCell ref="T2:AC2"/>
    <mergeCell ref="B2:M3"/>
    <mergeCell ref="T3:U3"/>
    <mergeCell ref="R5:R9"/>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193FF-F5FF-48D8-A602-EDCB93DCAF26}">
  <sheetPr>
    <tabColor rgb="FF00B050"/>
  </sheetPr>
  <dimension ref="B1:F26"/>
  <sheetViews>
    <sheetView workbookViewId="0">
      <selection activeCell="B2" sqref="B2:F24"/>
    </sheetView>
  </sheetViews>
  <sheetFormatPr defaultColWidth="8.85546875" defaultRowHeight="15" x14ac:dyDescent="0.25"/>
  <cols>
    <col min="1" max="1" width="8.85546875" style="213"/>
    <col min="2" max="2" width="32.85546875" style="162" bestFit="1" customWidth="1"/>
    <col min="3" max="3" width="23.85546875" style="162" bestFit="1" customWidth="1"/>
    <col min="4" max="5" width="15.7109375" style="162" customWidth="1"/>
    <col min="6" max="6" width="18.42578125" style="162" bestFit="1" customWidth="1"/>
    <col min="7" max="16384" width="8.85546875" style="213"/>
  </cols>
  <sheetData>
    <row r="1" spans="2:6" ht="15.75" thickBot="1" x14ac:dyDescent="0.3"/>
    <row r="2" spans="2:6" s="162" customFormat="1" ht="16.5" thickBot="1" x14ac:dyDescent="0.3">
      <c r="B2" s="579" t="s">
        <v>203</v>
      </c>
      <c r="C2" s="580"/>
      <c r="D2" s="580"/>
      <c r="E2" s="580"/>
      <c r="F2" s="581"/>
    </row>
    <row r="3" spans="2:6" s="211" customFormat="1" ht="32.25" thickBot="1" x14ac:dyDescent="0.3">
      <c r="B3" s="365" t="s">
        <v>113</v>
      </c>
      <c r="C3" s="364" t="s">
        <v>204</v>
      </c>
      <c r="D3" s="364" t="s">
        <v>117</v>
      </c>
      <c r="E3" s="364" t="s">
        <v>205</v>
      </c>
      <c r="F3" s="364" t="s">
        <v>206</v>
      </c>
    </row>
    <row r="4" spans="2:6" s="162" customFormat="1" x14ac:dyDescent="0.25">
      <c r="B4" s="369" t="s">
        <v>207</v>
      </c>
      <c r="C4" s="372" t="s">
        <v>208</v>
      </c>
      <c r="D4" s="375" t="s">
        <v>209</v>
      </c>
      <c r="E4" s="381" t="s">
        <v>210</v>
      </c>
      <c r="F4" s="378">
        <v>622025</v>
      </c>
    </row>
    <row r="5" spans="2:6" s="162" customFormat="1" x14ac:dyDescent="0.25">
      <c r="B5" s="370" t="s">
        <v>211</v>
      </c>
      <c r="C5" s="373" t="s">
        <v>208</v>
      </c>
      <c r="D5" s="376" t="s">
        <v>209</v>
      </c>
      <c r="E5" s="382" t="s">
        <v>212</v>
      </c>
      <c r="F5" s="379">
        <v>92429</v>
      </c>
    </row>
    <row r="6" spans="2:6" s="162" customFormat="1" x14ac:dyDescent="0.25">
      <c r="B6" s="370" t="s">
        <v>213</v>
      </c>
      <c r="C6" s="373" t="s">
        <v>208</v>
      </c>
      <c r="D6" s="376" t="s">
        <v>209</v>
      </c>
      <c r="E6" s="382" t="s">
        <v>212</v>
      </c>
      <c r="F6" s="379">
        <v>100525</v>
      </c>
    </row>
    <row r="7" spans="2:6" s="162" customFormat="1" x14ac:dyDescent="0.25">
      <c r="B7" s="370" t="s">
        <v>214</v>
      </c>
      <c r="C7" s="373" t="s">
        <v>208</v>
      </c>
      <c r="D7" s="376" t="s">
        <v>209</v>
      </c>
      <c r="E7" s="382" t="s">
        <v>215</v>
      </c>
      <c r="F7" s="379">
        <v>94755</v>
      </c>
    </row>
    <row r="8" spans="2:6" s="162" customFormat="1" x14ac:dyDescent="0.25">
      <c r="B8" s="370" t="s">
        <v>216</v>
      </c>
      <c r="C8" s="373" t="s">
        <v>208</v>
      </c>
      <c r="D8" s="376" t="s">
        <v>209</v>
      </c>
      <c r="E8" s="382" t="s">
        <v>215</v>
      </c>
      <c r="F8" s="379">
        <v>106899</v>
      </c>
    </row>
    <row r="9" spans="2:6" s="162" customFormat="1" x14ac:dyDescent="0.25">
      <c r="B9" s="370" t="s">
        <v>217</v>
      </c>
      <c r="C9" s="373" t="s">
        <v>208</v>
      </c>
      <c r="D9" s="376" t="s">
        <v>209</v>
      </c>
      <c r="E9" s="382" t="s">
        <v>215</v>
      </c>
      <c r="F9" s="379">
        <v>102851</v>
      </c>
    </row>
    <row r="10" spans="2:6" s="162" customFormat="1" x14ac:dyDescent="0.25">
      <c r="B10" s="370" t="s">
        <v>218</v>
      </c>
      <c r="C10" s="373" t="s">
        <v>208</v>
      </c>
      <c r="D10" s="376" t="s">
        <v>209</v>
      </c>
      <c r="E10" s="382" t="s">
        <v>215</v>
      </c>
      <c r="F10" s="379">
        <v>108249</v>
      </c>
    </row>
    <row r="11" spans="2:6" s="162" customFormat="1" x14ac:dyDescent="0.25">
      <c r="B11" s="370" t="s">
        <v>219</v>
      </c>
      <c r="C11" s="373" t="s">
        <v>208</v>
      </c>
      <c r="D11" s="376" t="s">
        <v>209</v>
      </c>
      <c r="E11" s="382" t="s">
        <v>210</v>
      </c>
      <c r="F11" s="379">
        <v>434769</v>
      </c>
    </row>
    <row r="12" spans="2:6" s="162" customFormat="1" x14ac:dyDescent="0.25">
      <c r="B12" s="370" t="s">
        <v>220</v>
      </c>
      <c r="C12" s="373" t="s">
        <v>208</v>
      </c>
      <c r="D12" s="376" t="s">
        <v>209</v>
      </c>
      <c r="E12" s="382" t="s">
        <v>221</v>
      </c>
      <c r="F12" s="379">
        <v>27000</v>
      </c>
    </row>
    <row r="13" spans="2:6" s="162" customFormat="1" x14ac:dyDescent="0.25">
      <c r="B13" s="370" t="s">
        <v>222</v>
      </c>
      <c r="C13" s="373" t="s">
        <v>208</v>
      </c>
      <c r="D13" s="376" t="s">
        <v>209</v>
      </c>
      <c r="E13" s="382" t="s">
        <v>221</v>
      </c>
      <c r="F13" s="379">
        <v>22000</v>
      </c>
    </row>
    <row r="14" spans="2:6" s="162" customFormat="1" x14ac:dyDescent="0.25">
      <c r="B14" s="370">
        <v>230606</v>
      </c>
      <c r="C14" s="373" t="s">
        <v>223</v>
      </c>
      <c r="D14" s="376" t="s">
        <v>209</v>
      </c>
      <c r="E14" s="382" t="s">
        <v>221</v>
      </c>
      <c r="F14" s="379">
        <v>20000</v>
      </c>
    </row>
    <row r="15" spans="2:6" s="162" customFormat="1" x14ac:dyDescent="0.25">
      <c r="B15" s="370">
        <v>230020</v>
      </c>
      <c r="C15" s="373" t="s">
        <v>223</v>
      </c>
      <c r="D15" s="376" t="s">
        <v>209</v>
      </c>
      <c r="E15" s="382" t="s">
        <v>212</v>
      </c>
      <c r="F15" s="379">
        <v>219221</v>
      </c>
    </row>
    <row r="16" spans="2:6" s="162" customFormat="1" x14ac:dyDescent="0.25">
      <c r="B16" s="370">
        <v>230008</v>
      </c>
      <c r="C16" s="373" t="s">
        <v>223</v>
      </c>
      <c r="D16" s="376" t="s">
        <v>209</v>
      </c>
      <c r="E16" s="382" t="s">
        <v>210</v>
      </c>
      <c r="F16" s="379">
        <v>146924</v>
      </c>
    </row>
    <row r="17" spans="2:6" s="162" customFormat="1" x14ac:dyDescent="0.25">
      <c r="B17" s="370">
        <v>230007</v>
      </c>
      <c r="C17" s="373" t="s">
        <v>223</v>
      </c>
      <c r="D17" s="376" t="s">
        <v>209</v>
      </c>
      <c r="E17" s="382" t="s">
        <v>215</v>
      </c>
      <c r="F17" s="379">
        <v>67399</v>
      </c>
    </row>
    <row r="18" spans="2:6" s="162" customFormat="1" x14ac:dyDescent="0.25">
      <c r="B18" s="370">
        <v>66839</v>
      </c>
      <c r="C18" s="373" t="s">
        <v>223</v>
      </c>
      <c r="D18" s="376" t="s">
        <v>209</v>
      </c>
      <c r="E18" s="382" t="s">
        <v>221</v>
      </c>
      <c r="F18" s="379">
        <v>26000</v>
      </c>
    </row>
    <row r="19" spans="2:6" s="162" customFormat="1" x14ac:dyDescent="0.25">
      <c r="B19" s="370">
        <v>66046</v>
      </c>
      <c r="C19" s="373" t="s">
        <v>223</v>
      </c>
      <c r="D19" s="376" t="s">
        <v>224</v>
      </c>
      <c r="E19" s="382" t="s">
        <v>212</v>
      </c>
      <c r="F19" s="379">
        <v>90914</v>
      </c>
    </row>
    <row r="20" spans="2:6" s="162" customFormat="1" x14ac:dyDescent="0.25">
      <c r="B20" s="370">
        <v>66035</v>
      </c>
      <c r="C20" s="373" t="s">
        <v>223</v>
      </c>
      <c r="D20" s="376" t="s">
        <v>209</v>
      </c>
      <c r="E20" s="382" t="s">
        <v>221</v>
      </c>
      <c r="F20" s="379">
        <v>26000</v>
      </c>
    </row>
    <row r="21" spans="2:6" s="162" customFormat="1" x14ac:dyDescent="0.25">
      <c r="B21" s="370">
        <v>66033</v>
      </c>
      <c r="C21" s="373" t="s">
        <v>223</v>
      </c>
      <c r="D21" s="376" t="s">
        <v>224</v>
      </c>
      <c r="E21" s="382" t="s">
        <v>215</v>
      </c>
      <c r="F21" s="379">
        <v>45072</v>
      </c>
    </row>
    <row r="22" spans="2:6" s="162" customFormat="1" x14ac:dyDescent="0.25">
      <c r="B22" s="370">
        <v>66016</v>
      </c>
      <c r="C22" s="373" t="s">
        <v>223</v>
      </c>
      <c r="D22" s="376" t="s">
        <v>209</v>
      </c>
      <c r="E22" s="382" t="s">
        <v>221</v>
      </c>
      <c r="F22" s="379">
        <v>20000</v>
      </c>
    </row>
    <row r="23" spans="2:6" s="162" customFormat="1" x14ac:dyDescent="0.25">
      <c r="B23" s="370">
        <v>66007</v>
      </c>
      <c r="C23" s="373" t="s">
        <v>223</v>
      </c>
      <c r="D23" s="376" t="s">
        <v>209</v>
      </c>
      <c r="E23" s="382" t="s">
        <v>215</v>
      </c>
      <c r="F23" s="379">
        <v>21229</v>
      </c>
    </row>
    <row r="24" spans="2:6" s="162" customFormat="1" ht="15.75" thickBot="1" x14ac:dyDescent="0.3">
      <c r="B24" s="371">
        <v>66001</v>
      </c>
      <c r="C24" s="374" t="s">
        <v>223</v>
      </c>
      <c r="D24" s="377" t="s">
        <v>224</v>
      </c>
      <c r="E24" s="383" t="s">
        <v>215</v>
      </c>
      <c r="F24" s="380">
        <v>48641</v>
      </c>
    </row>
    <row r="26" spans="2:6" x14ac:dyDescent="0.25">
      <c r="F26" s="212"/>
    </row>
  </sheetData>
  <mergeCells count="1">
    <mergeCell ref="B2:F2"/>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639BF-A9B6-497B-8C47-793A06900238}">
  <dimension ref="A1:S30"/>
  <sheetViews>
    <sheetView workbookViewId="0">
      <selection activeCell="C3" sqref="C3:H3"/>
    </sheetView>
  </sheetViews>
  <sheetFormatPr defaultColWidth="9.140625" defaultRowHeight="15.75" x14ac:dyDescent="0.25"/>
  <cols>
    <col min="1" max="2" width="9.140625" style="98"/>
    <col min="3" max="7" width="21.7109375" style="98" customWidth="1"/>
    <col min="8" max="8" width="22" style="98" customWidth="1"/>
    <col min="9" max="16384" width="9.140625" style="98"/>
  </cols>
  <sheetData>
    <row r="1" spans="1:19" ht="16.5" thickBot="1" x14ac:dyDescent="0.3">
      <c r="A1" s="181" t="s">
        <v>199</v>
      </c>
      <c r="B1" s="181"/>
      <c r="C1" s="181"/>
      <c r="D1" s="182"/>
      <c r="E1" s="182"/>
    </row>
    <row r="2" spans="1:19" ht="37.5" customHeight="1" thickBot="1" x14ac:dyDescent="0.3">
      <c r="C2" s="582" t="s">
        <v>95</v>
      </c>
      <c r="D2" s="583"/>
      <c r="E2" s="583"/>
      <c r="F2" s="583"/>
      <c r="G2" s="583"/>
      <c r="H2" s="584"/>
    </row>
    <row r="3" spans="1:19" ht="87" customHeight="1" thickBot="1" x14ac:dyDescent="0.3">
      <c r="C3" s="139" t="s">
        <v>96</v>
      </c>
      <c r="D3" s="140" t="s">
        <v>97</v>
      </c>
      <c r="E3" s="140" t="s">
        <v>98</v>
      </c>
      <c r="F3" s="141" t="s">
        <v>62</v>
      </c>
      <c r="G3" s="141" t="s">
        <v>64</v>
      </c>
      <c r="H3" s="142" t="s">
        <v>4</v>
      </c>
    </row>
    <row r="4" spans="1:19" x14ac:dyDescent="0.25">
      <c r="B4" s="143">
        <v>2020</v>
      </c>
      <c r="C4" s="128">
        <v>3200</v>
      </c>
      <c r="D4" s="128">
        <v>100</v>
      </c>
      <c r="E4" s="128">
        <v>100</v>
      </c>
      <c r="F4" s="128">
        <v>13190</v>
      </c>
      <c r="G4" s="128">
        <v>2532</v>
      </c>
      <c r="H4" s="128">
        <f>SUM(C4:G4)</f>
        <v>19122</v>
      </c>
      <c r="J4" s="98">
        <f t="shared" ref="J4:S4" si="0">G20+G19+G21</f>
        <v>13.187881000000001</v>
      </c>
      <c r="K4" s="98">
        <f t="shared" si="0"/>
        <v>13.358638620000001</v>
      </c>
      <c r="L4" s="98">
        <f t="shared" si="0"/>
        <v>11.5798113924</v>
      </c>
      <c r="M4" s="98">
        <f t="shared" si="0"/>
        <v>12.901407620248001</v>
      </c>
      <c r="N4" s="98">
        <f t="shared" si="0"/>
        <v>13.82343577265296</v>
      </c>
      <c r="O4" s="98">
        <f t="shared" si="0"/>
        <v>14.245904488106019</v>
      </c>
      <c r="P4" s="98">
        <f t="shared" si="0"/>
        <v>14.56882257786814</v>
      </c>
      <c r="Q4" s="98">
        <f t="shared" si="0"/>
        <v>15.892199029425502</v>
      </c>
      <c r="R4" s="98">
        <f t="shared" si="0"/>
        <v>16.216043010014012</v>
      </c>
      <c r="S4" s="98">
        <f t="shared" si="0"/>
        <v>18.740363870214292</v>
      </c>
    </row>
    <row r="5" spans="1:19" x14ac:dyDescent="0.25">
      <c r="B5" s="144">
        <f>B4+1</f>
        <v>2021</v>
      </c>
      <c r="C5" s="129">
        <v>5200</v>
      </c>
      <c r="D5" s="129">
        <v>1200</v>
      </c>
      <c r="E5" s="129">
        <v>695</v>
      </c>
      <c r="F5" s="129">
        <v>13360</v>
      </c>
      <c r="G5" s="129">
        <v>2832</v>
      </c>
      <c r="H5" s="129">
        <f t="shared" ref="H5:H13" si="1">SUM(C5:G5)</f>
        <v>23287</v>
      </c>
      <c r="J5" s="98">
        <v>2.5324429999999998</v>
      </c>
      <c r="K5" s="98">
        <v>2.8322318600000003</v>
      </c>
      <c r="L5" s="98">
        <v>2.8983214971999995</v>
      </c>
      <c r="M5" s="98">
        <v>2.9659690521440001</v>
      </c>
      <c r="N5" s="98">
        <v>3.0352115863118794</v>
      </c>
      <c r="O5" s="98">
        <v>3.1303768276616419</v>
      </c>
      <c r="P5" s="98">
        <v>3.2270592877713717</v>
      </c>
      <c r="Q5" s="98">
        <v>3.3022866240975515</v>
      </c>
      <c r="R5" s="98">
        <v>3.3792856609145225</v>
      </c>
      <c r="S5" s="98">
        <v>3.458098511076209</v>
      </c>
    </row>
    <row r="6" spans="1:19" x14ac:dyDescent="0.25">
      <c r="B6" s="144">
        <f t="shared" ref="B6:B13" si="2">B5+1</f>
        <v>2022</v>
      </c>
      <c r="C6" s="129">
        <v>6100</v>
      </c>
      <c r="D6" s="129">
        <v>3500</v>
      </c>
      <c r="E6" s="129">
        <v>695</v>
      </c>
      <c r="F6" s="129">
        <v>11580</v>
      </c>
      <c r="G6" s="129">
        <v>2898</v>
      </c>
      <c r="H6" s="129">
        <f t="shared" si="1"/>
        <v>24773</v>
      </c>
    </row>
    <row r="7" spans="1:19" x14ac:dyDescent="0.25">
      <c r="B7" s="144">
        <f t="shared" si="2"/>
        <v>2023</v>
      </c>
      <c r="C7" s="129">
        <v>7100</v>
      </c>
      <c r="D7" s="129">
        <v>4000</v>
      </c>
      <c r="E7" s="129">
        <v>695</v>
      </c>
      <c r="F7" s="129">
        <v>12900</v>
      </c>
      <c r="G7" s="129">
        <v>2966</v>
      </c>
      <c r="H7" s="129">
        <f t="shared" si="1"/>
        <v>27661</v>
      </c>
    </row>
    <row r="8" spans="1:19" x14ac:dyDescent="0.25">
      <c r="B8" s="144">
        <f t="shared" si="2"/>
        <v>2024</v>
      </c>
      <c r="C8" s="129">
        <v>4800</v>
      </c>
      <c r="D8" s="129">
        <v>5600</v>
      </c>
      <c r="E8" s="129">
        <v>0</v>
      </c>
      <c r="F8" s="129">
        <v>13820</v>
      </c>
      <c r="G8" s="129">
        <v>3035</v>
      </c>
      <c r="H8" s="129">
        <f t="shared" si="1"/>
        <v>27255</v>
      </c>
    </row>
    <row r="9" spans="1:19" x14ac:dyDescent="0.25">
      <c r="B9" s="144">
        <f t="shared" si="2"/>
        <v>2025</v>
      </c>
      <c r="C9" s="129">
        <v>5300</v>
      </c>
      <c r="D9" s="129">
        <v>6000</v>
      </c>
      <c r="E9" s="129">
        <v>0</v>
      </c>
      <c r="F9" s="129">
        <v>14250</v>
      </c>
      <c r="G9" s="129">
        <v>3130</v>
      </c>
      <c r="H9" s="129">
        <f t="shared" si="1"/>
        <v>28680</v>
      </c>
    </row>
    <row r="10" spans="1:19" x14ac:dyDescent="0.25">
      <c r="B10" s="144">
        <f t="shared" si="2"/>
        <v>2026</v>
      </c>
      <c r="C10" s="129">
        <v>6500</v>
      </c>
      <c r="D10" s="129">
        <v>5700</v>
      </c>
      <c r="E10" s="129">
        <v>0</v>
      </c>
      <c r="F10" s="129">
        <v>14570</v>
      </c>
      <c r="G10" s="129">
        <v>3227</v>
      </c>
      <c r="H10" s="129">
        <f t="shared" si="1"/>
        <v>29997</v>
      </c>
    </row>
    <row r="11" spans="1:19" x14ac:dyDescent="0.25">
      <c r="B11" s="144">
        <f t="shared" si="2"/>
        <v>2027</v>
      </c>
      <c r="C11" s="129">
        <v>5900</v>
      </c>
      <c r="D11" s="129">
        <v>6200</v>
      </c>
      <c r="E11" s="129">
        <v>0</v>
      </c>
      <c r="F11" s="129">
        <v>15890</v>
      </c>
      <c r="G11" s="129">
        <v>3302</v>
      </c>
      <c r="H11" s="129">
        <f t="shared" si="1"/>
        <v>31292</v>
      </c>
    </row>
    <row r="12" spans="1:19" x14ac:dyDescent="0.25">
      <c r="B12" s="144">
        <f t="shared" si="2"/>
        <v>2028</v>
      </c>
      <c r="C12" s="129">
        <v>5900</v>
      </c>
      <c r="D12" s="129">
        <v>7300</v>
      </c>
      <c r="E12" s="129">
        <v>0</v>
      </c>
      <c r="F12" s="129">
        <v>16220</v>
      </c>
      <c r="G12" s="129">
        <v>3379</v>
      </c>
      <c r="H12" s="129">
        <f t="shared" si="1"/>
        <v>32799</v>
      </c>
    </row>
    <row r="13" spans="1:19" ht="16.5" thickBot="1" x14ac:dyDescent="0.3">
      <c r="B13" s="145">
        <f t="shared" si="2"/>
        <v>2029</v>
      </c>
      <c r="C13" s="130">
        <v>5900</v>
      </c>
      <c r="D13" s="130">
        <v>6300</v>
      </c>
      <c r="E13" s="130">
        <v>0</v>
      </c>
      <c r="F13" s="130">
        <v>18740</v>
      </c>
      <c r="G13" s="130">
        <v>3458</v>
      </c>
      <c r="H13" s="130">
        <f t="shared" si="1"/>
        <v>34398</v>
      </c>
    </row>
    <row r="17" spans="5:16" x14ac:dyDescent="0.25">
      <c r="E17" s="98" t="s">
        <v>48</v>
      </c>
      <c r="G17" s="98">
        <v>19.120324</v>
      </c>
      <c r="H17" s="98">
        <v>23.28587048</v>
      </c>
      <c r="I17" s="98">
        <v>24.773132889599996</v>
      </c>
      <c r="J17" s="98">
        <v>27.662376672392003</v>
      </c>
      <c r="K17" s="98">
        <v>27.258647358964843</v>
      </c>
      <c r="L17" s="98">
        <v>28.67628131576766</v>
      </c>
      <c r="M17" s="98">
        <v>29.995881865639511</v>
      </c>
      <c r="N17" s="98">
        <v>31.294485653523054</v>
      </c>
      <c r="O17" s="98">
        <v>32.795328670928534</v>
      </c>
      <c r="P17" s="98">
        <v>34.398462381290507</v>
      </c>
    </row>
    <row r="18" spans="5:16" x14ac:dyDescent="0.25">
      <c r="E18" s="98" t="s">
        <v>99</v>
      </c>
      <c r="G18" s="98">
        <v>16.487881000000002</v>
      </c>
      <c r="H18" s="98">
        <v>19.758638619999999</v>
      </c>
      <c r="I18" s="98">
        <v>21.179811392399998</v>
      </c>
      <c r="J18" s="98">
        <v>24.001407620248003</v>
      </c>
      <c r="K18" s="98">
        <v>24.223435772652962</v>
      </c>
      <c r="L18" s="98">
        <v>25.545904488106018</v>
      </c>
      <c r="M18" s="98">
        <v>26.768822577868139</v>
      </c>
      <c r="N18" s="98">
        <v>27.992199029425503</v>
      </c>
      <c r="O18" s="98">
        <v>29.416043010014011</v>
      </c>
      <c r="P18" s="98">
        <v>30.940363870214295</v>
      </c>
    </row>
    <row r="19" spans="5:16" x14ac:dyDescent="0.25">
      <c r="E19" s="98" t="s">
        <v>100</v>
      </c>
      <c r="G19" s="98">
        <v>0.53788100000000005</v>
      </c>
      <c r="H19" s="98">
        <v>0.54863862000000008</v>
      </c>
      <c r="I19" s="98">
        <v>0.55961139240000013</v>
      </c>
      <c r="J19" s="98">
        <v>0.57080362024800013</v>
      </c>
      <c r="K19" s="98">
        <v>0.58221969265296014</v>
      </c>
      <c r="L19" s="98">
        <v>0.59386408650601941</v>
      </c>
      <c r="M19" s="98">
        <v>0.60574136823613978</v>
      </c>
      <c r="N19" s="98">
        <v>0.61785619560086258</v>
      </c>
      <c r="O19" s="98">
        <v>0.63021331951287984</v>
      </c>
      <c r="P19" s="98">
        <v>0.64281758590313742</v>
      </c>
    </row>
    <row r="20" spans="5:16" x14ac:dyDescent="0.25">
      <c r="E20" s="98" t="s">
        <v>101</v>
      </c>
      <c r="G20" s="98">
        <v>0.25</v>
      </c>
      <c r="H20" s="98">
        <v>0.51</v>
      </c>
      <c r="I20" s="98">
        <v>0.5202</v>
      </c>
      <c r="J20" s="98">
        <v>0.53060399999999996</v>
      </c>
      <c r="K20" s="98">
        <v>0.54121607999999999</v>
      </c>
      <c r="L20" s="98">
        <v>0.55204040160000001</v>
      </c>
      <c r="M20" s="98">
        <v>0.56308120963200003</v>
      </c>
      <c r="N20" s="98">
        <v>0.57434283382463991</v>
      </c>
      <c r="O20" s="98">
        <v>0.58582969050113276</v>
      </c>
      <c r="P20" s="98">
        <v>0.59754628431115542</v>
      </c>
    </row>
    <row r="21" spans="5:16" x14ac:dyDescent="0.25">
      <c r="E21" s="98" t="s">
        <v>102</v>
      </c>
      <c r="G21" s="98">
        <v>12.4</v>
      </c>
      <c r="H21" s="98">
        <v>12.3</v>
      </c>
      <c r="I21" s="98">
        <v>10.5</v>
      </c>
      <c r="J21" s="98">
        <v>11.8</v>
      </c>
      <c r="K21" s="98">
        <v>12.7</v>
      </c>
      <c r="L21" s="98">
        <v>13.1</v>
      </c>
      <c r="M21" s="98">
        <v>13.4</v>
      </c>
      <c r="N21" s="98">
        <v>14.7</v>
      </c>
      <c r="O21" s="98">
        <v>15</v>
      </c>
      <c r="P21" s="98">
        <v>17.5</v>
      </c>
    </row>
    <row r="22" spans="5:16" x14ac:dyDescent="0.25">
      <c r="E22" s="98" t="s">
        <v>103</v>
      </c>
      <c r="G22" s="98">
        <v>3.2</v>
      </c>
      <c r="H22" s="98">
        <v>5.2</v>
      </c>
      <c r="I22" s="98">
        <v>6.1</v>
      </c>
      <c r="J22" s="98">
        <v>7.1</v>
      </c>
      <c r="K22" s="98">
        <v>4.8</v>
      </c>
      <c r="L22" s="98">
        <v>5.3</v>
      </c>
      <c r="M22" s="98">
        <v>6.5</v>
      </c>
      <c r="N22" s="98">
        <v>5.9</v>
      </c>
      <c r="O22" s="98">
        <v>5.9</v>
      </c>
      <c r="P22" s="98">
        <v>5.9</v>
      </c>
    </row>
    <row r="23" spans="5:16" x14ac:dyDescent="0.25">
      <c r="E23" s="98" t="s">
        <v>104</v>
      </c>
      <c r="G23" s="98">
        <v>0.1</v>
      </c>
      <c r="H23" s="98">
        <v>1.2</v>
      </c>
      <c r="I23" s="98">
        <v>3.5</v>
      </c>
      <c r="J23" s="98">
        <v>4</v>
      </c>
      <c r="K23" s="98">
        <v>5.6</v>
      </c>
      <c r="L23" s="98">
        <v>6</v>
      </c>
      <c r="M23" s="98">
        <v>5.7</v>
      </c>
      <c r="N23" s="98">
        <v>6.2</v>
      </c>
      <c r="O23" s="98">
        <v>7.3</v>
      </c>
      <c r="P23" s="98">
        <v>6.3</v>
      </c>
    </row>
    <row r="24" spans="5:16" x14ac:dyDescent="0.25">
      <c r="E24" s="98" t="s">
        <v>105</v>
      </c>
      <c r="G24" s="98">
        <v>2.6324429999999999</v>
      </c>
      <c r="H24" s="98">
        <v>3.5272318600000001</v>
      </c>
      <c r="I24" s="98">
        <v>3.5933214971999994</v>
      </c>
      <c r="J24" s="98">
        <v>3.6609690521439999</v>
      </c>
      <c r="K24" s="98">
        <v>3.0352115863118794</v>
      </c>
      <c r="L24" s="98">
        <v>3.1303768276616419</v>
      </c>
      <c r="M24" s="98">
        <v>3.2270592877713717</v>
      </c>
      <c r="N24" s="98">
        <v>3.3022866240975515</v>
      </c>
      <c r="O24" s="98">
        <v>3.3792856609145225</v>
      </c>
      <c r="P24" s="98">
        <v>3.458098511076209</v>
      </c>
    </row>
    <row r="25" spans="5:16" x14ac:dyDescent="0.25">
      <c r="E25" s="98" t="s">
        <v>102</v>
      </c>
      <c r="G25" s="98">
        <v>1.843</v>
      </c>
      <c r="H25" s="98">
        <v>1.889</v>
      </c>
      <c r="I25" s="98">
        <v>1.9362249999999999</v>
      </c>
      <c r="J25" s="98">
        <v>1.9846306249999999</v>
      </c>
      <c r="K25" s="98">
        <v>2.0342463906249995</v>
      </c>
      <c r="L25" s="98">
        <v>2.0851025503906242</v>
      </c>
      <c r="M25" s="98">
        <v>2.1372301141503898</v>
      </c>
      <c r="N25" s="98">
        <v>2.1906608670041496</v>
      </c>
      <c r="O25" s="98">
        <v>2.2454273886792531</v>
      </c>
      <c r="P25" s="98">
        <v>2.3015630733962338</v>
      </c>
    </row>
    <row r="26" spans="5:16" x14ac:dyDescent="0.25">
      <c r="E26" s="98" t="s">
        <v>106</v>
      </c>
      <c r="G26" s="98">
        <v>0.13944300000000001</v>
      </c>
      <c r="H26" s="98">
        <v>0.14223186000000002</v>
      </c>
      <c r="I26" s="98">
        <v>0.14507649720000002</v>
      </c>
      <c r="J26" s="98">
        <v>0.14797802714400002</v>
      </c>
      <c r="K26" s="98">
        <v>0.15093758768688001</v>
      </c>
      <c r="L26" s="98">
        <v>0.15395633944061762</v>
      </c>
      <c r="M26" s="98">
        <v>0.15703546622942999</v>
      </c>
      <c r="N26" s="98">
        <v>0.16017617555401858</v>
      </c>
      <c r="O26" s="98">
        <v>0.16337969906509897</v>
      </c>
      <c r="P26" s="98">
        <v>0.16664729304640094</v>
      </c>
    </row>
    <row r="27" spans="5:16" x14ac:dyDescent="0.25">
      <c r="E27" s="98" t="s">
        <v>107</v>
      </c>
      <c r="G27" s="98">
        <v>0.55000000000000004</v>
      </c>
      <c r="H27" s="98">
        <v>0.80100000000000005</v>
      </c>
      <c r="I27" s="98">
        <v>0.81701999999999997</v>
      </c>
      <c r="J27" s="98">
        <v>0.8333604</v>
      </c>
      <c r="K27" s="98">
        <v>0.85002760799999999</v>
      </c>
      <c r="L27" s="98">
        <v>0.89131793783040003</v>
      </c>
      <c r="M27" s="98">
        <v>0.93279370739155198</v>
      </c>
      <c r="N27" s="98">
        <v>0.95144958153938297</v>
      </c>
      <c r="O27" s="98">
        <v>0.97047857317017061</v>
      </c>
      <c r="P27" s="98">
        <v>0.98988814463357411</v>
      </c>
    </row>
    <row r="28" spans="5:16" x14ac:dyDescent="0.25">
      <c r="E28" s="98" t="s">
        <v>108</v>
      </c>
      <c r="G28" s="98">
        <v>0.1</v>
      </c>
      <c r="H28" s="98">
        <v>0.69499999999999995</v>
      </c>
      <c r="I28" s="98">
        <v>0.69499999999999995</v>
      </c>
      <c r="J28" s="98">
        <v>0.69499999999999995</v>
      </c>
      <c r="K28" s="98">
        <v>0</v>
      </c>
      <c r="L28" s="98">
        <v>0</v>
      </c>
      <c r="M28" s="98">
        <v>0</v>
      </c>
      <c r="N28" s="98">
        <v>0</v>
      </c>
      <c r="O28" s="98">
        <v>0</v>
      </c>
      <c r="P28" s="98">
        <v>0</v>
      </c>
    </row>
    <row r="30" spans="5:16" x14ac:dyDescent="0.25">
      <c r="G30" s="98">
        <f>G25+G26+G27</f>
        <v>2.5324429999999998</v>
      </c>
      <c r="H30" s="98">
        <f t="shared" ref="H30:P30" si="3">H25+H26+H27</f>
        <v>2.8322318600000003</v>
      </c>
      <c r="I30" s="98">
        <f t="shared" si="3"/>
        <v>2.8983214971999995</v>
      </c>
      <c r="J30" s="98">
        <f t="shared" si="3"/>
        <v>2.9659690521440001</v>
      </c>
      <c r="K30" s="98">
        <f t="shared" si="3"/>
        <v>3.0352115863118794</v>
      </c>
      <c r="L30" s="98">
        <f t="shared" si="3"/>
        <v>3.1303768276616419</v>
      </c>
      <c r="M30" s="98">
        <f t="shared" si="3"/>
        <v>3.2270592877713717</v>
      </c>
      <c r="N30" s="98">
        <f t="shared" si="3"/>
        <v>3.3022866240975515</v>
      </c>
      <c r="O30" s="98">
        <f t="shared" si="3"/>
        <v>3.3792856609145225</v>
      </c>
      <c r="P30" s="98">
        <f t="shared" si="3"/>
        <v>3.458098511076209</v>
      </c>
    </row>
  </sheetData>
  <mergeCells count="1">
    <mergeCell ref="C2:H2"/>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EA5B8-4E19-4A14-83D0-7FFDC9E7567C}">
  <dimension ref="A1:P56"/>
  <sheetViews>
    <sheetView workbookViewId="0">
      <pane ySplit="2" topLeftCell="A3" activePane="bottomLeft" state="frozen"/>
      <selection pane="bottomLeft" activeCell="H7" sqref="H7"/>
    </sheetView>
  </sheetViews>
  <sheetFormatPr defaultRowHeight="15" x14ac:dyDescent="0.25"/>
  <cols>
    <col min="1" max="1" width="25" customWidth="1"/>
    <col min="2" max="2" width="42.5703125" bestFit="1" customWidth="1"/>
    <col min="3" max="3" width="15.7109375" style="416" bestFit="1" customWidth="1"/>
    <col min="6" max="6" width="9.7109375" customWidth="1"/>
    <col min="13" max="13" width="8.85546875" style="420"/>
    <col min="14" max="14" width="8.85546875" style="422"/>
  </cols>
  <sheetData>
    <row r="1" spans="1:16" x14ac:dyDescent="0.25">
      <c r="A1" s="417" t="s">
        <v>392</v>
      </c>
      <c r="M1" s="420" t="s">
        <v>402</v>
      </c>
      <c r="N1" s="422" t="s">
        <v>404</v>
      </c>
      <c r="O1" s="444" t="s">
        <v>1090</v>
      </c>
    </row>
    <row r="2" spans="1:16" x14ac:dyDescent="0.25">
      <c r="A2" t="s">
        <v>374</v>
      </c>
      <c r="C2" s="417" t="s">
        <v>375</v>
      </c>
      <c r="D2" s="419" t="s">
        <v>384</v>
      </c>
      <c r="E2" s="419" t="s">
        <v>386</v>
      </c>
      <c r="F2" s="417" t="s">
        <v>394</v>
      </c>
      <c r="M2" s="421" t="s">
        <v>396</v>
      </c>
      <c r="N2" s="423" t="s">
        <v>397</v>
      </c>
      <c r="O2" s="444" t="s">
        <v>1089</v>
      </c>
    </row>
    <row r="3" spans="1:16" x14ac:dyDescent="0.25">
      <c r="B3" t="s">
        <v>62</v>
      </c>
      <c r="C3" s="416">
        <v>12138</v>
      </c>
      <c r="E3" s="416"/>
      <c r="O3" s="444" t="s">
        <v>398</v>
      </c>
      <c r="P3">
        <f>C4/C3</f>
        <v>0.51367605865875765</v>
      </c>
    </row>
    <row r="4" spans="1:16" x14ac:dyDescent="0.25">
      <c r="B4" t="s">
        <v>376</v>
      </c>
      <c r="C4" s="416">
        <v>6235</v>
      </c>
      <c r="E4" s="416"/>
      <c r="M4" s="420" t="s">
        <v>398</v>
      </c>
      <c r="N4" s="422" t="s">
        <v>398</v>
      </c>
      <c r="O4" s="444" t="s">
        <v>398</v>
      </c>
    </row>
    <row r="5" spans="1:16" x14ac:dyDescent="0.25">
      <c r="B5" t="s">
        <v>377</v>
      </c>
      <c r="C5" s="416">
        <v>5903</v>
      </c>
      <c r="E5" s="416"/>
      <c r="M5" s="420" t="s">
        <v>398</v>
      </c>
      <c r="O5" s="444" t="s">
        <v>398</v>
      </c>
    </row>
    <row r="6" spans="1:16" x14ac:dyDescent="0.25">
      <c r="B6" t="s">
        <v>378</v>
      </c>
      <c r="C6" s="416">
        <v>4441</v>
      </c>
      <c r="E6" s="416"/>
      <c r="N6" s="422" t="s">
        <v>398</v>
      </c>
      <c r="O6" s="444" t="s">
        <v>398</v>
      </c>
    </row>
    <row r="7" spans="1:16" x14ac:dyDescent="0.25">
      <c r="B7" t="s">
        <v>379</v>
      </c>
      <c r="C7" s="416">
        <v>1794</v>
      </c>
      <c r="E7" s="416"/>
      <c r="O7" s="444" t="s">
        <v>398</v>
      </c>
    </row>
    <row r="8" spans="1:16" x14ac:dyDescent="0.25">
      <c r="B8" t="s">
        <v>380</v>
      </c>
      <c r="C8" s="461">
        <v>5240</v>
      </c>
      <c r="E8" s="416"/>
      <c r="O8" s="444" t="s">
        <v>398</v>
      </c>
    </row>
    <row r="9" spans="1:16" x14ac:dyDescent="0.25">
      <c r="B9" t="s">
        <v>381</v>
      </c>
      <c r="C9" s="416">
        <v>662</v>
      </c>
      <c r="E9" s="416"/>
      <c r="O9" s="444" t="s">
        <v>398</v>
      </c>
    </row>
    <row r="10" spans="1:16" x14ac:dyDescent="0.25">
      <c r="B10" t="s">
        <v>382</v>
      </c>
      <c r="D10">
        <v>94</v>
      </c>
      <c r="E10" s="416"/>
      <c r="N10" s="422" t="s">
        <v>398</v>
      </c>
      <c r="O10" s="444" t="s">
        <v>398</v>
      </c>
    </row>
    <row r="11" spans="1:16" x14ac:dyDescent="0.25">
      <c r="B11" t="s">
        <v>383</v>
      </c>
      <c r="D11">
        <v>6</v>
      </c>
      <c r="E11" s="416"/>
      <c r="O11" s="444" t="s">
        <v>398</v>
      </c>
    </row>
    <row r="12" spans="1:16" x14ac:dyDescent="0.25">
      <c r="B12" t="s">
        <v>385</v>
      </c>
      <c r="E12" s="416">
        <v>13806</v>
      </c>
      <c r="N12" s="422" t="s">
        <v>398</v>
      </c>
    </row>
    <row r="13" spans="1:16" x14ac:dyDescent="0.25">
      <c r="B13" t="s">
        <v>393</v>
      </c>
      <c r="E13" s="416"/>
      <c r="F13" s="416">
        <v>2000</v>
      </c>
      <c r="M13" s="420" t="s">
        <v>398</v>
      </c>
    </row>
    <row r="14" spans="1:16" x14ac:dyDescent="0.25">
      <c r="B14" t="s">
        <v>395</v>
      </c>
      <c r="E14" s="416">
        <v>824322</v>
      </c>
      <c r="M14" s="420" t="s">
        <v>398</v>
      </c>
    </row>
    <row r="15" spans="1:16" x14ac:dyDescent="0.25">
      <c r="B15" t="s">
        <v>403</v>
      </c>
      <c r="E15" s="416">
        <v>422500</v>
      </c>
      <c r="M15" s="420" t="s">
        <v>398</v>
      </c>
    </row>
    <row r="16" spans="1:16" x14ac:dyDescent="0.25">
      <c r="E16" s="416"/>
    </row>
    <row r="17" spans="1:14" x14ac:dyDescent="0.25">
      <c r="E17" s="416"/>
    </row>
    <row r="18" spans="1:14" x14ac:dyDescent="0.25">
      <c r="A18" t="s">
        <v>387</v>
      </c>
      <c r="C18" s="418"/>
      <c r="E18" s="419" t="s">
        <v>386</v>
      </c>
      <c r="F18" s="419" t="s">
        <v>401</v>
      </c>
    </row>
    <row r="19" spans="1:14" x14ac:dyDescent="0.25">
      <c r="B19" t="s">
        <v>388</v>
      </c>
      <c r="C19"/>
      <c r="E19" s="416">
        <v>216</v>
      </c>
      <c r="M19" s="420" t="s">
        <v>398</v>
      </c>
    </row>
    <row r="20" spans="1:14" x14ac:dyDescent="0.25">
      <c r="B20" t="s">
        <v>389</v>
      </c>
      <c r="C20"/>
      <c r="E20" s="416">
        <v>225</v>
      </c>
      <c r="N20" s="422" t="s">
        <v>398</v>
      </c>
    </row>
    <row r="21" spans="1:14" x14ac:dyDescent="0.25">
      <c r="B21" t="s">
        <v>390</v>
      </c>
      <c r="C21"/>
      <c r="E21" s="416">
        <v>126</v>
      </c>
      <c r="G21" t="s">
        <v>391</v>
      </c>
      <c r="N21" s="422" t="s">
        <v>398</v>
      </c>
    </row>
    <row r="22" spans="1:14" x14ac:dyDescent="0.25">
      <c r="B22" t="s">
        <v>399</v>
      </c>
      <c r="C22"/>
      <c r="E22" s="416"/>
      <c r="F22" s="416">
        <v>1334</v>
      </c>
      <c r="G22" t="s">
        <v>416</v>
      </c>
      <c r="M22" s="420" t="s">
        <v>398</v>
      </c>
      <c r="N22" s="422" t="s">
        <v>398</v>
      </c>
    </row>
    <row r="23" spans="1:14" x14ac:dyDescent="0.25">
      <c r="B23" t="s">
        <v>400</v>
      </c>
      <c r="C23"/>
      <c r="E23" s="416"/>
      <c r="F23">
        <v>9</v>
      </c>
      <c r="M23" s="420" t="s">
        <v>398</v>
      </c>
    </row>
    <row r="24" spans="1:14" x14ac:dyDescent="0.25">
      <c r="C24"/>
      <c r="E24" s="416"/>
    </row>
    <row r="25" spans="1:14" x14ac:dyDescent="0.25">
      <c r="C25"/>
      <c r="E25" s="416"/>
    </row>
    <row r="26" spans="1:14" x14ac:dyDescent="0.25">
      <c r="C26"/>
      <c r="E26" s="416"/>
    </row>
    <row r="29" spans="1:14" x14ac:dyDescent="0.25">
      <c r="A29" s="417" t="s">
        <v>363</v>
      </c>
    </row>
    <row r="31" spans="1:14" x14ac:dyDescent="0.25">
      <c r="A31" t="s">
        <v>48</v>
      </c>
    </row>
    <row r="32" spans="1:14" x14ac:dyDescent="0.25">
      <c r="B32" t="s">
        <v>364</v>
      </c>
      <c r="C32" s="416">
        <v>36</v>
      </c>
    </row>
    <row r="33" spans="1:14" x14ac:dyDescent="0.25">
      <c r="B33" t="s">
        <v>365</v>
      </c>
      <c r="C33" s="416">
        <v>295</v>
      </c>
    </row>
    <row r="34" spans="1:14" x14ac:dyDescent="0.25">
      <c r="B34" t="s">
        <v>366</v>
      </c>
      <c r="C34" s="416">
        <v>261</v>
      </c>
      <c r="E34" t="s">
        <v>368</v>
      </c>
    </row>
    <row r="35" spans="1:14" x14ac:dyDescent="0.25">
      <c r="B35" t="s">
        <v>367</v>
      </c>
      <c r="C35" s="416">
        <v>34</v>
      </c>
      <c r="E35" t="s">
        <v>368</v>
      </c>
    </row>
    <row r="36" spans="1:14" x14ac:dyDescent="0.25">
      <c r="B36" t="s">
        <v>414</v>
      </c>
      <c r="C36" s="416">
        <v>36</v>
      </c>
    </row>
    <row r="37" spans="1:14" x14ac:dyDescent="0.25">
      <c r="B37" t="s">
        <v>405</v>
      </c>
      <c r="C37" s="416">
        <v>6300</v>
      </c>
      <c r="E37" t="s">
        <v>406</v>
      </c>
    </row>
    <row r="38" spans="1:14" x14ac:dyDescent="0.25">
      <c r="B38" t="s">
        <v>410</v>
      </c>
      <c r="C38" s="416">
        <v>1560</v>
      </c>
      <c r="N38" s="422" t="s">
        <v>398</v>
      </c>
    </row>
    <row r="39" spans="1:14" x14ac:dyDescent="0.25">
      <c r="B39" t="s">
        <v>411</v>
      </c>
      <c r="C39" s="416">
        <v>530</v>
      </c>
      <c r="N39" s="422" t="s">
        <v>398</v>
      </c>
    </row>
    <row r="40" spans="1:14" x14ac:dyDescent="0.25">
      <c r="B40" t="s">
        <v>412</v>
      </c>
      <c r="C40" s="416">
        <v>280</v>
      </c>
      <c r="N40" s="422" t="s">
        <v>398</v>
      </c>
    </row>
    <row r="41" spans="1:14" x14ac:dyDescent="0.25">
      <c r="B41" t="s">
        <v>413</v>
      </c>
      <c r="C41" s="416">
        <v>250</v>
      </c>
      <c r="N41" s="422" t="s">
        <v>398</v>
      </c>
    </row>
    <row r="44" spans="1:14" x14ac:dyDescent="0.25">
      <c r="A44" t="s">
        <v>6</v>
      </c>
    </row>
    <row r="45" spans="1:14" x14ac:dyDescent="0.25">
      <c r="B45" t="s">
        <v>361</v>
      </c>
      <c r="C45" s="416">
        <v>26000</v>
      </c>
      <c r="M45" s="420" t="s">
        <v>398</v>
      </c>
    </row>
    <row r="46" spans="1:14" x14ac:dyDescent="0.25">
      <c r="B46" t="s">
        <v>362</v>
      </c>
      <c r="C46" s="416">
        <v>1350</v>
      </c>
    </row>
    <row r="47" spans="1:14" x14ac:dyDescent="0.25">
      <c r="B47" t="s">
        <v>407</v>
      </c>
      <c r="C47" s="416">
        <v>25157</v>
      </c>
      <c r="M47" s="420" t="s">
        <v>398</v>
      </c>
    </row>
    <row r="49" spans="1:14" x14ac:dyDescent="0.25">
      <c r="A49" t="s">
        <v>369</v>
      </c>
    </row>
    <row r="50" spans="1:14" x14ac:dyDescent="0.25">
      <c r="B50" t="s">
        <v>370</v>
      </c>
      <c r="C50" s="416">
        <v>285000</v>
      </c>
      <c r="N50" s="422" t="s">
        <v>398</v>
      </c>
    </row>
    <row r="51" spans="1:14" x14ac:dyDescent="0.25">
      <c r="B51" t="s">
        <v>371</v>
      </c>
      <c r="C51" s="416">
        <v>26000</v>
      </c>
      <c r="N51" s="422" t="s">
        <v>398</v>
      </c>
    </row>
    <row r="52" spans="1:14" x14ac:dyDescent="0.25">
      <c r="B52" t="s">
        <v>4</v>
      </c>
      <c r="D52" s="418">
        <f>+C50+C51</f>
        <v>311000</v>
      </c>
    </row>
    <row r="53" spans="1:14" x14ac:dyDescent="0.25">
      <c r="B53" t="s">
        <v>372</v>
      </c>
      <c r="D53" s="418">
        <f>C50/8</f>
        <v>35625</v>
      </c>
      <c r="E53" t="s">
        <v>373</v>
      </c>
    </row>
    <row r="55" spans="1:14" x14ac:dyDescent="0.25">
      <c r="A55" t="s">
        <v>408</v>
      </c>
    </row>
    <row r="56" spans="1:14" x14ac:dyDescent="0.25">
      <c r="B56" t="s">
        <v>409</v>
      </c>
      <c r="C56" s="416">
        <v>1350</v>
      </c>
      <c r="E56" t="s">
        <v>415</v>
      </c>
      <c r="M56" s="420" t="s">
        <v>398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3311E-A9AB-47BA-A8FC-0679E1048039}">
  <sheetPr>
    <tabColor rgb="FF00B050"/>
  </sheetPr>
  <dimension ref="B3:N20"/>
  <sheetViews>
    <sheetView showGridLines="0" workbookViewId="0">
      <selection activeCell="H27" sqref="H27"/>
    </sheetView>
  </sheetViews>
  <sheetFormatPr defaultRowHeight="15" x14ac:dyDescent="0.25"/>
  <cols>
    <col min="3" max="3" width="26.140625" bestFit="1" customWidth="1"/>
    <col min="4" max="13" width="12.7109375" customWidth="1"/>
    <col min="14" max="14" width="15.28515625" customWidth="1"/>
  </cols>
  <sheetData>
    <row r="3" spans="2:14" ht="15.75" thickBot="1" x14ac:dyDescent="0.3"/>
    <row r="4" spans="2:14" ht="17.25" thickBot="1" x14ac:dyDescent="0.35">
      <c r="C4" s="301" t="s">
        <v>35</v>
      </c>
      <c r="D4" s="97">
        <v>2022</v>
      </c>
      <c r="E4" s="48">
        <f>D4+1</f>
        <v>2023</v>
      </c>
      <c r="F4" s="48">
        <f>E4+1</f>
        <v>2024</v>
      </c>
      <c r="G4" s="48">
        <f t="shared" ref="G4:M4" si="0">F4+1</f>
        <v>2025</v>
      </c>
      <c r="H4" s="48">
        <f t="shared" si="0"/>
        <v>2026</v>
      </c>
      <c r="I4" s="48">
        <f t="shared" si="0"/>
        <v>2027</v>
      </c>
      <c r="J4" s="48">
        <f t="shared" si="0"/>
        <v>2028</v>
      </c>
      <c r="K4" s="48">
        <f t="shared" si="0"/>
        <v>2029</v>
      </c>
      <c r="L4" s="48">
        <f t="shared" si="0"/>
        <v>2030</v>
      </c>
      <c r="M4" s="48">
        <f t="shared" si="0"/>
        <v>2031</v>
      </c>
      <c r="N4" s="50" t="s">
        <v>4</v>
      </c>
    </row>
    <row r="5" spans="2:14" ht="15.75" x14ac:dyDescent="0.25">
      <c r="C5" s="318" t="s">
        <v>36</v>
      </c>
      <c r="D5" s="312">
        <f>'2022-2031 SPP Total Costs'!C29</f>
        <v>169.90330218683266</v>
      </c>
      <c r="E5" s="43">
        <f>'2022-2031 SPP Total Costs'!D29</f>
        <v>168.74593563152018</v>
      </c>
      <c r="F5" s="43">
        <f>'2022-2031 SPP Total Costs'!E29</f>
        <v>173.0957579902975</v>
      </c>
      <c r="G5" s="43">
        <f>'2022-2031 SPP Total Costs'!F29</f>
        <v>172.94511018883281</v>
      </c>
      <c r="H5" s="43">
        <f>'2022-2031 SPP Total Costs'!G29</f>
        <v>169.04723559063797</v>
      </c>
      <c r="I5" s="43">
        <f>'2022-2031 SPP Total Costs'!H29</f>
        <v>167.46197137759285</v>
      </c>
      <c r="J5" s="43">
        <f>'2022-2031 SPP Total Costs'!I29</f>
        <v>169.64427452730058</v>
      </c>
      <c r="K5" s="43">
        <f>'2022-2031 SPP Total Costs'!J29</f>
        <v>166.03563244255872</v>
      </c>
      <c r="L5" s="43">
        <f>'2022-2031 SPP Total Costs'!K29</f>
        <v>172.47913463530571</v>
      </c>
      <c r="M5" s="43">
        <f>'2022-2031 SPP Total Costs'!L29</f>
        <v>169.374464010552</v>
      </c>
      <c r="N5" s="308">
        <f>SUM(D5:M5)</f>
        <v>1698.732818581431</v>
      </c>
    </row>
    <row r="6" spans="2:14" ht="15.75" x14ac:dyDescent="0.25">
      <c r="C6" s="318" t="s">
        <v>37</v>
      </c>
      <c r="D6" s="328">
        <f>'2022-2031 SPP Total Costs'!C30</f>
        <v>31.027874032090157</v>
      </c>
      <c r="E6" s="46">
        <f>'2022-2031 SPP Total Costs'!D30</f>
        <v>33.957116358949534</v>
      </c>
      <c r="F6" s="46">
        <f>'2022-2031 SPP Total Costs'!E30</f>
        <v>33.700375700155277</v>
      </c>
      <c r="G6" s="46">
        <f>'2022-2031 SPP Total Costs'!F30</f>
        <v>35.227374322947917</v>
      </c>
      <c r="H6" s="46">
        <f>'2022-2031 SPP Total Costs'!G30</f>
        <v>36.308187573041948</v>
      </c>
      <c r="I6" s="46">
        <f>'2022-2031 SPP Total Costs'!H30</f>
        <v>37.743038331786174</v>
      </c>
      <c r="J6" s="46">
        <f>'2022-2031 SPP Total Costs'!I30</f>
        <v>39.582000292662862</v>
      </c>
      <c r="K6" s="46">
        <f>'2022-2031 SPP Total Costs'!J30</f>
        <v>41.221160435467148</v>
      </c>
      <c r="L6" s="46">
        <f>'2022-2031 SPP Total Costs'!K30</f>
        <v>43.083257842353234</v>
      </c>
      <c r="M6" s="46">
        <f>'2022-2031 SPP Total Costs'!L30</f>
        <v>45.279966697695052</v>
      </c>
      <c r="N6" s="169">
        <f>SUM(D6:M6)</f>
        <v>377.13035158714933</v>
      </c>
    </row>
    <row r="7" spans="2:14" ht="16.5" thickBot="1" x14ac:dyDescent="0.3">
      <c r="C7" s="317" t="s">
        <v>38</v>
      </c>
      <c r="D7" s="305">
        <f t="shared" ref="D7:N7" si="1">SUM(D5:D6)</f>
        <v>200.93117621892281</v>
      </c>
      <c r="E7" s="165">
        <f t="shared" si="1"/>
        <v>202.7030519904697</v>
      </c>
      <c r="F7" s="165">
        <f t="shared" si="1"/>
        <v>206.79613369045279</v>
      </c>
      <c r="G7" s="165">
        <f t="shared" si="1"/>
        <v>208.17248451178074</v>
      </c>
      <c r="H7" s="165">
        <f t="shared" si="1"/>
        <v>205.35542316367992</v>
      </c>
      <c r="I7" s="165">
        <f t="shared" si="1"/>
        <v>205.20500970937903</v>
      </c>
      <c r="J7" s="165">
        <f t="shared" si="1"/>
        <v>209.22627481996344</v>
      </c>
      <c r="K7" s="165">
        <f t="shared" si="1"/>
        <v>207.25679287802586</v>
      </c>
      <c r="L7" s="165">
        <f t="shared" si="1"/>
        <v>215.56239247765893</v>
      </c>
      <c r="M7" s="165">
        <f t="shared" si="1"/>
        <v>214.65443070824705</v>
      </c>
      <c r="N7" s="170">
        <f t="shared" si="1"/>
        <v>2075.8631701685804</v>
      </c>
    </row>
    <row r="9" spans="2:14" ht="15.75" thickBot="1" x14ac:dyDescent="0.3"/>
    <row r="10" spans="2:14" ht="36" customHeight="1" thickBot="1" x14ac:dyDescent="0.35">
      <c r="B10" s="478" t="s">
        <v>39</v>
      </c>
      <c r="C10" s="479"/>
      <c r="D10" s="97">
        <f>+D4</f>
        <v>2022</v>
      </c>
      <c r="E10" s="97">
        <f t="shared" ref="E10:M10" si="2">+E4</f>
        <v>2023</v>
      </c>
      <c r="F10" s="97">
        <f t="shared" si="2"/>
        <v>2024</v>
      </c>
      <c r="G10" s="97">
        <f t="shared" si="2"/>
        <v>2025</v>
      </c>
      <c r="H10" s="97">
        <f t="shared" si="2"/>
        <v>2026</v>
      </c>
      <c r="I10" s="97">
        <f t="shared" si="2"/>
        <v>2027</v>
      </c>
      <c r="J10" s="97">
        <f t="shared" si="2"/>
        <v>2028</v>
      </c>
      <c r="K10" s="97">
        <f t="shared" si="2"/>
        <v>2029</v>
      </c>
      <c r="L10" s="97">
        <f t="shared" si="2"/>
        <v>2030</v>
      </c>
      <c r="M10" s="97">
        <f t="shared" si="2"/>
        <v>2031</v>
      </c>
      <c r="N10" s="50" t="s">
        <v>4</v>
      </c>
    </row>
    <row r="11" spans="2:14" ht="15.75" x14ac:dyDescent="0.25">
      <c r="B11" s="480" t="s">
        <v>36</v>
      </c>
      <c r="C11" s="481"/>
      <c r="D11" s="25">
        <f>'2022-2031 SPP Total RR'!C29</f>
        <v>17.166882350000002</v>
      </c>
      <c r="E11" s="26">
        <f>'2022-2031 SPP Total RR'!D29</f>
        <v>35.795690649999997</v>
      </c>
      <c r="F11" s="26">
        <f>'2022-2031 SPP Total RR'!E29</f>
        <v>53.774477809999993</v>
      </c>
      <c r="G11" s="26">
        <f>'2022-2031 SPP Total RR'!F29</f>
        <v>72.281902510000009</v>
      </c>
      <c r="H11" s="26">
        <f>'2022-2031 SPP Total RR'!G29</f>
        <v>91.404977490000007</v>
      </c>
      <c r="I11" s="26">
        <f>'2022-2031 SPP Total RR'!H29</f>
        <v>109.83144475</v>
      </c>
      <c r="J11" s="26">
        <f>'2022-2031 SPP Total RR'!I29</f>
        <v>127.89681308999998</v>
      </c>
      <c r="K11" s="26">
        <f>'2022-2031 SPP Total RR'!J29</f>
        <v>145.53714283999997</v>
      </c>
      <c r="L11" s="26">
        <f>'2022-2031 SPP Total RR'!K29</f>
        <v>162.97364336999999</v>
      </c>
      <c r="M11" s="26">
        <f>'2022-2031 SPP Total RR'!L29</f>
        <v>179.95959791999999</v>
      </c>
      <c r="N11" s="55">
        <f>SUM(D11:M11)</f>
        <v>996.62257277999993</v>
      </c>
    </row>
    <row r="12" spans="2:14" ht="15.75" x14ac:dyDescent="0.25">
      <c r="B12" s="480" t="s">
        <v>37</v>
      </c>
      <c r="C12" s="481"/>
      <c r="D12" s="33">
        <f>'2022-2031 SPP Total RR'!C30</f>
        <v>30.711058396288763</v>
      </c>
      <c r="E12" s="15">
        <f>'2022-2031 SPP Total RR'!D30</f>
        <v>33.637684563234245</v>
      </c>
      <c r="F12" s="15">
        <f>'2022-2031 SPP Total RR'!E30</f>
        <v>33.421774083245076</v>
      </c>
      <c r="G12" s="15">
        <f>'2022-2031 SPP Total RR'!F30</f>
        <v>34.940872688107817</v>
      </c>
      <c r="H12" s="15">
        <f>'2022-2031 SPP Total RR'!G30</f>
        <v>36.013654001644873</v>
      </c>
      <c r="I12" s="15">
        <f>'2022-2031 SPP Total RR'!H30</f>
        <v>37.44189219471513</v>
      </c>
      <c r="J12" s="15">
        <f>'2022-2031 SPP Total RR'!I30</f>
        <v>39.274091291248212</v>
      </c>
      <c r="K12" s="15">
        <f>'2022-2031 SPP Total RR'!J30</f>
        <v>40.90633481388199</v>
      </c>
      <c r="L12" s="15">
        <f>'2022-2031 SPP Total RR'!K30</f>
        <v>42.75512743702069</v>
      </c>
      <c r="M12" s="15">
        <f>'2022-2031 SPP Total RR'!L30</f>
        <v>44.937914999374392</v>
      </c>
      <c r="N12" s="37">
        <f>SUM(D12:M12)</f>
        <v>374.04040446876121</v>
      </c>
    </row>
    <row r="13" spans="2:14" ht="16.5" thickBot="1" x14ac:dyDescent="0.3">
      <c r="B13" s="482" t="s">
        <v>38</v>
      </c>
      <c r="C13" s="483"/>
      <c r="D13" s="56">
        <f>SUM(D11:D12)</f>
        <v>47.877940746288765</v>
      </c>
      <c r="E13" s="57">
        <f t="shared" ref="E13:N13" si="3">SUM(E11:E12)</f>
        <v>69.433375213234243</v>
      </c>
      <c r="F13" s="57">
        <f t="shared" si="3"/>
        <v>87.196251893245062</v>
      </c>
      <c r="G13" s="57">
        <f t="shared" si="3"/>
        <v>107.22277519810783</v>
      </c>
      <c r="H13" s="57">
        <f t="shared" si="3"/>
        <v>127.41863149164487</v>
      </c>
      <c r="I13" s="57">
        <f t="shared" si="3"/>
        <v>147.27333694471514</v>
      </c>
      <c r="J13" s="57">
        <f t="shared" si="3"/>
        <v>167.17090438124819</v>
      </c>
      <c r="K13" s="57">
        <f t="shared" si="3"/>
        <v>186.44347765388196</v>
      </c>
      <c r="L13" s="57">
        <f t="shared" si="3"/>
        <v>205.72877080702068</v>
      </c>
      <c r="M13" s="57">
        <f t="shared" si="3"/>
        <v>224.89751291937438</v>
      </c>
      <c r="N13" s="170">
        <f t="shared" si="3"/>
        <v>1370.6629772487611</v>
      </c>
    </row>
    <row r="20" spans="6:6" x14ac:dyDescent="0.25">
      <c r="F20" t="s">
        <v>40</v>
      </c>
    </row>
  </sheetData>
  <mergeCells count="4">
    <mergeCell ref="B10:C10"/>
    <mergeCell ref="B11:C11"/>
    <mergeCell ref="B12:C12"/>
    <mergeCell ref="B13:C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DA3EB-E25F-420C-B942-FB73C10C3D7C}">
  <sheetPr>
    <tabColor rgb="FF00B050"/>
  </sheetPr>
  <dimension ref="B3:C14"/>
  <sheetViews>
    <sheetView showGridLines="0" workbookViewId="0">
      <selection activeCell="I22" sqref="I22"/>
    </sheetView>
  </sheetViews>
  <sheetFormatPr defaultRowHeight="15" x14ac:dyDescent="0.25"/>
  <cols>
    <col min="2" max="2" width="10.7109375" customWidth="1"/>
    <col min="3" max="3" width="32.5703125" customWidth="1"/>
  </cols>
  <sheetData>
    <row r="3" spans="2:3" ht="15.75" thickBot="1" x14ac:dyDescent="0.3"/>
    <row r="4" spans="2:3" ht="27" customHeight="1" thickBot="1" x14ac:dyDescent="0.3">
      <c r="B4" s="163" t="s">
        <v>162</v>
      </c>
      <c r="C4" s="154" t="s">
        <v>163</v>
      </c>
    </row>
    <row r="5" spans="2:3" ht="17.25" thickBot="1" x14ac:dyDescent="0.3">
      <c r="B5" s="118">
        <v>2022</v>
      </c>
      <c r="C5" s="322">
        <f>'2022-2031 SPP Total RR'!P29</f>
        <v>47877940.746288769</v>
      </c>
    </row>
    <row r="6" spans="2:3" ht="17.25" thickBot="1" x14ac:dyDescent="0.3">
      <c r="B6" s="118">
        <f>B5+1</f>
        <v>2023</v>
      </c>
      <c r="C6" s="322">
        <f>'2022-2031 SPP Total RR'!Q29</f>
        <v>69433375.213234246</v>
      </c>
    </row>
    <row r="7" spans="2:3" ht="17.25" thickBot="1" x14ac:dyDescent="0.3">
      <c r="B7" s="118">
        <f t="shared" ref="B7:B14" si="0">B6+1</f>
        <v>2024</v>
      </c>
      <c r="C7" s="322">
        <f>'2022-2031 SPP Total RR'!R29</f>
        <v>87196251.893245071</v>
      </c>
    </row>
    <row r="8" spans="2:3" ht="17.25" thickBot="1" x14ac:dyDescent="0.3">
      <c r="B8" s="118">
        <f t="shared" si="0"/>
        <v>2025</v>
      </c>
      <c r="C8" s="322">
        <f>'2022-2031 SPP Total RR'!S29</f>
        <v>107222775.19810778</v>
      </c>
    </row>
    <row r="9" spans="2:3" ht="17.25" thickBot="1" x14ac:dyDescent="0.3">
      <c r="B9" s="118">
        <f t="shared" si="0"/>
        <v>2026</v>
      </c>
      <c r="C9" s="322">
        <f>'2022-2031 SPP Total RR'!T29</f>
        <v>127418631.49164486</v>
      </c>
    </row>
    <row r="10" spans="2:3" ht="17.25" thickBot="1" x14ac:dyDescent="0.3">
      <c r="B10" s="118">
        <f t="shared" si="0"/>
        <v>2027</v>
      </c>
      <c r="C10" s="322">
        <f>'2022-2031 SPP Total RR'!U29</f>
        <v>147273336.94471511</v>
      </c>
    </row>
    <row r="11" spans="2:3" ht="17.25" thickBot="1" x14ac:dyDescent="0.3">
      <c r="B11" s="118">
        <f t="shared" si="0"/>
        <v>2028</v>
      </c>
      <c r="C11" s="322">
        <f>'2022-2031 SPP Total RR'!V29</f>
        <v>167170904.38124827</v>
      </c>
    </row>
    <row r="12" spans="2:3" ht="17.25" thickBot="1" x14ac:dyDescent="0.3">
      <c r="B12" s="118">
        <f t="shared" si="0"/>
        <v>2029</v>
      </c>
      <c r="C12" s="322">
        <f>'2022-2031 SPP Total RR'!W29</f>
        <v>186443477.65388194</v>
      </c>
    </row>
    <row r="13" spans="2:3" ht="17.25" thickBot="1" x14ac:dyDescent="0.3">
      <c r="B13" s="118">
        <f t="shared" si="0"/>
        <v>2030</v>
      </c>
      <c r="C13" s="322">
        <f>'2022-2031 SPP Total RR'!X29</f>
        <v>205728770.80702066</v>
      </c>
    </row>
    <row r="14" spans="2:3" ht="17.25" thickBot="1" x14ac:dyDescent="0.3">
      <c r="B14" s="118">
        <f t="shared" si="0"/>
        <v>2031</v>
      </c>
      <c r="C14" s="322">
        <f>'2022-2031 SPP Total RR'!Y29</f>
        <v>224897512.91937438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63A04-1666-4020-AB92-EB2FC4C4ACC0}">
  <sheetPr>
    <tabColor rgb="FF00B050"/>
  </sheetPr>
  <dimension ref="D6:M12"/>
  <sheetViews>
    <sheetView showGridLines="0" workbookViewId="0">
      <selection activeCell="D7" sqref="D7:H12"/>
    </sheetView>
  </sheetViews>
  <sheetFormatPr defaultColWidth="9.140625" defaultRowHeight="15.75" x14ac:dyDescent="0.25"/>
  <cols>
    <col min="1" max="3" width="9.140625" style="98"/>
    <col min="4" max="4" width="15.7109375" style="98" customWidth="1"/>
    <col min="5" max="8" width="17.28515625" style="98" customWidth="1"/>
    <col min="9" max="16384" width="9.140625" style="98"/>
  </cols>
  <sheetData>
    <row r="6" spans="4:13" ht="16.5" thickBot="1" x14ac:dyDescent="0.3"/>
    <row r="7" spans="4:13" ht="48" customHeight="1" thickBot="1" x14ac:dyDescent="0.3">
      <c r="E7" s="484" t="s">
        <v>132</v>
      </c>
      <c r="F7" s="485"/>
      <c r="G7" s="485"/>
      <c r="H7" s="486"/>
    </row>
    <row r="8" spans="4:13" ht="25.5" customHeight="1" thickBot="1" x14ac:dyDescent="0.3">
      <c r="D8" s="148"/>
      <c r="E8" s="487" t="s">
        <v>133</v>
      </c>
      <c r="F8" s="488"/>
      <c r="G8" s="488"/>
      <c r="H8" s="489"/>
    </row>
    <row r="9" spans="4:13" ht="91.5" customHeight="1" thickBot="1" x14ac:dyDescent="0.3">
      <c r="D9" s="149"/>
      <c r="E9" s="150" t="s">
        <v>134</v>
      </c>
      <c r="F9" s="151" t="s">
        <v>135</v>
      </c>
      <c r="G9" s="151" t="s">
        <v>136</v>
      </c>
      <c r="H9" s="152" t="s">
        <v>137</v>
      </c>
      <c r="M9" s="98" t="s">
        <v>40</v>
      </c>
    </row>
    <row r="10" spans="4:13" x14ac:dyDescent="0.25">
      <c r="D10" s="324">
        <v>2022</v>
      </c>
      <c r="E10" s="229">
        <v>2.6962203291704574E-2</v>
      </c>
      <c r="F10" s="230">
        <v>2.6962203291704578E-2</v>
      </c>
      <c r="G10" s="230">
        <v>1.1673938225411774E-2</v>
      </c>
      <c r="H10" s="231">
        <v>1.0777116132877042E-2</v>
      </c>
    </row>
    <row r="11" spans="4:13" x14ac:dyDescent="0.25">
      <c r="D11" s="311">
        <v>2023</v>
      </c>
      <c r="E11" s="226">
        <v>4.1270366388222651E-2</v>
      </c>
      <c r="F11" s="227">
        <v>4.1270366388222651E-2</v>
      </c>
      <c r="G11" s="227">
        <v>1.276836993404413E-2</v>
      </c>
      <c r="H11" s="228">
        <v>1.1911549410021996E-2</v>
      </c>
    </row>
    <row r="12" spans="4:13" ht="16.5" thickBot="1" x14ac:dyDescent="0.3">
      <c r="D12" s="326">
        <v>2024</v>
      </c>
      <c r="E12" s="232">
        <v>5.3097345132743362E-2</v>
      </c>
      <c r="F12" s="233">
        <v>5.3097345132743369E-2</v>
      </c>
      <c r="G12" s="233">
        <v>1.3680396357904424E-2</v>
      </c>
      <c r="H12" s="234">
        <v>1.2856910474309457E-2</v>
      </c>
    </row>
  </sheetData>
  <mergeCells count="2">
    <mergeCell ref="E7:H7"/>
    <mergeCell ref="E8:H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1348E-7FD6-4AAE-9B7D-76A5ABDC2104}">
  <sheetPr>
    <tabColor rgb="FF00B050"/>
  </sheetPr>
  <dimension ref="B1:Y28"/>
  <sheetViews>
    <sheetView workbookViewId="0">
      <selection activeCell="C16" sqref="C16"/>
    </sheetView>
  </sheetViews>
  <sheetFormatPr defaultColWidth="9.28515625" defaultRowHeight="15" x14ac:dyDescent="0.25"/>
  <cols>
    <col min="1" max="1" width="9.28515625" style="1"/>
    <col min="2" max="2" width="78.7109375" style="1" customWidth="1"/>
    <col min="3" max="12" width="11.7109375" style="1" customWidth="1"/>
    <col min="13" max="13" width="14.28515625" style="1" bestFit="1" customWidth="1"/>
    <col min="14" max="15" width="9.28515625" style="1"/>
    <col min="16" max="25" width="16.140625" style="1" bestFit="1" customWidth="1"/>
    <col min="26" max="16384" width="9.28515625" style="1"/>
  </cols>
  <sheetData>
    <row r="1" spans="2:25" ht="15.75" thickBot="1" x14ac:dyDescent="0.3"/>
    <row r="2" spans="2:25" ht="15" customHeight="1" x14ac:dyDescent="0.25">
      <c r="B2" s="462" t="s">
        <v>164</v>
      </c>
      <c r="C2" s="463"/>
      <c r="D2" s="463"/>
      <c r="E2" s="463"/>
      <c r="F2" s="463"/>
      <c r="G2" s="463"/>
      <c r="H2" s="463"/>
      <c r="I2" s="463"/>
      <c r="J2" s="463"/>
      <c r="K2" s="463"/>
      <c r="L2" s="463"/>
      <c r="M2" s="464"/>
    </row>
    <row r="3" spans="2:25" ht="15" customHeight="1" thickBot="1" x14ac:dyDescent="0.3">
      <c r="B3" s="465"/>
      <c r="C3" s="466"/>
      <c r="D3" s="466"/>
      <c r="E3" s="466"/>
      <c r="F3" s="466"/>
      <c r="G3" s="466"/>
      <c r="H3" s="466"/>
      <c r="I3" s="466"/>
      <c r="J3" s="466"/>
      <c r="K3" s="466"/>
      <c r="L3" s="466"/>
      <c r="M3" s="467"/>
    </row>
    <row r="4" spans="2:25" ht="17.25" thickBot="1" x14ac:dyDescent="0.35">
      <c r="B4" s="2" t="s">
        <v>3</v>
      </c>
      <c r="C4" s="48">
        <v>2022</v>
      </c>
      <c r="D4" s="48">
        <v>2023</v>
      </c>
      <c r="E4" s="48">
        <v>2024</v>
      </c>
      <c r="F4" s="48">
        <v>2025</v>
      </c>
      <c r="G4" s="48">
        <v>2026</v>
      </c>
      <c r="H4" s="48">
        <v>2027</v>
      </c>
      <c r="I4" s="48">
        <v>2028</v>
      </c>
      <c r="J4" s="48">
        <v>2029</v>
      </c>
      <c r="K4" s="49">
        <v>2030</v>
      </c>
      <c r="L4" s="49">
        <v>2031</v>
      </c>
      <c r="M4" s="5" t="s">
        <v>4</v>
      </c>
    </row>
    <row r="5" spans="2:25" ht="16.5" x14ac:dyDescent="0.3">
      <c r="B5" s="245" t="s">
        <v>5</v>
      </c>
      <c r="C5" s="42">
        <f>'2022-2031 SPP Total RR'!C5</f>
        <v>9.2152790000000007</v>
      </c>
      <c r="D5" s="43">
        <f>'2022-2031 SPP Total RR'!D5</f>
        <v>19.872326999999999</v>
      </c>
      <c r="E5" s="43">
        <f>'2022-2031 SPP Total RR'!E5</f>
        <v>30.810797999999998</v>
      </c>
      <c r="F5" s="43">
        <f>'2022-2031 SPP Total RR'!F5</f>
        <v>42.163167000000001</v>
      </c>
      <c r="G5" s="43">
        <f>'2022-2031 SPP Total RR'!G5</f>
        <v>53.873142000000001</v>
      </c>
      <c r="H5" s="43">
        <f>'2022-2031 SPP Total RR'!H5</f>
        <v>65.435700999999995</v>
      </c>
      <c r="I5" s="43">
        <f>'2022-2031 SPP Total RR'!I5</f>
        <v>76.789017000000001</v>
      </c>
      <c r="J5" s="43">
        <f>'2022-2031 SPP Total RR'!J5</f>
        <v>87.933087</v>
      </c>
      <c r="K5" s="43">
        <f>'2022-2031 SPP Total RR'!K5</f>
        <v>99.253747000000004</v>
      </c>
      <c r="L5" s="308">
        <f>'2022-2031 SPP Total RR'!L5</f>
        <v>110.710668</v>
      </c>
      <c r="M5" s="313">
        <f>SUM(C5:L5)</f>
        <v>596.05693300000007</v>
      </c>
      <c r="P5" s="331">
        <v>9215279</v>
      </c>
      <c r="Q5" s="331">
        <v>19872327</v>
      </c>
      <c r="R5" s="331">
        <v>30810798</v>
      </c>
      <c r="S5" s="331">
        <v>42163167</v>
      </c>
      <c r="T5" s="331">
        <v>53873142</v>
      </c>
      <c r="U5" s="331">
        <v>65435701</v>
      </c>
      <c r="V5" s="331">
        <v>76789017</v>
      </c>
      <c r="W5" s="331">
        <v>87933087</v>
      </c>
      <c r="X5" s="331">
        <v>99253747</v>
      </c>
      <c r="Y5" s="331">
        <v>110710668</v>
      </c>
    </row>
    <row r="6" spans="2:25" ht="16.5" x14ac:dyDescent="0.3">
      <c r="B6" s="248" t="s">
        <v>6</v>
      </c>
      <c r="C6" s="45">
        <f>'2022-2031 SPP Total RR'!C6</f>
        <v>2.8973012199999997</v>
      </c>
      <c r="D6" s="46">
        <f>'2022-2031 SPP Total RR'!D6</f>
        <v>4.9892741400000009</v>
      </c>
      <c r="E6" s="46">
        <f>'2022-2031 SPP Total RR'!E6</f>
        <v>6.7200101500000002</v>
      </c>
      <c r="F6" s="46">
        <f>'2022-2031 SPP Total RR'!F6</f>
        <v>8.4330408200000004</v>
      </c>
      <c r="G6" s="46">
        <f>'2022-2031 SPP Total RR'!G6</f>
        <v>10.26465999</v>
      </c>
      <c r="H6" s="46">
        <f>'2022-2031 SPP Total RR'!H6</f>
        <v>12.035015590000002</v>
      </c>
      <c r="I6" s="46">
        <f>'2022-2031 SPP Total RR'!I6</f>
        <v>13.710901380000001</v>
      </c>
      <c r="J6" s="46">
        <f>'2022-2031 SPP Total RR'!J6</f>
        <v>15.350787309999999</v>
      </c>
      <c r="K6" s="46">
        <f>'2022-2031 SPP Total RR'!K6</f>
        <v>16.333247619999998</v>
      </c>
      <c r="L6" s="169">
        <f>'2022-2031 SPP Total RR'!L6</f>
        <v>16.279221719999999</v>
      </c>
      <c r="M6" s="314">
        <f t="shared" ref="M6:M27" si="0">SUM(C6:L6)</f>
        <v>107.01345993999999</v>
      </c>
      <c r="P6" s="331">
        <v>2897301.2199999997</v>
      </c>
      <c r="Q6" s="331">
        <v>4989274.1400000006</v>
      </c>
      <c r="R6" s="331">
        <v>6720010.1500000004</v>
      </c>
      <c r="S6" s="331">
        <v>8433040.8200000003</v>
      </c>
      <c r="T6" s="331">
        <v>10264659.99</v>
      </c>
      <c r="U6" s="331">
        <v>12035015.590000002</v>
      </c>
      <c r="V6" s="331">
        <v>13710901.380000001</v>
      </c>
      <c r="W6" s="331">
        <v>15350787.309999999</v>
      </c>
      <c r="X6" s="331">
        <v>16333247.619999999</v>
      </c>
      <c r="Y6" s="331">
        <v>16279221.720000001</v>
      </c>
    </row>
    <row r="7" spans="2:25" ht="16.5" customHeight="1" x14ac:dyDescent="0.3">
      <c r="B7" s="278" t="s">
        <v>258</v>
      </c>
      <c r="C7" s="45">
        <f>'2022-2031 SPP Total RR'!C7</f>
        <v>0</v>
      </c>
      <c r="D7" s="46">
        <f>'2022-2031 SPP Total RR'!D7</f>
        <v>1.5166000000000001E-2</v>
      </c>
      <c r="E7" s="46">
        <f>'2022-2031 SPP Total RR'!E7</f>
        <v>0.15115999999999999</v>
      </c>
      <c r="F7" s="46">
        <f>'2022-2031 SPP Total RR'!F7</f>
        <v>0.342337</v>
      </c>
      <c r="G7" s="46">
        <f>'2022-2031 SPP Total RR'!G7</f>
        <v>0.536134</v>
      </c>
      <c r="H7" s="46">
        <f>'2022-2031 SPP Total RR'!H7</f>
        <v>0.71531699999999998</v>
      </c>
      <c r="I7" s="46">
        <f>'2022-2031 SPP Total RR'!I7</f>
        <v>0.92642000000000002</v>
      </c>
      <c r="J7" s="46">
        <f>'2022-2031 SPP Total RR'!J7</f>
        <v>1.109181</v>
      </c>
      <c r="K7" s="46">
        <f>'2022-2031 SPP Total RR'!K7</f>
        <v>1.338244</v>
      </c>
      <c r="L7" s="169">
        <f>'2022-2031 SPP Total RR'!L7</f>
        <v>1.564443</v>
      </c>
      <c r="M7" s="292">
        <f t="shared" si="0"/>
        <v>6.6984019999999997</v>
      </c>
      <c r="P7" s="331">
        <v>0</v>
      </c>
      <c r="Q7" s="331">
        <v>15166</v>
      </c>
      <c r="R7" s="331">
        <v>151160</v>
      </c>
      <c r="S7" s="331">
        <v>342337</v>
      </c>
      <c r="T7" s="331">
        <v>536134</v>
      </c>
      <c r="U7" s="331">
        <v>715317</v>
      </c>
      <c r="V7" s="331">
        <v>926420</v>
      </c>
      <c r="W7" s="331">
        <v>1109181</v>
      </c>
      <c r="X7" s="331">
        <v>1338244</v>
      </c>
      <c r="Y7" s="331">
        <v>1564443</v>
      </c>
    </row>
    <row r="8" spans="2:25" ht="16.5" customHeight="1" x14ac:dyDescent="0.3">
      <c r="B8" s="278" t="s">
        <v>259</v>
      </c>
      <c r="C8" s="45">
        <f>'2022-2031 SPP Total RR'!C8</f>
        <v>0</v>
      </c>
      <c r="D8" s="46">
        <f>'2022-2031 SPP Total RR'!D8</f>
        <v>0</v>
      </c>
      <c r="E8" s="46">
        <f>'2022-2031 SPP Total RR'!E8</f>
        <v>7.579292E-2</v>
      </c>
      <c r="F8" s="46">
        <f>'2022-2031 SPP Total RR'!F8</f>
        <v>0.22562389999999999</v>
      </c>
      <c r="G8" s="46">
        <f>'2022-2031 SPP Total RR'!G8</f>
        <v>0.39541111000000001</v>
      </c>
      <c r="H8" s="46">
        <f>'2022-2031 SPP Total RR'!H8</f>
        <v>0.55228018999999995</v>
      </c>
      <c r="I8" s="46">
        <f>'2022-2031 SPP Total RR'!I8</f>
        <v>0.73658648999999987</v>
      </c>
      <c r="J8" s="46">
        <f>'2022-2031 SPP Total RR'!J8</f>
        <v>0.89667903999999998</v>
      </c>
      <c r="K8" s="46">
        <f>'2022-2031 SPP Total RR'!K8</f>
        <v>1.0960760599999999</v>
      </c>
      <c r="L8" s="169">
        <f>'2022-2031 SPP Total RR'!L8</f>
        <v>1.2935998100000003</v>
      </c>
      <c r="M8" s="292">
        <f t="shared" si="0"/>
        <v>5.2720495199999995</v>
      </c>
      <c r="P8" s="331">
        <v>0</v>
      </c>
      <c r="Q8" s="331">
        <v>0</v>
      </c>
      <c r="R8" s="331">
        <v>75792.92</v>
      </c>
      <c r="S8" s="331">
        <v>225623.9</v>
      </c>
      <c r="T8" s="331">
        <v>395411.11</v>
      </c>
      <c r="U8" s="331">
        <v>552280.18999999994</v>
      </c>
      <c r="V8" s="331">
        <v>736586.48999999987</v>
      </c>
      <c r="W8" s="331">
        <v>896679.04</v>
      </c>
      <c r="X8" s="331">
        <v>1096076.0599999998</v>
      </c>
      <c r="Y8" s="331">
        <v>1293599.8100000003</v>
      </c>
    </row>
    <row r="9" spans="2:25" ht="16.5" customHeight="1" x14ac:dyDescent="0.3">
      <c r="B9" s="278" t="s">
        <v>8</v>
      </c>
      <c r="C9" s="45">
        <f>'2022-2031 SPP Total RR'!C9</f>
        <v>3.309447</v>
      </c>
      <c r="D9" s="46">
        <f>'2022-2031 SPP Total RR'!D9</f>
        <v>7.3633569999999997</v>
      </c>
      <c r="E9" s="46">
        <f>'2022-2031 SPP Total RR'!E9</f>
        <v>10.609753</v>
      </c>
      <c r="F9" s="46">
        <f>'2022-2031 SPP Total RR'!F9</f>
        <v>13.820986</v>
      </c>
      <c r="G9" s="46">
        <f>'2022-2031 SPP Total RR'!G9</f>
        <v>17.374846000000002</v>
      </c>
      <c r="H9" s="46">
        <f>'2022-2031 SPP Total RR'!H9</f>
        <v>20.83614</v>
      </c>
      <c r="I9" s="46">
        <f>'2022-2031 SPP Total RR'!I9</f>
        <v>24.205164</v>
      </c>
      <c r="J9" s="46">
        <f>'2022-2031 SPP Total RR'!J9</f>
        <v>27.481394999999999</v>
      </c>
      <c r="K9" s="46">
        <f>'2022-2031 SPP Total RR'!K9</f>
        <v>30.926849000000001</v>
      </c>
      <c r="L9" s="169">
        <f>'2022-2031 SPP Total RR'!L9</f>
        <v>34.687306</v>
      </c>
      <c r="M9" s="292">
        <f t="shared" si="0"/>
        <v>190.61524299999999</v>
      </c>
      <c r="P9" s="331">
        <v>3309447</v>
      </c>
      <c r="Q9" s="331">
        <v>7363357</v>
      </c>
      <c r="R9" s="331">
        <v>10609753</v>
      </c>
      <c r="S9" s="331">
        <v>13820986</v>
      </c>
      <c r="T9" s="331">
        <v>17374846</v>
      </c>
      <c r="U9" s="331">
        <v>20836140</v>
      </c>
      <c r="V9" s="331">
        <v>24205164</v>
      </c>
      <c r="W9" s="331">
        <v>27481395</v>
      </c>
      <c r="X9" s="331">
        <v>30926849</v>
      </c>
      <c r="Y9" s="331">
        <v>34687306</v>
      </c>
    </row>
    <row r="10" spans="2:25" ht="16.5" customHeight="1" x14ac:dyDescent="0.3">
      <c r="B10" s="278" t="s">
        <v>10</v>
      </c>
      <c r="C10" s="45">
        <f>'2022-2031 SPP Total RR'!C10</f>
        <v>0.15437013000000002</v>
      </c>
      <c r="D10" s="46">
        <f>'2022-2031 SPP Total RR'!D10</f>
        <v>0.41887051000000003</v>
      </c>
      <c r="E10" s="46">
        <f>'2022-2031 SPP Total RR'!E10</f>
        <v>0.71322873999999992</v>
      </c>
      <c r="F10" s="46">
        <f>'2022-2031 SPP Total RR'!F10</f>
        <v>1.03480879</v>
      </c>
      <c r="G10" s="46">
        <f>'2022-2031 SPP Total RR'!G10</f>
        <v>1.3874373900000001</v>
      </c>
      <c r="H10" s="46">
        <f>'2022-2031 SPP Total RR'!H10</f>
        <v>1.7297009699999999</v>
      </c>
      <c r="I10" s="46">
        <f>'2022-2031 SPP Total RR'!I10</f>
        <v>2.0513332200000001</v>
      </c>
      <c r="J10" s="46">
        <f>'2022-2031 SPP Total RR'!J10</f>
        <v>2.3424334899999999</v>
      </c>
      <c r="K10" s="46">
        <f>'2022-2031 SPP Total RR'!K10</f>
        <v>2.5795096900000001</v>
      </c>
      <c r="L10" s="169">
        <f>'2022-2031 SPP Total RR'!L10</f>
        <v>2.8559313900000003</v>
      </c>
      <c r="M10" s="292">
        <f t="shared" si="0"/>
        <v>15.267624320000001</v>
      </c>
      <c r="P10" s="331">
        <v>154370.13000000003</v>
      </c>
      <c r="Q10" s="331">
        <v>418870.51</v>
      </c>
      <c r="R10" s="331">
        <v>713228.73999999987</v>
      </c>
      <c r="S10" s="331">
        <v>1034808.79</v>
      </c>
      <c r="T10" s="331">
        <v>1387437.3900000001</v>
      </c>
      <c r="U10" s="331">
        <v>1729700.97</v>
      </c>
      <c r="V10" s="331">
        <v>2051333.22</v>
      </c>
      <c r="W10" s="331">
        <v>2342433.4899999998</v>
      </c>
      <c r="X10" s="331">
        <v>2579509.69</v>
      </c>
      <c r="Y10" s="331">
        <v>2855931.39</v>
      </c>
    </row>
    <row r="11" spans="2:25" ht="17.25" thickBot="1" x14ac:dyDescent="0.35">
      <c r="B11" s="279" t="s">
        <v>11</v>
      </c>
      <c r="C11" s="164">
        <f>'2022-2031 SPP Total RR'!C11</f>
        <v>1.5904849999999999</v>
      </c>
      <c r="D11" s="165">
        <f>'2022-2031 SPP Total RR'!D11</f>
        <v>3.1366960000000002</v>
      </c>
      <c r="E11" s="165">
        <f>'2022-2031 SPP Total RR'!E11</f>
        <v>4.6937350000000002</v>
      </c>
      <c r="F11" s="165">
        <f>'2022-2031 SPP Total RR'!F11</f>
        <v>6.2619389999999999</v>
      </c>
      <c r="G11" s="165">
        <f>'2022-2031 SPP Total RR'!G11</f>
        <v>7.5733470000000001</v>
      </c>
      <c r="H11" s="165">
        <f>'2022-2031 SPP Total RR'!H11</f>
        <v>8.5272900000000007</v>
      </c>
      <c r="I11" s="165">
        <f>'2022-2031 SPP Total RR'!I11</f>
        <v>9.4773910000000008</v>
      </c>
      <c r="J11" s="165">
        <f>'2022-2031 SPP Total RR'!J11</f>
        <v>10.423579999999999</v>
      </c>
      <c r="K11" s="165">
        <f>'2022-2031 SPP Total RR'!K11</f>
        <v>11.445970000000001</v>
      </c>
      <c r="L11" s="170">
        <f>'2022-2031 SPP Total RR'!L11</f>
        <v>12.568428000000001</v>
      </c>
      <c r="M11" s="293">
        <f t="shared" si="0"/>
        <v>75.698861000000008</v>
      </c>
      <c r="P11" s="331">
        <v>1590485</v>
      </c>
      <c r="Q11" s="331">
        <v>3136696</v>
      </c>
      <c r="R11" s="331">
        <v>4693735</v>
      </c>
      <c r="S11" s="331">
        <v>6261939</v>
      </c>
      <c r="T11" s="331">
        <v>7573347</v>
      </c>
      <c r="U11" s="331">
        <v>8527290</v>
      </c>
      <c r="V11" s="331">
        <v>9477391</v>
      </c>
      <c r="W11" s="331">
        <v>10423580</v>
      </c>
      <c r="X11" s="331">
        <v>11445970</v>
      </c>
      <c r="Y11" s="331">
        <v>12568428</v>
      </c>
    </row>
    <row r="12" spans="2:25" ht="17.25" thickBot="1" x14ac:dyDescent="0.35">
      <c r="B12" s="280" t="s">
        <v>12</v>
      </c>
      <c r="C12" s="316">
        <v>2022</v>
      </c>
      <c r="D12" s="315">
        <v>2023</v>
      </c>
      <c r="E12" s="315">
        <v>2024</v>
      </c>
      <c r="F12" s="315">
        <v>2025</v>
      </c>
      <c r="G12" s="315">
        <v>2026</v>
      </c>
      <c r="H12" s="315">
        <v>2027</v>
      </c>
      <c r="I12" s="315">
        <v>2028</v>
      </c>
      <c r="J12" s="315">
        <v>2029</v>
      </c>
      <c r="K12" s="310">
        <v>2030</v>
      </c>
      <c r="L12" s="303">
        <v>2031</v>
      </c>
      <c r="M12" s="285" t="s">
        <v>4</v>
      </c>
      <c r="P12" s="331"/>
      <c r="Q12" s="331"/>
      <c r="R12" s="331"/>
      <c r="S12" s="331"/>
      <c r="T12" s="331"/>
      <c r="U12" s="331"/>
      <c r="V12" s="331"/>
      <c r="W12" s="331"/>
      <c r="X12" s="331"/>
      <c r="Y12" s="331"/>
    </row>
    <row r="13" spans="2:25" ht="16.5" customHeight="1" x14ac:dyDescent="0.3">
      <c r="B13" s="277" t="s">
        <v>5</v>
      </c>
      <c r="C13" s="42">
        <f>'2022-2031 SPP Total RR'!C13</f>
        <v>0.18071580937510187</v>
      </c>
      <c r="D13" s="43">
        <f>'2022-2031 SPP Total RR'!D13</f>
        <v>0.17618653398168838</v>
      </c>
      <c r="E13" s="43">
        <f>'2022-2031 SPP Total RR'!E13</f>
        <v>0.18102584295000146</v>
      </c>
      <c r="F13" s="43">
        <f>'2022-2031 SPP Total RR'!F13</f>
        <v>0.1479373168270306</v>
      </c>
      <c r="G13" s="43">
        <f>'2022-2031 SPP Total RR'!G13</f>
        <v>0.19071886991544681</v>
      </c>
      <c r="H13" s="43">
        <f>'2022-2031 SPP Total RR'!H13</f>
        <v>0.195569104026378</v>
      </c>
      <c r="I13" s="43">
        <f>'2022-2031 SPP Total RR'!I13</f>
        <v>0.20041937601286142</v>
      </c>
      <c r="J13" s="43">
        <f>'2022-2031 SPP Total RR'!J13</f>
        <v>0.20526776354075563</v>
      </c>
      <c r="K13" s="43">
        <f>'2022-2031 SPP Total RR'!K13</f>
        <v>0.21011226084042689</v>
      </c>
      <c r="L13" s="308">
        <f>'2022-2031 SPP Total RR'!L13</f>
        <v>0.33041563954134101</v>
      </c>
      <c r="M13" s="295">
        <f t="shared" si="0"/>
        <v>2.0183685170110319</v>
      </c>
      <c r="P13" s="331">
        <v>180715.80937510188</v>
      </c>
      <c r="Q13" s="331">
        <v>176186.53398168838</v>
      </c>
      <c r="R13" s="331">
        <v>181025.84295000145</v>
      </c>
      <c r="S13" s="331">
        <v>147937.31682703059</v>
      </c>
      <c r="T13" s="331">
        <v>190718.86991544682</v>
      </c>
      <c r="U13" s="331">
        <v>195569.10402637802</v>
      </c>
      <c r="V13" s="331">
        <v>200419.37601286141</v>
      </c>
      <c r="W13" s="331">
        <v>205267.76354075564</v>
      </c>
      <c r="X13" s="331">
        <v>210112.2608404269</v>
      </c>
      <c r="Y13" s="331">
        <v>330415.63954134099</v>
      </c>
    </row>
    <row r="14" spans="2:25" ht="16.5" customHeight="1" x14ac:dyDescent="0.3">
      <c r="B14" s="278" t="s">
        <v>13</v>
      </c>
      <c r="C14" s="45">
        <f>'2022-2031 SPP Total RR'!C14</f>
        <v>21.160688</v>
      </c>
      <c r="D14" s="46">
        <f>'2022-2031 SPP Total RR'!D14</f>
        <v>24.001407620248003</v>
      </c>
      <c r="E14" s="46">
        <f>'2022-2031 SPP Total RR'!E14</f>
        <v>24.223435772652962</v>
      </c>
      <c r="F14" s="46">
        <f>'2022-2031 SPP Total RR'!F14</f>
        <v>25.645904488106019</v>
      </c>
      <c r="G14" s="46">
        <f>'2022-2031 SPP Total RR'!G14</f>
        <v>26.768822577868139</v>
      </c>
      <c r="H14" s="46">
        <f>'2022-2031 SPP Total RR'!H14</f>
        <v>27.992199029425503</v>
      </c>
      <c r="I14" s="46">
        <f>'2022-2031 SPP Total RR'!I14</f>
        <v>29.516043010014013</v>
      </c>
      <c r="J14" s="46">
        <f>'2022-2031 SPP Total RR'!J14</f>
        <v>30.940363870214295</v>
      </c>
      <c r="K14" s="46">
        <f>'2022-2031 SPP Total RR'!K14</f>
        <v>32.502382063725008</v>
      </c>
      <c r="L14" s="169">
        <f>'2022-2031 SPP Total RR'!L14</f>
        <v>34.267501166911259</v>
      </c>
      <c r="M14" s="296">
        <f t="shared" si="0"/>
        <v>277.01874759916518</v>
      </c>
      <c r="P14" s="331">
        <v>21160688</v>
      </c>
      <c r="Q14" s="331">
        <v>24001407.620248001</v>
      </c>
      <c r="R14" s="331">
        <v>24223435.772652961</v>
      </c>
      <c r="S14" s="331">
        <v>25645904.48810602</v>
      </c>
      <c r="T14" s="331">
        <v>26768822.577868138</v>
      </c>
      <c r="U14" s="331">
        <v>27992199.029425502</v>
      </c>
      <c r="V14" s="331">
        <v>29516043.010014012</v>
      </c>
      <c r="W14" s="331">
        <v>30940363.870214295</v>
      </c>
      <c r="X14" s="331">
        <v>32502382.06372501</v>
      </c>
      <c r="Y14" s="331">
        <v>34267501.166911259</v>
      </c>
    </row>
    <row r="15" spans="2:25" ht="16.5" customHeight="1" x14ac:dyDescent="0.3">
      <c r="B15" s="278" t="s">
        <v>14</v>
      </c>
      <c r="C15" s="45">
        <f>'2022-2031 SPP Total RR'!C15</f>
        <v>1.4</v>
      </c>
      <c r="D15" s="46">
        <f>'2022-2031 SPP Total RR'!D15</f>
        <v>1.4</v>
      </c>
      <c r="E15" s="46">
        <f>'2022-2031 SPP Total RR'!E15</f>
        <v>1.4</v>
      </c>
      <c r="F15" s="46">
        <f>'2022-2031 SPP Total RR'!F15</f>
        <v>1.3</v>
      </c>
      <c r="G15" s="46">
        <f>'2022-2031 SPP Total RR'!G15</f>
        <v>1.3</v>
      </c>
      <c r="H15" s="46">
        <f>'2022-2031 SPP Total RR'!H15</f>
        <v>1.3</v>
      </c>
      <c r="I15" s="46">
        <f>'2022-2031 SPP Total RR'!I15</f>
        <v>1.4</v>
      </c>
      <c r="J15" s="46">
        <f>'2022-2031 SPP Total RR'!J15</f>
        <v>1.4</v>
      </c>
      <c r="K15" s="46">
        <f>'2022-2031 SPP Total RR'!K15</f>
        <v>1.3</v>
      </c>
      <c r="L15" s="169">
        <f>'2022-2031 SPP Total RR'!L15</f>
        <v>1.3</v>
      </c>
      <c r="M15" s="296">
        <f t="shared" si="0"/>
        <v>13.500000000000002</v>
      </c>
      <c r="P15" s="331">
        <v>1400000</v>
      </c>
      <c r="Q15" s="331">
        <v>1400000</v>
      </c>
      <c r="R15" s="331">
        <v>1400000</v>
      </c>
      <c r="S15" s="331">
        <v>1300000</v>
      </c>
      <c r="T15" s="331">
        <v>1300000</v>
      </c>
      <c r="U15" s="331">
        <v>1300000</v>
      </c>
      <c r="V15" s="331">
        <v>1400000</v>
      </c>
      <c r="W15" s="331">
        <v>1400000</v>
      </c>
      <c r="X15" s="331">
        <v>1300000</v>
      </c>
      <c r="Y15" s="331">
        <v>1300000</v>
      </c>
    </row>
    <row r="16" spans="2:25" ht="16.5" customHeight="1" x14ac:dyDescent="0.3">
      <c r="B16" s="278" t="s">
        <v>15</v>
      </c>
      <c r="C16" s="45">
        <f>'2022-2031 SPP Total RR'!C16</f>
        <v>3.3684092041054505</v>
      </c>
      <c r="D16" s="46">
        <f>'2022-2031 SPP Total RR'!D16</f>
        <v>3.4136552532113442</v>
      </c>
      <c r="E16" s="46">
        <f>'2022-2031 SPP Total RR'!E16</f>
        <v>2.8301703261199656</v>
      </c>
      <c r="F16" s="46">
        <f>'2022-2031 SPP Total RR'!F16</f>
        <v>2.9189067566741902</v>
      </c>
      <c r="G16" s="46">
        <f>'2022-2031 SPP Total RR'!G16</f>
        <v>3.0090579115040001</v>
      </c>
      <c r="H16" s="46">
        <f>'2022-2031 SPP Total RR'!H16</f>
        <v>3.0792033260588072</v>
      </c>
      <c r="I16" s="46">
        <f>'2022-2031 SPP Total RR'!I16</f>
        <v>3.1510007553128272</v>
      </c>
      <c r="J16" s="46">
        <f>'2022-2031 SPP Total RR'!J16</f>
        <v>3.2244894672202502</v>
      </c>
      <c r="K16" s="46">
        <f>'2022-2031 SPP Total RR'!K16</f>
        <v>3.3857139405812622</v>
      </c>
      <c r="L16" s="169">
        <f>'2022-2031 SPP Total RR'!L16</f>
        <v>3.5549996376103259</v>
      </c>
      <c r="M16" s="296">
        <f t="shared" si="0"/>
        <v>31.935606578398424</v>
      </c>
      <c r="P16" s="331">
        <v>3368409.2041054503</v>
      </c>
      <c r="Q16" s="331">
        <v>3413655.2532113441</v>
      </c>
      <c r="R16" s="331">
        <v>2830170.3261199654</v>
      </c>
      <c r="S16" s="331">
        <v>2918906.7566741901</v>
      </c>
      <c r="T16" s="331">
        <v>3009057.911504</v>
      </c>
      <c r="U16" s="331">
        <v>3079203.3260588073</v>
      </c>
      <c r="V16" s="331">
        <v>3151000.7553128274</v>
      </c>
      <c r="W16" s="331">
        <v>3224489.4672202501</v>
      </c>
      <c r="X16" s="331">
        <v>3385713.9405812621</v>
      </c>
      <c r="Y16" s="331">
        <v>3554999.6376103261</v>
      </c>
    </row>
    <row r="17" spans="2:25" ht="16.5" customHeight="1" x14ac:dyDescent="0.3">
      <c r="B17" s="278" t="s">
        <v>16</v>
      </c>
      <c r="C17" s="45">
        <f>'2022-2031 SPP Total RR'!C17</f>
        <v>0</v>
      </c>
      <c r="D17" s="46">
        <f>'2022-2031 SPP Total RR'!D17</f>
        <v>0</v>
      </c>
      <c r="E17" s="46">
        <f>'2022-2031 SPP Total RR'!E17</f>
        <v>0</v>
      </c>
      <c r="F17" s="46">
        <f>'2022-2031 SPP Total RR'!F17</f>
        <v>0</v>
      </c>
      <c r="G17" s="46">
        <f>'2022-2031 SPP Total RR'!G17</f>
        <v>0</v>
      </c>
      <c r="H17" s="46">
        <f>'2022-2031 SPP Total RR'!H17</f>
        <v>0</v>
      </c>
      <c r="I17" s="46">
        <f>'2022-2031 SPP Total RR'!I17</f>
        <v>0</v>
      </c>
      <c r="J17" s="46">
        <f>'2022-2031 SPP Total RR'!J17</f>
        <v>0</v>
      </c>
      <c r="K17" s="46">
        <f>'2022-2031 SPP Total RR'!K17</f>
        <v>0</v>
      </c>
      <c r="L17" s="169">
        <f>'2022-2031 SPP Total RR'!L17</f>
        <v>0</v>
      </c>
      <c r="M17" s="296">
        <f t="shared" si="0"/>
        <v>0</v>
      </c>
      <c r="P17" s="331">
        <v>0</v>
      </c>
      <c r="Q17" s="331">
        <v>0</v>
      </c>
      <c r="R17" s="331">
        <v>0</v>
      </c>
      <c r="S17" s="331">
        <v>0</v>
      </c>
      <c r="T17" s="331">
        <v>0</v>
      </c>
      <c r="U17" s="331">
        <v>0</v>
      </c>
      <c r="V17" s="331">
        <v>0</v>
      </c>
      <c r="W17" s="331">
        <v>0</v>
      </c>
      <c r="X17" s="331">
        <v>0</v>
      </c>
      <c r="Y17" s="331">
        <v>0</v>
      </c>
    </row>
    <row r="18" spans="2:25" ht="16.5" customHeight="1" x14ac:dyDescent="0.3">
      <c r="B18" s="278" t="s">
        <v>6</v>
      </c>
      <c r="C18" s="45">
        <f>'2022-2031 SPP Total RR'!C18</f>
        <v>0.46097317352030315</v>
      </c>
      <c r="D18" s="46">
        <f>'2022-2031 SPP Total RR'!D18</f>
        <v>0.48852105604114898</v>
      </c>
      <c r="E18" s="46">
        <f>'2022-2031 SPP Total RR'!E18</f>
        <v>0.49829147716197186</v>
      </c>
      <c r="F18" s="46">
        <f>'2022-2031 SPP Total RR'!F18</f>
        <v>0.50825730670521141</v>
      </c>
      <c r="G18" s="46">
        <f>'2022-2031 SPP Total RR'!G18</f>
        <v>0.51842245283931565</v>
      </c>
      <c r="H18" s="46">
        <f>'2022-2031 SPP Total RR'!H18</f>
        <v>0.52879090189610189</v>
      </c>
      <c r="I18" s="46">
        <f>'2022-2031 SPP Total RR'!I18</f>
        <v>0.53936671993402407</v>
      </c>
      <c r="J18" s="46">
        <f>'2022-2031 SPP Total RR'!J18</f>
        <v>0.55015405433270448</v>
      </c>
      <c r="K18" s="46">
        <f>'2022-2031 SPP Total RR'!K18</f>
        <v>0.56115713541935874</v>
      </c>
      <c r="L18" s="169">
        <f>'2022-2031 SPP Total RR'!L18</f>
        <v>0.57238027812774583</v>
      </c>
      <c r="M18" s="296">
        <f t="shared" si="0"/>
        <v>5.2263145559778854</v>
      </c>
      <c r="P18" s="331">
        <v>460973.17352030316</v>
      </c>
      <c r="Q18" s="331">
        <v>488521.05604114896</v>
      </c>
      <c r="R18" s="331">
        <v>498291.47716197185</v>
      </c>
      <c r="S18" s="331">
        <v>508257.30670521141</v>
      </c>
      <c r="T18" s="331">
        <v>518422.45283931564</v>
      </c>
      <c r="U18" s="331">
        <v>528790.90189610189</v>
      </c>
      <c r="V18" s="331">
        <v>539366.71993402403</v>
      </c>
      <c r="W18" s="331">
        <v>550154.05433270452</v>
      </c>
      <c r="X18" s="331">
        <v>561157.13541935873</v>
      </c>
      <c r="Y18" s="331">
        <v>572380.27812774584</v>
      </c>
    </row>
    <row r="19" spans="2:25" ht="16.5" customHeight="1" x14ac:dyDescent="0.3">
      <c r="B19" s="278" t="s">
        <v>258</v>
      </c>
      <c r="C19" s="45">
        <f>'2022-2031 SPP Total RR'!C19</f>
        <v>0</v>
      </c>
      <c r="D19" s="46">
        <f>'2022-2031 SPP Total RR'!D19</f>
        <v>0</v>
      </c>
      <c r="E19" s="46">
        <f>'2022-2031 SPP Total RR'!E19</f>
        <v>0</v>
      </c>
      <c r="F19" s="46">
        <f>'2022-2031 SPP Total RR'!F19</f>
        <v>0</v>
      </c>
      <c r="G19" s="46">
        <f>'2022-2031 SPP Total RR'!G19</f>
        <v>0</v>
      </c>
      <c r="H19" s="46">
        <f>'2022-2031 SPP Total RR'!H19</f>
        <v>0</v>
      </c>
      <c r="I19" s="46">
        <f>'2022-2031 SPP Total RR'!I19</f>
        <v>0</v>
      </c>
      <c r="J19" s="46">
        <f>'2022-2031 SPP Total RR'!J19</f>
        <v>0</v>
      </c>
      <c r="K19" s="46">
        <f>'2022-2031 SPP Total RR'!K19</f>
        <v>0</v>
      </c>
      <c r="L19" s="169">
        <f>'2022-2031 SPP Total RR'!L19</f>
        <v>0</v>
      </c>
      <c r="M19" s="296">
        <f t="shared" si="0"/>
        <v>0</v>
      </c>
      <c r="P19" s="331">
        <v>0</v>
      </c>
      <c r="Q19" s="331">
        <v>0</v>
      </c>
      <c r="R19" s="331">
        <v>0</v>
      </c>
      <c r="S19" s="331">
        <v>0</v>
      </c>
      <c r="T19" s="331">
        <v>0</v>
      </c>
      <c r="U19" s="331">
        <v>0</v>
      </c>
      <c r="V19" s="331">
        <v>0</v>
      </c>
      <c r="W19" s="331">
        <v>0</v>
      </c>
      <c r="X19" s="331">
        <v>0</v>
      </c>
      <c r="Y19" s="331">
        <v>0</v>
      </c>
    </row>
    <row r="20" spans="2:25" ht="16.5" customHeight="1" x14ac:dyDescent="0.3">
      <c r="B20" s="278" t="s">
        <v>259</v>
      </c>
      <c r="C20" s="45">
        <f>'2022-2031 SPP Total RR'!C20</f>
        <v>0</v>
      </c>
      <c r="D20" s="46">
        <f>'2022-2031 SPP Total RR'!D20</f>
        <v>0</v>
      </c>
      <c r="E20" s="46">
        <f>'2022-2031 SPP Total RR'!E20</f>
        <v>0</v>
      </c>
      <c r="F20" s="46">
        <f>'2022-2031 SPP Total RR'!F20</f>
        <v>0</v>
      </c>
      <c r="G20" s="46">
        <f>'2022-2031 SPP Total RR'!G20</f>
        <v>0</v>
      </c>
      <c r="H20" s="46">
        <f>'2022-2031 SPP Total RR'!H20</f>
        <v>0</v>
      </c>
      <c r="I20" s="46">
        <f>'2022-2031 SPP Total RR'!I20</f>
        <v>0</v>
      </c>
      <c r="J20" s="46">
        <f>'2022-2031 SPP Total RR'!J20</f>
        <v>0</v>
      </c>
      <c r="K20" s="46">
        <f>'2022-2031 SPP Total RR'!K20</f>
        <v>0</v>
      </c>
      <c r="L20" s="169">
        <f>'2022-2031 SPP Total RR'!L20</f>
        <v>0</v>
      </c>
      <c r="M20" s="296">
        <f t="shared" si="0"/>
        <v>0</v>
      </c>
      <c r="P20" s="331">
        <v>0</v>
      </c>
      <c r="Q20" s="331">
        <v>0</v>
      </c>
      <c r="R20" s="331">
        <v>0</v>
      </c>
      <c r="S20" s="331">
        <v>0</v>
      </c>
      <c r="T20" s="331">
        <v>0</v>
      </c>
      <c r="U20" s="331">
        <v>0</v>
      </c>
      <c r="V20" s="331">
        <v>0</v>
      </c>
      <c r="W20" s="331">
        <v>0</v>
      </c>
      <c r="X20" s="331">
        <v>0</v>
      </c>
      <c r="Y20" s="331">
        <v>0</v>
      </c>
    </row>
    <row r="21" spans="2:25" ht="16.5" customHeight="1" x14ac:dyDescent="0.3">
      <c r="B21" s="278" t="s">
        <v>8</v>
      </c>
      <c r="C21" s="45">
        <f>'2022-2031 SPP Total RR'!C21</f>
        <v>0.55685314782499995</v>
      </c>
      <c r="D21" s="46">
        <f>'2022-2031 SPP Total RR'!D21</f>
        <v>0.61865400000000004</v>
      </c>
      <c r="E21" s="46">
        <f>'2022-2031 SPP Total RR'!E21</f>
        <v>0.67030008000000008</v>
      </c>
      <c r="F21" s="46">
        <f>'2022-2031 SPP Total RR'!F21</f>
        <v>0.7201830816</v>
      </c>
      <c r="G21" s="46">
        <f>'2022-2031 SPP Total RR'!G21</f>
        <v>0.77030774323200002</v>
      </c>
      <c r="H21" s="46">
        <f>'2022-2031 SPP Total RR'!H21</f>
        <v>0.82067889809663996</v>
      </c>
      <c r="I21" s="46">
        <f>'2022-2031 SPP Total RR'!I21</f>
        <v>0.87130147605857289</v>
      </c>
      <c r="J21" s="46">
        <f>'2022-2031 SPP Total RR'!J21</f>
        <v>0.91818050557974396</v>
      </c>
      <c r="K21" s="46">
        <f>'2022-2031 SPP Total RR'!K21</f>
        <v>0.97332111569133906</v>
      </c>
      <c r="L21" s="169">
        <f>'2022-2031 SPP Total RR'!L21</f>
        <v>1.0247285380051658</v>
      </c>
      <c r="M21" s="296">
        <f t="shared" si="0"/>
        <v>7.9445085860884603</v>
      </c>
      <c r="P21" s="331">
        <v>556853.14782499999</v>
      </c>
      <c r="Q21" s="331">
        <v>618654</v>
      </c>
      <c r="R21" s="331">
        <v>670300.08000000007</v>
      </c>
      <c r="S21" s="331">
        <v>720183.08160000003</v>
      </c>
      <c r="T21" s="331">
        <v>770307.74323200004</v>
      </c>
      <c r="U21" s="331">
        <v>820678.89809664001</v>
      </c>
      <c r="V21" s="331">
        <v>871301.47605857288</v>
      </c>
      <c r="W21" s="331">
        <v>918180.505579744</v>
      </c>
      <c r="X21" s="331">
        <v>973321.11569133902</v>
      </c>
      <c r="Y21" s="331">
        <v>1024728.5380051659</v>
      </c>
    </row>
    <row r="22" spans="2:25" ht="16.5" customHeight="1" x14ac:dyDescent="0.3">
      <c r="B22" s="278" t="s">
        <v>10</v>
      </c>
      <c r="C22" s="45">
        <f>'2022-2031 SPP Total RR'!C22</f>
        <v>0</v>
      </c>
      <c r="D22" s="46">
        <f>'2022-2031 SPP Total RR'!D22</f>
        <v>0</v>
      </c>
      <c r="E22" s="46">
        <f>'2022-2031 SPP Total RR'!E22</f>
        <v>0</v>
      </c>
      <c r="F22" s="46">
        <f>'2022-2031 SPP Total RR'!F22</f>
        <v>0</v>
      </c>
      <c r="G22" s="46">
        <f>'2022-2031 SPP Total RR'!G22</f>
        <v>0</v>
      </c>
      <c r="H22" s="46">
        <f>'2022-2031 SPP Total RR'!H22</f>
        <v>0</v>
      </c>
      <c r="I22" s="46">
        <f>'2022-2031 SPP Total RR'!I22</f>
        <v>0</v>
      </c>
      <c r="J22" s="46">
        <f>'2022-2031 SPP Total RR'!J22</f>
        <v>0</v>
      </c>
      <c r="K22" s="46">
        <f>'2022-2031 SPP Total RR'!K22</f>
        <v>0</v>
      </c>
      <c r="L22" s="169">
        <f>'2022-2031 SPP Total RR'!L22</f>
        <v>0</v>
      </c>
      <c r="M22" s="296">
        <f t="shared" si="0"/>
        <v>0</v>
      </c>
      <c r="P22" s="331">
        <v>0</v>
      </c>
      <c r="Q22" s="331">
        <v>0</v>
      </c>
      <c r="R22" s="331">
        <v>0</v>
      </c>
      <c r="S22" s="331">
        <v>0</v>
      </c>
      <c r="T22" s="331">
        <v>0</v>
      </c>
      <c r="U22" s="331">
        <v>0</v>
      </c>
      <c r="V22" s="331">
        <v>0</v>
      </c>
      <c r="W22" s="331">
        <v>0</v>
      </c>
      <c r="X22" s="331">
        <v>0</v>
      </c>
      <c r="Y22" s="331">
        <v>0</v>
      </c>
    </row>
    <row r="23" spans="2:25" ht="16.5" customHeight="1" x14ac:dyDescent="0.3">
      <c r="B23" s="278" t="s">
        <v>17</v>
      </c>
      <c r="C23" s="45">
        <f>'2022-2031 SPP Total RR'!C23</f>
        <v>1.02</v>
      </c>
      <c r="D23" s="46">
        <f>'2022-2031 SPP Total RR'!D23</f>
        <v>1.0403579999999999</v>
      </c>
      <c r="E23" s="46">
        <f>'2022-2031 SPP Total RR'!E23</f>
        <v>1.0611651599999998</v>
      </c>
      <c r="F23" s="46">
        <f>'2022-2031 SPP Total RR'!F23</f>
        <v>1.0823884631999998</v>
      </c>
      <c r="G23" s="46">
        <f>'2022-2031 SPP Total RR'!G23</f>
        <v>1.1040362324639998</v>
      </c>
      <c r="H23" s="46">
        <f>'2022-2031 SPP Total RR'!H23</f>
        <v>1.1261169571132799</v>
      </c>
      <c r="I23" s="46">
        <f>'2022-2031 SPP Total RR'!I23</f>
        <v>1.1486392962555454</v>
      </c>
      <c r="J23" s="46">
        <f>'2022-2031 SPP Total RR'!J23</f>
        <v>1.1716120821806566</v>
      </c>
      <c r="K23" s="46">
        <f>'2022-2031 SPP Total RR'!K23</f>
        <v>1.1950443238242696</v>
      </c>
      <c r="L23" s="169">
        <f>'2022-2031 SPP Total RR'!L23</f>
        <v>1.218945210300755</v>
      </c>
      <c r="M23" s="296">
        <f t="shared" si="0"/>
        <v>11.168305725338506</v>
      </c>
      <c r="P23" s="331">
        <v>1020000</v>
      </c>
      <c r="Q23" s="331">
        <v>1040357.9999999999</v>
      </c>
      <c r="R23" s="331">
        <v>1061165.1599999999</v>
      </c>
      <c r="S23" s="331">
        <v>1082388.4631999999</v>
      </c>
      <c r="T23" s="331">
        <v>1104036.2324639999</v>
      </c>
      <c r="U23" s="331">
        <v>1126116.95711328</v>
      </c>
      <c r="V23" s="331">
        <v>1148639.2962555455</v>
      </c>
      <c r="W23" s="331">
        <v>1171612.0821806565</v>
      </c>
      <c r="X23" s="331">
        <v>1195044.3238242697</v>
      </c>
      <c r="Y23" s="331">
        <v>1218945.210300755</v>
      </c>
    </row>
    <row r="24" spans="2:25" ht="16.5" customHeight="1" x14ac:dyDescent="0.3">
      <c r="B24" s="278" t="s">
        <v>18</v>
      </c>
      <c r="C24" s="45">
        <f>'2022-2031 SPP Total RR'!C24</f>
        <v>0.54360192054285017</v>
      </c>
      <c r="D24" s="46">
        <f>'2022-2031 SPP Total RR'!D24</f>
        <v>0.50691866317622114</v>
      </c>
      <c r="E24" s="46">
        <f>'2022-2031 SPP Total RR'!E24</f>
        <v>0.51705703643974543</v>
      </c>
      <c r="F24" s="46">
        <f>'2022-2031 SPP Total RR'!F24</f>
        <v>0.52739817716854043</v>
      </c>
      <c r="G24" s="46">
        <f>'2022-2031 SPP Total RR'!G24</f>
        <v>0.53794614071191127</v>
      </c>
      <c r="H24" s="46">
        <f>'2022-2031 SPP Total RR'!H24</f>
        <v>0.54870506352614934</v>
      </c>
      <c r="I24" s="46">
        <f>'2022-2031 SPP Total RR'!I24</f>
        <v>0.55967916479667257</v>
      </c>
      <c r="J24" s="46">
        <f>'2022-2031 SPP Total RR'!J24</f>
        <v>0.57087274809260602</v>
      </c>
      <c r="K24" s="46">
        <f>'2022-2031 SPP Total RR'!K24</f>
        <v>0.582290203054458</v>
      </c>
      <c r="L24" s="169">
        <f>'2022-2031 SPP Total RR'!L24</f>
        <v>0.59393600711554717</v>
      </c>
      <c r="M24" s="296">
        <f t="shared" si="0"/>
        <v>5.4884051246247019</v>
      </c>
      <c r="P24" s="331">
        <v>543601.92054285016</v>
      </c>
      <c r="Q24" s="331">
        <v>506918.66317622113</v>
      </c>
      <c r="R24" s="331">
        <v>517057.0364397454</v>
      </c>
      <c r="S24" s="331">
        <v>527398.17716854042</v>
      </c>
      <c r="T24" s="331">
        <v>537946.14071191126</v>
      </c>
      <c r="U24" s="331">
        <v>548705.06352614937</v>
      </c>
      <c r="V24" s="331">
        <v>559679.16479667253</v>
      </c>
      <c r="W24" s="331">
        <v>570872.74809260597</v>
      </c>
      <c r="X24" s="331">
        <v>582290.20305445802</v>
      </c>
      <c r="Y24" s="331">
        <v>593936.0071155472</v>
      </c>
    </row>
    <row r="25" spans="2:25" ht="16.5" customHeight="1" x14ac:dyDescent="0.3">
      <c r="B25" s="278" t="s">
        <v>19</v>
      </c>
      <c r="C25" s="45">
        <f>'2022-2031 SPP Total RR'!C25</f>
        <v>0.92430000000000001</v>
      </c>
      <c r="D25" s="46">
        <f>'2022-2031 SPP Total RR'!D25</f>
        <v>0.86629999999999996</v>
      </c>
      <c r="E25" s="46">
        <f>'2022-2031 SPP Total RR'!E25</f>
        <v>0.88362600000000002</v>
      </c>
      <c r="F25" s="46">
        <f>'2022-2031 SPP Total RR'!F25</f>
        <v>0.90129851999999999</v>
      </c>
      <c r="G25" s="46">
        <f>'2022-2031 SPP Total RR'!G25</f>
        <v>0.91932449039999997</v>
      </c>
      <c r="H25" s="46">
        <f>'2022-2031 SPP Total RR'!H25</f>
        <v>0.93771098020800003</v>
      </c>
      <c r="I25" s="46">
        <f>'2022-2031 SPP Total RR'!I25</f>
        <v>0.95646519981216016</v>
      </c>
      <c r="J25" s="46">
        <f>'2022-2031 SPP Total RR'!J25</f>
        <v>0.97559450380840329</v>
      </c>
      <c r="K25" s="46">
        <f>'2022-2031 SPP Total RR'!K25</f>
        <v>0.99510639388457134</v>
      </c>
      <c r="L25" s="169">
        <f>'2022-2031 SPP Total RR'!L25</f>
        <v>1.0150085217622629</v>
      </c>
      <c r="M25" s="296">
        <f t="shared" si="0"/>
        <v>9.3747346098753983</v>
      </c>
      <c r="P25" s="331">
        <v>924300</v>
      </c>
      <c r="Q25" s="331">
        <v>866300</v>
      </c>
      <c r="R25" s="331">
        <v>883626</v>
      </c>
      <c r="S25" s="331">
        <v>901298.52</v>
      </c>
      <c r="T25" s="331">
        <v>919324.49040000001</v>
      </c>
      <c r="U25" s="331">
        <v>937710.98020800005</v>
      </c>
      <c r="V25" s="331">
        <v>956465.19981216011</v>
      </c>
      <c r="W25" s="331">
        <v>975594.50380840327</v>
      </c>
      <c r="X25" s="331">
        <v>995106.39388457139</v>
      </c>
      <c r="Y25" s="331">
        <v>1015008.5217622629</v>
      </c>
    </row>
    <row r="26" spans="2:25" ht="16.5" customHeight="1" x14ac:dyDescent="0.3">
      <c r="B26" s="278" t="s">
        <v>20</v>
      </c>
      <c r="C26" s="45">
        <f>'2022-2031 SPP Total RR'!C26</f>
        <v>0.28611000000000003</v>
      </c>
      <c r="D26" s="46">
        <f>'2022-2031 SPP Total RR'!D26</f>
        <v>0.2918322000000001</v>
      </c>
      <c r="E26" s="46">
        <f>'2022-2031 SPP Total RR'!E26</f>
        <v>0.29766884400000004</v>
      </c>
      <c r="F26" s="46">
        <f>'2022-2031 SPP Total RR'!F26</f>
        <v>0.30362222088000007</v>
      </c>
      <c r="G26" s="46">
        <f>'2022-2031 SPP Total RR'!G26</f>
        <v>0.30969466529760009</v>
      </c>
      <c r="H26" s="46">
        <f>'2022-2031 SPP Total RR'!H26</f>
        <v>0.31588855860355214</v>
      </c>
      <c r="I26" s="46">
        <f>'2022-2031 SPP Total RR'!I26</f>
        <v>0.32220632977562313</v>
      </c>
      <c r="J26" s="46">
        <f>'2022-2031 SPP Total RR'!J26</f>
        <v>0.3286504563711356</v>
      </c>
      <c r="K26" s="46">
        <f>'2022-2031 SPP Total RR'!K26</f>
        <v>0.34</v>
      </c>
      <c r="L26" s="169">
        <f>'2022-2031 SPP Total RR'!L26</f>
        <v>0.34</v>
      </c>
      <c r="M26" s="296">
        <f t="shared" si="0"/>
        <v>3.1356732749279108</v>
      </c>
      <c r="P26" s="331">
        <v>286110.00000000006</v>
      </c>
      <c r="Q26" s="331">
        <v>291832.20000000007</v>
      </c>
      <c r="R26" s="331">
        <v>297668.84400000004</v>
      </c>
      <c r="S26" s="331">
        <v>303622.2208800001</v>
      </c>
      <c r="T26" s="331">
        <v>309694.66529760009</v>
      </c>
      <c r="U26" s="331">
        <v>315888.55860355211</v>
      </c>
      <c r="V26" s="331">
        <v>322206.32977562316</v>
      </c>
      <c r="W26" s="331">
        <v>328650.4563711356</v>
      </c>
      <c r="X26" s="331">
        <v>340000</v>
      </c>
      <c r="Y26" s="331">
        <v>340000</v>
      </c>
    </row>
    <row r="27" spans="2:25" ht="16.5" customHeight="1" thickBot="1" x14ac:dyDescent="0.35">
      <c r="B27" s="291" t="s">
        <v>11</v>
      </c>
      <c r="C27" s="164">
        <f>'2022-2031 SPP Total RR'!C27</f>
        <v>0.8094071409200575</v>
      </c>
      <c r="D27" s="165">
        <f>'2022-2031 SPP Total RR'!D27</f>
        <v>0.83385123657584037</v>
      </c>
      <c r="E27" s="165">
        <f>'2022-2031 SPP Total RR'!E27</f>
        <v>0.8590335439204313</v>
      </c>
      <c r="F27" s="165">
        <f>'2022-2031 SPP Total RR'!F27</f>
        <v>0.88497635694682941</v>
      </c>
      <c r="G27" s="165">
        <f>'2022-2031 SPP Total RR'!G27</f>
        <v>0.58532291741246401</v>
      </c>
      <c r="H27" s="165">
        <f>'2022-2031 SPP Total RR'!H27</f>
        <v>0.59702937576071313</v>
      </c>
      <c r="I27" s="165">
        <f>'2022-2031 SPP Total RR'!I27</f>
        <v>0.60896996327592745</v>
      </c>
      <c r="J27" s="165">
        <f>'2022-2031 SPP Total RR'!J27</f>
        <v>0.62114936254144604</v>
      </c>
      <c r="K27" s="165">
        <f>'2022-2031 SPP Total RR'!K27</f>
        <v>0.71</v>
      </c>
      <c r="L27" s="170">
        <f>'2022-2031 SPP Total RR'!L27</f>
        <v>0.72</v>
      </c>
      <c r="M27" s="297">
        <f t="shared" si="0"/>
        <v>7.229739897353709</v>
      </c>
      <c r="P27" s="331">
        <v>809407.14092005754</v>
      </c>
      <c r="Q27" s="331">
        <v>833851.23657584039</v>
      </c>
      <c r="R27" s="331">
        <v>859033.54392043129</v>
      </c>
      <c r="S27" s="331">
        <v>884976.35694682936</v>
      </c>
      <c r="T27" s="331">
        <v>585322.91741246404</v>
      </c>
      <c r="U27" s="331">
        <v>597029.37576071313</v>
      </c>
      <c r="V27" s="331">
        <v>608969.96327592747</v>
      </c>
      <c r="W27" s="331">
        <v>621149.362541446</v>
      </c>
      <c r="X27" s="331">
        <v>710000</v>
      </c>
      <c r="Y27" s="331">
        <v>720000</v>
      </c>
    </row>
    <row r="28" spans="2:25" ht="15.75" x14ac:dyDescent="0.25">
      <c r="P28" s="331"/>
      <c r="Q28" s="331"/>
      <c r="R28" s="331"/>
      <c r="S28" s="331"/>
      <c r="T28" s="331"/>
      <c r="U28" s="331"/>
      <c r="V28" s="331"/>
      <c r="W28" s="331"/>
      <c r="X28" s="331"/>
      <c r="Y28" s="331"/>
    </row>
  </sheetData>
  <mergeCells count="1">
    <mergeCell ref="B2:M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FC2C-ED5E-4011-88DC-875B6DAEDF89}">
  <sheetPr>
    <tabColor rgb="FF00B050"/>
  </sheetPr>
  <dimension ref="B1:Y29"/>
  <sheetViews>
    <sheetView workbookViewId="0">
      <selection activeCell="E14" sqref="E14:E17"/>
    </sheetView>
  </sheetViews>
  <sheetFormatPr defaultColWidth="9.28515625" defaultRowHeight="15" x14ac:dyDescent="0.25"/>
  <cols>
    <col min="1" max="1" width="9.28515625" style="1"/>
    <col min="2" max="2" width="78.7109375" style="1" customWidth="1"/>
    <col min="3" max="12" width="11.7109375" style="1" customWidth="1"/>
    <col min="13" max="13" width="14.28515625" style="1" bestFit="1" customWidth="1"/>
    <col min="14" max="15" width="9.28515625" style="1"/>
    <col min="16" max="25" width="16.140625" style="1" bestFit="1" customWidth="1"/>
    <col min="26" max="16384" width="9.28515625" style="1"/>
  </cols>
  <sheetData>
    <row r="1" spans="2:25" ht="15.75" thickBot="1" x14ac:dyDescent="0.3"/>
    <row r="2" spans="2:25" ht="15" customHeight="1" x14ac:dyDescent="0.25">
      <c r="B2" s="462" t="s">
        <v>33</v>
      </c>
      <c r="C2" s="463"/>
      <c r="D2" s="463"/>
      <c r="E2" s="463"/>
      <c r="F2" s="463"/>
      <c r="G2" s="463"/>
      <c r="H2" s="463"/>
      <c r="I2" s="463"/>
      <c r="J2" s="463"/>
      <c r="K2" s="463"/>
      <c r="L2" s="463"/>
      <c r="M2" s="464"/>
    </row>
    <row r="3" spans="2:25" ht="15" customHeight="1" thickBot="1" x14ac:dyDescent="0.3">
      <c r="B3" s="465"/>
      <c r="C3" s="466"/>
      <c r="D3" s="466"/>
      <c r="E3" s="466"/>
      <c r="F3" s="466"/>
      <c r="G3" s="466"/>
      <c r="H3" s="466"/>
      <c r="I3" s="466"/>
      <c r="J3" s="466"/>
      <c r="K3" s="466"/>
      <c r="L3" s="466"/>
      <c r="M3" s="467"/>
    </row>
    <row r="4" spans="2:25" ht="17.25" thickBot="1" x14ac:dyDescent="0.35">
      <c r="B4" s="2" t="s">
        <v>3</v>
      </c>
      <c r="C4" s="3">
        <v>2022</v>
      </c>
      <c r="D4" s="4">
        <v>2023</v>
      </c>
      <c r="E4" s="4">
        <v>2024</v>
      </c>
      <c r="F4" s="4">
        <v>2025</v>
      </c>
      <c r="G4" s="4">
        <v>2026</v>
      </c>
      <c r="H4" s="4">
        <v>2027</v>
      </c>
      <c r="I4" s="4">
        <v>2028</v>
      </c>
      <c r="J4" s="4">
        <v>2029</v>
      </c>
      <c r="K4" s="249">
        <v>2030</v>
      </c>
      <c r="L4" s="294">
        <v>2031</v>
      </c>
      <c r="M4" s="252" t="s">
        <v>4</v>
      </c>
    </row>
    <row r="5" spans="2:25" ht="16.5" x14ac:dyDescent="0.3">
      <c r="B5" s="277" t="s">
        <v>5</v>
      </c>
      <c r="C5" s="42">
        <f>'2022-2031 SPP Total Costs'!C5</f>
        <v>105.66267139999997</v>
      </c>
      <c r="D5" s="43">
        <f>'2022-2031 SPP Total Costs'!D5</f>
        <v>104.54272771352991</v>
      </c>
      <c r="E5" s="43">
        <f>'2022-2031 SPP Total Costs'!E5</f>
        <v>105</v>
      </c>
      <c r="F5" s="43">
        <f>'2022-2031 SPP Total Costs'!F5</f>
        <v>105</v>
      </c>
      <c r="G5" s="43">
        <f>'2022-2031 SPP Total Costs'!G5</f>
        <v>105</v>
      </c>
      <c r="H5" s="43">
        <f>'2022-2031 SPP Total Costs'!H5</f>
        <v>105</v>
      </c>
      <c r="I5" s="43">
        <f>'2022-2031 SPP Total Costs'!I5</f>
        <v>105</v>
      </c>
      <c r="J5" s="43">
        <f>'2022-2031 SPP Total Costs'!J5</f>
        <v>105</v>
      </c>
      <c r="K5" s="43">
        <f>'2022-2031 SPP Total Costs'!K5</f>
        <v>114.99999999999999</v>
      </c>
      <c r="L5" s="44">
        <f>'2022-2031 SPP Total Costs'!L5</f>
        <v>114.99999999999999</v>
      </c>
      <c r="M5" s="179">
        <f>SUM(C5:L5)</f>
        <v>1070.2053991135299</v>
      </c>
      <c r="P5" s="262">
        <v>105662671.39999996</v>
      </c>
      <c r="Q5" s="262">
        <v>104542727.71352991</v>
      </c>
      <c r="R5" s="262">
        <v>105000000</v>
      </c>
      <c r="S5" s="262">
        <v>105000000</v>
      </c>
      <c r="T5" s="262">
        <v>105000000</v>
      </c>
      <c r="U5" s="262">
        <v>105000000</v>
      </c>
      <c r="V5" s="262">
        <v>105000000</v>
      </c>
      <c r="W5" s="262">
        <v>105000000</v>
      </c>
      <c r="X5" s="262">
        <v>114999999.99999999</v>
      </c>
      <c r="Y5" s="262">
        <v>114999999.99999999</v>
      </c>
    </row>
    <row r="6" spans="2:25" ht="16.5" x14ac:dyDescent="0.3">
      <c r="B6" s="278" t="s">
        <v>6</v>
      </c>
      <c r="C6" s="45">
        <f>'2022-2031 SPP Total Costs'!C6</f>
        <v>16.478997809999999</v>
      </c>
      <c r="D6" s="46">
        <f>'2022-2031 SPP Total Costs'!D6</f>
        <v>17.463787199999999</v>
      </c>
      <c r="E6" s="46">
        <f>'2022-2031 SPP Total Costs'!E6</f>
        <v>17.540040000000001</v>
      </c>
      <c r="F6" s="46">
        <f>'2022-2031 SPP Total Costs'!F6</f>
        <v>17.916840000000001</v>
      </c>
      <c r="G6" s="46">
        <f>'2022-2031 SPP Total Costs'!G6</f>
        <v>18.240120000000001</v>
      </c>
      <c r="H6" s="46">
        <f>'2022-2031 SPP Total Costs'!H6</f>
        <v>16.889759999999999</v>
      </c>
      <c r="I6" s="46">
        <f>'2022-2031 SPP Total Costs'!I6</f>
        <v>17.347560000000001</v>
      </c>
      <c r="J6" s="46">
        <f>'2022-2031 SPP Total Costs'!J6</f>
        <v>17.242439999999998</v>
      </c>
      <c r="K6" s="46">
        <f>'2022-2031 SPP Total Costs'!K6</f>
        <v>0</v>
      </c>
      <c r="L6" s="47">
        <f>'2022-2031 SPP Total Costs'!L6</f>
        <v>0</v>
      </c>
      <c r="M6" s="180">
        <f t="shared" ref="M6:M27" si="0">SUM(C6:L6)</f>
        <v>139.11954501</v>
      </c>
      <c r="P6" s="262">
        <v>16478997.810000001</v>
      </c>
      <c r="Q6" s="262">
        <v>17463787.199999999</v>
      </c>
      <c r="R6" s="262">
        <v>17540040</v>
      </c>
      <c r="S6" s="262">
        <v>17916840</v>
      </c>
      <c r="T6" s="262">
        <v>18240120</v>
      </c>
      <c r="U6" s="262">
        <v>16889760</v>
      </c>
      <c r="V6" s="262">
        <v>17347560</v>
      </c>
      <c r="W6" s="262">
        <v>17242440</v>
      </c>
      <c r="X6" s="262">
        <v>0</v>
      </c>
      <c r="Y6" s="262">
        <v>0</v>
      </c>
    </row>
    <row r="7" spans="2:25" ht="16.5" customHeight="1" x14ac:dyDescent="0.3">
      <c r="B7" s="278" t="s">
        <v>258</v>
      </c>
      <c r="C7" s="45">
        <f>'2022-2031 SPP Total Costs'!C7</f>
        <v>0</v>
      </c>
      <c r="D7" s="46">
        <f>'2022-2031 SPP Total Costs'!D7</f>
        <v>0.7</v>
      </c>
      <c r="E7" s="46">
        <f>'2022-2031 SPP Total Costs'!E7</f>
        <v>2.221174377224199</v>
      </c>
      <c r="F7" s="46">
        <f>'2022-2031 SPP Total Costs'!F7</f>
        <v>1.3820640569395017</v>
      </c>
      <c r="G7" s="46">
        <f>'2022-2031 SPP Total Costs'!G7</f>
        <v>1.7275800711743774</v>
      </c>
      <c r="H7" s="46">
        <f>'2022-2031 SPP Total Costs'!H7</f>
        <v>1.5301423487544479</v>
      </c>
      <c r="I7" s="46">
        <f>'2022-2031 SPP Total Costs'!I7</f>
        <v>2.4679715302491103</v>
      </c>
      <c r="J7" s="46">
        <f>'2022-2031 SPP Total Costs'!J7</f>
        <v>0.71051601423487543</v>
      </c>
      <c r="K7" s="46">
        <f>'2022-2031 SPP Total Costs'!K7</f>
        <v>3.7513167259786484</v>
      </c>
      <c r="L7" s="47">
        <f>'2022-2031 SPP Total Costs'!L7</f>
        <v>0.80923487544483963</v>
      </c>
      <c r="M7" s="180">
        <f t="shared" si="0"/>
        <v>15.3</v>
      </c>
      <c r="P7" s="262">
        <v>0</v>
      </c>
      <c r="Q7" s="262">
        <v>700000</v>
      </c>
      <c r="R7" s="262">
        <v>2221174.377224199</v>
      </c>
      <c r="S7" s="262">
        <v>1382064.0569395018</v>
      </c>
      <c r="T7" s="262">
        <v>1727580.0711743773</v>
      </c>
      <c r="U7" s="262">
        <v>1530142.3487544479</v>
      </c>
      <c r="V7" s="262">
        <v>2467971.5302491104</v>
      </c>
      <c r="W7" s="262">
        <v>710516.01423487545</v>
      </c>
      <c r="X7" s="262">
        <v>3751316.7259786483</v>
      </c>
      <c r="Y7" s="262">
        <v>809234.87544483959</v>
      </c>
    </row>
    <row r="8" spans="2:25" ht="16.5" customHeight="1" x14ac:dyDescent="0.3">
      <c r="B8" s="278" t="s">
        <v>259</v>
      </c>
      <c r="C8" s="45">
        <f>'2022-2031 SPP Total Costs'!C8</f>
        <v>0</v>
      </c>
      <c r="D8" s="46">
        <f>'2022-2031 SPP Total Costs'!D8</f>
        <v>0</v>
      </c>
      <c r="E8" s="46">
        <f>'2022-2031 SPP Total Costs'!E8</f>
        <v>2.0538256227758014</v>
      </c>
      <c r="F8" s="46">
        <f>'2022-2031 SPP Total Costs'!F8</f>
        <v>1.277935943060498</v>
      </c>
      <c r="G8" s="46">
        <f>'2022-2031 SPP Total Costs'!G8</f>
        <v>1.5974199288256237</v>
      </c>
      <c r="H8" s="46">
        <f>'2022-2031 SPP Total Costs'!H8</f>
        <v>1.4148576512455515</v>
      </c>
      <c r="I8" s="46">
        <f>'2022-2031 SPP Total Costs'!I8</f>
        <v>2.2820284697508892</v>
      </c>
      <c r="J8" s="46">
        <f>'2022-2031 SPP Total Costs'!J8</f>
        <v>0.65698398576512462</v>
      </c>
      <c r="K8" s="46">
        <f>'2022-2031 SPP Total Costs'!K8</f>
        <v>3.4686832740213518</v>
      </c>
      <c r="L8" s="47">
        <f>'2022-2031 SPP Total Costs'!L8</f>
        <v>0.74826512455516014</v>
      </c>
      <c r="M8" s="180">
        <f t="shared" si="0"/>
        <v>13.500000000000002</v>
      </c>
      <c r="P8" s="262">
        <v>0</v>
      </c>
      <c r="Q8" s="262">
        <v>0</v>
      </c>
      <c r="R8" s="262">
        <v>2053825.6227758012</v>
      </c>
      <c r="S8" s="262">
        <v>1277935.943060498</v>
      </c>
      <c r="T8" s="262">
        <v>1597419.9288256236</v>
      </c>
      <c r="U8" s="262">
        <v>1414857.6512455514</v>
      </c>
      <c r="V8" s="262">
        <v>2282028.4697508891</v>
      </c>
      <c r="W8" s="262">
        <v>656983.98576512467</v>
      </c>
      <c r="X8" s="262">
        <v>3468683.2740213517</v>
      </c>
      <c r="Y8" s="262">
        <v>748265.12455516018</v>
      </c>
    </row>
    <row r="9" spans="2:25" ht="16.5" customHeight="1" x14ac:dyDescent="0.3">
      <c r="B9" s="278" t="s">
        <v>8</v>
      </c>
      <c r="C9" s="45">
        <f>'2022-2031 SPP Total Costs'!C9</f>
        <v>32.842657446250001</v>
      </c>
      <c r="D9" s="46">
        <f>'2022-2031 SPP Total Costs'!D9</f>
        <v>30.115182999999998</v>
      </c>
      <c r="E9" s="46">
        <f>'2022-2031 SPP Total Costs'!E9</f>
        <v>29.998165038799893</v>
      </c>
      <c r="F9" s="46">
        <f>'2022-2031 SPP Total Costs'!F9</f>
        <v>29.988469854200002</v>
      </c>
      <c r="G9" s="46">
        <f>'2022-2031 SPP Total Costs'!G9</f>
        <v>29.989699957899894</v>
      </c>
      <c r="H9" s="46">
        <f>'2022-2031 SPP Total Costs'!H9</f>
        <v>29.996667752199997</v>
      </c>
      <c r="I9" s="46">
        <f>'2022-2031 SPP Total Costs'!I9</f>
        <v>29.993019549399907</v>
      </c>
      <c r="J9" s="46">
        <f>'2022-2031 SPP Total Costs'!J9</f>
        <v>29.987340385099994</v>
      </c>
      <c r="K9" s="46">
        <f>'2022-2031 SPP Total Costs'!K9</f>
        <v>36.994874848599999</v>
      </c>
      <c r="L9" s="47">
        <f>'2022-2031 SPP Total Costs'!L9</f>
        <v>36.992343985599994</v>
      </c>
      <c r="M9" s="180">
        <f t="shared" si="0"/>
        <v>316.89842181804966</v>
      </c>
      <c r="P9" s="262">
        <v>32842657.446249999</v>
      </c>
      <c r="Q9" s="262">
        <v>30115183</v>
      </c>
      <c r="R9" s="262">
        <v>29998165.038799893</v>
      </c>
      <c r="S9" s="262">
        <v>29988469.854200002</v>
      </c>
      <c r="T9" s="262">
        <v>29989699.957899895</v>
      </c>
      <c r="U9" s="262">
        <v>29996667.752199996</v>
      </c>
      <c r="V9" s="262">
        <v>29993019.549399909</v>
      </c>
      <c r="W9" s="262">
        <v>29987340.385099996</v>
      </c>
      <c r="X9" s="262">
        <v>36994874.8486</v>
      </c>
      <c r="Y9" s="262">
        <v>36992343.985599995</v>
      </c>
    </row>
    <row r="10" spans="2:25" ht="16.5" customHeight="1" x14ac:dyDescent="0.3">
      <c r="B10" s="278" t="s">
        <v>10</v>
      </c>
      <c r="C10" s="45">
        <f>'2022-2031 SPP Total Costs'!C10</f>
        <v>2.4099560799999997</v>
      </c>
      <c r="D10" s="46">
        <f>'2022-2031 SPP Total Costs'!D10</f>
        <v>3.0374458800000008</v>
      </c>
      <c r="E10" s="46">
        <f>'2022-2031 SPP Total Costs'!E10</f>
        <v>3.0065800000000005</v>
      </c>
      <c r="F10" s="46">
        <f>'2022-2031 SPP Total Costs'!F10</f>
        <v>3.7028929999999995</v>
      </c>
      <c r="G10" s="46">
        <f>'2022-2031 SPP Total Costs'!G10</f>
        <v>3.4465159999999995</v>
      </c>
      <c r="H10" s="46">
        <f>'2022-2031 SPP Total Costs'!H10</f>
        <v>3.4037260000000003</v>
      </c>
      <c r="I10" s="46">
        <f>'2022-2031 SPP Total Costs'!I10</f>
        <v>3.1423410000000001</v>
      </c>
      <c r="J10" s="46">
        <f>'2022-2031 SPP Total Costs'!J10</f>
        <v>2.8387709999999999</v>
      </c>
      <c r="K10" s="46">
        <f>'2022-2031 SPP Total Costs'!K10</f>
        <v>2.0408240000000002</v>
      </c>
      <c r="L10" s="47">
        <f>'2022-2031 SPP Total Costs'!L10</f>
        <v>4.4247719999999999</v>
      </c>
      <c r="M10" s="180">
        <f t="shared" si="0"/>
        <v>31.453824960000002</v>
      </c>
      <c r="P10" s="262">
        <v>2409956.0799999996</v>
      </c>
      <c r="Q10" s="262">
        <v>3037445.8800000008</v>
      </c>
      <c r="R10" s="262">
        <v>3006580.0000000005</v>
      </c>
      <c r="S10" s="262">
        <v>3702892.9999999995</v>
      </c>
      <c r="T10" s="262">
        <v>3446515.9999999995</v>
      </c>
      <c r="U10" s="262">
        <v>3403726.0000000005</v>
      </c>
      <c r="V10" s="262">
        <v>3142341</v>
      </c>
      <c r="W10" s="262">
        <v>2838771</v>
      </c>
      <c r="X10" s="262">
        <v>2040824.0000000002</v>
      </c>
      <c r="Y10" s="262">
        <v>4424772</v>
      </c>
    </row>
    <row r="11" spans="2:25" ht="17.25" thickBot="1" x14ac:dyDescent="0.35">
      <c r="B11" s="279" t="s">
        <v>11</v>
      </c>
      <c r="C11" s="164">
        <f>'2022-2031 SPP Total Costs'!C11</f>
        <v>12.509019450582706</v>
      </c>
      <c r="D11" s="165">
        <f>'2022-2031 SPP Total Costs'!D11</f>
        <v>12.886791837990261</v>
      </c>
      <c r="E11" s="165">
        <f>'2022-2031 SPP Total Costs'!E11</f>
        <v>13.275972951497575</v>
      </c>
      <c r="F11" s="165">
        <f>'2022-2031 SPP Total Costs'!F11</f>
        <v>13.676907334632819</v>
      </c>
      <c r="G11" s="165">
        <f>'2022-2031 SPP Total Costs'!G11</f>
        <v>9.045899632738081</v>
      </c>
      <c r="H11" s="165">
        <f>'2022-2031 SPP Total Costs'!H11</f>
        <v>9.2268176253928385</v>
      </c>
      <c r="I11" s="165">
        <f>'2022-2031 SPP Total Costs'!I11</f>
        <v>9.4113539779006974</v>
      </c>
      <c r="J11" s="165">
        <f>'2022-2031 SPP Total Costs'!J11</f>
        <v>9.5995810574587122</v>
      </c>
      <c r="K11" s="165">
        <f>'2022-2031 SPP Total Costs'!K11</f>
        <v>11.22343578670572</v>
      </c>
      <c r="L11" s="166">
        <f>'2022-2031 SPP Total Costs'!L11</f>
        <v>11.399848024952037</v>
      </c>
      <c r="M11" s="167">
        <f t="shared" si="0"/>
        <v>112.25562767985144</v>
      </c>
      <c r="P11" s="262">
        <v>12509019.450582705</v>
      </c>
      <c r="Q11" s="262">
        <v>12886791.837990262</v>
      </c>
      <c r="R11" s="262">
        <v>13275972.951497575</v>
      </c>
      <c r="S11" s="262">
        <v>13676907.33463282</v>
      </c>
      <c r="T11" s="262">
        <v>9045899.6327380817</v>
      </c>
      <c r="U11" s="262">
        <v>9226817.6253928393</v>
      </c>
      <c r="V11" s="262">
        <v>9411353.9779006969</v>
      </c>
      <c r="W11" s="262">
        <v>9599581.0574587118</v>
      </c>
      <c r="X11" s="262">
        <v>11223435.786705719</v>
      </c>
      <c r="Y11" s="262">
        <v>11399848.024952037</v>
      </c>
    </row>
    <row r="12" spans="2:25" ht="17.25" thickBot="1" x14ac:dyDescent="0.35">
      <c r="B12" s="280" t="s">
        <v>12</v>
      </c>
      <c r="C12" s="281">
        <v>2022</v>
      </c>
      <c r="D12" s="282">
        <v>2023</v>
      </c>
      <c r="E12" s="282">
        <v>2024</v>
      </c>
      <c r="F12" s="282">
        <v>2025</v>
      </c>
      <c r="G12" s="282">
        <v>2026</v>
      </c>
      <c r="H12" s="282">
        <v>2027</v>
      </c>
      <c r="I12" s="282">
        <v>2028</v>
      </c>
      <c r="J12" s="282">
        <v>2029</v>
      </c>
      <c r="K12" s="283">
        <v>2030</v>
      </c>
      <c r="L12" s="284">
        <v>2031</v>
      </c>
      <c r="M12" s="285" t="s">
        <v>4</v>
      </c>
      <c r="P12" s="262"/>
      <c r="Q12" s="262"/>
      <c r="R12" s="262"/>
      <c r="S12" s="262"/>
      <c r="T12" s="262"/>
      <c r="U12" s="262"/>
      <c r="V12" s="262"/>
      <c r="W12" s="262"/>
      <c r="X12" s="262"/>
      <c r="Y12" s="262"/>
    </row>
    <row r="13" spans="2:25" ht="16.5" customHeight="1" x14ac:dyDescent="0.3">
      <c r="B13" s="277" t="s">
        <v>5</v>
      </c>
      <c r="C13" s="168">
        <f>'2022-2031 SPP Total Costs'!C13</f>
        <v>0.18071580937510187</v>
      </c>
      <c r="D13" s="286">
        <f>'2022-2031 SPP Total Costs'!D13</f>
        <v>0.17618653398168838</v>
      </c>
      <c r="E13" s="286">
        <f>'2022-2031 SPP Total Costs'!E13</f>
        <v>0.18102584295000146</v>
      </c>
      <c r="F13" s="286">
        <f>'2022-2031 SPP Total Costs'!F13</f>
        <v>0.1479373168270306</v>
      </c>
      <c r="G13" s="286">
        <f>'2022-2031 SPP Total Costs'!G13</f>
        <v>0.19071886991544681</v>
      </c>
      <c r="H13" s="286">
        <f>'2022-2031 SPP Total Costs'!H13</f>
        <v>0.195569104026378</v>
      </c>
      <c r="I13" s="286">
        <f>'2022-2031 SPP Total Costs'!I13</f>
        <v>0.20041937601286142</v>
      </c>
      <c r="J13" s="286">
        <f>'2022-2031 SPP Total Costs'!J13</f>
        <v>0.20526776354075563</v>
      </c>
      <c r="K13" s="286">
        <f>'2022-2031 SPP Total Costs'!K13</f>
        <v>0.21011226084042689</v>
      </c>
      <c r="L13" s="287">
        <f>'2022-2031 SPP Total Costs'!L13</f>
        <v>0.33041563954134101</v>
      </c>
      <c r="M13" s="38">
        <f t="shared" si="0"/>
        <v>2.0183685170110319</v>
      </c>
      <c r="P13" s="262">
        <v>180715.80937510188</v>
      </c>
      <c r="Q13" s="262">
        <v>176186.53398168838</v>
      </c>
      <c r="R13" s="262">
        <v>181025.84295000145</v>
      </c>
      <c r="S13" s="262">
        <v>147937.31682703059</v>
      </c>
      <c r="T13" s="262">
        <v>190718.86991544682</v>
      </c>
      <c r="U13" s="262">
        <v>195569.10402637802</v>
      </c>
      <c r="V13" s="262">
        <v>200419.37601286141</v>
      </c>
      <c r="W13" s="262">
        <v>205267.76354075564</v>
      </c>
      <c r="X13" s="262">
        <v>210112.2608404269</v>
      </c>
      <c r="Y13" s="262">
        <v>330415.63954134099</v>
      </c>
    </row>
    <row r="14" spans="2:25" ht="16.5" customHeight="1" x14ac:dyDescent="0.3">
      <c r="B14" s="278" t="s">
        <v>13</v>
      </c>
      <c r="C14" s="288">
        <f>'2022-2031 SPP Total Costs'!C14</f>
        <v>21.160688</v>
      </c>
      <c r="D14" s="289">
        <f>'2022-2031 SPP Total Costs'!D14</f>
        <v>24.001407620248003</v>
      </c>
      <c r="E14" s="289">
        <f>'2022-2031 SPP Total Costs'!E14</f>
        <v>24.223435772652962</v>
      </c>
      <c r="F14" s="289">
        <f>'2022-2031 SPP Total Costs'!F14</f>
        <v>25.645904488106019</v>
      </c>
      <c r="G14" s="289">
        <f>'2022-2031 SPP Total Costs'!G14</f>
        <v>26.768822577868139</v>
      </c>
      <c r="H14" s="289">
        <f>'2022-2031 SPP Total Costs'!H14</f>
        <v>27.992199029425503</v>
      </c>
      <c r="I14" s="289">
        <f>'2022-2031 SPP Total Costs'!I14</f>
        <v>29.516043010014013</v>
      </c>
      <c r="J14" s="289">
        <f>'2022-2031 SPP Total Costs'!J14</f>
        <v>30.940363870214295</v>
      </c>
      <c r="K14" s="289">
        <f>'2022-2031 SPP Total Costs'!K14</f>
        <v>32.502382063725008</v>
      </c>
      <c r="L14" s="290">
        <f>'2022-2031 SPP Total Costs'!L14</f>
        <v>34.267501166911259</v>
      </c>
      <c r="M14" s="39">
        <f t="shared" si="0"/>
        <v>277.01874759916518</v>
      </c>
      <c r="P14" s="262">
        <v>21160688</v>
      </c>
      <c r="Q14" s="262">
        <v>24001407.620248001</v>
      </c>
      <c r="R14" s="262">
        <v>24223435.772652961</v>
      </c>
      <c r="S14" s="262">
        <v>25645904.48810602</v>
      </c>
      <c r="T14" s="262">
        <v>26768822.577868138</v>
      </c>
      <c r="U14" s="262">
        <v>27992199.029425502</v>
      </c>
      <c r="V14" s="262">
        <v>29516043.010014012</v>
      </c>
      <c r="W14" s="262">
        <v>30940363.870214295</v>
      </c>
      <c r="X14" s="262">
        <v>32502382.06372501</v>
      </c>
      <c r="Y14" s="262">
        <v>34267501.166911259</v>
      </c>
    </row>
    <row r="15" spans="2:25" ht="16.5" customHeight="1" x14ac:dyDescent="0.3">
      <c r="B15" s="278" t="s">
        <v>14</v>
      </c>
      <c r="C15" s="288">
        <f>'2022-2031 SPP Total Costs'!C15</f>
        <v>1.4</v>
      </c>
      <c r="D15" s="289">
        <f>'2022-2031 SPP Total Costs'!D15</f>
        <v>1.4</v>
      </c>
      <c r="E15" s="289">
        <f>'2022-2031 SPP Total Costs'!E15</f>
        <v>1.4</v>
      </c>
      <c r="F15" s="289">
        <f>'2022-2031 SPP Total Costs'!F15</f>
        <v>1.3</v>
      </c>
      <c r="G15" s="289">
        <f>'2022-2031 SPP Total Costs'!G15</f>
        <v>1.3</v>
      </c>
      <c r="H15" s="289">
        <f>'2022-2031 SPP Total Costs'!H15</f>
        <v>1.3</v>
      </c>
      <c r="I15" s="289">
        <f>'2022-2031 SPP Total Costs'!I15</f>
        <v>1.4</v>
      </c>
      <c r="J15" s="289">
        <f>'2022-2031 SPP Total Costs'!J15</f>
        <v>1.4</v>
      </c>
      <c r="K15" s="289">
        <f>'2022-2031 SPP Total Costs'!K15</f>
        <v>1.3</v>
      </c>
      <c r="L15" s="290">
        <f>'2022-2031 SPP Total Costs'!L15</f>
        <v>1.3</v>
      </c>
      <c r="M15" s="39">
        <f t="shared" si="0"/>
        <v>13.500000000000002</v>
      </c>
      <c r="P15" s="262">
        <v>1400000</v>
      </c>
      <c r="Q15" s="262">
        <v>1400000</v>
      </c>
      <c r="R15" s="262">
        <v>1400000</v>
      </c>
      <c r="S15" s="262">
        <v>1300000</v>
      </c>
      <c r="T15" s="262">
        <v>1300000</v>
      </c>
      <c r="U15" s="262">
        <v>1300000</v>
      </c>
      <c r="V15" s="262">
        <v>1400000</v>
      </c>
      <c r="W15" s="262">
        <v>1400000</v>
      </c>
      <c r="X15" s="262">
        <v>1300000</v>
      </c>
      <c r="Y15" s="262">
        <v>1300000</v>
      </c>
    </row>
    <row r="16" spans="2:25" ht="16.5" customHeight="1" x14ac:dyDescent="0.3">
      <c r="B16" s="278" t="s">
        <v>15</v>
      </c>
      <c r="C16" s="288">
        <f>'2022-2031 SPP Total Costs'!C16</f>
        <v>3.6124450000000001</v>
      </c>
      <c r="D16" s="289">
        <f>'2022-2031 SPP Total Costs'!D16</f>
        <v>3.6609690521439999</v>
      </c>
      <c r="E16" s="289">
        <f>'2022-2031 SPP Total Costs'!E16</f>
        <v>3.0352115863118794</v>
      </c>
      <c r="F16" s="289">
        <f>'2022-2031 SPP Total Costs'!F16</f>
        <v>3.1303768276616419</v>
      </c>
      <c r="G16" s="289">
        <f>'2022-2031 SPP Total Costs'!G16</f>
        <v>3.2270592877713717</v>
      </c>
      <c r="H16" s="289">
        <f>'2022-2031 SPP Total Costs'!H16</f>
        <v>3.3022866240975515</v>
      </c>
      <c r="I16" s="289">
        <f>'2022-2031 SPP Total Costs'!I16</f>
        <v>3.3792856609145225</v>
      </c>
      <c r="J16" s="289">
        <f>'2022-2031 SPP Total Costs'!J16</f>
        <v>3.458098511076209</v>
      </c>
      <c r="K16" s="289">
        <f>'2022-2031 SPP Total Costs'!K16</f>
        <v>3.6310034366300195</v>
      </c>
      <c r="L16" s="290">
        <f>'2022-2031 SPP Total Costs'!L16</f>
        <v>3.812553608461521</v>
      </c>
      <c r="M16" s="39">
        <f t="shared" si="0"/>
        <v>34.249289595068717</v>
      </c>
      <c r="P16" s="262">
        <v>3612445</v>
      </c>
      <c r="Q16" s="262">
        <v>3660969.0521439998</v>
      </c>
      <c r="R16" s="262">
        <v>3035211.5863118796</v>
      </c>
      <c r="S16" s="262">
        <v>3130376.8276616419</v>
      </c>
      <c r="T16" s="262">
        <v>3227059.2877713717</v>
      </c>
      <c r="U16" s="262">
        <v>3302286.6240975517</v>
      </c>
      <c r="V16" s="262">
        <v>3379285.6609145226</v>
      </c>
      <c r="W16" s="262">
        <v>3458098.5110762091</v>
      </c>
      <c r="X16" s="262">
        <v>3631003.4366300195</v>
      </c>
      <c r="Y16" s="262">
        <v>3812553.6084615211</v>
      </c>
    </row>
    <row r="17" spans="2:25" ht="16.5" customHeight="1" x14ac:dyDescent="0.3">
      <c r="B17" s="278" t="s">
        <v>16</v>
      </c>
      <c r="C17" s="288">
        <f>'2022-2031 SPP Total Costs'!C17</f>
        <v>0</v>
      </c>
      <c r="D17" s="289">
        <f>'2022-2031 SPP Total Costs'!D17</f>
        <v>0</v>
      </c>
      <c r="E17" s="289">
        <f>'2022-2031 SPP Total Costs'!E17</f>
        <v>0</v>
      </c>
      <c r="F17" s="289">
        <f>'2022-2031 SPP Total Costs'!F17</f>
        <v>0</v>
      </c>
      <c r="G17" s="289">
        <f>'2022-2031 SPP Total Costs'!G17</f>
        <v>0</v>
      </c>
      <c r="H17" s="289">
        <f>'2022-2031 SPP Total Costs'!H17</f>
        <v>0</v>
      </c>
      <c r="I17" s="289">
        <f>'2022-2031 SPP Total Costs'!I17</f>
        <v>0</v>
      </c>
      <c r="J17" s="289">
        <f>'2022-2031 SPP Total Costs'!J17</f>
        <v>0</v>
      </c>
      <c r="K17" s="289">
        <f>'2022-2031 SPP Total Costs'!K17</f>
        <v>0</v>
      </c>
      <c r="L17" s="290">
        <f>'2022-2031 SPP Total Costs'!L17</f>
        <v>0</v>
      </c>
      <c r="M17" s="39">
        <f t="shared" si="0"/>
        <v>0</v>
      </c>
      <c r="P17" s="262">
        <v>0</v>
      </c>
      <c r="Q17" s="262">
        <v>0</v>
      </c>
      <c r="R17" s="262">
        <v>0</v>
      </c>
      <c r="S17" s="262">
        <v>0</v>
      </c>
      <c r="T17" s="262">
        <v>0</v>
      </c>
      <c r="U17" s="262">
        <v>0</v>
      </c>
      <c r="V17" s="262">
        <v>0</v>
      </c>
      <c r="W17" s="262">
        <v>0</v>
      </c>
      <c r="X17" s="262">
        <v>0</v>
      </c>
      <c r="Y17" s="262">
        <v>0</v>
      </c>
    </row>
    <row r="18" spans="2:25" ht="16.5" customHeight="1" x14ac:dyDescent="0.3">
      <c r="B18" s="278" t="s">
        <v>6</v>
      </c>
      <c r="C18" s="288">
        <f>'2022-2031 SPP Total Costs'!C18</f>
        <v>0.49436993396999995</v>
      </c>
      <c r="D18" s="289">
        <f>'2022-2031 SPP Total Costs'!D18</f>
        <v>0.52391361599999997</v>
      </c>
      <c r="E18" s="289">
        <f>'2022-2031 SPP Total Costs'!E18</f>
        <v>0.53439188831999995</v>
      </c>
      <c r="F18" s="289">
        <f>'2022-2031 SPP Total Costs'!F18</f>
        <v>0.54507972608639998</v>
      </c>
      <c r="G18" s="289">
        <f>'2022-2031 SPP Total Costs'!G18</f>
        <v>0.55598132060812799</v>
      </c>
      <c r="H18" s="289">
        <f>'2022-2031 SPP Total Costs'!H18</f>
        <v>0.56710094702029057</v>
      </c>
      <c r="I18" s="289">
        <f>'2022-2031 SPP Total Costs'!I18</f>
        <v>0.57844296596069644</v>
      </c>
      <c r="J18" s="289">
        <f>'2022-2031 SPP Total Costs'!J18</f>
        <v>0.59001182527991036</v>
      </c>
      <c r="K18" s="289">
        <f>'2022-2031 SPP Total Costs'!K18</f>
        <v>0.60181206178550861</v>
      </c>
      <c r="L18" s="290">
        <f>'2022-2031 SPP Total Costs'!L18</f>
        <v>0.61384830302121884</v>
      </c>
      <c r="M18" s="39">
        <f t="shared" si="0"/>
        <v>5.6049525880521536</v>
      </c>
      <c r="P18" s="262">
        <v>494369.93396999995</v>
      </c>
      <c r="Q18" s="262">
        <v>523913.61599999998</v>
      </c>
      <c r="R18" s="262">
        <v>534391.88831999991</v>
      </c>
      <c r="S18" s="262">
        <v>545079.72608639998</v>
      </c>
      <c r="T18" s="262">
        <v>555981.32060812798</v>
      </c>
      <c r="U18" s="262">
        <v>567100.94702029054</v>
      </c>
      <c r="V18" s="262">
        <v>578442.96596069646</v>
      </c>
      <c r="W18" s="262">
        <v>590011.82527991035</v>
      </c>
      <c r="X18" s="262">
        <v>601812.06178550865</v>
      </c>
      <c r="Y18" s="262">
        <v>613848.30302121886</v>
      </c>
    </row>
    <row r="19" spans="2:25" ht="16.5" customHeight="1" x14ac:dyDescent="0.3">
      <c r="B19" s="278" t="s">
        <v>258</v>
      </c>
      <c r="C19" s="288">
        <f>'2022-2031 SPP Total Costs'!C19</f>
        <v>0</v>
      </c>
      <c r="D19" s="289">
        <f>'2022-2031 SPP Total Costs'!D19</f>
        <v>0</v>
      </c>
      <c r="E19" s="289">
        <f>'2022-2031 SPP Total Costs'!E19</f>
        <v>0</v>
      </c>
      <c r="F19" s="289">
        <f>'2022-2031 SPP Total Costs'!F19</f>
        <v>0</v>
      </c>
      <c r="G19" s="289">
        <f>'2022-2031 SPP Total Costs'!G19</f>
        <v>0</v>
      </c>
      <c r="H19" s="289">
        <f>'2022-2031 SPP Total Costs'!H19</f>
        <v>0</v>
      </c>
      <c r="I19" s="289">
        <f>'2022-2031 SPP Total Costs'!I19</f>
        <v>0</v>
      </c>
      <c r="J19" s="289">
        <f>'2022-2031 SPP Total Costs'!J19</f>
        <v>0</v>
      </c>
      <c r="K19" s="289">
        <f>'2022-2031 SPP Total Costs'!K19</f>
        <v>0</v>
      </c>
      <c r="L19" s="290">
        <f>'2022-2031 SPP Total Costs'!L19</f>
        <v>0</v>
      </c>
      <c r="M19" s="39">
        <f t="shared" si="0"/>
        <v>0</v>
      </c>
      <c r="P19" s="262">
        <v>0</v>
      </c>
      <c r="Q19" s="262">
        <v>0</v>
      </c>
      <c r="R19" s="262">
        <v>0</v>
      </c>
      <c r="S19" s="262">
        <v>0</v>
      </c>
      <c r="T19" s="262">
        <v>0</v>
      </c>
      <c r="U19" s="262">
        <v>0</v>
      </c>
      <c r="V19" s="262">
        <v>0</v>
      </c>
      <c r="W19" s="262">
        <v>0</v>
      </c>
      <c r="X19" s="262">
        <v>0</v>
      </c>
      <c r="Y19" s="262">
        <v>0</v>
      </c>
    </row>
    <row r="20" spans="2:25" ht="16.5" customHeight="1" x14ac:dyDescent="0.3">
      <c r="B20" s="278" t="s">
        <v>259</v>
      </c>
      <c r="C20" s="288">
        <f>'2022-2031 SPP Total Costs'!C20</f>
        <v>0</v>
      </c>
      <c r="D20" s="289">
        <f>'2022-2031 SPP Total Costs'!D20</f>
        <v>0</v>
      </c>
      <c r="E20" s="289">
        <f>'2022-2031 SPP Total Costs'!E20</f>
        <v>0</v>
      </c>
      <c r="F20" s="289">
        <f>'2022-2031 SPP Total Costs'!F20</f>
        <v>0</v>
      </c>
      <c r="G20" s="289">
        <f>'2022-2031 SPP Total Costs'!G20</f>
        <v>0</v>
      </c>
      <c r="H20" s="289">
        <f>'2022-2031 SPP Total Costs'!H20</f>
        <v>0</v>
      </c>
      <c r="I20" s="289">
        <f>'2022-2031 SPP Total Costs'!I20</f>
        <v>0</v>
      </c>
      <c r="J20" s="289">
        <f>'2022-2031 SPP Total Costs'!J20</f>
        <v>0</v>
      </c>
      <c r="K20" s="289">
        <f>'2022-2031 SPP Total Costs'!K20</f>
        <v>0</v>
      </c>
      <c r="L20" s="290">
        <f>'2022-2031 SPP Total Costs'!L20</f>
        <v>0</v>
      </c>
      <c r="M20" s="39">
        <f t="shared" si="0"/>
        <v>0</v>
      </c>
      <c r="P20" s="262">
        <v>0</v>
      </c>
      <c r="Q20" s="262">
        <v>0</v>
      </c>
      <c r="R20" s="262">
        <v>0</v>
      </c>
      <c r="S20" s="262">
        <v>0</v>
      </c>
      <c r="T20" s="262">
        <v>0</v>
      </c>
      <c r="U20" s="262">
        <v>0</v>
      </c>
      <c r="V20" s="262">
        <v>0</v>
      </c>
      <c r="W20" s="262">
        <v>0</v>
      </c>
      <c r="X20" s="262">
        <v>0</v>
      </c>
      <c r="Y20" s="262">
        <v>0</v>
      </c>
    </row>
    <row r="21" spans="2:25" ht="16.5" customHeight="1" x14ac:dyDescent="0.3">
      <c r="B21" s="278" t="s">
        <v>8</v>
      </c>
      <c r="C21" s="288">
        <f>'2022-2031 SPP Total Costs'!C21</f>
        <v>0.55685314782499995</v>
      </c>
      <c r="D21" s="289">
        <f>'2022-2031 SPP Total Costs'!D21</f>
        <v>0.61865400000000004</v>
      </c>
      <c r="E21" s="289">
        <f>'2022-2031 SPP Total Costs'!E21</f>
        <v>0.67030008000000008</v>
      </c>
      <c r="F21" s="289">
        <f>'2022-2031 SPP Total Costs'!F21</f>
        <v>0.7201830816</v>
      </c>
      <c r="G21" s="289">
        <f>'2022-2031 SPP Total Costs'!G21</f>
        <v>0.77030774323200002</v>
      </c>
      <c r="H21" s="289">
        <f>'2022-2031 SPP Total Costs'!H21</f>
        <v>0.82067889809663996</v>
      </c>
      <c r="I21" s="289">
        <f>'2022-2031 SPP Total Costs'!I21</f>
        <v>0.87130147605857289</v>
      </c>
      <c r="J21" s="289">
        <f>'2022-2031 SPP Total Costs'!J21</f>
        <v>0.91818050557974396</v>
      </c>
      <c r="K21" s="289">
        <f>'2022-2031 SPP Total Costs'!K21</f>
        <v>0.97332111569133906</v>
      </c>
      <c r="L21" s="290">
        <f>'2022-2031 SPP Total Costs'!L21</f>
        <v>1.0247285380051658</v>
      </c>
      <c r="M21" s="39">
        <f t="shared" si="0"/>
        <v>7.9445085860884603</v>
      </c>
      <c r="P21" s="262">
        <v>556853.14782499999</v>
      </c>
      <c r="Q21" s="262">
        <v>618654</v>
      </c>
      <c r="R21" s="262">
        <v>670300.08000000007</v>
      </c>
      <c r="S21" s="262">
        <v>720183.08160000003</v>
      </c>
      <c r="T21" s="262">
        <v>770307.74323200004</v>
      </c>
      <c r="U21" s="262">
        <v>820678.89809664001</v>
      </c>
      <c r="V21" s="262">
        <v>871301.47605857288</v>
      </c>
      <c r="W21" s="262">
        <v>918180.505579744</v>
      </c>
      <c r="X21" s="262">
        <v>973321.11569133902</v>
      </c>
      <c r="Y21" s="262">
        <v>1024728.5380051659</v>
      </c>
    </row>
    <row r="22" spans="2:25" ht="16.5" customHeight="1" x14ac:dyDescent="0.3">
      <c r="B22" s="278" t="s">
        <v>10</v>
      </c>
      <c r="C22" s="288">
        <f>'2022-2031 SPP Total Costs'!C22</f>
        <v>0</v>
      </c>
      <c r="D22" s="289">
        <f>'2022-2031 SPP Total Costs'!D22</f>
        <v>0</v>
      </c>
      <c r="E22" s="289">
        <f>'2022-2031 SPP Total Costs'!E22</f>
        <v>0</v>
      </c>
      <c r="F22" s="289">
        <f>'2022-2031 SPP Total Costs'!F22</f>
        <v>0</v>
      </c>
      <c r="G22" s="289">
        <f>'2022-2031 SPP Total Costs'!G22</f>
        <v>0</v>
      </c>
      <c r="H22" s="289">
        <f>'2022-2031 SPP Total Costs'!H22</f>
        <v>0</v>
      </c>
      <c r="I22" s="289">
        <f>'2022-2031 SPP Total Costs'!I22</f>
        <v>0</v>
      </c>
      <c r="J22" s="289">
        <f>'2022-2031 SPP Total Costs'!J22</f>
        <v>0</v>
      </c>
      <c r="K22" s="289">
        <f>'2022-2031 SPP Total Costs'!K22</f>
        <v>0</v>
      </c>
      <c r="L22" s="290">
        <f>'2022-2031 SPP Total Costs'!L22</f>
        <v>0</v>
      </c>
      <c r="M22" s="39">
        <f t="shared" si="0"/>
        <v>0</v>
      </c>
      <c r="P22" s="262">
        <v>0</v>
      </c>
      <c r="Q22" s="262">
        <v>0</v>
      </c>
      <c r="R22" s="262">
        <v>0</v>
      </c>
      <c r="S22" s="262">
        <v>0</v>
      </c>
      <c r="T22" s="262">
        <v>0</v>
      </c>
      <c r="U22" s="262">
        <v>0</v>
      </c>
      <c r="V22" s="262">
        <v>0</v>
      </c>
      <c r="W22" s="262">
        <v>0</v>
      </c>
      <c r="X22" s="262">
        <v>0</v>
      </c>
      <c r="Y22" s="262">
        <v>0</v>
      </c>
    </row>
    <row r="23" spans="2:25" ht="16.5" customHeight="1" x14ac:dyDescent="0.3">
      <c r="B23" s="278" t="s">
        <v>17</v>
      </c>
      <c r="C23" s="288">
        <f>'2022-2031 SPP Total Costs'!C23</f>
        <v>1.02</v>
      </c>
      <c r="D23" s="289">
        <f>'2022-2031 SPP Total Costs'!D23</f>
        <v>1.0403579999999999</v>
      </c>
      <c r="E23" s="289">
        <f>'2022-2031 SPP Total Costs'!E23</f>
        <v>1.0611651599999998</v>
      </c>
      <c r="F23" s="289">
        <f>'2022-2031 SPP Total Costs'!F23</f>
        <v>1.0823884631999998</v>
      </c>
      <c r="G23" s="289">
        <f>'2022-2031 SPP Total Costs'!G23</f>
        <v>1.1040362324639998</v>
      </c>
      <c r="H23" s="289">
        <f>'2022-2031 SPP Total Costs'!H23</f>
        <v>1.1261169571132799</v>
      </c>
      <c r="I23" s="289">
        <f>'2022-2031 SPP Total Costs'!I23</f>
        <v>1.1486392962555454</v>
      </c>
      <c r="J23" s="289">
        <f>'2022-2031 SPP Total Costs'!J23</f>
        <v>1.1716120821806566</v>
      </c>
      <c r="K23" s="289">
        <f>'2022-2031 SPP Total Costs'!K23</f>
        <v>1.1950443238242696</v>
      </c>
      <c r="L23" s="290">
        <f>'2022-2031 SPP Total Costs'!L23</f>
        <v>1.218945210300755</v>
      </c>
      <c r="M23" s="39">
        <f t="shared" si="0"/>
        <v>11.168305725338506</v>
      </c>
      <c r="P23" s="262">
        <v>1020000</v>
      </c>
      <c r="Q23" s="262">
        <v>1040357.9999999999</v>
      </c>
      <c r="R23" s="262">
        <v>1061165.1599999999</v>
      </c>
      <c r="S23" s="262">
        <v>1082388.4631999999</v>
      </c>
      <c r="T23" s="262">
        <v>1104036.2324639999</v>
      </c>
      <c r="U23" s="262">
        <v>1126116.95711328</v>
      </c>
      <c r="V23" s="262">
        <v>1148639.2962555455</v>
      </c>
      <c r="W23" s="262">
        <v>1171612.0821806565</v>
      </c>
      <c r="X23" s="262">
        <v>1195044.3238242697</v>
      </c>
      <c r="Y23" s="262">
        <v>1218945.210300755</v>
      </c>
    </row>
    <row r="24" spans="2:25" ht="16.5" customHeight="1" x14ac:dyDescent="0.3">
      <c r="B24" s="278" t="s">
        <v>18</v>
      </c>
      <c r="C24" s="288">
        <f>'2022-2031 SPP Total Costs'!C24</f>
        <v>0.58298500000000009</v>
      </c>
      <c r="D24" s="289">
        <f>'2022-2031 SPP Total Costs'!D24</f>
        <v>0.54364410000000007</v>
      </c>
      <c r="E24" s="289">
        <f>'2022-2031 SPP Total Costs'!E24</f>
        <v>0.55451698199999999</v>
      </c>
      <c r="F24" s="289">
        <f>'2022-2031 SPP Total Costs'!F24</f>
        <v>0.56560732164000005</v>
      </c>
      <c r="G24" s="289">
        <f>'2022-2031 SPP Total Costs'!G24</f>
        <v>0.57691946807280003</v>
      </c>
      <c r="H24" s="289">
        <f>'2022-2031 SPP Total Costs'!H24</f>
        <v>0.58845785743425605</v>
      </c>
      <c r="I24" s="289">
        <f>'2022-2031 SPP Total Costs'!I24</f>
        <v>0.60022701458294125</v>
      </c>
      <c r="J24" s="289">
        <f>'2022-2031 SPP Total Costs'!J24</f>
        <v>0.61223155487460013</v>
      </c>
      <c r="K24" s="289">
        <f>'2022-2031 SPP Total Costs'!K24</f>
        <v>0.62447618597209209</v>
      </c>
      <c r="L24" s="290">
        <f>'2022-2031 SPP Total Costs'!L24</f>
        <v>0.63696570969153399</v>
      </c>
      <c r="M24" s="39">
        <f t="shared" si="0"/>
        <v>5.8860311942682237</v>
      </c>
      <c r="P24" s="262">
        <v>582985.00000000012</v>
      </c>
      <c r="Q24" s="262">
        <v>543644.10000000009</v>
      </c>
      <c r="R24" s="262">
        <v>554516.98199999996</v>
      </c>
      <c r="S24" s="262">
        <v>565607.3216400001</v>
      </c>
      <c r="T24" s="262">
        <v>576919.46807280008</v>
      </c>
      <c r="U24" s="262">
        <v>588457.857434256</v>
      </c>
      <c r="V24" s="262">
        <v>600227.01458294131</v>
      </c>
      <c r="W24" s="262">
        <v>612231.55487460014</v>
      </c>
      <c r="X24" s="262">
        <v>624476.18597209209</v>
      </c>
      <c r="Y24" s="262">
        <v>636965.70969153394</v>
      </c>
    </row>
    <row r="25" spans="2:25" ht="16.5" customHeight="1" x14ac:dyDescent="0.3">
      <c r="B25" s="278" t="s">
        <v>19</v>
      </c>
      <c r="C25" s="288">
        <f>'2022-2031 SPP Total Costs'!C25</f>
        <v>0.92430000000000001</v>
      </c>
      <c r="D25" s="289">
        <f>'2022-2031 SPP Total Costs'!D25</f>
        <v>0.86629999999999996</v>
      </c>
      <c r="E25" s="289">
        <f>'2022-2031 SPP Total Costs'!E25</f>
        <v>0.88362600000000002</v>
      </c>
      <c r="F25" s="289">
        <f>'2022-2031 SPP Total Costs'!F25</f>
        <v>0.90129851999999999</v>
      </c>
      <c r="G25" s="289">
        <f>'2022-2031 SPP Total Costs'!G25</f>
        <v>0.91932449039999997</v>
      </c>
      <c r="H25" s="289">
        <f>'2022-2031 SPP Total Costs'!H25</f>
        <v>0.93771098020800003</v>
      </c>
      <c r="I25" s="289">
        <f>'2022-2031 SPP Total Costs'!I25</f>
        <v>0.95646519981216016</v>
      </c>
      <c r="J25" s="289">
        <f>'2022-2031 SPP Total Costs'!J25</f>
        <v>0.97559450380840329</v>
      </c>
      <c r="K25" s="289">
        <f>'2022-2031 SPP Total Costs'!K25</f>
        <v>0.99510639388457134</v>
      </c>
      <c r="L25" s="290">
        <f>'2022-2031 SPP Total Costs'!L25</f>
        <v>1.0150085217622629</v>
      </c>
      <c r="M25" s="39">
        <f t="shared" si="0"/>
        <v>9.3747346098753983</v>
      </c>
      <c r="P25" s="262">
        <v>924300</v>
      </c>
      <c r="Q25" s="262">
        <v>866300</v>
      </c>
      <c r="R25" s="262">
        <v>883626</v>
      </c>
      <c r="S25" s="262">
        <v>901298.52</v>
      </c>
      <c r="T25" s="262">
        <v>919324.49040000001</v>
      </c>
      <c r="U25" s="262">
        <v>937710.98020800005</v>
      </c>
      <c r="V25" s="262">
        <v>956465.19981216011</v>
      </c>
      <c r="W25" s="262">
        <v>975594.50380840327</v>
      </c>
      <c r="X25" s="262">
        <v>995106.39388457139</v>
      </c>
      <c r="Y25" s="262">
        <v>1015008.5217622629</v>
      </c>
    </row>
    <row r="26" spans="2:25" ht="16.5" customHeight="1" x14ac:dyDescent="0.3">
      <c r="B26" s="278" t="s">
        <v>20</v>
      </c>
      <c r="C26" s="288">
        <f>'2022-2031 SPP Total Costs'!C26</f>
        <v>0.28611000000000003</v>
      </c>
      <c r="D26" s="289">
        <f>'2022-2031 SPP Total Costs'!D26</f>
        <v>0.2918322000000001</v>
      </c>
      <c r="E26" s="289">
        <f>'2022-2031 SPP Total Costs'!E26</f>
        <v>0.29766884400000004</v>
      </c>
      <c r="F26" s="289">
        <f>'2022-2031 SPP Total Costs'!F26</f>
        <v>0.30362222088000007</v>
      </c>
      <c r="G26" s="289">
        <f>'2022-2031 SPP Total Costs'!G26</f>
        <v>0.30969466529760009</v>
      </c>
      <c r="H26" s="289">
        <f>'2022-2031 SPP Total Costs'!H26</f>
        <v>0.31588855860355214</v>
      </c>
      <c r="I26" s="289">
        <f>'2022-2031 SPP Total Costs'!I26</f>
        <v>0.32220632977562313</v>
      </c>
      <c r="J26" s="289">
        <f>'2022-2031 SPP Total Costs'!J26</f>
        <v>0.3286504563711356</v>
      </c>
      <c r="K26" s="289">
        <f>'2022-2031 SPP Total Costs'!K26</f>
        <v>0.34</v>
      </c>
      <c r="L26" s="290">
        <f>'2022-2031 SPP Total Costs'!L26</f>
        <v>0.34</v>
      </c>
      <c r="M26" s="39">
        <f t="shared" si="0"/>
        <v>3.1356732749279108</v>
      </c>
      <c r="P26" s="262">
        <v>286110.00000000006</v>
      </c>
      <c r="Q26" s="262">
        <v>291832.20000000007</v>
      </c>
      <c r="R26" s="262">
        <v>297668.84400000004</v>
      </c>
      <c r="S26" s="262">
        <v>303622.2208800001</v>
      </c>
      <c r="T26" s="262">
        <v>309694.66529760009</v>
      </c>
      <c r="U26" s="262">
        <v>315888.55860355211</v>
      </c>
      <c r="V26" s="262">
        <v>322206.32977562316</v>
      </c>
      <c r="W26" s="262">
        <v>328650.4563711356</v>
      </c>
      <c r="X26" s="262">
        <v>340000</v>
      </c>
      <c r="Y26" s="262">
        <v>340000</v>
      </c>
    </row>
    <row r="27" spans="2:25" ht="16.5" customHeight="1" thickBot="1" x14ac:dyDescent="0.35">
      <c r="B27" s="291" t="s">
        <v>11</v>
      </c>
      <c r="C27" s="298">
        <f>'2022-2031 SPP Total Costs'!C27</f>
        <v>0.8094071409200575</v>
      </c>
      <c r="D27" s="299">
        <f>'2022-2031 SPP Total Costs'!D27</f>
        <v>0.83385123657584037</v>
      </c>
      <c r="E27" s="299">
        <f>'2022-2031 SPP Total Costs'!E27</f>
        <v>0.8590335439204313</v>
      </c>
      <c r="F27" s="299">
        <f>'2022-2031 SPP Total Costs'!F27</f>
        <v>0.88497635694682941</v>
      </c>
      <c r="G27" s="299">
        <f>'2022-2031 SPP Total Costs'!G27</f>
        <v>0.58532291741246401</v>
      </c>
      <c r="H27" s="299">
        <f>'2022-2031 SPP Total Costs'!H27</f>
        <v>0.59702937576071313</v>
      </c>
      <c r="I27" s="299">
        <f>'2022-2031 SPP Total Costs'!I27</f>
        <v>0.60896996327592745</v>
      </c>
      <c r="J27" s="299">
        <f>'2022-2031 SPP Total Costs'!J27</f>
        <v>0.62114936254144604</v>
      </c>
      <c r="K27" s="299">
        <f>'2022-2031 SPP Total Costs'!K27</f>
        <v>0.71</v>
      </c>
      <c r="L27" s="300">
        <f>'2022-2031 SPP Total Costs'!L27</f>
        <v>0.72</v>
      </c>
      <c r="M27" s="171">
        <f t="shared" si="0"/>
        <v>7.229739897353709</v>
      </c>
      <c r="P27" s="262">
        <v>809407.14092005754</v>
      </c>
      <c r="Q27" s="262">
        <v>833851.23657584039</v>
      </c>
      <c r="R27" s="262">
        <v>859033.54392043129</v>
      </c>
      <c r="S27" s="262">
        <v>884976.35694682936</v>
      </c>
      <c r="T27" s="262">
        <v>585322.91741246404</v>
      </c>
      <c r="U27" s="262">
        <v>597029.37576071313</v>
      </c>
      <c r="V27" s="262">
        <v>608969.96327592747</v>
      </c>
      <c r="W27" s="262">
        <v>621149.362541446</v>
      </c>
      <c r="X27" s="262">
        <v>710000</v>
      </c>
      <c r="Y27" s="262">
        <v>720000</v>
      </c>
    </row>
    <row r="29" spans="2:25" x14ac:dyDescent="0.25">
      <c r="F29" s="12">
        <f>F23+F24</f>
        <v>1.64799578484</v>
      </c>
      <c r="G29" s="12">
        <f t="shared" ref="G29:L29" si="1">G23+G24</f>
        <v>1.6809557005367999</v>
      </c>
      <c r="H29" s="12">
        <f t="shared" si="1"/>
        <v>1.7145748145475359</v>
      </c>
      <c r="I29" s="12">
        <f t="shared" si="1"/>
        <v>1.7488663108384865</v>
      </c>
      <c r="J29" s="12">
        <f t="shared" si="1"/>
        <v>1.7838436370552566</v>
      </c>
      <c r="K29" s="12">
        <f t="shared" si="1"/>
        <v>1.8195205097963618</v>
      </c>
      <c r="L29" s="12">
        <f t="shared" si="1"/>
        <v>1.855910919992289</v>
      </c>
    </row>
  </sheetData>
  <mergeCells count="1">
    <mergeCell ref="B2:M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9373104615C247AFF48713E375DF27" ma:contentTypeVersion="" ma:contentTypeDescription="Create a new document." ma:contentTypeScope="" ma:versionID="1244c592a2278da205aca27ee5b30567">
  <xsd:schema xmlns:xsd="http://www.w3.org/2001/XMLSchema" xmlns:xs="http://www.w3.org/2001/XMLSchema" xmlns:p="http://schemas.microsoft.com/office/2006/metadata/properties" xmlns:ns2="498A4116-DAB2-4DDA-BB26-DD553F2F4635" xmlns:ns3="498a4116-dab2-4dda-bb26-dd553f2f4635" targetNamespace="http://schemas.microsoft.com/office/2006/metadata/properties" ma:root="true" ma:fieldsID="49b66264fa28609b3f76a0626e9c6e26" ns2:_="" ns3:_="">
    <xsd:import namespace="498A4116-DAB2-4DDA-BB26-DD553F2F4635"/>
    <xsd:import namespace="498a4116-dab2-4dda-bb26-dd553f2f4635"/>
    <xsd:element name="properties">
      <xsd:complexType>
        <xsd:sequence>
          <xsd:element name="documentManagement">
            <xsd:complexType>
              <xsd:all>
                <xsd:element ref="ns2:Comments" minOccurs="0"/>
                <xsd:element ref="ns3:CaseCompanyName" minOccurs="0"/>
                <xsd:element ref="ns3:CaseJurisdiction" minOccurs="0"/>
                <xsd:element ref="ns3:CaseType" minOccurs="0"/>
                <xsd:element ref="ns3:CasePracticeArea" minOccurs="0"/>
                <xsd:element ref="ns3:CaseStatus" minOccurs="0"/>
                <xsd:element ref="ns3:CaseNumber" minOccurs="0"/>
                <xsd:element ref="ns3:IsKeyDocket" minOccurs="0"/>
                <xsd:element ref="ns3:CaseSubjects" minOccurs="0"/>
                <xsd:element ref="ns3:SRCH_DocketId" minOccurs="0"/>
                <xsd:element ref="ns3:SRCH_Objec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8A4116-DAB2-4DDA-BB26-DD553F2F4635"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8a4116-dab2-4dda-bb26-dd553f2f4635" elementFormDefault="qualified">
    <xsd:import namespace="http://schemas.microsoft.com/office/2006/documentManagement/types"/>
    <xsd:import namespace="http://schemas.microsoft.com/office/infopath/2007/PartnerControls"/>
    <xsd:element name="CaseCompanyName" ma:index="9" nillable="true" ma:displayName="Company Name" ma:internalName="CaseCompanyName">
      <xsd:simpleType>
        <xsd:restriction base="dms:Text"/>
      </xsd:simpleType>
    </xsd:element>
    <xsd:element name="CaseJurisdiction" ma:index="10" nillable="true" ma:displayName="Jurisdiction" ma:internalName="CaseJurisdiction">
      <xsd:simpleType>
        <xsd:restriction base="dms:Text"/>
      </xsd:simpleType>
    </xsd:element>
    <xsd:element name="CaseType" ma:index="11" nillable="true" ma:displayName="Case Type" ma:internalName="CaseType">
      <xsd:simpleType>
        <xsd:restriction base="dms:Text"/>
      </xsd:simpleType>
    </xsd:element>
    <xsd:element name="CasePracticeArea" ma:index="12" nillable="true" ma:displayName="Practie Area" ma:internalName="CasePracticeArea">
      <xsd:simpleType>
        <xsd:restriction base="dms:Text"/>
      </xsd:simpleType>
    </xsd:element>
    <xsd:element name="CaseStatus" ma:index="13" nillable="true" ma:displayName="Case Status" ma:internalName="CaseStatus">
      <xsd:simpleType>
        <xsd:restriction base="dms:Text"/>
      </xsd:simpleType>
    </xsd:element>
    <xsd:element name="CaseNumber" ma:index="14" nillable="true" ma:displayName="Case Number" ma:internalName="CaseNumber">
      <xsd:simpleType>
        <xsd:restriction base="dms:Text">
          <xsd:maxLength value="255"/>
        </xsd:restriction>
      </xsd:simpleType>
    </xsd:element>
    <xsd:element name="IsKeyDocket" ma:index="15" nillable="true" ma:displayName="Key Docket" ma:default="0" ma:internalName="IsKeyDocket">
      <xsd:simpleType>
        <xsd:restriction base="dms:Boolean"/>
      </xsd:simpleType>
    </xsd:element>
    <xsd:element name="CaseSubjects" ma:index="16" nillable="true" ma:displayName="Subjects" ma:internalName="CaseSubjects">
      <xsd:simpleType>
        <xsd:restriction base="dms:Note">
          <xsd:maxLength value="255"/>
        </xsd:restriction>
      </xsd:simpleType>
    </xsd:element>
    <xsd:element name="SRCH_DocketId" ma:index="17" nillable="true" ma:displayName="Search DocketId" ma:internalName="SRCH_DocketId">
      <xsd:simpleType>
        <xsd:restriction base="dms:Number"/>
      </xsd:simpleType>
    </xsd:element>
    <xsd:element name="SRCH_ObjectType" ma:index="18" nillable="true" ma:displayName="Search ObjectType" ma:internalName="SRCH_ObjectTyp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RCH_DocketId xmlns="498a4116-dab2-4dda-bb26-dd553f2f4635">1310</SRCH_DocketId>
    <SRCH_ObjectType xmlns="498a4116-dab2-4dda-bb26-dd553f2f4635">PWD</SRCH_ObjectType>
    <CasePracticeArea xmlns="498a4116-dab2-4dda-bb26-dd553f2f4635" xsi:nil="true"/>
    <CaseType xmlns="498a4116-dab2-4dda-bb26-dd553f2f4635" xsi:nil="true"/>
    <CaseCompanyName xmlns="498a4116-dab2-4dda-bb26-dd553f2f4635" xsi:nil="true"/>
    <Comments xmlns="498A4116-DAB2-4DDA-BB26-DD553F2F4635" xsi:nil="true"/>
    <CaseStatus xmlns="498a4116-dab2-4dda-bb26-dd553f2f4635" xsi:nil="true"/>
    <CaseNumber xmlns="498a4116-dab2-4dda-bb26-dd553f2f4635" xsi:nil="true"/>
    <IsKeyDocket xmlns="498a4116-dab2-4dda-bb26-dd553f2f4635">false</IsKeyDocket>
    <CaseSubjects xmlns="498a4116-dab2-4dda-bb26-dd553f2f4635" xsi:nil="true"/>
    <CaseJurisdiction xmlns="498a4116-dab2-4dda-bb26-dd553f2f4635" xsi:nil="true"/>
  </documentManagement>
</p:properties>
</file>

<file path=customXml/itemProps1.xml><?xml version="1.0" encoding="utf-8"?>
<ds:datastoreItem xmlns:ds="http://schemas.openxmlformats.org/officeDocument/2006/customXml" ds:itemID="{6CF384DF-21E8-444D-AD57-9CABE11C76F4}"/>
</file>

<file path=customXml/itemProps2.xml><?xml version="1.0" encoding="utf-8"?>
<ds:datastoreItem xmlns:ds="http://schemas.openxmlformats.org/officeDocument/2006/customXml" ds:itemID="{7F20AC81-54C1-40DB-9271-6A1F6E0A92E0}"/>
</file>

<file path=customXml/itemProps3.xml><?xml version="1.0" encoding="utf-8"?>
<ds:datastoreItem xmlns:ds="http://schemas.openxmlformats.org/officeDocument/2006/customXml" ds:itemID="{1E67F44D-6773-4463-BCC1-7CD93602E8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2020-2029 SPP Total Costs</vt:lpstr>
      <vt:lpstr>2022-2031 SPP Total Costs</vt:lpstr>
      <vt:lpstr>2022-2031 SPP Total RR</vt:lpstr>
      <vt:lpstr>SPP Projection Summary</vt:lpstr>
      <vt:lpstr>Summary Data</vt:lpstr>
      <vt:lpstr>SL-1 RevReqby Year</vt:lpstr>
      <vt:lpstr>SL-2 RateImpacts</vt:lpstr>
      <vt:lpstr>SL-3 SPP Total RR</vt:lpstr>
      <vt:lpstr>SL SPP Total Costs</vt:lpstr>
      <vt:lpstr>Rate% calc sheet</vt:lpstr>
      <vt:lpstr>DPL-1 LUG 22-24</vt:lpstr>
      <vt:lpstr>DPL-2 TransAccess B&amp;C</vt:lpstr>
      <vt:lpstr>DPL-3 TransAccess 22-24</vt:lpstr>
      <vt:lpstr>DPL-4 TransAccess-Combine </vt:lpstr>
      <vt:lpstr>DPL-5 TransAsset 22-24</vt:lpstr>
      <vt:lpstr>DPL-6 Dist OFH 22-24</vt:lpstr>
      <vt:lpstr>DPL-7 Infra inspect</vt:lpstr>
      <vt:lpstr>DPL-8 Infra inspect Cost</vt:lpstr>
      <vt:lpstr>DPL- 9 Legacy Prgm cost 22-242</vt:lpstr>
      <vt:lpstr>DPL-10 SPP BC Summary </vt:lpstr>
      <vt:lpstr>DPL-11 LUG Appendix</vt:lpstr>
      <vt:lpstr>DPL-12 Trans Asset Appendix</vt:lpstr>
      <vt:lpstr>DPL-13 Dist OFH Appendix</vt:lpstr>
      <vt:lpstr>DPL-14 SUB 22-24</vt:lpstr>
      <vt:lpstr>DPI-3 Rule Adherance</vt:lpstr>
      <vt:lpstr>DPI-5 Named Storms</vt:lpstr>
      <vt:lpstr>DPI-6 Loading Map</vt:lpstr>
      <vt:lpstr>DPI-7 Hurricane Coastline</vt:lpstr>
      <vt:lpstr>DPI-8 OH-vs-Reliability Chart</vt:lpstr>
      <vt:lpstr>DPI-10 Supp VM Data</vt:lpstr>
      <vt:lpstr>DPI-11 Supp VM Costs</vt:lpstr>
      <vt:lpstr>DPI-12 Mid-cycle VM Data</vt:lpstr>
      <vt:lpstr>DPI-13 Mid-cycle VM Costs</vt:lpstr>
      <vt:lpstr>DPI-14 69KV Proj Scope VM</vt:lpstr>
      <vt:lpstr>DPI-16 Substation 22-24</vt:lpstr>
      <vt:lpstr>DPI-18 Access Road Costs</vt:lpstr>
      <vt:lpstr>DPI-19 Access Bridge Costs</vt:lpstr>
      <vt:lpstr>DPI-24 SPP Total Costs</vt:lpstr>
      <vt:lpstr>DPI-33 VM Summary</vt:lpstr>
      <vt:lpstr>DPI-32 Trans Access Appendix</vt:lpstr>
      <vt:lpstr>VM SPP-TOTAL</vt:lpstr>
      <vt:lpstr>TECO Facts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2022-04-08T17:23:15Z</dcterms:created>
  <dcterms:modified xsi:type="dcterms:W3CDTF">2022-04-08T17:23:18Z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3f872e-d8d7-43ac-9961-0f2ad31e50e5_Enabled">
    <vt:lpwstr>true</vt:lpwstr>
  </property>
  <property fmtid="{D5CDD505-2E9C-101B-9397-08002B2CF9AE}" pid="3" name="MSIP_Label_a83f872e-d8d7-43ac-9961-0f2ad31e50e5_SetDate">
    <vt:lpwstr>2022-04-08T17:23:16Z</vt:lpwstr>
  </property>
  <property fmtid="{D5CDD505-2E9C-101B-9397-08002B2CF9AE}" pid="4" name="MSIP_Label_a83f872e-d8d7-43ac-9961-0f2ad31e50e5_Method">
    <vt:lpwstr>Standard</vt:lpwstr>
  </property>
  <property fmtid="{D5CDD505-2E9C-101B-9397-08002B2CF9AE}" pid="5" name="MSIP_Label_a83f872e-d8d7-43ac-9961-0f2ad31e50e5_Name">
    <vt:lpwstr>a83f872e-d8d7-43ac-9961-0f2ad31e50e5</vt:lpwstr>
  </property>
  <property fmtid="{D5CDD505-2E9C-101B-9397-08002B2CF9AE}" pid="6" name="MSIP_Label_a83f872e-d8d7-43ac-9961-0f2ad31e50e5_SiteId">
    <vt:lpwstr>fa8c194a-f8e2-43c5-bc39-b637579e39e0</vt:lpwstr>
  </property>
  <property fmtid="{D5CDD505-2E9C-101B-9397-08002B2CF9AE}" pid="7" name="MSIP_Label_a83f872e-d8d7-43ac-9961-0f2ad31e50e5_ActionId">
    <vt:lpwstr>3be6bf89-9025-4344-819e-385897e36f4f</vt:lpwstr>
  </property>
  <property fmtid="{D5CDD505-2E9C-101B-9397-08002B2CF9AE}" pid="8" name="MSIP_Label_a83f872e-d8d7-43ac-9961-0f2ad31e50e5_ContentBits">
    <vt:lpwstr>0</vt:lpwstr>
  </property>
  <property fmtid="{D5CDD505-2E9C-101B-9397-08002B2CF9AE}" pid="9" name="ContentTypeId">
    <vt:lpwstr>0x010100FC9373104615C247AFF48713E375DF27</vt:lpwstr>
  </property>
</Properties>
</file>