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7725" windowWidth="6360" windowHeight="3900"/>
  </bookViews>
  <sheets>
    <sheet name="2010 Ms" sheetId="1" r:id="rId1"/>
    <sheet name="Pension" sheetId="2" r:id="rId2"/>
    <sheet name="OPRB" sheetId="3" r:id="rId3"/>
  </sheets>
  <calcPr calcId="125725" calcOnSave="0"/>
</workbook>
</file>

<file path=xl/calcChain.xml><?xml version="1.0" encoding="utf-8"?>
<calcChain xmlns="http://schemas.openxmlformats.org/spreadsheetml/2006/main">
  <c r="BQ115" i="1"/>
  <c r="BR120"/>
  <c r="BQ110"/>
  <c r="BR117"/>
  <c r="BR115"/>
  <c r="BR114"/>
  <c r="BR113"/>
  <c r="BQ220" l="1"/>
  <c r="BQ211"/>
  <c r="BU138" l="1"/>
  <c r="BU137"/>
  <c r="BU131"/>
  <c r="BU132"/>
  <c r="BU133"/>
  <c r="BU134"/>
  <c r="BU135"/>
  <c r="BU136"/>
  <c r="BU130"/>
  <c r="BT90"/>
  <c r="BU100"/>
  <c r="BU106"/>
  <c r="H50" i="3" l="1"/>
  <c r="F50"/>
  <c r="H51" s="1"/>
  <c r="L26"/>
  <c r="G19"/>
  <c r="F16"/>
  <c r="F19" s="1"/>
  <c r="L13"/>
  <c r="L19" s="1"/>
  <c r="K11"/>
  <c r="K16" s="1"/>
  <c r="F11"/>
  <c r="G37" i="2"/>
  <c r="H42" s="1"/>
  <c r="H44" s="1"/>
  <c r="H24"/>
  <c r="G15"/>
  <c r="H13"/>
  <c r="G11"/>
  <c r="G17" s="1"/>
  <c r="H10"/>
  <c r="H9"/>
  <c r="H11" s="1"/>
  <c r="D13" i="1"/>
  <c r="D19"/>
  <c r="D34"/>
  <c r="D44"/>
  <c r="D57"/>
  <c r="D67"/>
  <c r="D70"/>
  <c r="D72"/>
  <c r="D90"/>
  <c r="E108"/>
  <c r="BI306"/>
  <c r="BI313" s="1"/>
  <c r="BN305"/>
  <c r="BP303"/>
  <c r="BJ303"/>
  <c r="BP302"/>
  <c r="BJ302"/>
  <c r="BP301"/>
  <c r="BJ301"/>
  <c r="BP297"/>
  <c r="BJ297"/>
  <c r="BP293"/>
  <c r="BJ293"/>
  <c r="BP289"/>
  <c r="BJ289"/>
  <c r="BP285"/>
  <c r="BJ285"/>
  <c r="BJ277"/>
  <c r="BP256"/>
  <c r="BN256"/>
  <c r="BP254"/>
  <c r="BJ254"/>
  <c r="BD254"/>
  <c r="AV254"/>
  <c r="AN254"/>
  <c r="AD254"/>
  <c r="T254"/>
  <c r="H254"/>
  <c r="BP253"/>
  <c r="BJ253"/>
  <c r="BP252"/>
  <c r="BJ252"/>
  <c r="BD252"/>
  <c r="AV252"/>
  <c r="AN252"/>
  <c r="AD252"/>
  <c r="T252"/>
  <c r="H252"/>
  <c r="BP248"/>
  <c r="BJ248"/>
  <c r="BD248"/>
  <c r="AV248"/>
  <c r="AN248"/>
  <c r="AD248"/>
  <c r="T248"/>
  <c r="H248"/>
  <c r="BP244"/>
  <c r="BJ244"/>
  <c r="BD244"/>
  <c r="AV244"/>
  <c r="H244"/>
  <c r="BP240"/>
  <c r="BJ240"/>
  <c r="BD240"/>
  <c r="AV240"/>
  <c r="AN240"/>
  <c r="AD240"/>
  <c r="T240"/>
  <c r="H240"/>
  <c r="BP236"/>
  <c r="BJ236"/>
  <c r="BD236"/>
  <c r="AV236"/>
  <c r="AN236"/>
  <c r="AD236"/>
  <c r="T236"/>
  <c r="H236"/>
  <c r="H232"/>
  <c r="BI219"/>
  <c r="BD219"/>
  <c r="AV219"/>
  <c r="G219"/>
  <c r="BP217"/>
  <c r="BJ217"/>
  <c r="BD217"/>
  <c r="AV217"/>
  <c r="H217"/>
  <c r="H219" s="1"/>
  <c r="H214"/>
  <c r="BP204"/>
  <c r="BN203"/>
  <c r="BP200"/>
  <c r="BJ200"/>
  <c r="BD200"/>
  <c r="AV200"/>
  <c r="AN200"/>
  <c r="AD200"/>
  <c r="T200"/>
  <c r="H200"/>
  <c r="BP197"/>
  <c r="BJ197"/>
  <c r="BP196"/>
  <c r="BJ196"/>
  <c r="BD196"/>
  <c r="AV196"/>
  <c r="AN196"/>
  <c r="AD196"/>
  <c r="T196"/>
  <c r="H196"/>
  <c r="BP194"/>
  <c r="BJ194"/>
  <c r="BD194"/>
  <c r="AV194"/>
  <c r="AN194"/>
  <c r="AD194"/>
  <c r="T194"/>
  <c r="H194"/>
  <c r="H189"/>
  <c r="BP185"/>
  <c r="BJ185"/>
  <c r="BD185"/>
  <c r="AV185"/>
  <c r="AN185"/>
  <c r="AD185"/>
  <c r="T185"/>
  <c r="H185"/>
  <c r="BP184"/>
  <c r="BJ184"/>
  <c r="BD184"/>
  <c r="AV184"/>
  <c r="AN184"/>
  <c r="AD184"/>
  <c r="T184"/>
  <c r="H184"/>
  <c r="BP170"/>
  <c r="BJ170"/>
  <c r="BD170"/>
  <c r="AV170"/>
  <c r="H170"/>
  <c r="H169"/>
  <c r="H165"/>
  <c r="H164"/>
  <c r="BP160"/>
  <c r="BJ160"/>
  <c r="BD160"/>
  <c r="AV160"/>
  <c r="AN160"/>
  <c r="AD160"/>
  <c r="T160"/>
  <c r="H160"/>
  <c r="H157"/>
  <c r="BP150"/>
  <c r="BJ150"/>
  <c r="BD150"/>
  <c r="AV150"/>
  <c r="H150"/>
  <c r="BP148"/>
  <c r="BJ148"/>
  <c r="H148"/>
  <c r="BP145"/>
  <c r="BJ145"/>
  <c r="BD145"/>
  <c r="AV145"/>
  <c r="AN145"/>
  <c r="AD145"/>
  <c r="T145"/>
  <c r="H145"/>
  <c r="BN137"/>
  <c r="BP136"/>
  <c r="BP134"/>
  <c r="BP132"/>
  <c r="BP131"/>
  <c r="BJ131"/>
  <c r="BP130"/>
  <c r="BJ130"/>
  <c r="BD130"/>
  <c r="AV130"/>
  <c r="AN130"/>
  <c r="AD130"/>
  <c r="T130"/>
  <c r="H130"/>
  <c r="BC111"/>
  <c r="AU111"/>
  <c r="AI111"/>
  <c r="AM111" s="1"/>
  <c r="AN111" s="1"/>
  <c r="Y111"/>
  <c r="AC111" s="1"/>
  <c r="AD111" s="1"/>
  <c r="S111"/>
  <c r="O111"/>
  <c r="AF108"/>
  <c r="AF113" s="1"/>
  <c r="AA108"/>
  <c r="AA113" s="1"/>
  <c r="AA120" s="1"/>
  <c r="Q108"/>
  <c r="Q113" s="1"/>
  <c r="Q120" s="1"/>
  <c r="BJ106"/>
  <c r="BD106"/>
  <c r="BO105"/>
  <c r="BJ105"/>
  <c r="BD105"/>
  <c r="AV105"/>
  <c r="AN105"/>
  <c r="AD105"/>
  <c r="T105"/>
  <c r="H105"/>
  <c r="BO104"/>
  <c r="BJ104"/>
  <c r="BD104"/>
  <c r="AV104"/>
  <c r="AN104"/>
  <c r="AD104"/>
  <c r="T104"/>
  <c r="H104"/>
  <c r="BO103"/>
  <c r="BU103" s="1"/>
  <c r="BI103"/>
  <c r="BJ103" s="1"/>
  <c r="AN103"/>
  <c r="AD103"/>
  <c r="T103"/>
  <c r="H103"/>
  <c r="BO102"/>
  <c r="BU102" s="1"/>
  <c r="BI102"/>
  <c r="BJ102" s="1"/>
  <c r="AN102"/>
  <c r="AD102"/>
  <c r="T102"/>
  <c r="H102"/>
  <c r="BO101"/>
  <c r="BJ101"/>
  <c r="BD101"/>
  <c r="AV101"/>
  <c r="AN101"/>
  <c r="AD101"/>
  <c r="T101"/>
  <c r="G101"/>
  <c r="H101" s="1"/>
  <c r="BP100"/>
  <c r="BJ100"/>
  <c r="BD100"/>
  <c r="AV100"/>
  <c r="AN100"/>
  <c r="AD100"/>
  <c r="T100"/>
  <c r="H100"/>
  <c r="BO99"/>
  <c r="BJ99"/>
  <c r="BD99"/>
  <c r="AV99"/>
  <c r="AN99"/>
  <c r="AD99"/>
  <c r="T99"/>
  <c r="H99"/>
  <c r="BO98"/>
  <c r="BJ98"/>
  <c r="BD98"/>
  <c r="AV98"/>
  <c r="AN98"/>
  <c r="AD98"/>
  <c r="T98"/>
  <c r="H98"/>
  <c r="BO97"/>
  <c r="BJ97"/>
  <c r="BD97"/>
  <c r="AV97"/>
  <c r="AN97"/>
  <c r="AD97"/>
  <c r="T97"/>
  <c r="H97"/>
  <c r="BO96"/>
  <c r="BU96" s="1"/>
  <c r="BI96"/>
  <c r="AN96"/>
  <c r="AD96"/>
  <c r="T96"/>
  <c r="G96"/>
  <c r="H96" s="1"/>
  <c r="BO95"/>
  <c r="BJ95"/>
  <c r="BD95"/>
  <c r="AV95"/>
  <c r="AN95"/>
  <c r="AD95"/>
  <c r="T95"/>
  <c r="G95"/>
  <c r="H95" s="1"/>
  <c r="BO94"/>
  <c r="BU94" s="1"/>
  <c r="BI94"/>
  <c r="BJ94" s="1"/>
  <c r="BD94"/>
  <c r="AV94"/>
  <c r="AN94"/>
  <c r="AD94"/>
  <c r="T94"/>
  <c r="H94"/>
  <c r="BL93"/>
  <c r="BO93" s="1"/>
  <c r="BP93" s="1"/>
  <c r="BJ93"/>
  <c r="BD93"/>
  <c r="AV93"/>
  <c r="AN93"/>
  <c r="AD93"/>
  <c r="T93"/>
  <c r="H93"/>
  <c r="BO92"/>
  <c r="BJ92"/>
  <c r="BD92"/>
  <c r="AV92"/>
  <c r="AN92"/>
  <c r="AD92"/>
  <c r="T92"/>
  <c r="H92"/>
  <c r="BO91"/>
  <c r="BJ91"/>
  <c r="BD91"/>
  <c r="AV91"/>
  <c r="AN91"/>
  <c r="AD91"/>
  <c r="T91"/>
  <c r="H91"/>
  <c r="BL90"/>
  <c r="BO90" s="1"/>
  <c r="BI90"/>
  <c r="BH106" s="1"/>
  <c r="BC90"/>
  <c r="BB106" s="1"/>
  <c r="AU90"/>
  <c r="AT105" s="1"/>
  <c r="AM90"/>
  <c r="AL105" s="1"/>
  <c r="AI90"/>
  <c r="AH105" s="1"/>
  <c r="AC90"/>
  <c r="AB105" s="1"/>
  <c r="Y90"/>
  <c r="S90"/>
  <c r="O90"/>
  <c r="M105" s="1"/>
  <c r="BO89"/>
  <c r="BJ89"/>
  <c r="BD89"/>
  <c r="AV89"/>
  <c r="AN89"/>
  <c r="AC89"/>
  <c r="AD89" s="1"/>
  <c r="S89"/>
  <c r="T89" s="1"/>
  <c r="BO88"/>
  <c r="BU88" s="1"/>
  <c r="BJ88"/>
  <c r="BD88"/>
  <c r="AV88"/>
  <c r="AN88"/>
  <c r="AC88"/>
  <c r="AD88" s="1"/>
  <c r="S88"/>
  <c r="T88" s="1"/>
  <c r="BP87"/>
  <c r="AM87"/>
  <c r="AN87" s="1"/>
  <c r="AC87"/>
  <c r="AD87" s="1"/>
  <c r="S87"/>
  <c r="T87" s="1"/>
  <c r="BP86"/>
  <c r="AM86"/>
  <c r="AN86" s="1"/>
  <c r="AC86"/>
  <c r="AD86" s="1"/>
  <c r="S86"/>
  <c r="T86" s="1"/>
  <c r="BO85"/>
  <c r="BP85" s="1"/>
  <c r="BJ85"/>
  <c r="BD85"/>
  <c r="AM85"/>
  <c r="AN85" s="1"/>
  <c r="AC85"/>
  <c r="AD85" s="1"/>
  <c r="S85"/>
  <c r="T85" s="1"/>
  <c r="BO84"/>
  <c r="BI84"/>
  <c r="BD84"/>
  <c r="AM84"/>
  <c r="AN84" s="1"/>
  <c r="AC84"/>
  <c r="AD84" s="1"/>
  <c r="S84"/>
  <c r="T84" s="1"/>
  <c r="H84"/>
  <c r="AM83"/>
  <c r="AN83" s="1"/>
  <c r="AC83"/>
  <c r="AD83" s="1"/>
  <c r="S83"/>
  <c r="T83" s="1"/>
  <c r="H83"/>
  <c r="BO82"/>
  <c r="BP82" s="1"/>
  <c r="BJ82"/>
  <c r="BD82"/>
  <c r="AV82"/>
  <c r="AN82"/>
  <c r="AD82"/>
  <c r="T82"/>
  <c r="G82"/>
  <c r="H82" s="1"/>
  <c r="BO81"/>
  <c r="BP81" s="1"/>
  <c r="BC81"/>
  <c r="BJ81" s="1"/>
  <c r="AU81"/>
  <c r="AI81"/>
  <c r="AM81" s="1"/>
  <c r="AC81"/>
  <c r="AD81" s="1"/>
  <c r="S81"/>
  <c r="T81" s="1"/>
  <c r="H81"/>
  <c r="BO80"/>
  <c r="BI80"/>
  <c r="BC80"/>
  <c r="AU80"/>
  <c r="AI80"/>
  <c r="AM80" s="1"/>
  <c r="Y80"/>
  <c r="AC80" s="1"/>
  <c r="AD80" s="1"/>
  <c r="O80"/>
  <c r="S80" s="1"/>
  <c r="T80" s="1"/>
  <c r="G80"/>
  <c r="H80" s="1"/>
  <c r="BO79"/>
  <c r="BP79" s="1"/>
  <c r="BJ79"/>
  <c r="AM79"/>
  <c r="AN79" s="1"/>
  <c r="AC79"/>
  <c r="AD79" s="1"/>
  <c r="S79"/>
  <c r="T79" s="1"/>
  <c r="H79"/>
  <c r="BP78"/>
  <c r="BJ78"/>
  <c r="AM78"/>
  <c r="AN78" s="1"/>
  <c r="AC78"/>
  <c r="AD78" s="1"/>
  <c r="S78"/>
  <c r="T78" s="1"/>
  <c r="G78"/>
  <c r="H78" s="1"/>
  <c r="BO77"/>
  <c r="BI77"/>
  <c r="BC77"/>
  <c r="AU77"/>
  <c r="AM77"/>
  <c r="AN77" s="1"/>
  <c r="AC77"/>
  <c r="AD77" s="1"/>
  <c r="S77"/>
  <c r="T77" s="1"/>
  <c r="G77"/>
  <c r="H77" s="1"/>
  <c r="BO76"/>
  <c r="BI76"/>
  <c r="BC76"/>
  <c r="AU76"/>
  <c r="AM76"/>
  <c r="AN76" s="1"/>
  <c r="AC76"/>
  <c r="AD76" s="1"/>
  <c r="S76"/>
  <c r="T76" s="1"/>
  <c r="G76"/>
  <c r="H76" s="1"/>
  <c r="BP75"/>
  <c r="BJ75"/>
  <c r="AM75"/>
  <c r="AN75" s="1"/>
  <c r="AC75"/>
  <c r="AD75" s="1"/>
  <c r="S75"/>
  <c r="T75" s="1"/>
  <c r="G75"/>
  <c r="H75" s="1"/>
  <c r="BO74"/>
  <c r="BI74"/>
  <c r="BA74"/>
  <c r="BC74" s="1"/>
  <c r="AU74"/>
  <c r="AI74"/>
  <c r="AM74" s="1"/>
  <c r="Y74"/>
  <c r="AC74" s="1"/>
  <c r="AD74" s="1"/>
  <c r="O74"/>
  <c r="S74" s="1"/>
  <c r="T74" s="1"/>
  <c r="G74"/>
  <c r="H74" s="1"/>
  <c r="BI73"/>
  <c r="BP73" s="1"/>
  <c r="AN73"/>
  <c r="AD73"/>
  <c r="T73"/>
  <c r="H73"/>
  <c r="BP72"/>
  <c r="AM72"/>
  <c r="AN72" s="1"/>
  <c r="AC72"/>
  <c r="AD72" s="1"/>
  <c r="S72"/>
  <c r="T72" s="1"/>
  <c r="H72"/>
  <c r="BP71"/>
  <c r="AM71"/>
  <c r="AN71" s="1"/>
  <c r="AC71"/>
  <c r="AD71" s="1"/>
  <c r="S71"/>
  <c r="T71" s="1"/>
  <c r="G71"/>
  <c r="H71" s="1"/>
  <c r="BO70"/>
  <c r="BP70" s="1"/>
  <c r="AM70"/>
  <c r="AN70" s="1"/>
  <c r="AC70"/>
  <c r="AD70" s="1"/>
  <c r="S70"/>
  <c r="T70" s="1"/>
  <c r="H70"/>
  <c r="BO69"/>
  <c r="BI69"/>
  <c r="BC69"/>
  <c r="AU69"/>
  <c r="AI69"/>
  <c r="AM69" s="1"/>
  <c r="AN69" s="1"/>
  <c r="Y69"/>
  <c r="AC69" s="1"/>
  <c r="AD69" s="1"/>
  <c r="O69"/>
  <c r="S69" s="1"/>
  <c r="T69" s="1"/>
  <c r="G69"/>
  <c r="H69" s="1"/>
  <c r="BO68"/>
  <c r="BI68"/>
  <c r="BC68"/>
  <c r="AU68"/>
  <c r="AI68"/>
  <c r="AM68" s="1"/>
  <c r="AN68" s="1"/>
  <c r="Y68"/>
  <c r="AC68" s="1"/>
  <c r="AD68" s="1"/>
  <c r="O68"/>
  <c r="S68" s="1"/>
  <c r="T68" s="1"/>
  <c r="H68"/>
  <c r="BO67"/>
  <c r="BI67"/>
  <c r="BC67"/>
  <c r="AU67"/>
  <c r="AM67"/>
  <c r="AC67"/>
  <c r="AD67" s="1"/>
  <c r="S67"/>
  <c r="T67" s="1"/>
  <c r="H67"/>
  <c r="BO66"/>
  <c r="BP66" s="1"/>
  <c r="BJ66"/>
  <c r="AM66"/>
  <c r="AN66" s="1"/>
  <c r="AC66"/>
  <c r="AD66" s="1"/>
  <c r="S66"/>
  <c r="T66" s="1"/>
  <c r="H66"/>
  <c r="BO65"/>
  <c r="BP65" s="1"/>
  <c r="BJ65"/>
  <c r="AM65"/>
  <c r="AN65" s="1"/>
  <c r="AC65"/>
  <c r="AD65" s="1"/>
  <c r="S65"/>
  <c r="T65" s="1"/>
  <c r="H65"/>
  <c r="BO64"/>
  <c r="BI64"/>
  <c r="BC64"/>
  <c r="AU64"/>
  <c r="AI64"/>
  <c r="AM64" s="1"/>
  <c r="Y64"/>
  <c r="AC64" s="1"/>
  <c r="AD64" s="1"/>
  <c r="O64"/>
  <c r="S64" s="1"/>
  <c r="T64" s="1"/>
  <c r="G64"/>
  <c r="H64" s="1"/>
  <c r="BP63"/>
  <c r="BJ63"/>
  <c r="AM63"/>
  <c r="AN63" s="1"/>
  <c r="AC63"/>
  <c r="AD63" s="1"/>
  <c r="S63"/>
  <c r="T63" s="1"/>
  <c r="G63"/>
  <c r="H63" s="1"/>
  <c r="BO62"/>
  <c r="BP62" s="1"/>
  <c r="BJ62"/>
  <c r="AM62"/>
  <c r="AN62" s="1"/>
  <c r="AC62"/>
  <c r="AD62" s="1"/>
  <c r="S62"/>
  <c r="T62" s="1"/>
  <c r="H62"/>
  <c r="BO61"/>
  <c r="BI61"/>
  <c r="BJ61" s="1"/>
  <c r="AM61"/>
  <c r="AN61" s="1"/>
  <c r="AC61"/>
  <c r="AD61" s="1"/>
  <c r="S61"/>
  <c r="T61" s="1"/>
  <c r="H61"/>
  <c r="BO60"/>
  <c r="BI60"/>
  <c r="BJ60" s="1"/>
  <c r="AM60"/>
  <c r="AN60" s="1"/>
  <c r="AC60"/>
  <c r="AD60" s="1"/>
  <c r="S60"/>
  <c r="T60" s="1"/>
  <c r="H60"/>
  <c r="BO59"/>
  <c r="BP59" s="1"/>
  <c r="BJ59"/>
  <c r="AM59"/>
  <c r="AN59" s="1"/>
  <c r="AC59"/>
  <c r="AD59" s="1"/>
  <c r="S59"/>
  <c r="T59" s="1"/>
  <c r="H59"/>
  <c r="BO58"/>
  <c r="BP58" s="1"/>
  <c r="BJ58"/>
  <c r="AM58"/>
  <c r="AN58" s="1"/>
  <c r="AC58"/>
  <c r="AD58" s="1"/>
  <c r="S58"/>
  <c r="T58" s="1"/>
  <c r="H58"/>
  <c r="BO57"/>
  <c r="BP57" s="1"/>
  <c r="BJ57"/>
  <c r="AM57"/>
  <c r="AN57" s="1"/>
  <c r="AC57"/>
  <c r="AD57" s="1"/>
  <c r="S57"/>
  <c r="T57" s="1"/>
  <c r="H57"/>
  <c r="BP56"/>
  <c r="BJ56"/>
  <c r="AM56"/>
  <c r="AN56" s="1"/>
  <c r="AC56"/>
  <c r="AD56" s="1"/>
  <c r="S56"/>
  <c r="T56" s="1"/>
  <c r="G56"/>
  <c r="H56" s="1"/>
  <c r="BO55"/>
  <c r="BI55"/>
  <c r="BC55"/>
  <c r="AU55"/>
  <c r="AI55"/>
  <c r="AM55" s="1"/>
  <c r="Y55"/>
  <c r="AC55" s="1"/>
  <c r="AD55" s="1"/>
  <c r="O55"/>
  <c r="S55" s="1"/>
  <c r="T55" s="1"/>
  <c r="G55"/>
  <c r="H55" s="1"/>
  <c r="BO54"/>
  <c r="BP54" s="1"/>
  <c r="AM54"/>
  <c r="AN54" s="1"/>
  <c r="AC54"/>
  <c r="AD54" s="1"/>
  <c r="S54"/>
  <c r="T54" s="1"/>
  <c r="H54"/>
  <c r="BP53"/>
  <c r="AM53"/>
  <c r="AN53" s="1"/>
  <c r="AC53"/>
  <c r="AD53" s="1"/>
  <c r="S53"/>
  <c r="T53" s="1"/>
  <c r="H53"/>
  <c r="BO52"/>
  <c r="BI52"/>
  <c r="BC52"/>
  <c r="AU52"/>
  <c r="AI52"/>
  <c r="AM52" s="1"/>
  <c r="AN52" s="1"/>
  <c r="Y52"/>
  <c r="AC52" s="1"/>
  <c r="AD52" s="1"/>
  <c r="O52"/>
  <c r="S52" s="1"/>
  <c r="T52" s="1"/>
  <c r="G52"/>
  <c r="H52" s="1"/>
  <c r="BO51"/>
  <c r="BI51"/>
  <c r="AM51"/>
  <c r="AU51" s="1"/>
  <c r="AC51"/>
  <c r="Y51"/>
  <c r="S51"/>
  <c r="T51" s="1"/>
  <c r="H51"/>
  <c r="BO50"/>
  <c r="BI50"/>
  <c r="BJ50" s="1"/>
  <c r="AM50"/>
  <c r="AI50"/>
  <c r="AC50"/>
  <c r="Y50"/>
  <c r="S50"/>
  <c r="O50"/>
  <c r="G50"/>
  <c r="H50" s="1"/>
  <c r="BO49"/>
  <c r="BI49"/>
  <c r="BC49"/>
  <c r="AU49"/>
  <c r="AI49"/>
  <c r="AM49" s="1"/>
  <c r="Y49"/>
  <c r="AC49" s="1"/>
  <c r="AD49" s="1"/>
  <c r="S49"/>
  <c r="T49" s="1"/>
  <c r="H49"/>
  <c r="BO48"/>
  <c r="BI48"/>
  <c r="BJ48" s="1"/>
  <c r="AM48"/>
  <c r="AN48" s="1"/>
  <c r="AC48"/>
  <c r="AD48" s="1"/>
  <c r="S48"/>
  <c r="T48" s="1"/>
  <c r="G48"/>
  <c r="H48" s="1"/>
  <c r="BO47"/>
  <c r="BI47"/>
  <c r="BC47"/>
  <c r="AU47"/>
  <c r="AI47"/>
  <c r="AM47" s="1"/>
  <c r="AC47"/>
  <c r="Y47"/>
  <c r="S47"/>
  <c r="O47"/>
  <c r="H47"/>
  <c r="BO46"/>
  <c r="BI46"/>
  <c r="BC46"/>
  <c r="AU46"/>
  <c r="AI46"/>
  <c r="AM46" s="1"/>
  <c r="AN46" s="1"/>
  <c r="Y46"/>
  <c r="AC46" s="1"/>
  <c r="AD46" s="1"/>
  <c r="O46"/>
  <c r="S46" s="1"/>
  <c r="T46" s="1"/>
  <c r="G46"/>
  <c r="H46" s="1"/>
  <c r="BO45"/>
  <c r="BI45"/>
  <c r="BJ45" s="1"/>
  <c r="BD45"/>
  <c r="AM45"/>
  <c r="AV45" s="1"/>
  <c r="AC45"/>
  <c r="AD45" s="1"/>
  <c r="S45"/>
  <c r="O45"/>
  <c r="G45"/>
  <c r="H45" s="1"/>
  <c r="BO44"/>
  <c r="BI44"/>
  <c r="BA44"/>
  <c r="BC44" s="1"/>
  <c r="AS44"/>
  <c r="AU44" s="1"/>
  <c r="AI44"/>
  <c r="AM44" s="1"/>
  <c r="AN44" s="1"/>
  <c r="Y44"/>
  <c r="AC44" s="1"/>
  <c r="AD44" s="1"/>
  <c r="O44"/>
  <c r="S44" s="1"/>
  <c r="T44" s="1"/>
  <c r="G44"/>
  <c r="H44" s="1"/>
  <c r="BO43"/>
  <c r="BP43" s="1"/>
  <c r="AM43"/>
  <c r="AN43" s="1"/>
  <c r="AC43"/>
  <c r="AD43" s="1"/>
  <c r="S43"/>
  <c r="T43" s="1"/>
  <c r="G43"/>
  <c r="H43" s="1"/>
  <c r="BO42"/>
  <c r="BI42"/>
  <c r="BC42"/>
  <c r="AU42"/>
  <c r="AV42" s="1"/>
  <c r="BO41"/>
  <c r="BI41"/>
  <c r="BC41"/>
  <c r="AU41"/>
  <c r="AI41"/>
  <c r="AM41" s="1"/>
  <c r="Y41"/>
  <c r="AC41" s="1"/>
  <c r="AD41" s="1"/>
  <c r="O41"/>
  <c r="S41" s="1"/>
  <c r="T41" s="1"/>
  <c r="G41"/>
  <c r="H41" s="1"/>
  <c r="BI40"/>
  <c r="BL40" s="1"/>
  <c r="BC40"/>
  <c r="AU40"/>
  <c r="AM40"/>
  <c r="AI40"/>
  <c r="AC40"/>
  <c r="Y40"/>
  <c r="S40"/>
  <c r="O40"/>
  <c r="G40"/>
  <c r="H40" s="1"/>
  <c r="BO39"/>
  <c r="BI39"/>
  <c r="BA39"/>
  <c r="BC39" s="1"/>
  <c r="AU39"/>
  <c r="AI39"/>
  <c r="AM39" s="1"/>
  <c r="Y39"/>
  <c r="AC39" s="1"/>
  <c r="AD39" s="1"/>
  <c r="O39"/>
  <c r="S39" s="1"/>
  <c r="T39" s="1"/>
  <c r="G39"/>
  <c r="H39" s="1"/>
  <c r="BP38"/>
  <c r="AM38"/>
  <c r="AN38" s="1"/>
  <c r="AC38"/>
  <c r="AD38" s="1"/>
  <c r="S38"/>
  <c r="T38" s="1"/>
  <c r="G38"/>
  <c r="H38" s="1"/>
  <c r="BO37"/>
  <c r="BI37"/>
  <c r="BA37"/>
  <c r="BC37" s="1"/>
  <c r="AU37"/>
  <c r="AM37"/>
  <c r="AI37"/>
  <c r="AC37"/>
  <c r="Y37"/>
  <c r="S37"/>
  <c r="O37"/>
  <c r="G37"/>
  <c r="H37" s="1"/>
  <c r="BP36"/>
  <c r="AM36"/>
  <c r="AN36" s="1"/>
  <c r="AC36"/>
  <c r="AD36" s="1"/>
  <c r="S36"/>
  <c r="T36" s="1"/>
  <c r="G36"/>
  <c r="H36" s="1"/>
  <c r="BP35"/>
  <c r="AM35"/>
  <c r="AN35" s="1"/>
  <c r="AC35"/>
  <c r="AD35" s="1"/>
  <c r="S35"/>
  <c r="T35" s="1"/>
  <c r="G35"/>
  <c r="H35" s="1"/>
  <c r="BO34"/>
  <c r="BP34" s="1"/>
  <c r="AM34"/>
  <c r="AN34" s="1"/>
  <c r="AC34"/>
  <c r="AD34" s="1"/>
  <c r="S34"/>
  <c r="T34" s="1"/>
  <c r="H34"/>
  <c r="BO33"/>
  <c r="BI33"/>
  <c r="BC33"/>
  <c r="AU33"/>
  <c r="AI33"/>
  <c r="AM33" s="1"/>
  <c r="AN33" s="1"/>
  <c r="Y33"/>
  <c r="AC33" s="1"/>
  <c r="AD33" s="1"/>
  <c r="O33"/>
  <c r="S33" s="1"/>
  <c r="T33" s="1"/>
  <c r="G33"/>
  <c r="H33" s="1"/>
  <c r="BO32"/>
  <c r="BI32"/>
  <c r="BA32"/>
  <c r="BC32" s="1"/>
  <c r="AU32"/>
  <c r="AI32"/>
  <c r="AM32" s="1"/>
  <c r="Y32"/>
  <c r="AC32" s="1"/>
  <c r="AD32" s="1"/>
  <c r="O32"/>
  <c r="S32" s="1"/>
  <c r="T32" s="1"/>
  <c r="G32"/>
  <c r="H32" s="1"/>
  <c r="BO31"/>
  <c r="BI31"/>
  <c r="BA31"/>
  <c r="BC31" s="1"/>
  <c r="AU31"/>
  <c r="AM31"/>
  <c r="AI31"/>
  <c r="AC31"/>
  <c r="Y31"/>
  <c r="S31"/>
  <c r="O31"/>
  <c r="G31"/>
  <c r="H31" s="1"/>
  <c r="BO30"/>
  <c r="BI30"/>
  <c r="BA30"/>
  <c r="BC30" s="1"/>
  <c r="AU30"/>
  <c r="AM30"/>
  <c r="AI30"/>
  <c r="AC30"/>
  <c r="Y30"/>
  <c r="S30"/>
  <c r="O30"/>
  <c r="G30"/>
  <c r="H30" s="1"/>
  <c r="BO29"/>
  <c r="BI29"/>
  <c r="BC29"/>
  <c r="AU29"/>
  <c r="AI29"/>
  <c r="AM29" s="1"/>
  <c r="AN29" s="1"/>
  <c r="Y29"/>
  <c r="AC29" s="1"/>
  <c r="AD29" s="1"/>
  <c r="O29"/>
  <c r="S29" s="1"/>
  <c r="T29" s="1"/>
  <c r="G29"/>
  <c r="H29" s="1"/>
  <c r="BO28"/>
  <c r="BI28"/>
  <c r="BC28"/>
  <c r="AU28"/>
  <c r="AI28"/>
  <c r="AM28" s="1"/>
  <c r="Y28"/>
  <c r="AC28" s="1"/>
  <c r="AD28" s="1"/>
  <c r="O28"/>
  <c r="S28" s="1"/>
  <c r="T28" s="1"/>
  <c r="H28"/>
  <c r="BO27"/>
  <c r="BI27"/>
  <c r="BC27"/>
  <c r="AU27"/>
  <c r="AI27"/>
  <c r="AM27" s="1"/>
  <c r="Y27"/>
  <c r="AC27" s="1"/>
  <c r="AD27" s="1"/>
  <c r="O27"/>
  <c r="S27" s="1"/>
  <c r="T27" s="1"/>
  <c r="H27"/>
  <c r="BO26"/>
  <c r="BI26"/>
  <c r="BC26"/>
  <c r="AU26"/>
  <c r="AM26"/>
  <c r="AI26"/>
  <c r="AC26"/>
  <c r="Y26"/>
  <c r="S26"/>
  <c r="O26"/>
  <c r="G26"/>
  <c r="H26" s="1"/>
  <c r="BO25"/>
  <c r="BI25"/>
  <c r="BC25"/>
  <c r="AU25"/>
  <c r="AI25"/>
  <c r="AM25" s="1"/>
  <c r="AN25" s="1"/>
  <c r="Y25"/>
  <c r="AC25" s="1"/>
  <c r="AD25" s="1"/>
  <c r="O25"/>
  <c r="S25" s="1"/>
  <c r="T25" s="1"/>
  <c r="G25"/>
  <c r="H25" s="1"/>
  <c r="BO24"/>
  <c r="BI24"/>
  <c r="BC24"/>
  <c r="AU24"/>
  <c r="AI24"/>
  <c r="AM24" s="1"/>
  <c r="AN24" s="1"/>
  <c r="Y24"/>
  <c r="AC24" s="1"/>
  <c r="AD24" s="1"/>
  <c r="O24"/>
  <c r="S24" s="1"/>
  <c r="T24" s="1"/>
  <c r="H24"/>
  <c r="BO23"/>
  <c r="BI23"/>
  <c r="BC23"/>
  <c r="AU23"/>
  <c r="AM23"/>
  <c r="AI23"/>
  <c r="AC23"/>
  <c r="Y23"/>
  <c r="S23"/>
  <c r="O23"/>
  <c r="H23"/>
  <c r="AM22"/>
  <c r="AI22"/>
  <c r="AC22"/>
  <c r="Y22"/>
  <c r="S22"/>
  <c r="O22"/>
  <c r="BO21"/>
  <c r="BI21"/>
  <c r="BC21"/>
  <c r="AU21"/>
  <c r="AI21"/>
  <c r="AM21" s="1"/>
  <c r="AN21" s="1"/>
  <c r="Y21"/>
  <c r="AC21" s="1"/>
  <c r="AD21" s="1"/>
  <c r="O21"/>
  <c r="S21" s="1"/>
  <c r="T21" s="1"/>
  <c r="G21"/>
  <c r="H21" s="1"/>
  <c r="BO20"/>
  <c r="BF20"/>
  <c r="BI20" s="1"/>
  <c r="BD20"/>
  <c r="AM20"/>
  <c r="AV20" s="1"/>
  <c r="AC20"/>
  <c r="AD20" s="1"/>
  <c r="S20"/>
  <c r="O20"/>
  <c r="H20"/>
  <c r="BO19"/>
  <c r="BI19"/>
  <c r="BA19"/>
  <c r="BC19" s="1"/>
  <c r="AS19"/>
  <c r="AU19" s="1"/>
  <c r="AM19"/>
  <c r="AI19"/>
  <c r="V19"/>
  <c r="AC19" s="1"/>
  <c r="J19"/>
  <c r="S19" s="1"/>
  <c r="G19"/>
  <c r="H19" s="1"/>
  <c r="BO18"/>
  <c r="BI18"/>
  <c r="BA18"/>
  <c r="BC18" s="1"/>
  <c r="AU18"/>
  <c r="AK18"/>
  <c r="AK108" s="1"/>
  <c r="AK113" s="1"/>
  <c r="AK120" s="1"/>
  <c r="AI18"/>
  <c r="AC18"/>
  <c r="Y18"/>
  <c r="S18"/>
  <c r="O18"/>
  <c r="G18"/>
  <c r="H18" s="1"/>
  <c r="BO17"/>
  <c r="BI17"/>
  <c r="BC17"/>
  <c r="AU17"/>
  <c r="AI17"/>
  <c r="AM17" s="1"/>
  <c r="AN17" s="1"/>
  <c r="Y17"/>
  <c r="AC17" s="1"/>
  <c r="AD17" s="1"/>
  <c r="O17"/>
  <c r="S17" s="1"/>
  <c r="T17" s="1"/>
  <c r="G17"/>
  <c r="H17" s="1"/>
  <c r="BO16"/>
  <c r="BI16"/>
  <c r="BC16"/>
  <c r="AU16"/>
  <c r="AI16"/>
  <c r="AM16" s="1"/>
  <c r="Y16"/>
  <c r="AC16" s="1"/>
  <c r="AD16" s="1"/>
  <c r="O16"/>
  <c r="S16" s="1"/>
  <c r="T16" s="1"/>
  <c r="G16"/>
  <c r="H16" s="1"/>
  <c r="BO15"/>
  <c r="BI15"/>
  <c r="BI232" s="1"/>
  <c r="BC15"/>
  <c r="BC232" s="1"/>
  <c r="AU15"/>
  <c r="AU232" s="1"/>
  <c r="AI15"/>
  <c r="AI232" s="1"/>
  <c r="Y15"/>
  <c r="Y232" s="1"/>
  <c r="O15"/>
  <c r="O232" s="1"/>
  <c r="H15"/>
  <c r="BO14"/>
  <c r="BI14"/>
  <c r="BC14"/>
  <c r="AU14"/>
  <c r="AI14"/>
  <c r="AM14" s="1"/>
  <c r="AN14" s="1"/>
  <c r="Y14"/>
  <c r="AC14" s="1"/>
  <c r="AD14" s="1"/>
  <c r="O14"/>
  <c r="S14" s="1"/>
  <c r="T14" s="1"/>
  <c r="H14"/>
  <c r="BO13"/>
  <c r="BI13"/>
  <c r="BA13"/>
  <c r="BC13" s="1"/>
  <c r="AS13"/>
  <c r="AU13" s="1"/>
  <c r="AM13"/>
  <c r="AI13"/>
  <c r="V13"/>
  <c r="V108" s="1"/>
  <c r="V113" s="1"/>
  <c r="J13"/>
  <c r="O13" s="1"/>
  <c r="BO12"/>
  <c r="BI12"/>
  <c r="BJ12" s="1"/>
  <c r="BD12"/>
  <c r="BO11"/>
  <c r="BI11"/>
  <c r="BJ11" s="1"/>
  <c r="BA11"/>
  <c r="AS11"/>
  <c r="AU11" s="1"/>
  <c r="BD11" s="1"/>
  <c r="AM11"/>
  <c r="AI11"/>
  <c r="AC11"/>
  <c r="Y11"/>
  <c r="S11"/>
  <c r="O11"/>
  <c r="BP89" l="1"/>
  <c r="BU89"/>
  <c r="BU107" s="1"/>
  <c r="BP91"/>
  <c r="BU91"/>
  <c r="BP92"/>
  <c r="BU92"/>
  <c r="BP95"/>
  <c r="BU95"/>
  <c r="BP97"/>
  <c r="BU97"/>
  <c r="BP98"/>
  <c r="BU98"/>
  <c r="BP99"/>
  <c r="BU99"/>
  <c r="BP101"/>
  <c r="BU101"/>
  <c r="BP104"/>
  <c r="BU104"/>
  <c r="BP105"/>
  <c r="BU105"/>
  <c r="AV67"/>
  <c r="K17" i="3"/>
  <c r="K19"/>
  <c r="F22"/>
  <c r="F24" s="1"/>
  <c r="G26"/>
  <c r="K21"/>
  <c r="L21" s="1"/>
  <c r="L22" s="1"/>
  <c r="L24" s="1"/>
  <c r="F21"/>
  <c r="G21" s="1"/>
  <c r="F17"/>
  <c r="G22"/>
  <c r="G24" s="1"/>
  <c r="H15" i="2"/>
  <c r="I15" s="1"/>
  <c r="AI108" i="1"/>
  <c r="AI113" s="1"/>
  <c r="BP12"/>
  <c r="BP18"/>
  <c r="BP19"/>
  <c r="AD23"/>
  <c r="AV23"/>
  <c r="BJ23"/>
  <c r="BP42"/>
  <c r="BJ47"/>
  <c r="BD49"/>
  <c r="BP49"/>
  <c r="BJ55"/>
  <c r="BP60"/>
  <c r="BJ64"/>
  <c r="AN67"/>
  <c r="BD67"/>
  <c r="BP67"/>
  <c r="BD69"/>
  <c r="BP69"/>
  <c r="BD74"/>
  <c r="BJ77"/>
  <c r="BP77"/>
  <c r="BJ80"/>
  <c r="BD81"/>
  <c r="BP16"/>
  <c r="BP27"/>
  <c r="BJ28"/>
  <c r="BP28"/>
  <c r="BD14"/>
  <c r="BP14"/>
  <c r="BJ16"/>
  <c r="BD27"/>
  <c r="BJ27"/>
  <c r="BP30"/>
  <c r="AD31"/>
  <c r="AV31"/>
  <c r="BJ33"/>
  <c r="T37"/>
  <c r="AN37"/>
  <c r="BP37"/>
  <c r="BD40"/>
  <c r="BJ41"/>
  <c r="AD50"/>
  <c r="BP51"/>
  <c r="BD52"/>
  <c r="BN106"/>
  <c r="BN22"/>
  <c r="AV13"/>
  <c r="BP13"/>
  <c r="AM15"/>
  <c r="AM232" s="1"/>
  <c r="AN232" s="1"/>
  <c r="BP15"/>
  <c r="BD16"/>
  <c r="BJ17"/>
  <c r="AD18"/>
  <c r="AN19"/>
  <c r="AV19"/>
  <c r="T20"/>
  <c r="T22"/>
  <c r="AN22"/>
  <c r="BJ24"/>
  <c r="BD25"/>
  <c r="BP25"/>
  <c r="T26"/>
  <c r="AN26"/>
  <c r="BP26"/>
  <c r="BD28"/>
  <c r="BJ29"/>
  <c r="AD30"/>
  <c r="AV30"/>
  <c r="BP31"/>
  <c r="BD32"/>
  <c r="BP32"/>
  <c r="AD37"/>
  <c r="BD39"/>
  <c r="AV40"/>
  <c r="BD41"/>
  <c r="BP41"/>
  <c r="BJ42"/>
  <c r="BP44"/>
  <c r="T45"/>
  <c r="BP45"/>
  <c r="BD46"/>
  <c r="BP46"/>
  <c r="T47"/>
  <c r="BD47"/>
  <c r="BP47"/>
  <c r="BP48"/>
  <c r="BJ49"/>
  <c r="T50"/>
  <c r="AN50"/>
  <c r="BP50"/>
  <c r="BD55"/>
  <c r="BP55"/>
  <c r="BP61"/>
  <c r="AV64"/>
  <c r="BD64"/>
  <c r="BP64"/>
  <c r="BJ67"/>
  <c r="BJ68"/>
  <c r="BP76"/>
  <c r="BD80"/>
  <c r="BP80"/>
  <c r="BP88"/>
  <c r="T90"/>
  <c r="BP90"/>
  <c r="BP94"/>
  <c r="D108"/>
  <c r="E107"/>
  <c r="BD30"/>
  <c r="BD42"/>
  <c r="AD11"/>
  <c r="Y13"/>
  <c r="AN13"/>
  <c r="BJ13"/>
  <c r="AV14"/>
  <c r="BJ14"/>
  <c r="S15"/>
  <c r="S232" s="1"/>
  <c r="T232" s="1"/>
  <c r="BD17"/>
  <c r="BP17"/>
  <c r="T18"/>
  <c r="AM18"/>
  <c r="AN18" s="1"/>
  <c r="AV21"/>
  <c r="BJ21"/>
  <c r="T23"/>
  <c r="AN23"/>
  <c r="BD23"/>
  <c r="BP23"/>
  <c r="BD24"/>
  <c r="BP24"/>
  <c r="AV25"/>
  <c r="BJ25"/>
  <c r="AD26"/>
  <c r="BJ26"/>
  <c r="BD29"/>
  <c r="BP29"/>
  <c r="T30"/>
  <c r="AN30"/>
  <c r="BJ30"/>
  <c r="AV33"/>
  <c r="BP39"/>
  <c r="T40"/>
  <c r="AN40"/>
  <c r="AV44"/>
  <c r="AV46"/>
  <c r="BJ46"/>
  <c r="AD47"/>
  <c r="AD51"/>
  <c r="BP52"/>
  <c r="AV68"/>
  <c r="BP74"/>
  <c r="BJ76"/>
  <c r="AV17"/>
  <c r="AV18"/>
  <c r="BD21"/>
  <c r="BP21"/>
  <c r="AD22"/>
  <c r="AV24"/>
  <c r="AV29"/>
  <c r="T31"/>
  <c r="AN31"/>
  <c r="BJ32"/>
  <c r="BD33"/>
  <c r="BP33"/>
  <c r="AV37"/>
  <c r="BJ39"/>
  <c r="AD40"/>
  <c r="BJ40"/>
  <c r="BJ44"/>
  <c r="AN45"/>
  <c r="AV52"/>
  <c r="BJ52"/>
  <c r="BD68"/>
  <c r="BP68"/>
  <c r="AV69"/>
  <c r="BJ69"/>
  <c r="BJ74"/>
  <c r="BP84"/>
  <c r="AD90"/>
  <c r="BP96"/>
  <c r="BP102"/>
  <c r="BP103"/>
  <c r="T111"/>
  <c r="AV16"/>
  <c r="AN16"/>
  <c r="BJ19"/>
  <c r="BD19"/>
  <c r="AV27"/>
  <c r="AN27"/>
  <c r="BL108"/>
  <c r="BO40"/>
  <c r="BP40" s="1"/>
  <c r="AV41"/>
  <c r="AN41"/>
  <c r="AV47"/>
  <c r="AN47"/>
  <c r="AV49"/>
  <c r="AN49"/>
  <c r="BC51"/>
  <c r="BD51" s="1"/>
  <c r="AV51"/>
  <c r="AV55"/>
  <c r="AN55"/>
  <c r="BD13"/>
  <c r="BJ18"/>
  <c r="BD18"/>
  <c r="BP20"/>
  <c r="BJ20"/>
  <c r="AV28"/>
  <c r="AN28"/>
  <c r="BJ31"/>
  <c r="BD31"/>
  <c r="AV32"/>
  <c r="AN32"/>
  <c r="BJ37"/>
  <c r="BD37"/>
  <c r="AV39"/>
  <c r="AN39"/>
  <c r="BD44"/>
  <c r="BJ51"/>
  <c r="AV80"/>
  <c r="AN80"/>
  <c r="AV81"/>
  <c r="AN81"/>
  <c r="AM108"/>
  <c r="AM113" s="1"/>
  <c r="AV11"/>
  <c r="BP11"/>
  <c r="G13"/>
  <c r="S13"/>
  <c r="T13" s="1"/>
  <c r="AC13"/>
  <c r="AD13" s="1"/>
  <c r="T15"/>
  <c r="AC15"/>
  <c r="AN15"/>
  <c r="AV15"/>
  <c r="BD15"/>
  <c r="BJ15"/>
  <c r="O19"/>
  <c r="T19" s="1"/>
  <c r="Y19"/>
  <c r="AD19" s="1"/>
  <c r="AN20"/>
  <c r="AN51"/>
  <c r="AN64"/>
  <c r="AI226"/>
  <c r="AI257" s="1"/>
  <c r="AI264" s="1"/>
  <c r="AI269" s="1"/>
  <c r="AI272" s="1"/>
  <c r="AI117" s="1"/>
  <c r="AI177"/>
  <c r="AI126"/>
  <c r="AI152" s="1"/>
  <c r="AI156" s="1"/>
  <c r="AI159" s="1"/>
  <c r="AI162" s="1"/>
  <c r="AI166" s="1"/>
  <c r="AI168" s="1"/>
  <c r="AI171" s="1"/>
  <c r="AI115" s="1"/>
  <c r="BI108"/>
  <c r="BI113" s="1"/>
  <c r="BH86"/>
  <c r="BO108"/>
  <c r="BN108"/>
  <c r="BN86"/>
  <c r="BJ232"/>
  <c r="BP232"/>
  <c r="AV74"/>
  <c r="AN74"/>
  <c r="H106"/>
  <c r="J106" s="1"/>
  <c r="J108" s="1"/>
  <c r="J113" s="1"/>
  <c r="O108"/>
  <c r="O113" s="1"/>
  <c r="T11"/>
  <c r="AC108"/>
  <c r="AC113" s="1"/>
  <c r="AN11"/>
  <c r="AU108"/>
  <c r="BC108"/>
  <c r="AV232"/>
  <c r="BD232"/>
  <c r="AV85"/>
  <c r="G90"/>
  <c r="AN90"/>
  <c r="AV90"/>
  <c r="BD90"/>
  <c r="BJ90"/>
  <c r="X105"/>
  <c r="BI318"/>
  <c r="BJ313"/>
  <c r="BJ219"/>
  <c r="BJ306"/>
  <c r="BP219"/>
  <c r="F26" i="3" l="1"/>
  <c r="K22"/>
  <c r="M22" s="1"/>
  <c r="K24"/>
  <c r="K26" s="1"/>
  <c r="H22"/>
  <c r="H17" i="2"/>
  <c r="G19" s="1"/>
  <c r="S108" i="1"/>
  <c r="S113" s="1"/>
  <c r="BJ108"/>
  <c r="I105"/>
  <c r="H90"/>
  <c r="AU113"/>
  <c r="AV108"/>
  <c r="AC226"/>
  <c r="AC177"/>
  <c r="AC126"/>
  <c r="O226"/>
  <c r="O257" s="1"/>
  <c r="O264" s="1"/>
  <c r="O269" s="1"/>
  <c r="O272" s="1"/>
  <c r="O117" s="1"/>
  <c r="O177"/>
  <c r="O126"/>
  <c r="O152" s="1"/>
  <c r="O156" s="1"/>
  <c r="O159" s="1"/>
  <c r="O162" s="1"/>
  <c r="O166" s="1"/>
  <c r="O168" s="1"/>
  <c r="O171" s="1"/>
  <c r="O115" s="1"/>
  <c r="H234"/>
  <c r="BO277"/>
  <c r="BO226"/>
  <c r="BO113"/>
  <c r="BP108"/>
  <c r="BI226"/>
  <c r="BI177"/>
  <c r="BI126"/>
  <c r="G108"/>
  <c r="H13"/>
  <c r="H11"/>
  <c r="Y108"/>
  <c r="Y113" s="1"/>
  <c r="BI321"/>
  <c r="BJ318"/>
  <c r="BC113"/>
  <c r="BJ113" s="1"/>
  <c r="BD108"/>
  <c r="H140"/>
  <c r="AI204"/>
  <c r="AI207" s="1"/>
  <c r="AI211" s="1"/>
  <c r="AI213" s="1"/>
  <c r="AC232"/>
  <c r="AD232" s="1"/>
  <c r="AD15"/>
  <c r="AD108" s="1"/>
  <c r="AD113" s="1"/>
  <c r="AM226"/>
  <c r="AM177"/>
  <c r="AM126"/>
  <c r="S226"/>
  <c r="S177"/>
  <c r="S126"/>
  <c r="AN108"/>
  <c r="AN113" s="1"/>
  <c r="T108"/>
  <c r="T113" s="1"/>
  <c r="AI215" l="1"/>
  <c r="AI221" s="1"/>
  <c r="AI116"/>
  <c r="AI120" s="1"/>
  <c r="T177"/>
  <c r="S204"/>
  <c r="AN177"/>
  <c r="AM204"/>
  <c r="AN204" s="1"/>
  <c r="Y226"/>
  <c r="Y257" s="1"/>
  <c r="Y264" s="1"/>
  <c r="Y269" s="1"/>
  <c r="Y272" s="1"/>
  <c r="Y117" s="1"/>
  <c r="Y177"/>
  <c r="AD177" s="1"/>
  <c r="Y126"/>
  <c r="Y152" s="1"/>
  <c r="Y156" s="1"/>
  <c r="Y159" s="1"/>
  <c r="Y162" s="1"/>
  <c r="Y166" s="1"/>
  <c r="Y168" s="1"/>
  <c r="Y171" s="1"/>
  <c r="Y115" s="1"/>
  <c r="BI152"/>
  <c r="BI257"/>
  <c r="BO177"/>
  <c r="BO126"/>
  <c r="BO306"/>
  <c r="BP277"/>
  <c r="AC257"/>
  <c r="AD226"/>
  <c r="AU226"/>
  <c r="AU177"/>
  <c r="AU126"/>
  <c r="AV113"/>
  <c r="S152"/>
  <c r="T126"/>
  <c r="S257"/>
  <c r="T226"/>
  <c r="AM152"/>
  <c r="AN126"/>
  <c r="AM257"/>
  <c r="AN226"/>
  <c r="BC226"/>
  <c r="BC177"/>
  <c r="BJ177" s="1"/>
  <c r="BC126"/>
  <c r="BD113"/>
  <c r="BJ321"/>
  <c r="BI118"/>
  <c r="BJ118" s="1"/>
  <c r="G226"/>
  <c r="G113"/>
  <c r="I109"/>
  <c r="BI207"/>
  <c r="BI211" s="1"/>
  <c r="BO257"/>
  <c r="BP226"/>
  <c r="O204"/>
  <c r="O207" s="1"/>
  <c r="O211" s="1"/>
  <c r="O213" s="1"/>
  <c r="AC152"/>
  <c r="AD126"/>
  <c r="AC204"/>
  <c r="AC207" s="1"/>
  <c r="AC211" s="1"/>
  <c r="AC213" s="1"/>
  <c r="H108"/>
  <c r="H113" s="1"/>
  <c r="AC215" l="1"/>
  <c r="AC116"/>
  <c r="AD152"/>
  <c r="AD156" s="1"/>
  <c r="AC156"/>
  <c r="AC159" s="1"/>
  <c r="O215"/>
  <c r="O116"/>
  <c r="O120" s="1"/>
  <c r="BO264"/>
  <c r="BP257"/>
  <c r="BI213"/>
  <c r="G177"/>
  <c r="G126"/>
  <c r="BC152"/>
  <c r="BJ152" s="1"/>
  <c r="BJ156" s="1"/>
  <c r="BD126"/>
  <c r="BC257"/>
  <c r="BJ257" s="1"/>
  <c r="BD226"/>
  <c r="AM264"/>
  <c r="AM269" s="1"/>
  <c r="AM272" s="1"/>
  <c r="AM117" s="1"/>
  <c r="AN117" s="1"/>
  <c r="AN257"/>
  <c r="AN264" s="1"/>
  <c r="AN269" s="1"/>
  <c r="AN272" s="1"/>
  <c r="AM156"/>
  <c r="AM159" s="1"/>
  <c r="AN152"/>
  <c r="AN156" s="1"/>
  <c r="S264"/>
  <c r="S269" s="1"/>
  <c r="S272" s="1"/>
  <c r="S117" s="1"/>
  <c r="T117" s="1"/>
  <c r="T257"/>
  <c r="T264" s="1"/>
  <c r="T269" s="1"/>
  <c r="T272" s="1"/>
  <c r="S156"/>
  <c r="S159" s="1"/>
  <c r="T152"/>
  <c r="T156" s="1"/>
  <c r="AV177"/>
  <c r="AU204"/>
  <c r="AV204" s="1"/>
  <c r="BO207"/>
  <c r="BO211" s="1"/>
  <c r="BP177"/>
  <c r="BP207" s="1"/>
  <c r="BI264"/>
  <c r="BI156"/>
  <c r="BI159" s="1"/>
  <c r="AN207"/>
  <c r="AN211" s="1"/>
  <c r="T204"/>
  <c r="S207"/>
  <c r="S211" s="1"/>
  <c r="S213" s="1"/>
  <c r="G257"/>
  <c r="G264" s="1"/>
  <c r="H226"/>
  <c r="H257" s="1"/>
  <c r="BD177"/>
  <c r="BC204"/>
  <c r="AU152"/>
  <c r="AV126"/>
  <c r="AU257"/>
  <c r="AV226"/>
  <c r="AC264"/>
  <c r="AC269" s="1"/>
  <c r="AC272" s="1"/>
  <c r="AC117" s="1"/>
  <c r="AD117" s="1"/>
  <c r="AD257"/>
  <c r="AD264" s="1"/>
  <c r="AD269" s="1"/>
  <c r="AD272" s="1"/>
  <c r="BO313"/>
  <c r="BP306"/>
  <c r="BO152"/>
  <c r="BP126"/>
  <c r="Y204"/>
  <c r="Y207" s="1"/>
  <c r="Y211" s="1"/>
  <c r="Y213" s="1"/>
  <c r="BJ226"/>
  <c r="BJ126"/>
  <c r="AM207"/>
  <c r="AM211" s="1"/>
  <c r="AM213" s="1"/>
  <c r="T207"/>
  <c r="T211" s="1"/>
  <c r="AV207" l="1"/>
  <c r="AD204"/>
  <c r="AD207" s="1"/>
  <c r="AD211" s="1"/>
  <c r="AM215"/>
  <c r="AN213"/>
  <c r="AM116"/>
  <c r="AN116" s="1"/>
  <c r="Y215"/>
  <c r="AD215" s="1"/>
  <c r="Y116"/>
  <c r="Y120" s="1"/>
  <c r="S215"/>
  <c r="T215" s="1"/>
  <c r="T213"/>
  <c r="S116"/>
  <c r="T116" s="1"/>
  <c r="S162"/>
  <c r="T159"/>
  <c r="AM162"/>
  <c r="AN159"/>
  <c r="BC264"/>
  <c r="BD257"/>
  <c r="BC156"/>
  <c r="BC159" s="1"/>
  <c r="BJ159" s="1"/>
  <c r="BD152"/>
  <c r="BD156" s="1"/>
  <c r="G152"/>
  <c r="G156" s="1"/>
  <c r="H126"/>
  <c r="H152" s="1"/>
  <c r="G204"/>
  <c r="H204" s="1"/>
  <c r="H177"/>
  <c r="BP264"/>
  <c r="BO269"/>
  <c r="AU207"/>
  <c r="AU211" s="1"/>
  <c r="AD213"/>
  <c r="BO156"/>
  <c r="BP152"/>
  <c r="BO318"/>
  <c r="BP313"/>
  <c r="AU264"/>
  <c r="AV257"/>
  <c r="AU156"/>
  <c r="AU159" s="1"/>
  <c r="AV152"/>
  <c r="AV156" s="1"/>
  <c r="BD204"/>
  <c r="BD207" s="1"/>
  <c r="BJ204"/>
  <c r="BJ207" s="1"/>
  <c r="G269"/>
  <c r="G272" s="1"/>
  <c r="H264"/>
  <c r="H269" s="1"/>
  <c r="BI162"/>
  <c r="BJ264"/>
  <c r="BI269"/>
  <c r="BP211"/>
  <c r="BO213"/>
  <c r="BI215"/>
  <c r="BI116"/>
  <c r="AC162"/>
  <c r="AD159"/>
  <c r="BC207"/>
  <c r="BC211" s="1"/>
  <c r="AD116"/>
  <c r="H207" l="1"/>
  <c r="G207"/>
  <c r="G211" s="1"/>
  <c r="G213" s="1"/>
  <c r="BD211"/>
  <c r="BC213"/>
  <c r="BJ211"/>
  <c r="BI221"/>
  <c r="BI166"/>
  <c r="BI168" s="1"/>
  <c r="H272"/>
  <c r="G117"/>
  <c r="H117" s="1"/>
  <c r="AU162"/>
  <c r="AV159"/>
  <c r="AV264"/>
  <c r="AU269"/>
  <c r="BO321"/>
  <c r="BP318"/>
  <c r="BO159"/>
  <c r="BP156"/>
  <c r="AV211"/>
  <c r="AU213"/>
  <c r="AM221"/>
  <c r="AN221" s="1"/>
  <c r="AN215"/>
  <c r="AC166"/>
  <c r="AC168" s="1"/>
  <c r="AD162"/>
  <c r="AD166" s="1"/>
  <c r="BO215"/>
  <c r="BP213"/>
  <c r="BI272"/>
  <c r="BO272"/>
  <c r="BP269"/>
  <c r="G159"/>
  <c r="G162" s="1"/>
  <c r="G166" s="1"/>
  <c r="G168" s="1"/>
  <c r="H156"/>
  <c r="H159" s="1"/>
  <c r="H162" s="1"/>
  <c r="H166" s="1"/>
  <c r="BC162"/>
  <c r="BD159"/>
  <c r="BD264"/>
  <c r="BC269"/>
  <c r="AM166"/>
  <c r="AM168" s="1"/>
  <c r="AN162"/>
  <c r="AN166" s="1"/>
  <c r="S166"/>
  <c r="S168" s="1"/>
  <c r="T162"/>
  <c r="T166" s="1"/>
  <c r="H211" l="1"/>
  <c r="AM171"/>
  <c r="AN168"/>
  <c r="H168"/>
  <c r="H171" s="1"/>
  <c r="G171"/>
  <c r="G115" s="1"/>
  <c r="G215"/>
  <c r="H213"/>
  <c r="H215" s="1"/>
  <c r="H221" s="1"/>
  <c r="BI117"/>
  <c r="AD168"/>
  <c r="AC171"/>
  <c r="BC272"/>
  <c r="BD269"/>
  <c r="BO162"/>
  <c r="BP159"/>
  <c r="BP321"/>
  <c r="BO118"/>
  <c r="BP118" s="1"/>
  <c r="AU166"/>
  <c r="AU168" s="1"/>
  <c r="AV162"/>
  <c r="AV166" s="1"/>
  <c r="BI171"/>
  <c r="BG170"/>
  <c r="BJ269"/>
  <c r="S171"/>
  <c r="T168"/>
  <c r="BC166"/>
  <c r="BC168" s="1"/>
  <c r="BD162"/>
  <c r="BD166" s="1"/>
  <c r="BP272"/>
  <c r="BO117"/>
  <c r="BO221"/>
  <c r="BP221" s="1"/>
  <c r="BP215"/>
  <c r="BO116"/>
  <c r="BP116" s="1"/>
  <c r="AU215"/>
  <c r="AV213"/>
  <c r="AU116"/>
  <c r="AV116" s="1"/>
  <c r="AU272"/>
  <c r="AV269"/>
  <c r="BC215"/>
  <c r="BD213"/>
  <c r="BC116"/>
  <c r="BJ213"/>
  <c r="BJ162"/>
  <c r="BJ166" s="1"/>
  <c r="BD116" l="1"/>
  <c r="BJ116"/>
  <c r="BC171"/>
  <c r="BA170"/>
  <c r="BD168"/>
  <c r="AU171"/>
  <c r="AS170"/>
  <c r="AV168"/>
  <c r="AU221"/>
  <c r="AV221" s="1"/>
  <c r="AV215"/>
  <c r="BD272"/>
  <c r="BC117"/>
  <c r="BJ117" s="1"/>
  <c r="G116"/>
  <c r="H116" s="1"/>
  <c r="G221"/>
  <c r="AN171"/>
  <c r="AM115"/>
  <c r="BJ168"/>
  <c r="BP117"/>
  <c r="BJ272"/>
  <c r="BC221"/>
  <c r="BD215"/>
  <c r="BJ215"/>
  <c r="AV272"/>
  <c r="AU117"/>
  <c r="AV117" s="1"/>
  <c r="T171"/>
  <c r="S115"/>
  <c r="BJ171"/>
  <c r="BI115"/>
  <c r="BO166"/>
  <c r="BO168" s="1"/>
  <c r="BP162"/>
  <c r="BP166" s="1"/>
  <c r="AD171"/>
  <c r="AC115"/>
  <c r="H115"/>
  <c r="G120" l="1"/>
  <c r="BO171"/>
  <c r="BP168"/>
  <c r="T115"/>
  <c r="T120" s="1"/>
  <c r="S120"/>
  <c r="BD221"/>
  <c r="BJ221"/>
  <c r="AN115"/>
  <c r="AN120" s="1"/>
  <c r="AM120"/>
  <c r="BD171"/>
  <c r="BC115"/>
  <c r="BJ115" s="1"/>
  <c r="H120"/>
  <c r="BD117"/>
  <c r="AD115"/>
  <c r="AD120" s="1"/>
  <c r="AC120"/>
  <c r="BI120"/>
  <c r="AV171"/>
  <c r="AU115"/>
  <c r="BP171" l="1"/>
  <c r="BO115"/>
  <c r="AV115"/>
  <c r="AU120"/>
  <c r="AV120" s="1"/>
  <c r="BD115"/>
  <c r="BC120"/>
  <c r="BJ120" s="1"/>
  <c r="BN118" l="1"/>
  <c r="BP115"/>
  <c r="BO120"/>
  <c r="BD120"/>
</calcChain>
</file>

<file path=xl/comments1.xml><?xml version="1.0" encoding="utf-8"?>
<comments xmlns="http://schemas.openxmlformats.org/spreadsheetml/2006/main">
  <authors>
    <author>Bruce R. Wu</author>
    <author>sajordan</author>
  </authors>
  <commentList>
    <comment ref="A24" authorId="0">
      <text>
        <r>
          <rPr>
            <b/>
            <sz val="8"/>
            <color indexed="81"/>
            <rFont val="Tahoma"/>
            <family val="2"/>
          </rPr>
          <t>Bruce R. Wu:</t>
        </r>
        <r>
          <rPr>
            <sz val="8"/>
            <color indexed="81"/>
            <rFont val="Tahoma"/>
            <family val="2"/>
          </rPr>
          <t xml:space="preserve">
reverse for the installments</t>
        </r>
      </text>
    </comment>
    <comment ref="BT88" authorId="1">
      <text>
        <r>
          <rPr>
            <b/>
            <sz val="8"/>
            <color indexed="81"/>
            <rFont val="Tahoma"/>
            <family val="2"/>
          </rPr>
          <t>sajordan:</t>
        </r>
        <r>
          <rPr>
            <sz val="8"/>
            <color indexed="81"/>
            <rFont val="Tahoma"/>
            <family val="2"/>
          </rPr>
          <t xml:space="preserve">
use opposite sign</t>
        </r>
      </text>
    </comment>
    <comment ref="BV88" authorId="1">
      <text>
        <r>
          <rPr>
            <b/>
            <sz val="8"/>
            <color indexed="81"/>
            <rFont val="Tahoma"/>
            <family val="2"/>
          </rPr>
          <t>sajordan:</t>
        </r>
        <r>
          <rPr>
            <sz val="8"/>
            <color indexed="81"/>
            <rFont val="Tahoma"/>
            <family val="2"/>
          </rPr>
          <t xml:space="preserve">
prior year, not included in Tax Depr M-1s</t>
        </r>
      </text>
    </comment>
    <comment ref="BT89" authorId="1">
      <text>
        <r>
          <rPr>
            <b/>
            <sz val="8"/>
            <color indexed="81"/>
            <rFont val="Tahoma"/>
            <family val="2"/>
          </rPr>
          <t>sajordan:</t>
        </r>
        <r>
          <rPr>
            <sz val="8"/>
            <color indexed="81"/>
            <rFont val="Tahoma"/>
            <family val="2"/>
          </rPr>
          <t xml:space="preserve">
use opposite sign</t>
        </r>
      </text>
    </comment>
    <comment ref="BV89" authorId="1">
      <text>
        <r>
          <rPr>
            <b/>
            <sz val="8"/>
            <color indexed="81"/>
            <rFont val="Tahoma"/>
            <family val="2"/>
          </rPr>
          <t>sajordan:</t>
        </r>
        <r>
          <rPr>
            <sz val="8"/>
            <color indexed="81"/>
            <rFont val="Tahoma"/>
            <family val="2"/>
          </rPr>
          <t xml:space="preserve">
prior year, not included in Tax Depr M-1s</t>
        </r>
      </text>
    </comment>
  </commentList>
</comments>
</file>

<file path=xl/sharedStrings.xml><?xml version="1.0" encoding="utf-8"?>
<sst xmlns="http://schemas.openxmlformats.org/spreadsheetml/2006/main" count="678" uniqueCount="371">
  <si>
    <t>GULF POWER COMPANY</t>
  </si>
  <si>
    <t>Federal Taxable Income - 2010</t>
  </si>
  <si>
    <t>2010 - Q1</t>
  </si>
  <si>
    <t>2010 - Q1 TOTAL YEAR ESTIMATE</t>
  </si>
  <si>
    <t>2010 - Q2</t>
  </si>
  <si>
    <t>2010 - Q2 TOTAL YEAR ESTIMATE</t>
  </si>
  <si>
    <t>2010 - Q3</t>
  </si>
  <si>
    <t>2010 - Q3 TOTAL YEAR ESTIMATE</t>
  </si>
  <si>
    <t>2010 - Q4</t>
  </si>
  <si>
    <t>2010 - Q4 Adjustment for Refund Claim</t>
  </si>
  <si>
    <t>2010 - 7004</t>
  </si>
  <si>
    <t>CORPTax</t>
  </si>
  <si>
    <t>MARCH</t>
  </si>
  <si>
    <t>3 MOS</t>
  </si>
  <si>
    <t>APR-DEC</t>
  </si>
  <si>
    <t>TOTAL</t>
  </si>
  <si>
    <t>6 MOS</t>
  </si>
  <si>
    <t>JUL-DEC</t>
  </si>
  <si>
    <t>NOV-DEC</t>
  </si>
  <si>
    <t>Q4 VS Q3</t>
  </si>
  <si>
    <t>7004 VS. Q4</t>
  </si>
  <si>
    <t>TOTAL YR. VS</t>
  </si>
  <si>
    <t>Filed</t>
  </si>
  <si>
    <t>JAN - FEB</t>
  </si>
  <si>
    <t>ADJ</t>
  </si>
  <si>
    <t>REF</t>
  </si>
  <si>
    <t>EST.</t>
  </si>
  <si>
    <t>ANNUALIZED</t>
  </si>
  <si>
    <t>YEAR</t>
  </si>
  <si>
    <t>JAN - MAR</t>
  </si>
  <si>
    <t>JAN - JUN</t>
  </si>
  <si>
    <t>BUDGET</t>
  </si>
  <si>
    <t>JAN - DEC</t>
  </si>
  <si>
    <t xml:space="preserve"> DIFF.</t>
  </si>
  <si>
    <t>JAN-OCT</t>
  </si>
  <si>
    <t>Q4R VS Q4</t>
  </si>
  <si>
    <t>JAN-DEC</t>
  </si>
  <si>
    <t>7004 VS Q4R</t>
  </si>
  <si>
    <t>2010 VS 7004</t>
  </si>
  <si>
    <t>TA- RPT51000</t>
  </si>
  <si>
    <t>BUDGET/ACTUAL</t>
  </si>
  <si>
    <t>DIFF</t>
  </si>
  <si>
    <t>NET INCOME PER BOOKS/After Pref. Div.</t>
  </si>
  <si>
    <t>OR.1</t>
  </si>
  <si>
    <t>2.1</t>
  </si>
  <si>
    <t>OR.4</t>
  </si>
  <si>
    <t>1/OR.4</t>
  </si>
  <si>
    <t>PREFERRED STOCK</t>
  </si>
  <si>
    <t>FEDERAL INCOME TAX</t>
  </si>
  <si>
    <t>2.2</t>
  </si>
  <si>
    <t>1/OR.4A</t>
  </si>
  <si>
    <t>2.2-4</t>
  </si>
  <si>
    <t>4A/&amp; 60SPP2</t>
  </si>
  <si>
    <t>MEALS &amp; ENTERTAINMENT</t>
  </si>
  <si>
    <t>OR.60</t>
  </si>
  <si>
    <t>1/OR.60 &amp;10</t>
  </si>
  <si>
    <t>RPT51000</t>
  </si>
  <si>
    <t>OR/60</t>
  </si>
  <si>
    <t>SECTION 162 / 274 LOBBYING</t>
  </si>
  <si>
    <t>1/OR.60</t>
  </si>
  <si>
    <t>FINES &amp; PENALTIES</t>
  </si>
  <si>
    <t>MEDICAL SUBSIDY</t>
  </si>
  <si>
    <t>20/RPT51000</t>
  </si>
  <si>
    <t>75&amp;OR/60</t>
  </si>
  <si>
    <t>AMORTIZATION OF ITC</t>
  </si>
  <si>
    <t>OR4A/&amp; 60SP2</t>
  </si>
  <si>
    <t>STATE INCOME TAX PROVISION</t>
  </si>
  <si>
    <t>2.3</t>
  </si>
  <si>
    <t>STATE GAITC CREDITS ASSIGNED</t>
  </si>
  <si>
    <t>State-20</t>
  </si>
  <si>
    <t>EQUITY EARNINGS IN DIR DEF STOCK TRUST</t>
  </si>
  <si>
    <t>TEMPORARY DIFFERENCES:</t>
  </si>
  <si>
    <t xml:space="preserve">BAD DEBT RESERVE </t>
  </si>
  <si>
    <t>2.4</t>
  </si>
  <si>
    <t>DEFERRED COMP-BOD &amp; EMPLOYEES</t>
  </si>
  <si>
    <t>*</t>
  </si>
  <si>
    <t>PENSION - BOD PROVISION</t>
  </si>
  <si>
    <t>EARLY RET. PLANS PROVISION - Career Trans.</t>
  </si>
  <si>
    <t xml:space="preserve">POST RETIREMENT LIFE </t>
  </si>
  <si>
    <t xml:space="preserve">POST RETIREMENT MED </t>
  </si>
  <si>
    <t>SUPPLEMENTAL PENSION PROVISION</t>
  </si>
  <si>
    <t xml:space="preserve">ENVIRONMENTAL CLEANUP </t>
  </si>
  <si>
    <t>53.2</t>
  </si>
  <si>
    <t>FUEL CLAUSE PROVISION</t>
  </si>
  <si>
    <t>53.1</t>
  </si>
  <si>
    <t>INJURIES &amp; DAMAGES RESERVE PROV</t>
  </si>
  <si>
    <t>MEDICAL INSURANCE CLAIMS F/B</t>
  </si>
  <si>
    <t>CLUB DUES</t>
  </si>
  <si>
    <t>py</t>
  </si>
  <si>
    <t>ENERGY INSURANCE BERMUDA</t>
  </si>
  <si>
    <t>APPLIANCE SALES INT REVENUE PROV</t>
  </si>
  <si>
    <t>CAPACITY CLAUSE PROVISION</t>
  </si>
  <si>
    <t>53.3</t>
  </si>
  <si>
    <t>DEFERRED INTEREST (3RD FLOOR OFFICE)</t>
  </si>
  <si>
    <t>ENERGY CONSERVATION CLAUSE F/B</t>
  </si>
  <si>
    <t>53.4</t>
  </si>
  <si>
    <t>LOSS/GAIN REACQUIRED DEBT AMORTIZ</t>
  </si>
  <si>
    <t>PENSION PROVISION</t>
  </si>
  <si>
    <t>PENSION FUNDING</t>
  </si>
  <si>
    <t>AT&amp;T LICENSE AMORTIZATION F/B</t>
  </si>
  <si>
    <t>CT</t>
  </si>
  <si>
    <t xml:space="preserve">EMISSION ALLOW. AMORT. </t>
  </si>
  <si>
    <t>EMISSION ALLOW. SURRENDERED</t>
  </si>
  <si>
    <t>AMORT. OF EMISSION ALLOW. PROCEEDS</t>
  </si>
  <si>
    <t>ACCRUED FEDERAL INTEREST - FED. RAR</t>
  </si>
  <si>
    <t>STATE TAX REFUND DUE TO AUDIT</t>
  </si>
  <si>
    <t>RAILCAR LEASE</t>
  </si>
  <si>
    <t>FAS 112 - POST EMPLOYMENT - Yr. End Only</t>
  </si>
  <si>
    <t>GENERATION DOMINANCE SETTLEMENT</t>
  </si>
  <si>
    <t>ACCRUED UPS REFUND</t>
  </si>
  <si>
    <t>S. 461(H) - Advertising</t>
  </si>
  <si>
    <t>RETRO OT ADJ</t>
  </si>
  <si>
    <t>ITC DELTA COM</t>
  </si>
  <si>
    <t>FPSC RATE CASE EXPENSES</t>
  </si>
  <si>
    <t>ENERGY FINANCE PROGRAM (FANNIE MAE LOAN)</t>
  </si>
  <si>
    <t>INTERCO MATERIALS</t>
  </si>
  <si>
    <t>WILSONVILLE(Environmental clean-up SCS)</t>
  </si>
  <si>
    <t>PPP</t>
  </si>
  <si>
    <t>PDP</t>
  </si>
  <si>
    <t>ACCRUED FICA PPP, PDP, ETC.</t>
  </si>
  <si>
    <t>MUNICIPAL INTEREST</t>
  </si>
  <si>
    <t>EXECUTIVE STOCK OPTIONS</t>
  </si>
  <si>
    <t>TRUST INCOME FOR EXECUTIVES(CHANGE IN TRUST CONTROL)</t>
  </si>
  <si>
    <t>CLEAN AIR COMPLIANCE COSTS</t>
  </si>
  <si>
    <t>ARO SETTLEMENTS</t>
  </si>
  <si>
    <t>ARO ACCRETION EXPENSE</t>
  </si>
  <si>
    <t>ARO AMORT. REGULARTORY ASSET/LIABILITY</t>
  </si>
  <si>
    <t>CASH FLOW HEDGE SETTLEMENT</t>
  </si>
  <si>
    <t>PROPOSED PATENT LIABILITY ACCRUALS</t>
  </si>
  <si>
    <t>OBSOLETE INVENTORY WRITE-OFF</t>
  </si>
  <si>
    <t>SECTION 199 DEDUCTION</t>
  </si>
  <si>
    <t>DEFERRED REVENUE - FLAT BILL</t>
  </si>
  <si>
    <t>OIL INSURANCE RESERVE</t>
  </si>
  <si>
    <t>MARK TO MARKET GAIN</t>
  </si>
  <si>
    <t>MARK TO MARKET LOSS</t>
  </si>
  <si>
    <t>ADDBACK R&amp;d EXP DUE TO ENERGY RESEARCH CREDIT</t>
  </si>
  <si>
    <t>VEBA-POST RETIREMENT MEDICAL REIMBURSEMENT</t>
  </si>
  <si>
    <t>GE PURCHASE CARD REBATE</t>
  </si>
  <si>
    <t>PERSONAL USE OF AIRCRAFT</t>
  </si>
  <si>
    <t>OR60</t>
  </si>
  <si>
    <t xml:space="preserve"> </t>
  </si>
  <si>
    <t>INVENTORY SALE</t>
  </si>
  <si>
    <t>GAITC COMBINATION UTILIZATION BENEFIT</t>
  </si>
  <si>
    <t xml:space="preserve">  </t>
  </si>
  <si>
    <t>STATE CONTRIBUTION NOT REFLECTED in NI above</t>
  </si>
  <si>
    <t>SCS AIRCRAFT IMPAIRMENT</t>
  </si>
  <si>
    <t>TAX DEPRECIATION M-1'S</t>
  </si>
  <si>
    <t>Carbon Capture Project</t>
  </si>
  <si>
    <t>481 (a) adjustment</t>
  </si>
  <si>
    <t>AFUDC</t>
  </si>
  <si>
    <t>Deferred Intercompany Gain</t>
  </si>
  <si>
    <t>Contribution in Aid of Construction</t>
  </si>
  <si>
    <t>Property Insurance- Provision, Recovery, Expense</t>
  </si>
  <si>
    <t>Meters and Transformers Installation Costs</t>
  </si>
  <si>
    <t>Sec 263 (A) Capitalization of Interest &amp; Taxes</t>
  </si>
  <si>
    <t>Ivan O&amp;M Charge to be reimbured by Ins in 2005</t>
  </si>
  <si>
    <t>Plant Held for'Future Use Ad Valorem Taxes</t>
  </si>
  <si>
    <t>Capitalization of Promotional Payments</t>
  </si>
  <si>
    <t>Loss on Sale of Property</t>
  </si>
  <si>
    <t>Repairs Expenditures Charged to Construction</t>
  </si>
  <si>
    <t>Software Development Costs</t>
  </si>
  <si>
    <t>Amortization of Promotional Payments</t>
  </si>
  <si>
    <t>Amortization of Pollution Control Facilities</t>
  </si>
  <si>
    <t>Depreciation</t>
  </si>
  <si>
    <t>Removal Costs Charged to Depreciation reserve on Books</t>
  </si>
  <si>
    <t>Tax Bonus 100% &amp; 481(a) Changes</t>
  </si>
  <si>
    <t>INCOME BEFORE SP. DED. &amp; SIT</t>
  </si>
  <si>
    <t>SPECIAL DEDUCTION  &lt; 20% OWNED DIVIDEND</t>
  </si>
  <si>
    <t>SPECIAL DEDUCTION  UTILITY PREFERRED DIVIDEND</t>
  </si>
  <si>
    <t>INCOME AFTER SP. DED. &amp; BEFORE SIT</t>
  </si>
  <si>
    <t xml:space="preserve">STATE INCOME TAX - FLORIDA F/B </t>
  </si>
  <si>
    <t>STATE INCOME TAX - GEORGIA F/B</t>
  </si>
  <si>
    <t>STATE INCOME TAX - MISSISSIPPI F/B</t>
  </si>
  <si>
    <t>STATE INCOME TAX - ALABAMA F/B</t>
  </si>
  <si>
    <t>FEDERAL TAXABLE INCOME</t>
  </si>
  <si>
    <t xml:space="preserve">STATE OF FLORIDA </t>
  </si>
  <si>
    <t>FEDERAL NET INCOME  AFTER SPEC DED BEFORE SIT</t>
  </si>
  <si>
    <t>TAX DEPRECIATION M-1 ITEMS</t>
  </si>
  <si>
    <t xml:space="preserve">     DEPRECIATION</t>
  </si>
  <si>
    <t xml:space="preserve">     RETIRE OF 1981 VIN PROP</t>
  </si>
  <si>
    <t xml:space="preserve">     FEDERAL DEFERRED INTER-CO GAIN</t>
  </si>
  <si>
    <t xml:space="preserve">      INTERCO GAIN/(LOSS) RECOGNITION</t>
  </si>
  <si>
    <t>TAX COMPLIANCE M-1 ITEMS</t>
  </si>
  <si>
    <t>STATE CHARITABLE CONTRIBUTION LIMIT</t>
  </si>
  <si>
    <t xml:space="preserve">      MUNICIPAL BOND INTEREST</t>
  </si>
  <si>
    <t>19-Fed</t>
  </si>
  <si>
    <t>12-Fed</t>
  </si>
  <si>
    <t>7004 only</t>
  </si>
  <si>
    <t xml:space="preserve">      R&amp;D DEDUCTION FOR FEDERAL ADDBACK</t>
  </si>
  <si>
    <t xml:space="preserve">      DEF GAIN/LOSS INTER-CO MAT TRNSFR</t>
  </si>
  <si>
    <t xml:space="preserve">      DEF GAIN/LOSS INTER-CO SALE</t>
  </si>
  <si>
    <t>81-Fed</t>
  </si>
  <si>
    <t xml:space="preserve">      'ADJ OF INTERCOMPANY GAIN/LOSS</t>
  </si>
  <si>
    <t xml:space="preserve">     STATE INCOME TAX ON RAR/AMENDED </t>
  </si>
  <si>
    <t>17-Fed</t>
  </si>
  <si>
    <t xml:space="preserve">     CHARITABLE CONTRIBUTION ADDBACK</t>
  </si>
  <si>
    <t>10 State</t>
  </si>
  <si>
    <t>STATE GAITC CREDITS ASSIGNED REVERSAL</t>
  </si>
  <si>
    <t>TAXABLE INCOME</t>
  </si>
  <si>
    <t>APPORTIONMENT FACTOR</t>
  </si>
  <si>
    <t>2008 Ext.</t>
  </si>
  <si>
    <t>2009 Ext.</t>
  </si>
  <si>
    <t>2009 TR</t>
  </si>
  <si>
    <t>2010 Extension</t>
  </si>
  <si>
    <t xml:space="preserve">   SUBTOTAL</t>
  </si>
  <si>
    <t>LESS CARRYOVER APPORT TO FL</t>
  </si>
  <si>
    <t>ADJ FED INCOME APPORT TO FL</t>
  </si>
  <si>
    <t>FLORIDA EXEMPTION</t>
  </si>
  <si>
    <t>FLORIDA TAXABLE</t>
  </si>
  <si>
    <t>2004 FL NOL CARRYFORWARD</t>
  </si>
  <si>
    <t>FLORIDA TAXABLE AFTER NOL</t>
  </si>
  <si>
    <t>TAX AT 5.5%</t>
  </si>
  <si>
    <t>LESS:  EXCESS EMERG EXCISE TAX CREDIT</t>
  </si>
  <si>
    <t>LIMIT 75% OF TAX</t>
  </si>
  <si>
    <t>LESS:  SCHOLARSHIP CREDIT</t>
  </si>
  <si>
    <t>FLORIDA INCOME TAX</t>
  </si>
  <si>
    <t xml:space="preserve">STATE OF GEORGIA </t>
  </si>
  <si>
    <t>FEDERAL NET INCOME AFTER SPEC DED BEFORE SIT</t>
  </si>
  <si>
    <t>FEDERAL INTEREST INCOME</t>
  </si>
  <si>
    <t>77/FED</t>
  </si>
  <si>
    <t>77-Fed</t>
  </si>
  <si>
    <t>DEF GAIN/LOSS INTER-CO MAT TRNSFR</t>
  </si>
  <si>
    <t>DEF GAIN/LOSS INTER-CO SALE</t>
  </si>
  <si>
    <t>ADJ OF INTERCOMPANY GAIN/LOSS</t>
  </si>
  <si>
    <t>81/Fed</t>
  </si>
  <si>
    <t xml:space="preserve"> SECTION 199 DEDUCTION</t>
  </si>
  <si>
    <t>80/Fed</t>
  </si>
  <si>
    <t>STATE  INCOME TAX PER AMENDED RETURN</t>
  </si>
  <si>
    <t>17/Fed</t>
  </si>
  <si>
    <t>19-FED</t>
  </si>
  <si>
    <t>JCA BONUS DEPRECIATION ADJUSTMENT</t>
  </si>
  <si>
    <t>R&amp;D DEDUCTION FOR FEDERAL ADDBACK</t>
  </si>
  <si>
    <t xml:space="preserve"> STATE LOSS EXCEEDS FEDERAL</t>
  </si>
  <si>
    <t xml:space="preserve"> INTERCO GAIN/(LOSS) RECOGNITION</t>
  </si>
  <si>
    <t>GEORGIA INCOME TAX @ 6%</t>
  </si>
  <si>
    <t>BUSINESS INCOME SUBJECT TO APPORT</t>
  </si>
  <si>
    <t>BUSINESS APPORT TO GA</t>
  </si>
  <si>
    <t>NOL / CAPITAL LOSS C/O APPORT TO GA</t>
  </si>
  <si>
    <t>LESS: GAITC UTILIZED</t>
  </si>
  <si>
    <t xml:space="preserve"> GEORGIA INCOME TAX</t>
  </si>
  <si>
    <t>STATE OF GEORGIA MANUFACTURER'S INVESTMENT TAX CREDIT (GAITC)</t>
  </si>
  <si>
    <t>GAITC 50% UTILIZATION LIMIT</t>
  </si>
  <si>
    <t>GAITC UTILIZED BY OTHER COMPANY- SPC * (SEE  FEDERAL M)</t>
  </si>
  <si>
    <t>**</t>
  </si>
  <si>
    <t>NET GEORGIA INCOME TAX</t>
  </si>
  <si>
    <t xml:space="preserve">STATE OF MISSISSIPPI </t>
  </si>
  <si>
    <t>FED NET INC BEFORE SPECIAL DEDUCT AND SIT</t>
  </si>
  <si>
    <t>No Limit</t>
  </si>
  <si>
    <t>FEDERAL INTEREST</t>
  </si>
  <si>
    <t>ADJUSTMENT FOR DIRECT LOBBYING</t>
  </si>
  <si>
    <t>Fed</t>
  </si>
  <si>
    <t>Fed OP/Sch 60</t>
  </si>
  <si>
    <t>18-Fed</t>
  </si>
  <si>
    <t>1--Fed</t>
  </si>
  <si>
    <t>DEF GAIN/LOSS INTERCO MAT TRNSFR</t>
  </si>
  <si>
    <t>ADJUSTMENT OF INTERCOMPANY GAIN/LOSS</t>
  </si>
  <si>
    <t>STATE INCOME TAX ON RAR/AMENDED</t>
  </si>
  <si>
    <t>STATE TAX LOSS EXCEEDS FEDERAL</t>
  </si>
  <si>
    <t>NONBUS INC DIRECTLY ALLOCABLE</t>
  </si>
  <si>
    <t>LOSS FROM MS FORM 83-140</t>
  </si>
  <si>
    <t>GAIN FROM MS FORM 83-135</t>
  </si>
  <si>
    <t>CAPITAL LOSS CARRYOVER</t>
  </si>
  <si>
    <t>TAX AT .05</t>
  </si>
  <si>
    <t xml:space="preserve">STATE OF ALABAMA </t>
  </si>
  <si>
    <t>TAX AT .065</t>
  </si>
  <si>
    <t xml:space="preserve">2010 TAX RETURN WORKPAPERS </t>
  </si>
  <si>
    <t>Final TR.</t>
  </si>
  <si>
    <t>PENSION EXPENSE</t>
  </si>
  <si>
    <t>ACCOUNT</t>
  </si>
  <si>
    <t>DESCRIPTION</t>
  </si>
  <si>
    <t>BOOK</t>
  </si>
  <si>
    <t>TAX</t>
  </si>
  <si>
    <t>926-100</t>
  </si>
  <si>
    <t>PENSION ACCRUAL</t>
  </si>
  <si>
    <t>debit</t>
  </si>
  <si>
    <t>128-00920</t>
  </si>
  <si>
    <t>Funding Payment</t>
  </si>
  <si>
    <t>926-105</t>
  </si>
  <si>
    <t>PERFORMANCE SHARING</t>
  </si>
  <si>
    <t>926-110</t>
  </si>
  <si>
    <t>ADMINISTRATIVE</t>
  </si>
  <si>
    <t>926-120</t>
  </si>
  <si>
    <t>TRANSFERRED CREDIT</t>
  </si>
  <si>
    <t>CAPITALIZATION RATIO</t>
  </si>
  <si>
    <t>AMOUNT CAPITALIZED</t>
  </si>
  <si>
    <t>Increase tax basis</t>
  </si>
  <si>
    <t>NET EXPENSE</t>
  </si>
  <si>
    <t>SCH.M - INCR(DECR)</t>
  </si>
  <si>
    <t>CALCULATION OF CAPITALIZATION  RATIO USING LABOR SCHEDULE 43:</t>
  </si>
  <si>
    <t>CAPITALIZED LABOR</t>
  </si>
  <si>
    <t>Cap. Ratio</t>
  </si>
  <si>
    <t>TOTAL LABOR</t>
  </si>
  <si>
    <t>CALCULATION OF CAPITALIZATION RATIO USING BOOK EXPENSE accts:</t>
  </si>
  <si>
    <t>DO NOT USE FOR TAX.</t>
  </si>
  <si>
    <t>926-190</t>
  </si>
  <si>
    <t>Capitalized</t>
  </si>
  <si>
    <t>Pension Accrual</t>
  </si>
  <si>
    <t>Performance Sharing</t>
  </si>
  <si>
    <t>926-209</t>
  </si>
  <si>
    <t>PR Life</t>
  </si>
  <si>
    <t>926-210</t>
  </si>
  <si>
    <t>PR Medical</t>
  </si>
  <si>
    <t>**Beginning 2003, GULF used different capitalized ratio for pensions and OPRB's</t>
  </si>
  <si>
    <t>TR</t>
  </si>
  <si>
    <t>OPRB SCH. M CALCULATIONS</t>
  </si>
  <si>
    <t>Jan-Dec.</t>
  </si>
  <si>
    <t>old</t>
  </si>
  <si>
    <t>22803020</t>
  </si>
  <si>
    <t>22803030</t>
  </si>
  <si>
    <t>new</t>
  </si>
  <si>
    <t>PR LIFE</t>
  </si>
  <si>
    <t>PR MED</t>
  </si>
  <si>
    <t>Beg. Yr.</t>
  </si>
  <si>
    <t>End Yr.</t>
  </si>
  <si>
    <t>Change in Balance:</t>
  </si>
  <si>
    <t>acct. changes 2009</t>
  </si>
  <si>
    <t>Book Expense:</t>
  </si>
  <si>
    <t>Acct '926-209 ----&gt;</t>
  </si>
  <si>
    <t>Acct '926-203</t>
  </si>
  <si>
    <t>Acct.926-210----&gt;926-201</t>
  </si>
  <si>
    <t>Reclass to 242-00510- December</t>
  </si>
  <si>
    <t>VEBA Reimb. ; 2009 TR inc.</t>
  </si>
  <si>
    <t>Payments</t>
  </si>
  <si>
    <t>Net Payments/Witholdiings</t>
  </si>
  <si>
    <t>Change in Balance</t>
  </si>
  <si>
    <t>Tax Deduction</t>
  </si>
  <si>
    <t>Book Expense</t>
  </si>
  <si>
    <t>Cap. Ratio =</t>
  </si>
  <si>
    <t>Amount Capitalized</t>
  </si>
  <si>
    <t>decrease basis</t>
  </si>
  <si>
    <t xml:space="preserve">Net Deduction </t>
  </si>
  <si>
    <t>Net Expense</t>
  </si>
  <si>
    <t>Sch M.  Incr(Decr)</t>
  </si>
  <si>
    <t>CALCULATION OF CAPITALIZATION RATIO:</t>
  </si>
  <si>
    <t>From</t>
  </si>
  <si>
    <t>To</t>
  </si>
  <si>
    <t>926-205</t>
  </si>
  <si>
    <t>926-200</t>
  </si>
  <si>
    <t>Group Insurance - Flex Cr</t>
  </si>
  <si>
    <t>926-203</t>
  </si>
  <si>
    <t>926-201</t>
  </si>
  <si>
    <t>GRP INS - flex cr</t>
  </si>
  <si>
    <t>926-215</t>
  </si>
  <si>
    <t>Other Post Emp-benefits</t>
  </si>
  <si>
    <t>926-402</t>
  </si>
  <si>
    <t>EMP P&amp;B - Medical Drug Subsidiary</t>
  </si>
  <si>
    <t>926-403</t>
  </si>
  <si>
    <t>926-390</t>
  </si>
  <si>
    <t>Other Benefit Capitalized</t>
  </si>
  <si>
    <t>Totals</t>
  </si>
  <si>
    <t xml:space="preserve">Discussed acct. associated with 926-390 </t>
  </si>
  <si>
    <t>with Bonnie Hughes, Gulf Acctg.</t>
  </si>
  <si>
    <t>Linked to col C "2010stateactual.xls"</t>
  </si>
  <si>
    <t>41910000</t>
  </si>
  <si>
    <t>AFUDC-OTHER FUNDS</t>
  </si>
  <si>
    <t>43200000</t>
  </si>
  <si>
    <t>AFUDC-CR-BORROWED FUNDS</t>
  </si>
  <si>
    <t>Subtotal</t>
  </si>
  <si>
    <t>Grand Total</t>
  </si>
  <si>
    <t>9/29/2011 w/Jim Cartee</t>
  </si>
  <si>
    <t>$1,326,892 actually utilized in year 2010</t>
  </si>
  <si>
    <t>$23,108 not utilized, carried forward to next year. Reclass to A/R</t>
  </si>
  <si>
    <t>Ordinary Taxable Income</t>
  </si>
  <si>
    <t>Net Capital Gains</t>
  </si>
  <si>
    <t>Tax Effect</t>
  </si>
  <si>
    <t>Total Tax (Refund)</t>
  </si>
  <si>
    <t>AMT</t>
  </si>
  <si>
    <t>Capital Contrib/Consol Tax Savings</t>
  </si>
  <si>
    <t>Total Taxes</t>
  </si>
  <si>
    <t>addback of charitable contribution; $750,000 included in it.</t>
  </si>
  <si>
    <t>limited in Florida based on federal taxable income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</si>
</sst>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0.0000%"/>
    <numFmt numFmtId="166" formatCode="0.00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1"/>
      <name val="Arial"/>
      <family val="2"/>
    </font>
    <font>
      <i/>
      <sz val="12"/>
      <color theme="1"/>
      <name val="Arial"/>
      <family val="2"/>
    </font>
    <font>
      <i/>
      <sz val="10"/>
      <color theme="1"/>
      <name val="Arial"/>
      <family val="2"/>
    </font>
    <font>
      <i/>
      <u/>
      <sz val="12"/>
      <color theme="1"/>
      <name val="Arial"/>
      <family val="2"/>
    </font>
    <font>
      <sz val="11"/>
      <color theme="1"/>
      <name val="Arial"/>
      <family val="2"/>
    </font>
    <font>
      <b/>
      <i/>
      <u/>
      <sz val="12"/>
      <color theme="1"/>
      <name val="Arial"/>
      <family val="2"/>
    </font>
    <font>
      <strike/>
      <sz val="10"/>
      <color theme="1"/>
      <name val="Arial"/>
      <family val="2"/>
    </font>
    <font>
      <strike/>
      <sz val="12"/>
      <color theme="1"/>
      <name val="Arial"/>
      <family val="2"/>
    </font>
    <font>
      <i/>
      <strike/>
      <sz val="12"/>
      <color theme="1"/>
      <name val="Arial"/>
      <family val="2"/>
    </font>
    <font>
      <b/>
      <strike/>
      <sz val="12"/>
      <color theme="1"/>
      <name val="Arial"/>
      <family val="2"/>
    </font>
    <font>
      <i/>
      <strike/>
      <sz val="10"/>
      <color theme="1"/>
      <name val="Arial"/>
      <family val="2"/>
    </font>
    <font>
      <b/>
      <strike/>
      <sz val="14"/>
      <color theme="1"/>
      <name val="Arial"/>
      <family val="2"/>
    </font>
    <font>
      <strike/>
      <sz val="14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u val="singleAccounting"/>
      <sz val="12"/>
      <color theme="1"/>
      <name val="Arial"/>
      <family val="2"/>
    </font>
    <font>
      <i/>
      <u val="singleAccounting"/>
      <sz val="12"/>
      <color theme="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62">
    <xf numFmtId="0" fontId="0" fillId="0" borderId="0" xfId="0"/>
    <xf numFmtId="166" fontId="0" fillId="0" borderId="2" xfId="3" applyNumberFormat="1" applyFont="1" applyFill="1" applyBorder="1"/>
    <xf numFmtId="166" fontId="0" fillId="0" borderId="0" xfId="3" applyNumberFormat="1" applyFont="1" applyFill="1" applyBorder="1"/>
    <xf numFmtId="0" fontId="5" fillId="0" borderId="0" xfId="0" applyFont="1" applyFill="1"/>
    <xf numFmtId="43" fontId="0" fillId="0" borderId="0" xfId="1" applyFont="1" applyFill="1"/>
    <xf numFmtId="43" fontId="0" fillId="0" borderId="7" xfId="1" applyFont="1" applyFill="1" applyBorder="1"/>
    <xf numFmtId="41" fontId="6" fillId="0" borderId="0" xfId="0" applyNumberFormat="1" applyFont="1" applyFill="1" applyProtection="1"/>
    <xf numFmtId="0" fontId="0" fillId="0" borderId="0" xfId="0" applyFont="1" applyFill="1"/>
    <xf numFmtId="0" fontId="7" fillId="0" borderId="0" xfId="0" applyFont="1" applyFill="1"/>
    <xf numFmtId="0" fontId="8" fillId="0" borderId="0" xfId="0" applyFont="1" applyFill="1"/>
    <xf numFmtId="37" fontId="6" fillId="0" borderId="0" xfId="0" applyNumberFormat="1" applyFont="1" applyFill="1"/>
    <xf numFmtId="3" fontId="6" fillId="0" borderId="0" xfId="0" applyNumberFormat="1" applyFont="1" applyFill="1"/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vertical="top" wrapText="1"/>
    </xf>
    <xf numFmtId="41" fontId="6" fillId="0" borderId="1" xfId="0" quotePrefix="1" applyNumberFormat="1" applyFont="1" applyFill="1" applyBorder="1" applyAlignment="1" applyProtection="1">
      <alignment horizontal="left"/>
    </xf>
    <xf numFmtId="0" fontId="0" fillId="0" borderId="1" xfId="0" applyFont="1" applyFill="1" applyBorder="1"/>
    <xf numFmtId="0" fontId="7" fillId="0" borderId="1" xfId="0" applyFont="1" applyFill="1" applyBorder="1"/>
    <xf numFmtId="0" fontId="8" fillId="0" borderId="1" xfId="0" applyFont="1" applyFill="1" applyBorder="1"/>
    <xf numFmtId="0" fontId="6" fillId="0" borderId="0" xfId="0" quotePrefix="1" applyFont="1" applyFill="1"/>
    <xf numFmtId="41" fontId="11" fillId="0" borderId="0" xfId="0" applyNumberFormat="1" applyFont="1" applyFill="1" applyBorder="1" applyProtection="1"/>
    <xf numFmtId="0" fontId="6" fillId="0" borderId="0" xfId="0" quotePrefix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1" fillId="0" borderId="1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6" fillId="0" borderId="1" xfId="0" quotePrefix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1" fontId="11" fillId="0" borderId="0" xfId="0" applyNumberFormat="1" applyFont="1" applyFill="1" applyAlignment="1" applyProtection="1">
      <alignment horizontal="left"/>
    </xf>
    <xf numFmtId="0" fontId="11" fillId="0" borderId="0" xfId="0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37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41" fontId="11" fillId="0" borderId="0" xfId="0" applyNumberFormat="1" applyFont="1" applyFill="1" applyAlignment="1" applyProtection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38" fontId="11" fillId="0" borderId="0" xfId="0" applyNumberFormat="1" applyFont="1" applyFill="1" applyBorder="1" applyAlignment="1">
      <alignment horizontal="center"/>
    </xf>
    <xf numFmtId="38" fontId="11" fillId="0" borderId="0" xfId="0" applyNumberFormat="1" applyFont="1" applyFill="1" applyBorder="1" applyAlignment="1"/>
    <xf numFmtId="38" fontId="6" fillId="0" borderId="0" xfId="0" applyNumberFormat="1" applyFont="1" applyFill="1" applyBorder="1" applyAlignment="1">
      <alignment horizontal="center"/>
    </xf>
    <xf numFmtId="38" fontId="6" fillId="0" borderId="0" xfId="0" applyNumberFormat="1" applyFont="1" applyFill="1" applyBorder="1" applyAlignment="1"/>
    <xf numFmtId="49" fontId="7" fillId="0" borderId="0" xfId="0" applyNumberFormat="1" applyFont="1" applyFill="1"/>
    <xf numFmtId="37" fontId="7" fillId="0" borderId="0" xfId="0" applyNumberFormat="1" applyFont="1" applyFill="1"/>
    <xf numFmtId="38" fontId="14" fillId="0" borderId="0" xfId="1" applyNumberFormat="1" applyFont="1" applyFill="1" applyBorder="1" applyAlignment="1">
      <alignment horizontal="center"/>
    </xf>
    <xf numFmtId="37" fontId="8" fillId="0" borderId="0" xfId="0" applyNumberFormat="1" applyFont="1" applyFill="1"/>
    <xf numFmtId="38" fontId="7" fillId="0" borderId="0" xfId="0" applyNumberFormat="1" applyFont="1" applyFill="1"/>
    <xf numFmtId="38" fontId="15" fillId="0" borderId="0" xfId="1" applyNumberFormat="1" applyFont="1" applyFill="1" applyBorder="1" applyAlignment="1">
      <alignment horizontal="center"/>
    </xf>
    <xf numFmtId="38" fontId="14" fillId="0" borderId="0" xfId="1" quotePrefix="1" applyNumberFormat="1" applyFont="1" applyFill="1" applyBorder="1" applyAlignment="1">
      <alignment horizontal="center"/>
    </xf>
    <xf numFmtId="38" fontId="11" fillId="0" borderId="0" xfId="1" applyNumberFormat="1" applyFont="1" applyFill="1" applyBorder="1"/>
    <xf numFmtId="37" fontId="11" fillId="0" borderId="0" xfId="1" applyNumberFormat="1" applyFont="1" applyFill="1" applyBorder="1"/>
    <xf numFmtId="38" fontId="11" fillId="0" borderId="0" xfId="0" applyNumberFormat="1" applyFont="1" applyFill="1"/>
    <xf numFmtId="38" fontId="6" fillId="0" borderId="0" xfId="1" applyNumberFormat="1" applyFont="1" applyFill="1" applyBorder="1"/>
    <xf numFmtId="37" fontId="6" fillId="0" borderId="0" xfId="1" applyNumberFormat="1" applyFont="1" applyFill="1" applyBorder="1"/>
    <xf numFmtId="38" fontId="6" fillId="0" borderId="0" xfId="0" applyNumberFormat="1" applyFont="1" applyFill="1"/>
    <xf numFmtId="38" fontId="14" fillId="0" borderId="0" xfId="1" applyNumberFormat="1" applyFont="1" applyFill="1" applyAlignment="1">
      <alignment horizontal="center"/>
    </xf>
    <xf numFmtId="38" fontId="14" fillId="0" borderId="0" xfId="1" quotePrefix="1" applyNumberFormat="1" applyFont="1" applyFill="1" applyAlignment="1">
      <alignment horizontal="center"/>
    </xf>
    <xf numFmtId="38" fontId="15" fillId="0" borderId="0" xfId="1" applyNumberFormat="1" applyFont="1" applyFill="1" applyAlignment="1">
      <alignment horizontal="center"/>
    </xf>
    <xf numFmtId="49" fontId="7" fillId="0" borderId="0" xfId="0" quotePrefix="1" applyNumberFormat="1" applyFont="1" applyFill="1" applyAlignment="1">
      <alignment horizontal="left"/>
    </xf>
    <xf numFmtId="0" fontId="14" fillId="0" borderId="0" xfId="0" applyFont="1" applyFill="1" applyAlignment="1">
      <alignment horizontal="center"/>
    </xf>
    <xf numFmtId="49" fontId="16" fillId="0" borderId="0" xfId="0" applyNumberFormat="1" applyFont="1" applyFill="1"/>
    <xf numFmtId="37" fontId="7" fillId="0" borderId="0" xfId="0" applyNumberFormat="1" applyFont="1" applyFill="1" applyAlignment="1">
      <alignment horizontal="center"/>
    </xf>
    <xf numFmtId="164" fontId="14" fillId="0" borderId="0" xfId="1" quotePrefix="1" applyNumberFormat="1" applyFont="1" applyFill="1" applyAlignment="1">
      <alignment horizontal="center"/>
    </xf>
    <xf numFmtId="37" fontId="14" fillId="0" borderId="0" xfId="0" quotePrefix="1" applyNumberFormat="1" applyFont="1" applyFill="1" applyAlignment="1">
      <alignment horizontal="center"/>
    </xf>
    <xf numFmtId="0" fontId="11" fillId="0" borderId="0" xfId="0" applyFont="1" applyFill="1"/>
    <xf numFmtId="0" fontId="6" fillId="0" borderId="0" xfId="0" applyFont="1" applyFill="1"/>
    <xf numFmtId="44" fontId="7" fillId="0" borderId="0" xfId="2" applyFont="1" applyFill="1" applyAlignment="1">
      <alignment horizontal="left"/>
    </xf>
    <xf numFmtId="37" fontId="11" fillId="0" borderId="0" xfId="0" applyNumberFormat="1" applyFont="1" applyFill="1"/>
    <xf numFmtId="37" fontId="6" fillId="0" borderId="0" xfId="0" applyNumberFormat="1" applyFont="1" applyFill="1" applyBorder="1"/>
    <xf numFmtId="0" fontId="7" fillId="0" borderId="0" xfId="0" applyFont="1" applyFill="1" applyBorder="1"/>
    <xf numFmtId="0" fontId="0" fillId="0" borderId="0" xfId="0" applyFont="1" applyFill="1" applyBorder="1"/>
    <xf numFmtId="0" fontId="7" fillId="0" borderId="0" xfId="0" quotePrefix="1" applyFont="1" applyFill="1" applyBorder="1" applyAlignment="1">
      <alignment horizontal="left"/>
    </xf>
    <xf numFmtId="37" fontId="7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center"/>
    </xf>
    <xf numFmtId="37" fontId="17" fillId="0" borderId="0" xfId="0" applyNumberFormat="1" applyFont="1" applyFill="1" applyAlignment="1">
      <alignment horizontal="center"/>
    </xf>
    <xf numFmtId="0" fontId="18" fillId="0" borderId="0" xfId="0" applyFont="1" applyFill="1"/>
    <xf numFmtId="0" fontId="7" fillId="0" borderId="0" xfId="0" applyFont="1" applyFill="1" applyBorder="1" applyAlignment="1">
      <alignment horizontal="left"/>
    </xf>
    <xf numFmtId="49" fontId="14" fillId="0" borderId="0" xfId="0" applyNumberFormat="1" applyFont="1" applyFill="1"/>
    <xf numFmtId="0" fontId="15" fillId="0" borderId="0" xfId="0" applyFont="1" applyFill="1"/>
    <xf numFmtId="37" fontId="14" fillId="0" borderId="0" xfId="0" applyNumberFormat="1" applyFont="1" applyFill="1"/>
    <xf numFmtId="37" fontId="12" fillId="0" borderId="0" xfId="0" applyNumberFormat="1" applyFont="1" applyFill="1"/>
    <xf numFmtId="37" fontId="9" fillId="0" borderId="0" xfId="0" applyNumberFormat="1" applyFont="1" applyFill="1"/>
    <xf numFmtId="37" fontId="13" fillId="0" borderId="0" xfId="0" applyNumberFormat="1" applyFont="1" applyFill="1"/>
    <xf numFmtId="3" fontId="13" fillId="0" borderId="0" xfId="0" applyNumberFormat="1" applyFont="1" applyFill="1"/>
    <xf numFmtId="0" fontId="15" fillId="0" borderId="0" xfId="0" applyFont="1" applyFill="1" applyAlignment="1">
      <alignment horizontal="center"/>
    </xf>
    <xf numFmtId="43" fontId="0" fillId="0" borderId="7" xfId="0" applyNumberFormat="1" applyFont="1" applyFill="1" applyBorder="1"/>
    <xf numFmtId="49" fontId="14" fillId="0" borderId="0" xfId="0" quotePrefix="1" applyNumberFormat="1" applyFont="1" applyFill="1" applyAlignment="1">
      <alignment horizontal="left"/>
    </xf>
    <xf numFmtId="37" fontId="0" fillId="0" borderId="0" xfId="0" applyNumberFormat="1" applyFont="1" applyFill="1"/>
    <xf numFmtId="38" fontId="15" fillId="0" borderId="0" xfId="1" quotePrefix="1" applyNumberFormat="1" applyFont="1" applyFill="1" applyAlignment="1">
      <alignment horizontal="center"/>
    </xf>
    <xf numFmtId="38" fontId="0" fillId="0" borderId="0" xfId="0" applyNumberFormat="1" applyFont="1" applyFill="1"/>
    <xf numFmtId="38" fontId="10" fillId="0" borderId="0" xfId="0" applyNumberFormat="1" applyFont="1" applyFill="1" applyAlignment="1">
      <alignment horizontal="center"/>
    </xf>
    <xf numFmtId="0" fontId="19" fillId="0" borderId="0" xfId="0" applyFont="1" applyFill="1"/>
    <xf numFmtId="37" fontId="7" fillId="0" borderId="1" xfId="0" applyNumberFormat="1" applyFont="1" applyFill="1" applyBorder="1"/>
    <xf numFmtId="38" fontId="7" fillId="0" borderId="1" xfId="0" applyNumberFormat="1" applyFont="1" applyFill="1" applyBorder="1"/>
    <xf numFmtId="37" fontId="8" fillId="0" borderId="1" xfId="0" applyNumberFormat="1" applyFont="1" applyFill="1" applyBorder="1"/>
    <xf numFmtId="37" fontId="20" fillId="0" borderId="0" xfId="0" applyNumberFormat="1" applyFont="1" applyFill="1"/>
    <xf numFmtId="38" fontId="21" fillId="0" borderId="0" xfId="1" applyNumberFormat="1" applyFont="1" applyFill="1" applyAlignment="1">
      <alignment horizontal="center"/>
    </xf>
    <xf numFmtId="37" fontId="22" fillId="0" borderId="1" xfId="1" applyNumberFormat="1" applyFont="1" applyFill="1" applyBorder="1"/>
    <xf numFmtId="37" fontId="20" fillId="0" borderId="1" xfId="1" applyNumberFormat="1" applyFont="1" applyFill="1" applyBorder="1"/>
    <xf numFmtId="38" fontId="23" fillId="0" borderId="0" xfId="1" applyNumberFormat="1" applyFont="1" applyFill="1" applyAlignment="1">
      <alignment horizontal="center"/>
    </xf>
    <xf numFmtId="38" fontId="20" fillId="0" borderId="1" xfId="1" applyNumberFormat="1" applyFont="1" applyFill="1" applyBorder="1"/>
    <xf numFmtId="37" fontId="24" fillId="0" borderId="1" xfId="1" applyNumberFormat="1" applyFont="1" applyFill="1" applyBorder="1"/>
    <xf numFmtId="38" fontId="25" fillId="0" borderId="1" xfId="1" applyNumberFormat="1" applyFont="1" applyFill="1" applyBorder="1"/>
    <xf numFmtId="37" fontId="25" fillId="0" borderId="1" xfId="1" applyNumberFormat="1" applyFont="1" applyFill="1" applyBorder="1"/>
    <xf numFmtId="37" fontId="24" fillId="0" borderId="0" xfId="0" applyNumberFormat="1" applyFont="1" applyFill="1"/>
    <xf numFmtId="3" fontId="24" fillId="0" borderId="0" xfId="0" applyNumberFormat="1" applyFont="1" applyFill="1"/>
    <xf numFmtId="0" fontId="21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37" fontId="15" fillId="0" borderId="0" xfId="0" applyNumberFormat="1" applyFont="1" applyFill="1" applyAlignment="1">
      <alignment horizontal="center"/>
    </xf>
    <xf numFmtId="37" fontId="26" fillId="0" borderId="0" xfId="0" applyNumberFormat="1" applyFont="1" applyFill="1" applyAlignment="1">
      <alignment horizontal="center"/>
    </xf>
    <xf numFmtId="37" fontId="7" fillId="0" borderId="0" xfId="1" applyNumberFormat="1" applyFont="1" applyFill="1" applyBorder="1"/>
    <xf numFmtId="38" fontId="7" fillId="0" borderId="0" xfId="1" applyNumberFormat="1" applyFont="1" applyFill="1" applyBorder="1"/>
    <xf numFmtId="38" fontId="8" fillId="0" borderId="0" xfId="1" applyNumberFormat="1" applyFont="1" applyFill="1" applyBorder="1"/>
    <xf numFmtId="37" fontId="8" fillId="0" borderId="0" xfId="1" applyNumberFormat="1" applyFont="1" applyFill="1" applyBorder="1"/>
    <xf numFmtId="0" fontId="20" fillId="0" borderId="0" xfId="0" applyFont="1" applyFill="1" applyAlignment="1">
      <alignment horizontal="center"/>
    </xf>
    <xf numFmtId="0" fontId="25" fillId="0" borderId="0" xfId="0" applyFont="1" applyFill="1"/>
    <xf numFmtId="43" fontId="0" fillId="0" borderId="9" xfId="0" applyNumberFormat="1" applyFont="1" applyFill="1" applyBorder="1"/>
    <xf numFmtId="49" fontId="11" fillId="0" borderId="0" xfId="0" applyNumberFormat="1" applyFont="1" applyFill="1"/>
    <xf numFmtId="37" fontId="11" fillId="0" borderId="2" xfId="1" applyNumberFormat="1" applyFont="1" applyFill="1" applyBorder="1"/>
    <xf numFmtId="38" fontId="11" fillId="0" borderId="2" xfId="1" applyNumberFormat="1" applyFont="1" applyFill="1" applyBorder="1"/>
    <xf numFmtId="37" fontId="6" fillId="0" borderId="2" xfId="1" applyNumberFormat="1" applyFont="1" applyFill="1" applyBorder="1"/>
    <xf numFmtId="37" fontId="7" fillId="0" borderId="2" xfId="1" applyNumberFormat="1" applyFont="1" applyFill="1" applyBorder="1"/>
    <xf numFmtId="38" fontId="7" fillId="0" borderId="2" xfId="1" applyNumberFormat="1" applyFont="1" applyFill="1" applyBorder="1"/>
    <xf numFmtId="38" fontId="8" fillId="0" borderId="2" xfId="1" applyNumberFormat="1" applyFont="1" applyFill="1" applyBorder="1"/>
    <xf numFmtId="37" fontId="8" fillId="0" borderId="2" xfId="1" applyNumberFormat="1" applyFont="1" applyFill="1" applyBorder="1"/>
    <xf numFmtId="43" fontId="0" fillId="0" borderId="0" xfId="0" applyNumberFormat="1" applyFont="1" applyFill="1"/>
    <xf numFmtId="37" fontId="7" fillId="0" borderId="0" xfId="1" applyNumberFormat="1" applyFont="1" applyFill="1"/>
    <xf numFmtId="37" fontId="8" fillId="0" borderId="0" xfId="1" applyNumberFormat="1" applyFont="1" applyFill="1"/>
    <xf numFmtId="37" fontId="11" fillId="0" borderId="0" xfId="1" applyNumberFormat="1" applyFont="1" applyFill="1"/>
    <xf numFmtId="38" fontId="7" fillId="0" borderId="0" xfId="1" applyNumberFormat="1" applyFont="1" applyFill="1"/>
    <xf numFmtId="37" fontId="6" fillId="0" borderId="0" xfId="1" applyNumberFormat="1" applyFont="1" applyFill="1"/>
    <xf numFmtId="38" fontId="8" fillId="0" borderId="0" xfId="1" applyNumberFormat="1" applyFont="1" applyFill="1"/>
    <xf numFmtId="37" fontId="14" fillId="0" borderId="2" xfId="1" applyNumberFormat="1" applyFont="1" applyFill="1" applyBorder="1"/>
    <xf numFmtId="37" fontId="9" fillId="0" borderId="2" xfId="1" applyNumberFormat="1" applyFont="1" applyFill="1" applyBorder="1"/>
    <xf numFmtId="37" fontId="6" fillId="0" borderId="3" xfId="0" applyNumberFormat="1" applyFont="1" applyFill="1" applyBorder="1" applyProtection="1"/>
    <xf numFmtId="38" fontId="11" fillId="0" borderId="3" xfId="0" applyNumberFormat="1" applyFont="1" applyFill="1" applyBorder="1" applyProtection="1"/>
    <xf numFmtId="37" fontId="11" fillId="0" borderId="3" xfId="0" applyNumberFormat="1" applyFont="1" applyFill="1" applyBorder="1" applyProtection="1"/>
    <xf numFmtId="37" fontId="7" fillId="0" borderId="3" xfId="0" applyNumberFormat="1" applyFont="1" applyFill="1" applyBorder="1" applyProtection="1"/>
    <xf numFmtId="38" fontId="7" fillId="0" borderId="3" xfId="0" applyNumberFormat="1" applyFont="1" applyFill="1" applyBorder="1" applyProtection="1"/>
    <xf numFmtId="38" fontId="8" fillId="0" borderId="3" xfId="0" applyNumberFormat="1" applyFont="1" applyFill="1" applyBorder="1" applyProtection="1"/>
    <xf numFmtId="37" fontId="8" fillId="0" borderId="3" xfId="0" applyNumberFormat="1" applyFont="1" applyFill="1" applyBorder="1" applyProtection="1"/>
    <xf numFmtId="38" fontId="14" fillId="0" borderId="0" xfId="0" applyNumberFormat="1" applyFont="1" applyFill="1" applyAlignment="1">
      <alignment horizontal="center"/>
    </xf>
    <xf numFmtId="37" fontId="27" fillId="0" borderId="0" xfId="0" applyNumberFormat="1" applyFont="1" applyFill="1"/>
    <xf numFmtId="38" fontId="15" fillId="0" borderId="0" xfId="0" applyNumberFormat="1" applyFont="1" applyFill="1" applyAlignment="1">
      <alignment horizontal="center"/>
    </xf>
    <xf numFmtId="41" fontId="28" fillId="0" borderId="0" xfId="0" applyNumberFormat="1" applyFont="1" applyFill="1" applyProtection="1"/>
    <xf numFmtId="41" fontId="7" fillId="0" borderId="0" xfId="0" applyNumberFormat="1" applyFont="1" applyFill="1" applyProtection="1"/>
    <xf numFmtId="37" fontId="6" fillId="0" borderId="0" xfId="0" applyNumberFormat="1" applyFont="1" applyFill="1" applyProtection="1">
      <protection locked="0"/>
    </xf>
    <xf numFmtId="37" fontId="11" fillId="0" borderId="0" xfId="0" applyNumberFormat="1" applyFont="1" applyFill="1" applyProtection="1">
      <protection locked="0"/>
    </xf>
    <xf numFmtId="41" fontId="29" fillId="0" borderId="0" xfId="0" applyNumberFormat="1" applyFont="1" applyFill="1" applyProtection="1"/>
    <xf numFmtId="41" fontId="7" fillId="0" borderId="0" xfId="0" quotePrefix="1" applyNumberFormat="1" applyFont="1" applyFill="1" applyAlignment="1" applyProtection="1">
      <alignment horizontal="left"/>
    </xf>
    <xf numFmtId="41" fontId="7" fillId="0" borderId="0" xfId="0" applyNumberFormat="1" applyFont="1" applyFill="1" applyAlignment="1" applyProtection="1">
      <alignment horizontal="left"/>
    </xf>
    <xf numFmtId="0" fontId="7" fillId="0" borderId="0" xfId="0" quotePrefix="1" applyFont="1" applyFill="1"/>
    <xf numFmtId="0" fontId="7" fillId="0" borderId="0" xfId="0" quotePrefix="1" applyFont="1" applyFill="1" applyAlignment="1">
      <alignment horizontal="center"/>
    </xf>
    <xf numFmtId="37" fontId="6" fillId="0" borderId="2" xfId="0" applyNumberFormat="1" applyFont="1" applyFill="1" applyBorder="1"/>
    <xf numFmtId="37" fontId="7" fillId="0" borderId="2" xfId="0" applyNumberFormat="1" applyFont="1" applyFill="1" applyBorder="1"/>
    <xf numFmtId="37" fontId="11" fillId="0" borderId="2" xfId="0" applyNumberFormat="1" applyFont="1" applyFill="1" applyBorder="1"/>
    <xf numFmtId="37" fontId="6" fillId="0" borderId="0" xfId="0" applyNumberFormat="1" applyFont="1" applyFill="1" applyProtection="1"/>
    <xf numFmtId="41" fontId="11" fillId="0" borderId="0" xfId="0" applyNumberFormat="1" applyFont="1" applyFill="1" applyProtection="1"/>
    <xf numFmtId="37" fontId="11" fillId="0" borderId="0" xfId="0" applyNumberFormat="1" applyFont="1" applyFill="1" applyProtection="1"/>
    <xf numFmtId="37" fontId="11" fillId="0" borderId="0" xfId="0" applyNumberFormat="1" applyFont="1" applyFill="1" applyBorder="1"/>
    <xf numFmtId="165" fontId="6" fillId="0" borderId="0" xfId="0" applyNumberFormat="1" applyFont="1" applyFill="1" applyProtection="1">
      <protection locked="0"/>
    </xf>
    <xf numFmtId="165" fontId="11" fillId="0" borderId="0" xfId="0" applyNumberFormat="1" applyFont="1" applyFill="1" applyProtection="1">
      <protection locked="0"/>
    </xf>
    <xf numFmtId="0" fontId="7" fillId="0" borderId="0" xfId="0" applyFont="1" applyFill="1" applyAlignment="1">
      <alignment horizontal="right"/>
    </xf>
    <xf numFmtId="0" fontId="7" fillId="0" borderId="2" xfId="0" applyFont="1" applyFill="1" applyBorder="1"/>
    <xf numFmtId="0" fontId="0" fillId="0" borderId="2" xfId="0" applyFont="1" applyFill="1" applyBorder="1"/>
    <xf numFmtId="0" fontId="8" fillId="0" borderId="2" xfId="0" applyFont="1" applyFill="1" applyBorder="1"/>
    <xf numFmtId="0" fontId="6" fillId="0" borderId="2" xfId="0" applyFont="1" applyFill="1" applyBorder="1"/>
    <xf numFmtId="0" fontId="6" fillId="0" borderId="0" xfId="0" applyFont="1" applyFill="1" applyBorder="1"/>
    <xf numFmtId="37" fontId="6" fillId="0" borderId="4" xfId="0" applyNumberFormat="1" applyFont="1" applyFill="1" applyBorder="1" applyProtection="1"/>
    <xf numFmtId="41" fontId="11" fillId="0" borderId="4" xfId="0" applyNumberFormat="1" applyFont="1" applyFill="1" applyBorder="1" applyProtection="1"/>
    <xf numFmtId="37" fontId="11" fillId="0" borderId="4" xfId="0" applyNumberFormat="1" applyFont="1" applyFill="1" applyBorder="1" applyProtection="1"/>
    <xf numFmtId="38" fontId="11" fillId="0" borderId="3" xfId="0" applyNumberFormat="1" applyFont="1" applyFill="1" applyBorder="1"/>
    <xf numFmtId="38" fontId="6" fillId="0" borderId="3" xfId="0" applyNumberFormat="1" applyFont="1" applyFill="1" applyBorder="1"/>
    <xf numFmtId="37" fontId="6" fillId="0" borderId="3" xfId="0" applyNumberFormat="1" applyFont="1" applyFill="1" applyBorder="1"/>
    <xf numFmtId="37" fontId="11" fillId="0" borderId="3" xfId="0" applyNumberFormat="1" applyFont="1" applyFill="1" applyBorder="1"/>
    <xf numFmtId="37" fontId="6" fillId="0" borderId="0" xfId="4" applyNumberFormat="1" applyFont="1" applyFill="1" applyAlignment="1" applyProtection="1"/>
    <xf numFmtId="38" fontId="11" fillId="0" borderId="5" xfId="0" applyNumberFormat="1" applyFont="1" applyFill="1" applyBorder="1"/>
    <xf numFmtId="38" fontId="6" fillId="0" borderId="5" xfId="0" applyNumberFormat="1" applyFont="1" applyFill="1" applyBorder="1"/>
    <xf numFmtId="41" fontId="29" fillId="0" borderId="0" xfId="0" applyNumberFormat="1" applyFont="1" applyFill="1" applyBorder="1" applyProtection="1"/>
    <xf numFmtId="38" fontId="6" fillId="0" borderId="1" xfId="1" applyNumberFormat="1" applyFont="1" applyFill="1" applyBorder="1"/>
    <xf numFmtId="38" fontId="11" fillId="0" borderId="1" xfId="1" applyNumberFormat="1" applyFont="1" applyFill="1" applyBorder="1"/>
    <xf numFmtId="0" fontId="6" fillId="0" borderId="1" xfId="0" applyFont="1" applyFill="1" applyBorder="1"/>
    <xf numFmtId="38" fontId="6" fillId="0" borderId="0" xfId="1" applyNumberFormat="1" applyFont="1" applyFill="1"/>
    <xf numFmtId="38" fontId="11" fillId="0" borderId="0" xfId="1" applyNumberFormat="1" applyFont="1" applyFill="1"/>
    <xf numFmtId="165" fontId="6" fillId="0" borderId="0" xfId="3" applyNumberFormat="1" applyFont="1" applyFill="1"/>
    <xf numFmtId="165" fontId="11" fillId="0" borderId="0" xfId="3" applyNumberFormat="1" applyFont="1" applyFill="1"/>
    <xf numFmtId="37" fontId="8" fillId="0" borderId="0" xfId="0" applyNumberFormat="1" applyFont="1" applyFill="1" applyBorder="1"/>
    <xf numFmtId="37" fontId="6" fillId="0" borderId="6" xfId="1" applyNumberFormat="1" applyFont="1" applyFill="1" applyBorder="1"/>
    <xf numFmtId="38" fontId="7" fillId="0" borderId="7" xfId="0" applyNumberFormat="1" applyFont="1" applyFill="1" applyBorder="1"/>
    <xf numFmtId="37" fontId="11" fillId="0" borderId="6" xfId="1" applyNumberFormat="1" applyFont="1" applyFill="1" applyBorder="1"/>
    <xf numFmtId="37" fontId="6" fillId="0" borderId="7" xfId="1" applyNumberFormat="1" applyFont="1" applyFill="1" applyBorder="1"/>
    <xf numFmtId="37" fontId="11" fillId="0" borderId="7" xfId="1" applyNumberFormat="1" applyFont="1" applyFill="1" applyBorder="1"/>
    <xf numFmtId="38" fontId="11" fillId="0" borderId="7" xfId="0" applyNumberFormat="1" applyFont="1" applyFill="1" applyBorder="1"/>
    <xf numFmtId="38" fontId="6" fillId="0" borderId="7" xfId="0" applyNumberFormat="1" applyFont="1" applyFill="1" applyBorder="1"/>
    <xf numFmtId="37" fontId="6" fillId="0" borderId="6" xfId="0" applyNumberFormat="1" applyFont="1" applyFill="1" applyBorder="1"/>
    <xf numFmtId="37" fontId="11" fillId="0" borderId="6" xfId="0" applyNumberFormat="1" applyFont="1" applyFill="1" applyBorder="1"/>
    <xf numFmtId="37" fontId="6" fillId="0" borderId="7" xfId="0" applyNumberFormat="1" applyFont="1" applyFill="1" applyBorder="1"/>
    <xf numFmtId="0" fontId="0" fillId="0" borderId="0" xfId="0" applyFont="1" applyFill="1" applyAlignment="1">
      <alignment horizontal="right"/>
    </xf>
    <xf numFmtId="41" fontId="30" fillId="0" borderId="0" xfId="0" applyNumberFormat="1" applyFont="1" applyFill="1" applyProtection="1"/>
    <xf numFmtId="0" fontId="17" fillId="0" borderId="0" xfId="0" applyFont="1" applyFill="1" applyAlignment="1">
      <alignment horizontal="center"/>
    </xf>
    <xf numFmtId="37" fontId="8" fillId="0" borderId="0" xfId="0" applyNumberFormat="1" applyFont="1" applyFill="1" applyAlignment="1">
      <alignment horizontal="center"/>
    </xf>
    <xf numFmtId="37" fontId="6" fillId="0" borderId="0" xfId="1" applyNumberFormat="1" applyFont="1" applyFill="1" applyProtection="1"/>
    <xf numFmtId="38" fontId="11" fillId="0" borderId="0" xfId="1" applyNumberFormat="1" applyFont="1" applyFill="1" applyProtection="1"/>
    <xf numFmtId="37" fontId="11" fillId="0" borderId="0" xfId="1" applyNumberFormat="1" applyFont="1" applyFill="1" applyProtection="1"/>
    <xf numFmtId="165" fontId="6" fillId="0" borderId="2" xfId="3" applyNumberFormat="1" applyFont="1" applyFill="1" applyBorder="1" applyProtection="1">
      <protection locked="0"/>
    </xf>
    <xf numFmtId="165" fontId="11" fillId="0" borderId="0" xfId="3" applyNumberFormat="1" applyFont="1" applyFill="1" applyBorder="1" applyProtection="1">
      <protection locked="0"/>
    </xf>
    <xf numFmtId="165" fontId="11" fillId="0" borderId="2" xfId="3" applyNumberFormat="1" applyFont="1" applyFill="1" applyBorder="1" applyProtection="1">
      <protection locked="0"/>
    </xf>
    <xf numFmtId="165" fontId="6" fillId="0" borderId="0" xfId="3" applyNumberFormat="1" applyFont="1" applyFill="1" applyBorder="1" applyProtection="1">
      <protection locked="0"/>
    </xf>
    <xf numFmtId="37" fontId="6" fillId="0" borderId="4" xfId="1" applyNumberFormat="1" applyFont="1" applyFill="1" applyBorder="1" applyProtection="1"/>
    <xf numFmtId="38" fontId="11" fillId="0" borderId="4" xfId="1" applyNumberFormat="1" applyFont="1" applyFill="1" applyBorder="1" applyProtection="1"/>
    <xf numFmtId="37" fontId="11" fillId="0" borderId="4" xfId="1" applyNumberFormat="1" applyFont="1" applyFill="1" applyBorder="1" applyProtection="1"/>
    <xf numFmtId="9" fontId="7" fillId="0" borderId="0" xfId="0" applyNumberFormat="1" applyFont="1" applyFill="1" applyProtection="1"/>
    <xf numFmtId="3" fontId="6" fillId="0" borderId="0" xfId="0" applyNumberFormat="1" applyFont="1" applyFill="1" applyBorder="1"/>
    <xf numFmtId="0" fontId="1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7" fontId="6" fillId="0" borderId="0" xfId="1" applyNumberFormat="1" applyFont="1" applyFill="1" applyBorder="1" applyProtection="1"/>
    <xf numFmtId="37" fontId="6" fillId="0" borderId="5" xfId="0" applyNumberFormat="1" applyFont="1" applyFill="1" applyBorder="1"/>
    <xf numFmtId="0" fontId="27" fillId="0" borderId="0" xfId="0" quotePrefix="1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27" fillId="0" borderId="1" xfId="0" applyFont="1" applyFill="1" applyBorder="1"/>
    <xf numFmtId="37" fontId="0" fillId="0" borderId="1" xfId="0" applyNumberFormat="1" applyFont="1" applyFill="1" applyBorder="1"/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37" fontId="31" fillId="0" borderId="0" xfId="0" applyNumberFormat="1" applyFont="1" applyFill="1" applyAlignment="1">
      <alignment horizontal="center"/>
    </xf>
    <xf numFmtId="0" fontId="0" fillId="0" borderId="0" xfId="0" quotePrefix="1" applyFont="1" applyFill="1"/>
    <xf numFmtId="38" fontId="0" fillId="0" borderId="2" xfId="0" applyNumberFormat="1" applyFont="1" applyFill="1" applyBorder="1"/>
    <xf numFmtId="0" fontId="27" fillId="0" borderId="0" xfId="0" applyFont="1" applyFill="1"/>
    <xf numFmtId="38" fontId="27" fillId="0" borderId="6" xfId="0" applyNumberFormat="1" applyFont="1" applyFill="1" applyBorder="1"/>
    <xf numFmtId="0" fontId="10" fillId="0" borderId="0" xfId="0" applyFont="1" applyFill="1"/>
    <xf numFmtId="166" fontId="0" fillId="0" borderId="2" xfId="0" applyNumberFormat="1" applyFont="1" applyFill="1" applyBorder="1"/>
    <xf numFmtId="38" fontId="0" fillId="0" borderId="6" xfId="0" applyNumberFormat="1" applyFont="1" applyFill="1" applyBorder="1"/>
    <xf numFmtId="38" fontId="27" fillId="0" borderId="0" xfId="0" applyNumberFormat="1" applyFont="1" applyFill="1"/>
    <xf numFmtId="0" fontId="0" fillId="0" borderId="0" xfId="0" quotePrefix="1" applyFont="1" applyFill="1" applyAlignment="1">
      <alignment horizontal="left"/>
    </xf>
    <xf numFmtId="1" fontId="27" fillId="0" borderId="0" xfId="0" quotePrefix="1" applyNumberFormat="1" applyFont="1" applyFill="1" applyAlignment="1">
      <alignment horizontal="center"/>
    </xf>
    <xf numFmtId="37" fontId="27" fillId="0" borderId="0" xfId="0" applyNumberFormat="1" applyFont="1" applyFill="1" applyBorder="1" applyAlignment="1">
      <alignment horizontal="center"/>
    </xf>
    <xf numFmtId="38" fontId="0" fillId="0" borderId="0" xfId="0" applyNumberFormat="1" applyFont="1" applyFill="1" applyBorder="1"/>
    <xf numFmtId="37" fontId="0" fillId="0" borderId="0" xfId="0" applyNumberFormat="1" applyFont="1" applyFill="1" applyBorder="1"/>
    <xf numFmtId="37" fontId="0" fillId="0" borderId="0" xfId="0" applyNumberFormat="1" applyFont="1" applyFill="1" applyAlignment="1">
      <alignment horizontal="center"/>
    </xf>
    <xf numFmtId="37" fontId="0" fillId="0" borderId="2" xfId="0" applyNumberFormat="1" applyFont="1" applyFill="1" applyBorder="1"/>
    <xf numFmtId="38" fontId="10" fillId="0" borderId="0" xfId="0" applyNumberFormat="1" applyFont="1" applyFill="1"/>
    <xf numFmtId="166" fontId="0" fillId="0" borderId="0" xfId="0" applyNumberFormat="1" applyFont="1" applyFill="1" applyBorder="1"/>
    <xf numFmtId="37" fontId="0" fillId="0" borderId="0" xfId="0" quotePrefix="1" applyNumberFormat="1" applyFont="1" applyFill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37" fontId="0" fillId="0" borderId="1" xfId="0" applyNumberFormat="1" applyFont="1" applyFill="1" applyBorder="1" applyAlignment="1">
      <alignment horizontal="center"/>
    </xf>
    <xf numFmtId="1" fontId="0" fillId="0" borderId="0" xfId="0" applyNumberFormat="1" applyFont="1" applyFill="1" applyAlignment="1">
      <alignment horizontal="right"/>
    </xf>
    <xf numFmtId="38" fontId="0" fillId="0" borderId="1" xfId="0" applyNumberFormat="1" applyFont="1" applyFill="1" applyBorder="1"/>
    <xf numFmtId="37" fontId="0" fillId="0" borderId="0" xfId="0" applyNumberFormat="1" applyFont="1" applyFill="1" applyAlignment="1">
      <alignment horizontal="right"/>
    </xf>
    <xf numFmtId="37" fontId="0" fillId="0" borderId="0" xfId="0" applyNumberFormat="1" applyFont="1" applyFill="1" applyAlignment="1">
      <alignment horizontal="left"/>
    </xf>
    <xf numFmtId="37" fontId="0" fillId="0" borderId="6" xfId="0" applyNumberFormat="1" applyFont="1" applyFill="1" applyBorder="1"/>
    <xf numFmtId="37" fontId="10" fillId="0" borderId="2" xfId="0" applyNumberFormat="1" applyFont="1" applyFill="1" applyBorder="1"/>
    <xf numFmtId="38" fontId="27" fillId="0" borderId="3" xfId="0" applyNumberFormat="1" applyFont="1" applyFill="1" applyBorder="1"/>
    <xf numFmtId="166" fontId="10" fillId="0" borderId="0" xfId="3" applyNumberFormat="1" applyFont="1" applyFill="1" applyBorder="1"/>
    <xf numFmtId="0" fontId="0" fillId="0" borderId="0" xfId="0" applyFont="1" applyFill="1" applyAlignment="1">
      <alignment horizontal="left"/>
    </xf>
    <xf numFmtId="38" fontId="0" fillId="0" borderId="8" xfId="0" applyNumberFormat="1" applyFont="1" applyFill="1" applyBorder="1"/>
    <xf numFmtId="166" fontId="0" fillId="0" borderId="6" xfId="3" applyNumberFormat="1" applyFont="1" applyFill="1" applyBorder="1"/>
    <xf numFmtId="166" fontId="0" fillId="0" borderId="0" xfId="0" applyNumberFormat="1" applyFont="1" applyFill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=@round(FN162*0.055,0)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BV322"/>
  <sheetViews>
    <sheetView tabSelected="1" topLeftCell="A5" zoomScaleNormal="100" workbookViewId="0">
      <pane xSplit="3" ySplit="5" topLeftCell="BL290" activePane="bottomRight" state="frozen"/>
      <selection activeCell="A5" sqref="A5"/>
      <selection pane="topRight" activeCell="D5" sqref="D5"/>
      <selection pane="bottomLeft" activeCell="A10" sqref="A10"/>
      <selection pane="bottomRight" activeCell="BT313" sqref="BT313"/>
    </sheetView>
  </sheetViews>
  <sheetFormatPr defaultRowHeight="15"/>
  <cols>
    <col min="1" max="1" width="26" style="7" customWidth="1"/>
    <col min="2" max="2" width="9.140625" style="7"/>
    <col min="3" max="3" width="9.140625" style="7" customWidth="1"/>
    <col min="4" max="4" width="17.7109375" style="7" hidden="1" customWidth="1"/>
    <col min="5" max="5" width="15.5703125" style="7" hidden="1" customWidth="1"/>
    <col min="6" max="6" width="0" style="7" hidden="1" customWidth="1"/>
    <col min="7" max="7" width="21" style="7" customWidth="1"/>
    <col min="8" max="40" width="9.140625" style="7" hidden="1" customWidth="1"/>
    <col min="41" max="41" width="0" style="7" hidden="1" customWidth="1"/>
    <col min="42" max="57" width="9.140625" style="7" hidden="1" customWidth="1"/>
    <col min="58" max="58" width="19" style="7" hidden="1" customWidth="1"/>
    <col min="59" max="59" width="8.7109375" style="7" hidden="1" customWidth="1"/>
    <col min="60" max="60" width="14.7109375" style="7" hidden="1" customWidth="1"/>
    <col min="61" max="61" width="20.7109375" style="7" hidden="1" customWidth="1"/>
    <col min="62" max="62" width="17.28515625" style="7" hidden="1" customWidth="1"/>
    <col min="63" max="63" width="0" style="7" hidden="1" customWidth="1"/>
    <col min="64" max="64" width="19.5703125" style="7" customWidth="1"/>
    <col min="65" max="65" width="9.140625" style="7"/>
    <col min="66" max="66" width="17.42578125" style="7" customWidth="1"/>
    <col min="67" max="67" width="18.5703125" style="7" customWidth="1"/>
    <col min="68" max="69" width="16.85546875" style="7" customWidth="1"/>
    <col min="70" max="70" width="16.140625" style="7" customWidth="1"/>
    <col min="71" max="71" width="4.5703125" style="7" customWidth="1"/>
    <col min="72" max="72" width="10.28515625" style="7" customWidth="1"/>
    <col min="73" max="73" width="16" style="7" bestFit="1" customWidth="1"/>
    <col min="74" max="74" width="62.5703125" style="7" bestFit="1" customWidth="1"/>
    <col min="75" max="16384" width="9.140625" style="7"/>
  </cols>
  <sheetData>
    <row r="5" spans="1:69" ht="38.25">
      <c r="A5" s="6" t="s">
        <v>0</v>
      </c>
      <c r="F5" s="8"/>
      <c r="G5" s="9"/>
      <c r="V5" s="9"/>
      <c r="X5" s="8"/>
      <c r="Y5" s="9"/>
      <c r="AC5" s="9"/>
      <c r="AD5" s="9"/>
      <c r="AF5" s="9"/>
      <c r="AH5" s="8"/>
      <c r="AI5" s="9"/>
      <c r="AK5" s="9"/>
      <c r="AL5" s="8"/>
      <c r="AM5" s="9"/>
      <c r="AN5" s="9"/>
      <c r="AP5" s="10"/>
      <c r="AQ5" s="11"/>
      <c r="AR5" s="12"/>
      <c r="AS5" s="10"/>
      <c r="AT5" s="13"/>
      <c r="AU5" s="10"/>
      <c r="AV5" s="10"/>
      <c r="AX5" s="10"/>
      <c r="AY5" s="11"/>
      <c r="AZ5" s="12"/>
      <c r="BA5" s="10"/>
      <c r="BB5" s="13"/>
      <c r="BC5" s="10"/>
      <c r="BD5" s="10"/>
      <c r="BL5" s="10"/>
      <c r="BN5" s="14"/>
      <c r="BO5" s="15" t="s">
        <v>352</v>
      </c>
      <c r="BP5" s="9"/>
      <c r="BQ5" s="9"/>
    </row>
    <row r="6" spans="1:69" ht="18.75">
      <c r="A6" s="16" t="s">
        <v>1</v>
      </c>
      <c r="B6" s="17"/>
      <c r="C6" s="17"/>
      <c r="D6" s="17"/>
      <c r="E6" s="17"/>
      <c r="F6" s="18"/>
      <c r="G6" s="19"/>
      <c r="V6" s="9"/>
      <c r="X6" s="8"/>
      <c r="Y6" s="9"/>
      <c r="AC6" s="9"/>
      <c r="AD6" s="9"/>
      <c r="AF6" s="9"/>
      <c r="AH6" s="8"/>
      <c r="AI6" s="9"/>
      <c r="AK6" s="9"/>
      <c r="AL6" s="8"/>
      <c r="AM6" s="9"/>
      <c r="AN6" s="9"/>
      <c r="AP6" s="10"/>
      <c r="AQ6" s="11"/>
      <c r="AR6" s="12"/>
      <c r="AS6" s="10"/>
      <c r="AT6" s="13"/>
      <c r="AU6" s="10"/>
      <c r="AV6" s="10"/>
      <c r="AX6" s="10"/>
      <c r="AY6" s="11"/>
      <c r="AZ6" s="12"/>
      <c r="BA6" s="10"/>
      <c r="BB6" s="13"/>
      <c r="BC6" s="10"/>
      <c r="BD6" s="10"/>
      <c r="BF6" s="20"/>
      <c r="BL6" s="10"/>
      <c r="BN6" s="14"/>
      <c r="BP6" s="9"/>
      <c r="BQ6" s="9"/>
    </row>
    <row r="7" spans="1:69" ht="18.75" thickBot="1">
      <c r="A7" s="21"/>
      <c r="D7" s="17"/>
      <c r="E7" s="17"/>
      <c r="F7" s="8"/>
      <c r="G7" s="22"/>
      <c r="H7" s="23"/>
      <c r="J7" s="24" t="s">
        <v>2</v>
      </c>
      <c r="K7" s="25"/>
      <c r="L7" s="25"/>
      <c r="M7" s="25"/>
      <c r="N7" s="25"/>
      <c r="O7" s="25"/>
      <c r="Q7" s="24" t="s">
        <v>3</v>
      </c>
      <c r="R7" s="25"/>
      <c r="S7" s="25"/>
      <c r="T7" s="25"/>
      <c r="V7" s="26" t="s">
        <v>4</v>
      </c>
      <c r="W7" s="27"/>
      <c r="X7" s="27"/>
      <c r="Y7" s="27"/>
      <c r="AA7" s="26" t="s">
        <v>5</v>
      </c>
      <c r="AB7" s="27"/>
      <c r="AC7" s="27"/>
      <c r="AD7" s="27"/>
      <c r="AF7" s="26" t="s">
        <v>6</v>
      </c>
      <c r="AG7" s="27"/>
      <c r="AH7" s="27"/>
      <c r="AI7" s="27"/>
      <c r="AK7" s="26" t="s">
        <v>7</v>
      </c>
      <c r="AL7" s="27"/>
      <c r="AM7" s="27"/>
      <c r="AN7" s="27"/>
      <c r="AP7" s="28" t="s">
        <v>8</v>
      </c>
      <c r="AQ7" s="28"/>
      <c r="AR7" s="28"/>
      <c r="AS7" s="28"/>
      <c r="AT7" s="28"/>
      <c r="AU7" s="28"/>
      <c r="AV7" s="28"/>
      <c r="AW7" s="9"/>
      <c r="AX7" s="28" t="s">
        <v>9</v>
      </c>
      <c r="AY7" s="28"/>
      <c r="AZ7" s="28"/>
      <c r="BA7" s="28"/>
      <c r="BB7" s="28"/>
      <c r="BC7" s="28"/>
      <c r="BD7" s="28"/>
      <c r="BE7" s="9"/>
      <c r="BF7" s="28" t="s">
        <v>10</v>
      </c>
      <c r="BG7" s="28"/>
      <c r="BH7" s="28"/>
      <c r="BI7" s="28"/>
      <c r="BJ7" s="28"/>
      <c r="BK7" s="9"/>
      <c r="BL7" s="28">
        <v>2010</v>
      </c>
      <c r="BM7" s="28"/>
      <c r="BN7" s="28"/>
      <c r="BO7" s="28"/>
      <c r="BP7" s="28"/>
      <c r="BQ7" s="29"/>
    </row>
    <row r="8" spans="1:69" ht="18.75">
      <c r="A8" s="30"/>
      <c r="B8" s="31"/>
      <c r="C8" s="31"/>
      <c r="D8" s="31" t="s">
        <v>11</v>
      </c>
      <c r="E8" s="31"/>
      <c r="F8" s="32"/>
      <c r="G8" s="33">
        <v>2009</v>
      </c>
      <c r="H8" s="31" t="s">
        <v>20</v>
      </c>
      <c r="I8" s="31"/>
      <c r="J8" s="31"/>
      <c r="K8" s="31"/>
      <c r="L8" s="32"/>
      <c r="M8" s="34" t="s">
        <v>12</v>
      </c>
      <c r="N8" s="32"/>
      <c r="O8" s="31" t="s">
        <v>13</v>
      </c>
      <c r="P8" s="31"/>
      <c r="Q8" s="31" t="s">
        <v>14</v>
      </c>
      <c r="R8" s="32"/>
      <c r="S8" s="34" t="s">
        <v>15</v>
      </c>
      <c r="T8" s="31" t="s">
        <v>21</v>
      </c>
      <c r="U8" s="31"/>
      <c r="V8" s="33"/>
      <c r="W8" s="31"/>
      <c r="X8" s="32"/>
      <c r="Y8" s="33" t="s">
        <v>13</v>
      </c>
      <c r="Z8" s="31"/>
      <c r="AA8" s="31" t="s">
        <v>17</v>
      </c>
      <c r="AB8" s="32"/>
      <c r="AC8" s="35" t="s">
        <v>15</v>
      </c>
      <c r="AD8" s="33" t="s">
        <v>21</v>
      </c>
      <c r="AE8" s="31"/>
      <c r="AF8" s="33"/>
      <c r="AG8" s="31"/>
      <c r="AH8" s="32"/>
      <c r="AI8" s="33" t="s">
        <v>16</v>
      </c>
      <c r="AJ8" s="31"/>
      <c r="AK8" s="33" t="s">
        <v>17</v>
      </c>
      <c r="AL8" s="32"/>
      <c r="AM8" s="35" t="s">
        <v>15</v>
      </c>
      <c r="AN8" s="33" t="s">
        <v>21</v>
      </c>
      <c r="AO8" s="31"/>
      <c r="AP8" s="36"/>
      <c r="AQ8" s="37"/>
      <c r="AR8" s="38"/>
      <c r="AS8" s="36"/>
      <c r="AT8" s="33"/>
      <c r="AU8" s="36"/>
      <c r="AV8" s="36"/>
      <c r="AW8" s="33"/>
      <c r="AX8" s="36"/>
      <c r="AY8" s="37"/>
      <c r="AZ8" s="38"/>
      <c r="BA8" s="36"/>
      <c r="BB8" s="33"/>
      <c r="BC8" s="36"/>
      <c r="BD8" s="36"/>
      <c r="BE8" s="33"/>
      <c r="BF8" s="36"/>
      <c r="BG8" s="37"/>
      <c r="BH8" s="38"/>
      <c r="BI8" s="36"/>
      <c r="BJ8" s="36"/>
      <c r="BK8" s="33"/>
      <c r="BL8" s="36"/>
      <c r="BM8" s="37"/>
      <c r="BN8" s="39"/>
      <c r="BO8" s="36"/>
      <c r="BP8" s="36"/>
      <c r="BQ8" s="36"/>
    </row>
    <row r="9" spans="1:69" ht="18.75">
      <c r="A9" s="40"/>
      <c r="B9" s="31"/>
      <c r="C9" s="31"/>
      <c r="D9" s="23" t="s">
        <v>32</v>
      </c>
      <c r="E9" s="23" t="s">
        <v>24</v>
      </c>
      <c r="F9" s="41" t="s">
        <v>25</v>
      </c>
      <c r="G9" s="42" t="s">
        <v>22</v>
      </c>
      <c r="H9" s="23" t="s">
        <v>33</v>
      </c>
      <c r="I9" s="31"/>
      <c r="J9" s="23" t="s">
        <v>23</v>
      </c>
      <c r="K9" s="23" t="s">
        <v>24</v>
      </c>
      <c r="L9" s="41" t="s">
        <v>25</v>
      </c>
      <c r="M9" s="41" t="s">
        <v>26</v>
      </c>
      <c r="N9" s="41" t="s">
        <v>25</v>
      </c>
      <c r="O9" s="23" t="s">
        <v>27</v>
      </c>
      <c r="P9" s="31"/>
      <c r="Q9" s="23" t="s">
        <v>26</v>
      </c>
      <c r="R9" s="41" t="s">
        <v>25</v>
      </c>
      <c r="S9" s="41" t="s">
        <v>28</v>
      </c>
      <c r="T9" s="23" t="s">
        <v>27</v>
      </c>
      <c r="U9" s="31"/>
      <c r="V9" s="42" t="s">
        <v>29</v>
      </c>
      <c r="W9" s="23" t="s">
        <v>24</v>
      </c>
      <c r="X9" s="41" t="s">
        <v>25</v>
      </c>
      <c r="Y9" s="42" t="s">
        <v>27</v>
      </c>
      <c r="Z9" s="31"/>
      <c r="AA9" s="23" t="s">
        <v>26</v>
      </c>
      <c r="AB9" s="41" t="s">
        <v>25</v>
      </c>
      <c r="AC9" s="43" t="s">
        <v>28</v>
      </c>
      <c r="AD9" s="42" t="s">
        <v>27</v>
      </c>
      <c r="AE9" s="31"/>
      <c r="AF9" s="42" t="s">
        <v>30</v>
      </c>
      <c r="AG9" s="23" t="s">
        <v>24</v>
      </c>
      <c r="AH9" s="41" t="s">
        <v>25</v>
      </c>
      <c r="AI9" s="42" t="s">
        <v>27</v>
      </c>
      <c r="AJ9" s="31"/>
      <c r="AK9" s="42" t="s">
        <v>26</v>
      </c>
      <c r="AL9" s="41" t="s">
        <v>25</v>
      </c>
      <c r="AM9" s="43" t="s">
        <v>28</v>
      </c>
      <c r="AN9" s="42" t="s">
        <v>27</v>
      </c>
      <c r="AO9" s="31"/>
      <c r="AP9" s="36" t="s">
        <v>34</v>
      </c>
      <c r="AQ9" s="37" t="s">
        <v>24</v>
      </c>
      <c r="AR9" s="38" t="s">
        <v>25</v>
      </c>
      <c r="AS9" s="36" t="s">
        <v>18</v>
      </c>
      <c r="AT9" s="33" t="s">
        <v>25</v>
      </c>
      <c r="AU9" s="36" t="s">
        <v>15</v>
      </c>
      <c r="AV9" s="36" t="s">
        <v>19</v>
      </c>
      <c r="AW9" s="33"/>
      <c r="AX9" s="36" t="s">
        <v>34</v>
      </c>
      <c r="AY9" s="37" t="s">
        <v>24</v>
      </c>
      <c r="AZ9" s="38" t="s">
        <v>25</v>
      </c>
      <c r="BA9" s="36" t="s">
        <v>18</v>
      </c>
      <c r="BB9" s="33" t="s">
        <v>25</v>
      </c>
      <c r="BC9" s="36" t="s">
        <v>15</v>
      </c>
      <c r="BD9" s="36" t="s">
        <v>35</v>
      </c>
      <c r="BE9" s="33"/>
      <c r="BF9" s="36" t="s">
        <v>36</v>
      </c>
      <c r="BG9" s="37" t="s">
        <v>24</v>
      </c>
      <c r="BH9" s="38" t="s">
        <v>25</v>
      </c>
      <c r="BI9" s="36" t="s">
        <v>15</v>
      </c>
      <c r="BJ9" s="36" t="s">
        <v>37</v>
      </c>
      <c r="BK9" s="33"/>
      <c r="BL9" s="36" t="s">
        <v>36</v>
      </c>
      <c r="BM9" s="37" t="s">
        <v>24</v>
      </c>
      <c r="BN9" s="39" t="s">
        <v>25</v>
      </c>
      <c r="BO9" s="36" t="s">
        <v>15</v>
      </c>
      <c r="BP9" s="36" t="s">
        <v>38</v>
      </c>
      <c r="BQ9" s="36"/>
    </row>
    <row r="10" spans="1:69" ht="18.75">
      <c r="A10" s="40"/>
      <c r="B10" s="31"/>
      <c r="C10" s="31"/>
      <c r="D10" s="44"/>
      <c r="E10" s="44"/>
      <c r="F10" s="44"/>
      <c r="G10" s="33"/>
      <c r="H10" s="31"/>
      <c r="I10" s="31"/>
      <c r="J10" s="44"/>
      <c r="K10" s="44"/>
      <c r="L10" s="44"/>
      <c r="M10" s="45"/>
      <c r="N10" s="44"/>
      <c r="O10" s="44"/>
      <c r="P10" s="31"/>
      <c r="Q10" s="44"/>
      <c r="R10" s="44"/>
      <c r="S10" s="45"/>
      <c r="T10" s="44"/>
      <c r="U10" s="31"/>
      <c r="V10" s="46"/>
      <c r="W10" s="44"/>
      <c r="X10" s="44"/>
      <c r="Y10" s="46"/>
      <c r="Z10" s="31"/>
      <c r="AA10" s="44"/>
      <c r="AB10" s="44"/>
      <c r="AC10" s="47"/>
      <c r="AD10" s="46"/>
      <c r="AE10" s="31"/>
      <c r="AF10" s="46"/>
      <c r="AG10" s="44"/>
      <c r="AH10" s="44" t="s">
        <v>39</v>
      </c>
      <c r="AI10" s="46"/>
      <c r="AJ10" s="31"/>
      <c r="AK10" s="46"/>
      <c r="AL10" s="44"/>
      <c r="AM10" s="47"/>
      <c r="AN10" s="46"/>
      <c r="AO10" s="31"/>
      <c r="AP10" s="36"/>
      <c r="AQ10" s="37"/>
      <c r="AR10" s="38"/>
      <c r="AS10" s="36" t="s">
        <v>40</v>
      </c>
      <c r="AT10" s="33"/>
      <c r="AU10" s="36" t="s">
        <v>31</v>
      </c>
      <c r="AV10" s="36" t="s">
        <v>41</v>
      </c>
      <c r="AW10" s="33"/>
      <c r="AX10" s="36"/>
      <c r="AY10" s="37"/>
      <c r="AZ10" s="38"/>
      <c r="BA10" s="36" t="s">
        <v>31</v>
      </c>
      <c r="BB10" s="33"/>
      <c r="BC10" s="36" t="s">
        <v>31</v>
      </c>
      <c r="BD10" s="36" t="s">
        <v>41</v>
      </c>
      <c r="BE10" s="33"/>
      <c r="BF10" s="36"/>
      <c r="BG10" s="37"/>
      <c r="BH10" s="38"/>
      <c r="BI10" s="36" t="s">
        <v>28</v>
      </c>
      <c r="BJ10" s="36" t="s">
        <v>41</v>
      </c>
      <c r="BK10" s="33"/>
      <c r="BL10" s="36"/>
      <c r="BM10" s="37"/>
      <c r="BN10" s="39"/>
      <c r="BO10" s="36" t="s">
        <v>28</v>
      </c>
      <c r="BP10" s="36" t="s">
        <v>41</v>
      </c>
      <c r="BQ10" s="36"/>
    </row>
    <row r="11" spans="1:69" ht="18">
      <c r="A11" s="48" t="s">
        <v>42</v>
      </c>
      <c r="D11" s="49">
        <v>117435607</v>
      </c>
      <c r="F11" s="50" t="s">
        <v>43</v>
      </c>
      <c r="G11" s="51">
        <v>111233107</v>
      </c>
      <c r="H11" s="52" t="e">
        <f>+G11-#REF!</f>
        <v>#REF!</v>
      </c>
      <c r="J11" s="49">
        <v>22620915</v>
      </c>
      <c r="K11" s="49"/>
      <c r="L11" s="53" t="s">
        <v>46</v>
      </c>
      <c r="M11" s="49">
        <v>5206000</v>
      </c>
      <c r="N11" s="54" t="s">
        <v>44</v>
      </c>
      <c r="O11" s="55">
        <f>(J11+K11+M11)*4</f>
        <v>111307660</v>
      </c>
      <c r="Q11" s="49">
        <v>99424000</v>
      </c>
      <c r="R11" s="54" t="s">
        <v>44</v>
      </c>
      <c r="S11" s="56">
        <f>J11+K11+M11+Q11</f>
        <v>127250915</v>
      </c>
      <c r="T11" s="57">
        <f>+S11-O11</f>
        <v>15943255</v>
      </c>
      <c r="V11" s="51">
        <v>26850157</v>
      </c>
      <c r="W11" s="49"/>
      <c r="X11" s="50" t="s">
        <v>46</v>
      </c>
      <c r="Y11" s="58">
        <f>(V11+W11)*4</f>
        <v>107400628</v>
      </c>
      <c r="AA11" s="49">
        <v>96170000</v>
      </c>
      <c r="AB11" s="54" t="s">
        <v>44</v>
      </c>
      <c r="AC11" s="59">
        <f>V11+AA11</f>
        <v>123020157</v>
      </c>
      <c r="AD11" s="60">
        <f>+AC11-Y11</f>
        <v>15619529</v>
      </c>
      <c r="AF11" s="51">
        <v>60249599</v>
      </c>
      <c r="AG11" s="49"/>
      <c r="AH11" s="50" t="s">
        <v>46</v>
      </c>
      <c r="AI11" s="58">
        <f>(AF11+AG11)*2</f>
        <v>120499198</v>
      </c>
      <c r="AK11" s="51">
        <v>69255000</v>
      </c>
      <c r="AL11" s="54" t="s">
        <v>44</v>
      </c>
      <c r="AM11" s="59">
        <f>AF11+AK11</f>
        <v>129504599</v>
      </c>
      <c r="AN11" s="60">
        <f>+AM11-AI11</f>
        <v>9005401</v>
      </c>
      <c r="AP11" s="10">
        <v>108268240</v>
      </c>
      <c r="AQ11" s="11"/>
      <c r="AR11" s="50" t="s">
        <v>43</v>
      </c>
      <c r="AS11" s="10">
        <f>5344000+4855000</f>
        <v>10199000</v>
      </c>
      <c r="AT11" s="13">
        <v>2.2000000000000002</v>
      </c>
      <c r="AU11" s="10">
        <f>+AS11+AP11</f>
        <v>118467240</v>
      </c>
      <c r="AV11" s="10">
        <f>+AU11-AM11</f>
        <v>-11037359</v>
      </c>
      <c r="AW11" s="31"/>
      <c r="AX11" s="10">
        <v>108268240</v>
      </c>
      <c r="AY11" s="11"/>
      <c r="AZ11" s="50" t="s">
        <v>43</v>
      </c>
      <c r="BA11" s="10">
        <f>127713492-AX11</f>
        <v>19445252</v>
      </c>
      <c r="BB11" s="13">
        <v>1</v>
      </c>
      <c r="BC11" s="10">
        <v>108268240</v>
      </c>
      <c r="BD11" s="10">
        <f>+BC11-AU11</f>
        <v>-10199000</v>
      </c>
      <c r="BE11" s="31"/>
      <c r="BF11" s="10">
        <v>121510993</v>
      </c>
      <c r="BG11" s="11"/>
      <c r="BH11" s="50" t="s">
        <v>43</v>
      </c>
      <c r="BI11" s="10">
        <f>+BF11+BG11</f>
        <v>121510993</v>
      </c>
      <c r="BJ11" s="10">
        <f>+BI11-BC11</f>
        <v>13242753</v>
      </c>
      <c r="BK11" s="31"/>
      <c r="BL11" s="10">
        <v>121510993</v>
      </c>
      <c r="BM11" s="31"/>
      <c r="BN11" s="50" t="s">
        <v>43</v>
      </c>
      <c r="BO11" s="10">
        <f>+BL11+BM11</f>
        <v>121510993</v>
      </c>
      <c r="BP11" s="36">
        <f>+BO11-BI11</f>
        <v>0</v>
      </c>
      <c r="BQ11" s="36"/>
    </row>
    <row r="12" spans="1:69" ht="18">
      <c r="A12" s="48" t="s">
        <v>47</v>
      </c>
      <c r="D12" s="49"/>
      <c r="F12" s="50" t="s">
        <v>43</v>
      </c>
      <c r="G12" s="51">
        <v>6202500</v>
      </c>
      <c r="H12" s="52"/>
      <c r="J12" s="49"/>
      <c r="K12" s="49"/>
      <c r="L12" s="53"/>
      <c r="M12" s="49"/>
      <c r="N12" s="54"/>
      <c r="O12" s="55"/>
      <c r="Q12" s="49"/>
      <c r="R12" s="54"/>
      <c r="S12" s="56"/>
      <c r="T12" s="57"/>
      <c r="V12" s="51"/>
      <c r="W12" s="49"/>
      <c r="X12" s="50"/>
      <c r="Y12" s="58"/>
      <c r="AA12" s="49"/>
      <c r="AB12" s="54"/>
      <c r="AC12" s="59"/>
      <c r="AD12" s="60"/>
      <c r="AF12" s="51"/>
      <c r="AG12" s="49"/>
      <c r="AH12" s="50"/>
      <c r="AI12" s="58"/>
      <c r="AK12" s="51"/>
      <c r="AL12" s="54"/>
      <c r="AM12" s="59"/>
      <c r="AN12" s="60"/>
      <c r="AP12" s="10">
        <v>5168750</v>
      </c>
      <c r="AQ12" s="11"/>
      <c r="AR12" s="50" t="s">
        <v>43</v>
      </c>
      <c r="AS12" s="10"/>
      <c r="AT12" s="13"/>
      <c r="AU12" s="10"/>
      <c r="AV12" s="10"/>
      <c r="AW12" s="31"/>
      <c r="AX12" s="10">
        <v>5168750</v>
      </c>
      <c r="AY12" s="11"/>
      <c r="AZ12" s="50" t="s">
        <v>43</v>
      </c>
      <c r="BA12" s="10"/>
      <c r="BB12" s="13"/>
      <c r="BC12" s="10">
        <v>5168750</v>
      </c>
      <c r="BD12" s="10">
        <f>+BC12-AU12</f>
        <v>5168750</v>
      </c>
      <c r="BE12" s="31"/>
      <c r="BF12" s="10">
        <v>6202500</v>
      </c>
      <c r="BG12" s="11"/>
      <c r="BH12" s="50" t="s">
        <v>43</v>
      </c>
      <c r="BI12" s="10">
        <f>+BF12</f>
        <v>6202500</v>
      </c>
      <c r="BJ12" s="10">
        <f>+BI12-BC12</f>
        <v>1033750</v>
      </c>
      <c r="BK12" s="31"/>
      <c r="BL12" s="10">
        <v>6202500</v>
      </c>
      <c r="BM12" s="31"/>
      <c r="BN12" s="50" t="s">
        <v>43</v>
      </c>
      <c r="BO12" s="10">
        <f t="shared" ref="BO12:BO20" si="0">+BL12+BM12</f>
        <v>6202500</v>
      </c>
      <c r="BP12" s="36">
        <f t="shared" ref="BP12:BP20" si="1">+BO12-BI12</f>
        <v>0</v>
      </c>
      <c r="BQ12" s="36"/>
    </row>
    <row r="13" spans="1:69" ht="18">
      <c r="A13" s="48" t="s">
        <v>48</v>
      </c>
      <c r="D13" s="49">
        <f>62979509+84439872-98892525</f>
        <v>48526856</v>
      </c>
      <c r="F13" s="61" t="s">
        <v>45</v>
      </c>
      <c r="G13" s="51">
        <f>+D13+E13</f>
        <v>48526856</v>
      </c>
      <c r="H13" s="52" t="e">
        <f>+G13-#REF!</f>
        <v>#REF!</v>
      </c>
      <c r="J13" s="49">
        <f>9721687+10379187-9157120</f>
        <v>10943754</v>
      </c>
      <c r="K13" s="49"/>
      <c r="L13" s="53" t="s">
        <v>50</v>
      </c>
      <c r="M13" s="49">
        <v>2180000</v>
      </c>
      <c r="N13" s="62" t="s">
        <v>49</v>
      </c>
      <c r="O13" s="55">
        <f>(J13+K13+M13)*4</f>
        <v>52495016</v>
      </c>
      <c r="Q13" s="49">
        <v>47088000</v>
      </c>
      <c r="R13" s="62" t="s">
        <v>49</v>
      </c>
      <c r="S13" s="56">
        <f t="shared" ref="S13:S77" si="2">J13+K13+M13+Q13</f>
        <v>60211754</v>
      </c>
      <c r="T13" s="57">
        <f t="shared" ref="T13:T77" si="3">+S13-O13</f>
        <v>7716738</v>
      </c>
      <c r="V13" s="51">
        <f>10893430+15497463-13185561</f>
        <v>13205332</v>
      </c>
      <c r="W13" s="49"/>
      <c r="X13" s="50" t="s">
        <v>50</v>
      </c>
      <c r="Y13" s="58">
        <f t="shared" ref="Y13:Y33" si="4">(V13+W13)*4</f>
        <v>52821328</v>
      </c>
      <c r="AA13" s="49">
        <v>46560000</v>
      </c>
      <c r="AB13" s="62" t="s">
        <v>49</v>
      </c>
      <c r="AC13" s="59">
        <f>V13+AA13</f>
        <v>59765332</v>
      </c>
      <c r="AD13" s="60">
        <f t="shared" ref="AD13:AD77" si="5">+AC13-Y13</f>
        <v>6944004</v>
      </c>
      <c r="AF13" s="51">
        <v>29940506</v>
      </c>
      <c r="AG13" s="49"/>
      <c r="AH13" s="50" t="s">
        <v>50</v>
      </c>
      <c r="AI13" s="58">
        <f t="shared" ref="AI13:AI19" si="6">(AF13+AG13)*2</f>
        <v>59881012</v>
      </c>
      <c r="AK13" s="51">
        <v>33614000</v>
      </c>
      <c r="AL13" s="62" t="s">
        <v>49</v>
      </c>
      <c r="AM13" s="59">
        <f>AF13+AK13</f>
        <v>63554506</v>
      </c>
      <c r="AN13" s="60">
        <f t="shared" ref="AN13:AN77" si="7">+AM13-AI13</f>
        <v>3673494</v>
      </c>
      <c r="AP13" s="10">
        <v>56754356</v>
      </c>
      <c r="AQ13" s="11"/>
      <c r="AR13" s="50" t="s">
        <v>50</v>
      </c>
      <c r="AS13" s="10">
        <f>2207000+2441000-63000-57000</f>
        <v>4528000</v>
      </c>
      <c r="AT13" s="13" t="s">
        <v>51</v>
      </c>
      <c r="AU13" s="10">
        <f>+AS13+AP13</f>
        <v>61282356</v>
      </c>
      <c r="AV13" s="10">
        <f t="shared" ref="AV13:AV33" si="8">+AU13-AM13</f>
        <v>-2272150</v>
      </c>
      <c r="AX13" s="10">
        <v>56754356</v>
      </c>
      <c r="AY13" s="11"/>
      <c r="AZ13" s="50" t="s">
        <v>50</v>
      </c>
      <c r="BA13" s="10">
        <f>63336488-AX13</f>
        <v>6582132</v>
      </c>
      <c r="BB13" s="50" t="s">
        <v>50</v>
      </c>
      <c r="BC13" s="10">
        <f>+BA13+AX13</f>
        <v>63336488</v>
      </c>
      <c r="BD13" s="10">
        <f>+BC13-AU13</f>
        <v>2054132</v>
      </c>
      <c r="BF13" s="10">
        <v>63336594</v>
      </c>
      <c r="BG13" s="11"/>
      <c r="BH13" s="50" t="s">
        <v>50</v>
      </c>
      <c r="BI13" s="10">
        <f t="shared" ref="BI13:BI21" si="9">+BF13+BG13</f>
        <v>63336594</v>
      </c>
      <c r="BJ13" s="10">
        <f t="shared" ref="BJ13:BJ33" si="10">+BI13-BC13</f>
        <v>106</v>
      </c>
      <c r="BL13" s="10">
        <v>63336594</v>
      </c>
      <c r="BN13" s="50" t="s">
        <v>52</v>
      </c>
      <c r="BO13" s="10">
        <f t="shared" si="0"/>
        <v>63336594</v>
      </c>
      <c r="BP13" s="36">
        <f t="shared" si="1"/>
        <v>0</v>
      </c>
      <c r="BQ13" s="36"/>
    </row>
    <row r="14" spans="1:69" ht="18">
      <c r="A14" s="48" t="s">
        <v>53</v>
      </c>
      <c r="D14" s="49">
        <v>218417</v>
      </c>
      <c r="F14" s="61" t="s">
        <v>54</v>
      </c>
      <c r="G14" s="51">
        <v>218341</v>
      </c>
      <c r="H14" s="52" t="e">
        <f>+G14-#REF!</f>
        <v>#REF!</v>
      </c>
      <c r="J14" s="49">
        <v>19361</v>
      </c>
      <c r="K14" s="49"/>
      <c r="L14" s="63" t="s">
        <v>55</v>
      </c>
      <c r="M14" s="49"/>
      <c r="N14" s="62"/>
      <c r="O14" s="55">
        <f>(J14+K14+M14)*6</f>
        <v>116166</v>
      </c>
      <c r="Q14" s="49"/>
      <c r="R14" s="62"/>
      <c r="S14" s="56">
        <f>+O14</f>
        <v>116166</v>
      </c>
      <c r="T14" s="57">
        <f t="shared" si="3"/>
        <v>0</v>
      </c>
      <c r="V14" s="51">
        <v>38784</v>
      </c>
      <c r="W14" s="49"/>
      <c r="X14" s="61" t="s">
        <v>55</v>
      </c>
      <c r="Y14" s="58">
        <f t="shared" si="4"/>
        <v>155136</v>
      </c>
      <c r="AA14" s="49"/>
      <c r="AB14" s="62"/>
      <c r="AC14" s="59">
        <f>+Y14</f>
        <v>155136</v>
      </c>
      <c r="AD14" s="60">
        <f t="shared" si="5"/>
        <v>0</v>
      </c>
      <c r="AF14" s="51">
        <v>94882</v>
      </c>
      <c r="AG14" s="49"/>
      <c r="AH14" s="61" t="s">
        <v>55</v>
      </c>
      <c r="AI14" s="58">
        <f t="shared" si="6"/>
        <v>189764</v>
      </c>
      <c r="AK14" s="51"/>
      <c r="AL14" s="62"/>
      <c r="AM14" s="59">
        <f>+AI14</f>
        <v>189764</v>
      </c>
      <c r="AN14" s="60">
        <f t="shared" si="7"/>
        <v>0</v>
      </c>
      <c r="AP14" s="10">
        <v>191415</v>
      </c>
      <c r="AQ14" s="11"/>
      <c r="AR14" s="61" t="s">
        <v>56</v>
      </c>
      <c r="AS14" s="10"/>
      <c r="AT14" s="13"/>
      <c r="AU14" s="10">
        <f>+AP14/10*12</f>
        <v>229698</v>
      </c>
      <c r="AV14" s="10">
        <f t="shared" si="8"/>
        <v>39934</v>
      </c>
      <c r="AX14" s="10">
        <v>191415</v>
      </c>
      <c r="AY14" s="11"/>
      <c r="AZ14" s="61" t="s">
        <v>56</v>
      </c>
      <c r="BA14" s="10"/>
      <c r="BB14" s="13"/>
      <c r="BC14" s="10">
        <f>+AX14/10*12</f>
        <v>229698</v>
      </c>
      <c r="BD14" s="10">
        <f t="shared" ref="BD14:BD21" si="11">+BC14-AU14</f>
        <v>0</v>
      </c>
      <c r="BF14" s="10">
        <v>258617</v>
      </c>
      <c r="BG14" s="11"/>
      <c r="BH14" s="61" t="s">
        <v>57</v>
      </c>
      <c r="BI14" s="10">
        <f t="shared" si="9"/>
        <v>258617</v>
      </c>
      <c r="BJ14" s="10">
        <f t="shared" si="10"/>
        <v>28919</v>
      </c>
      <c r="BL14" s="10">
        <v>258617</v>
      </c>
      <c r="BN14" s="14">
        <v>10</v>
      </c>
      <c r="BO14" s="10">
        <f t="shared" si="0"/>
        <v>258617</v>
      </c>
      <c r="BP14" s="36">
        <f t="shared" si="1"/>
        <v>0</v>
      </c>
      <c r="BQ14" s="36"/>
    </row>
    <row r="15" spans="1:69" ht="18">
      <c r="A15" s="64" t="s">
        <v>58</v>
      </c>
      <c r="D15" s="49">
        <v>690000</v>
      </c>
      <c r="F15" s="61" t="s">
        <v>54</v>
      </c>
      <c r="G15" s="51">
        <v>625648</v>
      </c>
      <c r="H15" s="52" t="e">
        <f>+G15-#REF!</f>
        <v>#REF!</v>
      </c>
      <c r="J15" s="49">
        <v>118450</v>
      </c>
      <c r="K15" s="49"/>
      <c r="L15" s="63" t="s">
        <v>59</v>
      </c>
      <c r="M15" s="49"/>
      <c r="N15" s="62"/>
      <c r="O15" s="55">
        <f>(J15+K15+M15)*6</f>
        <v>710700</v>
      </c>
      <c r="Q15" s="49"/>
      <c r="R15" s="62"/>
      <c r="S15" s="56">
        <f>+O15</f>
        <v>710700</v>
      </c>
      <c r="T15" s="57">
        <f t="shared" si="3"/>
        <v>0</v>
      </c>
      <c r="V15" s="51">
        <v>177675</v>
      </c>
      <c r="W15" s="49"/>
      <c r="X15" s="61" t="s">
        <v>59</v>
      </c>
      <c r="Y15" s="58">
        <f t="shared" si="4"/>
        <v>710700</v>
      </c>
      <c r="AA15" s="49"/>
      <c r="AB15" s="62"/>
      <c r="AC15" s="59">
        <f>+Y15</f>
        <v>710700</v>
      </c>
      <c r="AD15" s="60">
        <f t="shared" si="5"/>
        <v>0</v>
      </c>
      <c r="AF15" s="51">
        <v>355350</v>
      </c>
      <c r="AG15" s="49"/>
      <c r="AH15" s="61" t="s">
        <v>59</v>
      </c>
      <c r="AI15" s="58">
        <f t="shared" si="6"/>
        <v>710700</v>
      </c>
      <c r="AK15" s="51"/>
      <c r="AL15" s="62"/>
      <c r="AM15" s="59">
        <f>+AI15</f>
        <v>710700</v>
      </c>
      <c r="AN15" s="60">
        <f t="shared" si="7"/>
        <v>0</v>
      </c>
      <c r="AP15" s="10">
        <v>592250</v>
      </c>
      <c r="AQ15" s="11"/>
      <c r="AR15" s="61" t="s">
        <v>56</v>
      </c>
      <c r="AS15" s="10"/>
      <c r="AT15" s="13"/>
      <c r="AU15" s="10">
        <f t="shared" ref="AU15:AU17" si="12">+AP15/10*12</f>
        <v>710700</v>
      </c>
      <c r="AV15" s="10">
        <f t="shared" si="8"/>
        <v>0</v>
      </c>
      <c r="AX15" s="10">
        <v>592250</v>
      </c>
      <c r="AY15" s="11"/>
      <c r="AZ15" s="61" t="s">
        <v>56</v>
      </c>
      <c r="BA15" s="10"/>
      <c r="BB15" s="13"/>
      <c r="BC15" s="10">
        <f t="shared" ref="BC15:BC17" si="13">+AX15/10*12</f>
        <v>710700</v>
      </c>
      <c r="BD15" s="10">
        <f t="shared" si="11"/>
        <v>0</v>
      </c>
      <c r="BF15" s="10">
        <v>710700</v>
      </c>
      <c r="BG15" s="11"/>
      <c r="BH15" s="61" t="s">
        <v>57</v>
      </c>
      <c r="BI15" s="10">
        <f t="shared" si="9"/>
        <v>710700</v>
      </c>
      <c r="BJ15" s="10">
        <f t="shared" si="10"/>
        <v>0</v>
      </c>
      <c r="BL15" s="10">
        <v>710119</v>
      </c>
      <c r="BN15" s="14">
        <v>8</v>
      </c>
      <c r="BO15" s="10">
        <f t="shared" si="0"/>
        <v>710119</v>
      </c>
      <c r="BP15" s="36">
        <f t="shared" si="1"/>
        <v>-581</v>
      </c>
      <c r="BQ15" s="36"/>
    </row>
    <row r="16" spans="1:69" ht="18">
      <c r="A16" s="48" t="s">
        <v>60</v>
      </c>
      <c r="D16" s="49">
        <v>20627</v>
      </c>
      <c r="F16" s="61" t="s">
        <v>54</v>
      </c>
      <c r="G16" s="51">
        <f>+D16+E16</f>
        <v>20627</v>
      </c>
      <c r="H16" s="52" t="e">
        <f>+G16-#REF!</f>
        <v>#REF!</v>
      </c>
      <c r="J16" s="49">
        <v>16095</v>
      </c>
      <c r="K16" s="49"/>
      <c r="L16" s="63" t="s">
        <v>59</v>
      </c>
      <c r="M16" s="49"/>
      <c r="N16" s="61"/>
      <c r="O16" s="55">
        <f>(J16+K16+M16)*6</f>
        <v>96570</v>
      </c>
      <c r="Q16" s="49"/>
      <c r="R16" s="61"/>
      <c r="S16" s="56">
        <f>+O16</f>
        <v>96570</v>
      </c>
      <c r="T16" s="57">
        <f t="shared" si="3"/>
        <v>0</v>
      </c>
      <c r="V16" s="51">
        <v>31095</v>
      </c>
      <c r="W16" s="49"/>
      <c r="X16" s="61" t="s">
        <v>59</v>
      </c>
      <c r="Y16" s="58">
        <f t="shared" si="4"/>
        <v>124380</v>
      </c>
      <c r="AA16" s="49"/>
      <c r="AB16" s="61"/>
      <c r="AC16" s="59">
        <f>+Y16</f>
        <v>124380</v>
      </c>
      <c r="AD16" s="60">
        <f t="shared" si="5"/>
        <v>0</v>
      </c>
      <c r="AF16" s="51">
        <v>31095</v>
      </c>
      <c r="AG16" s="49"/>
      <c r="AH16" s="61" t="s">
        <v>59</v>
      </c>
      <c r="AI16" s="58">
        <f t="shared" si="6"/>
        <v>62190</v>
      </c>
      <c r="AK16" s="51"/>
      <c r="AL16" s="61"/>
      <c r="AM16" s="59">
        <f>+AI16</f>
        <v>62190</v>
      </c>
      <c r="AN16" s="60">
        <f t="shared" si="7"/>
        <v>0</v>
      </c>
      <c r="AP16" s="10">
        <v>126095</v>
      </c>
      <c r="AQ16" s="11"/>
      <c r="AR16" s="61" t="s">
        <v>56</v>
      </c>
      <c r="AS16" s="10"/>
      <c r="AT16" s="13"/>
      <c r="AU16" s="10">
        <f t="shared" si="12"/>
        <v>151314</v>
      </c>
      <c r="AV16" s="10">
        <f t="shared" si="8"/>
        <v>89124</v>
      </c>
      <c r="AX16" s="10">
        <v>126095</v>
      </c>
      <c r="AY16" s="11"/>
      <c r="AZ16" s="61" t="s">
        <v>56</v>
      </c>
      <c r="BA16" s="10"/>
      <c r="BB16" s="13"/>
      <c r="BC16" s="10">
        <f t="shared" si="13"/>
        <v>151314</v>
      </c>
      <c r="BD16" s="10">
        <f t="shared" si="11"/>
        <v>0</v>
      </c>
      <c r="BF16" s="10">
        <v>126152</v>
      </c>
      <c r="BG16" s="11"/>
      <c r="BH16" s="61" t="s">
        <v>57</v>
      </c>
      <c r="BI16" s="10">
        <f t="shared" si="9"/>
        <v>126152</v>
      </c>
      <c r="BJ16" s="10">
        <f t="shared" si="10"/>
        <v>-25162</v>
      </c>
      <c r="BL16" s="10">
        <v>31153</v>
      </c>
      <c r="BN16" s="14">
        <v>13</v>
      </c>
      <c r="BO16" s="10">
        <f t="shared" si="0"/>
        <v>31153</v>
      </c>
      <c r="BP16" s="36">
        <f t="shared" si="1"/>
        <v>-94999</v>
      </c>
      <c r="BQ16" s="36"/>
    </row>
    <row r="17" spans="1:69" ht="18">
      <c r="A17" s="48" t="s">
        <v>61</v>
      </c>
      <c r="D17" s="49">
        <v>-1334441</v>
      </c>
      <c r="F17" s="61">
        <v>75</v>
      </c>
      <c r="G17" s="51">
        <f>+D17+E17</f>
        <v>-1334441</v>
      </c>
      <c r="H17" s="52" t="e">
        <f>+G17-#REF!</f>
        <v>#REF!</v>
      </c>
      <c r="J17" s="49">
        <v>-173334</v>
      </c>
      <c r="K17" s="49"/>
      <c r="L17" s="63">
        <v>20</v>
      </c>
      <c r="M17" s="49"/>
      <c r="N17" s="61"/>
      <c r="O17" s="55">
        <f>(J17+K17+M17)*6</f>
        <v>-1040004</v>
      </c>
      <c r="Q17" s="49"/>
      <c r="R17" s="61"/>
      <c r="S17" s="56">
        <f>+O17</f>
        <v>-1040004</v>
      </c>
      <c r="T17" s="57">
        <f t="shared" si="3"/>
        <v>0</v>
      </c>
      <c r="V17" s="51">
        <v>-250920</v>
      </c>
      <c r="W17" s="49"/>
      <c r="X17" s="61">
        <v>20</v>
      </c>
      <c r="Y17" s="58">
        <f t="shared" si="4"/>
        <v>-1003680</v>
      </c>
      <c r="AA17" s="49"/>
      <c r="AB17" s="61"/>
      <c r="AC17" s="59">
        <f>+Y17</f>
        <v>-1003680</v>
      </c>
      <c r="AD17" s="60">
        <f t="shared" si="5"/>
        <v>0</v>
      </c>
      <c r="AF17" s="51">
        <v>-501839</v>
      </c>
      <c r="AG17" s="49"/>
      <c r="AH17" s="61" t="s">
        <v>59</v>
      </c>
      <c r="AI17" s="58">
        <f t="shared" si="6"/>
        <v>-1003678</v>
      </c>
      <c r="AK17" s="51"/>
      <c r="AL17" s="61"/>
      <c r="AM17" s="59">
        <f>+AI17</f>
        <v>-1003678</v>
      </c>
      <c r="AN17" s="60">
        <f t="shared" si="7"/>
        <v>0</v>
      </c>
      <c r="AP17" s="10">
        <v>-836398</v>
      </c>
      <c r="AQ17" s="11"/>
      <c r="AR17" s="61" t="s">
        <v>62</v>
      </c>
      <c r="AS17" s="10"/>
      <c r="AT17" s="13"/>
      <c r="AU17" s="10">
        <f t="shared" si="12"/>
        <v>-1003677.6000000001</v>
      </c>
      <c r="AV17" s="10">
        <f t="shared" si="8"/>
        <v>0.39999999990686774</v>
      </c>
      <c r="AX17" s="10">
        <v>-836398</v>
      </c>
      <c r="AY17" s="11"/>
      <c r="AZ17" s="61" t="s">
        <v>62</v>
      </c>
      <c r="BA17" s="10"/>
      <c r="BB17" s="13"/>
      <c r="BC17" s="10">
        <f t="shared" si="13"/>
        <v>-1003677.6000000001</v>
      </c>
      <c r="BD17" s="10">
        <f t="shared" si="11"/>
        <v>0</v>
      </c>
      <c r="BF17" s="10">
        <v>-1003678</v>
      </c>
      <c r="BG17" s="11"/>
      <c r="BH17" s="61" t="s">
        <v>57</v>
      </c>
      <c r="BI17" s="10">
        <f t="shared" si="9"/>
        <v>-1003678</v>
      </c>
      <c r="BJ17" s="10">
        <f t="shared" si="10"/>
        <v>-0.39999999990686774</v>
      </c>
      <c r="BL17" s="10">
        <v>-1003678</v>
      </c>
      <c r="BN17" s="61" t="s">
        <v>63</v>
      </c>
      <c r="BO17" s="10">
        <f t="shared" si="0"/>
        <v>-1003678</v>
      </c>
      <c r="BP17" s="36">
        <f t="shared" si="1"/>
        <v>0</v>
      </c>
      <c r="BQ17" s="36"/>
    </row>
    <row r="18" spans="1:69" ht="18">
      <c r="A18" s="48" t="s">
        <v>64</v>
      </c>
      <c r="D18" s="49">
        <v>-1602984</v>
      </c>
      <c r="F18" s="61" t="s">
        <v>45</v>
      </c>
      <c r="G18" s="51">
        <f>+D18+E18</f>
        <v>-1602984</v>
      </c>
      <c r="H18" s="52" t="e">
        <f>+G18-#REF!</f>
        <v>#REF!</v>
      </c>
      <c r="J18" s="49">
        <v>-257300</v>
      </c>
      <c r="K18" s="49"/>
      <c r="L18" s="53" t="s">
        <v>50</v>
      </c>
      <c r="M18" s="49">
        <v>-129000</v>
      </c>
      <c r="N18" s="54" t="s">
        <v>44</v>
      </c>
      <c r="O18" s="55">
        <f>(J18+K18+M18)*4</f>
        <v>-1545200</v>
      </c>
      <c r="Q18" s="49">
        <v>-1032000</v>
      </c>
      <c r="R18" s="54" t="s">
        <v>44</v>
      </c>
      <c r="S18" s="56">
        <f t="shared" si="2"/>
        <v>-1418300</v>
      </c>
      <c r="T18" s="57">
        <f t="shared" si="3"/>
        <v>126900</v>
      </c>
      <c r="V18" s="51">
        <v>-385950</v>
      </c>
      <c r="W18" s="49"/>
      <c r="X18" s="50" t="s">
        <v>50</v>
      </c>
      <c r="Y18" s="58">
        <f t="shared" si="4"/>
        <v>-1543800</v>
      </c>
      <c r="AA18" s="49">
        <v>-1161000</v>
      </c>
      <c r="AB18" s="54" t="s">
        <v>44</v>
      </c>
      <c r="AC18" s="59">
        <f>V18+AA18</f>
        <v>-1546950</v>
      </c>
      <c r="AD18" s="60">
        <f t="shared" si="5"/>
        <v>-3150</v>
      </c>
      <c r="AF18" s="51">
        <v>-771900</v>
      </c>
      <c r="AG18" s="49"/>
      <c r="AH18" s="50" t="s">
        <v>50</v>
      </c>
      <c r="AI18" s="58">
        <f t="shared" si="6"/>
        <v>-1543800</v>
      </c>
      <c r="AK18" s="51">
        <f>-129000*6</f>
        <v>-774000</v>
      </c>
      <c r="AL18" s="54" t="s">
        <v>44</v>
      </c>
      <c r="AM18" s="59">
        <f>AF18+AK18</f>
        <v>-1545900</v>
      </c>
      <c r="AN18" s="60">
        <f t="shared" si="7"/>
        <v>-2100</v>
      </c>
      <c r="AP18" s="10">
        <v>-1286500</v>
      </c>
      <c r="AQ18" s="11"/>
      <c r="AR18" s="50" t="s">
        <v>50</v>
      </c>
      <c r="AS18" s="10">
        <v>-258000</v>
      </c>
      <c r="AT18" s="13">
        <v>2.2000000000000002</v>
      </c>
      <c r="AU18" s="10">
        <f t="shared" ref="AU18:AU19" si="14">+AS18+AP18</f>
        <v>-1544500</v>
      </c>
      <c r="AV18" s="10">
        <f t="shared" si="8"/>
        <v>1400</v>
      </c>
      <c r="AX18" s="10">
        <v>-1286500</v>
      </c>
      <c r="AY18" s="11"/>
      <c r="AZ18" s="50" t="s">
        <v>50</v>
      </c>
      <c r="BA18" s="10">
        <f>-1543800-AX18</f>
        <v>-257300</v>
      </c>
      <c r="BB18" s="50" t="s">
        <v>50</v>
      </c>
      <c r="BC18" s="10">
        <f t="shared" ref="BC18:BC19" si="15">+BA18+AX18</f>
        <v>-1543800</v>
      </c>
      <c r="BD18" s="10">
        <f t="shared" si="11"/>
        <v>700</v>
      </c>
      <c r="BF18" s="10">
        <v>-1543800</v>
      </c>
      <c r="BG18" s="11"/>
      <c r="BH18" s="50" t="s">
        <v>50</v>
      </c>
      <c r="BI18" s="10">
        <f t="shared" si="9"/>
        <v>-1543800</v>
      </c>
      <c r="BJ18" s="10">
        <f t="shared" si="10"/>
        <v>0</v>
      </c>
      <c r="BL18" s="10">
        <v>-1543800</v>
      </c>
      <c r="BN18" s="50" t="s">
        <v>65</v>
      </c>
      <c r="BO18" s="10">
        <f t="shared" si="0"/>
        <v>-1543800</v>
      </c>
      <c r="BP18" s="36">
        <f t="shared" si="1"/>
        <v>0</v>
      </c>
      <c r="BQ18" s="36"/>
    </row>
    <row r="19" spans="1:69" ht="18">
      <c r="A19" s="48" t="s">
        <v>66</v>
      </c>
      <c r="D19" s="49">
        <f>6590047+11575568-13667468</f>
        <v>4498147</v>
      </c>
      <c r="F19" s="50" t="s">
        <v>45</v>
      </c>
      <c r="G19" s="51">
        <f>+D19+E19</f>
        <v>4498147</v>
      </c>
      <c r="H19" s="52" t="e">
        <f>+G19-#REF!</f>
        <v>#REF!</v>
      </c>
      <c r="J19" s="49">
        <f>1222511+1686165-1335641</f>
        <v>1573035</v>
      </c>
      <c r="K19" s="49"/>
      <c r="L19" s="53" t="s">
        <v>50</v>
      </c>
      <c r="M19" s="49">
        <v>249000</v>
      </c>
      <c r="N19" s="54" t="s">
        <v>67</v>
      </c>
      <c r="O19" s="55">
        <f>(J19+K19+M19)*4</f>
        <v>7288140</v>
      </c>
      <c r="Q19" s="49">
        <v>6816000</v>
      </c>
      <c r="R19" s="54" t="s">
        <v>67</v>
      </c>
      <c r="S19" s="56">
        <f t="shared" si="2"/>
        <v>8638035</v>
      </c>
      <c r="T19" s="57">
        <f t="shared" si="3"/>
        <v>1349895</v>
      </c>
      <c r="V19" s="51">
        <f>1252269+2522888-1917549</f>
        <v>1857608</v>
      </c>
      <c r="W19" s="49"/>
      <c r="X19" s="50" t="s">
        <v>50</v>
      </c>
      <c r="Y19" s="58">
        <f t="shared" si="4"/>
        <v>7430432</v>
      </c>
      <c r="AA19" s="49">
        <v>6725000</v>
      </c>
      <c r="AB19" s="54" t="s">
        <v>67</v>
      </c>
      <c r="AC19" s="59">
        <f>V19+AA19</f>
        <v>8582608</v>
      </c>
      <c r="AD19" s="60">
        <f t="shared" si="5"/>
        <v>1152176</v>
      </c>
      <c r="AF19" s="51">
        <v>4336390</v>
      </c>
      <c r="AG19" s="49"/>
      <c r="AH19" s="50" t="s">
        <v>50</v>
      </c>
      <c r="AI19" s="58">
        <f t="shared" si="6"/>
        <v>8672780</v>
      </c>
      <c r="AK19" s="51">
        <v>4911000</v>
      </c>
      <c r="AL19" s="54" t="s">
        <v>67</v>
      </c>
      <c r="AM19" s="59">
        <f>AF19+AK19</f>
        <v>9247390</v>
      </c>
      <c r="AN19" s="60">
        <f t="shared" si="7"/>
        <v>574610</v>
      </c>
      <c r="AP19" s="10">
        <v>8009118</v>
      </c>
      <c r="AQ19" s="11"/>
      <c r="AR19" s="50" t="s">
        <v>50</v>
      </c>
      <c r="AS19" s="10">
        <f>254000+282000-10000-10000</f>
        <v>516000</v>
      </c>
      <c r="AT19" s="13" t="s">
        <v>51</v>
      </c>
      <c r="AU19" s="10">
        <f t="shared" si="14"/>
        <v>8525118</v>
      </c>
      <c r="AV19" s="10">
        <f t="shared" si="8"/>
        <v>-722272</v>
      </c>
      <c r="AX19" s="10">
        <v>8009118</v>
      </c>
      <c r="AY19" s="11"/>
      <c r="AZ19" s="50" t="s">
        <v>50</v>
      </c>
      <c r="BA19" s="10">
        <f>8177111-AX19</f>
        <v>167993</v>
      </c>
      <c r="BB19" s="50" t="s">
        <v>50</v>
      </c>
      <c r="BC19" s="10">
        <f t="shared" si="15"/>
        <v>8177111</v>
      </c>
      <c r="BD19" s="10">
        <f t="shared" si="11"/>
        <v>-348007</v>
      </c>
      <c r="BF19" s="10">
        <v>8177004</v>
      </c>
      <c r="BG19" s="11"/>
      <c r="BH19" s="50" t="s">
        <v>50</v>
      </c>
      <c r="BI19" s="10">
        <f t="shared" si="9"/>
        <v>8177004</v>
      </c>
      <c r="BJ19" s="10">
        <f t="shared" si="10"/>
        <v>-107</v>
      </c>
      <c r="BL19" s="10">
        <v>8177004</v>
      </c>
      <c r="BN19" s="50" t="s">
        <v>65</v>
      </c>
      <c r="BO19" s="10">
        <f t="shared" si="0"/>
        <v>8177004</v>
      </c>
      <c r="BP19" s="36">
        <f t="shared" si="1"/>
        <v>0</v>
      </c>
      <c r="BQ19" s="36"/>
    </row>
    <row r="20" spans="1:69" ht="18.75">
      <c r="A20" s="48" t="s">
        <v>68</v>
      </c>
      <c r="D20" s="49">
        <v>1300000</v>
      </c>
      <c r="F20" s="61">
        <v>58</v>
      </c>
      <c r="G20" s="51">
        <v>1324253</v>
      </c>
      <c r="H20" s="52" t="e">
        <f>+G20-#REF!</f>
        <v>#REF!</v>
      </c>
      <c r="J20" s="49"/>
      <c r="K20" s="49"/>
      <c r="L20" s="53"/>
      <c r="M20" s="49"/>
      <c r="N20" s="54"/>
      <c r="O20" s="55">
        <f>(J20+K20+M20)*4</f>
        <v>0</v>
      </c>
      <c r="Q20" s="49"/>
      <c r="R20" s="54"/>
      <c r="S20" s="56">
        <f t="shared" si="2"/>
        <v>0</v>
      </c>
      <c r="T20" s="57">
        <f t="shared" si="3"/>
        <v>0</v>
      </c>
      <c r="V20" s="9"/>
      <c r="W20" s="49"/>
      <c r="X20" s="50"/>
      <c r="Y20" s="58"/>
      <c r="AA20" s="49"/>
      <c r="AB20" s="54"/>
      <c r="AC20" s="59">
        <f>V20+AA20</f>
        <v>0</v>
      </c>
      <c r="AD20" s="60">
        <f t="shared" si="5"/>
        <v>0</v>
      </c>
      <c r="AF20" s="51"/>
      <c r="AG20" s="49"/>
      <c r="AH20" s="50"/>
      <c r="AI20" s="58">
        <v>1500000</v>
      </c>
      <c r="AK20" s="51"/>
      <c r="AL20" s="54"/>
      <c r="AM20" s="59">
        <f>+AI20</f>
        <v>1500000</v>
      </c>
      <c r="AN20" s="60">
        <f t="shared" si="7"/>
        <v>0</v>
      </c>
      <c r="AP20" s="10"/>
      <c r="AQ20" s="11"/>
      <c r="AR20" s="12"/>
      <c r="AS20" s="10"/>
      <c r="AT20" s="13">
        <v>33</v>
      </c>
      <c r="AU20" s="10">
        <v>1500000</v>
      </c>
      <c r="AV20" s="10">
        <f t="shared" si="8"/>
        <v>0</v>
      </c>
      <c r="AX20" s="10"/>
      <c r="AY20" s="11"/>
      <c r="AZ20" s="12"/>
      <c r="BA20" s="10"/>
      <c r="BB20" s="13">
        <v>33</v>
      </c>
      <c r="BC20" s="10">
        <v>1500000</v>
      </c>
      <c r="BD20" s="10">
        <f t="shared" si="11"/>
        <v>0</v>
      </c>
      <c r="BF20" s="10">
        <f>1200000-26000</f>
        <v>1174000</v>
      </c>
      <c r="BG20" s="11"/>
      <c r="BH20" s="65">
        <v>58</v>
      </c>
      <c r="BI20" s="10">
        <f t="shared" si="9"/>
        <v>1174000</v>
      </c>
      <c r="BJ20" s="10">
        <f t="shared" si="10"/>
        <v>-326000</v>
      </c>
      <c r="BL20" s="10">
        <v>1350000</v>
      </c>
      <c r="BN20" s="14" t="s">
        <v>69</v>
      </c>
      <c r="BO20" s="10">
        <f t="shared" si="0"/>
        <v>1350000</v>
      </c>
      <c r="BP20" s="36">
        <f t="shared" si="1"/>
        <v>176000</v>
      </c>
      <c r="BQ20" s="36"/>
    </row>
    <row r="21" spans="1:69" ht="18.75">
      <c r="A21" s="48" t="s">
        <v>70</v>
      </c>
      <c r="D21" s="49">
        <v>105413</v>
      </c>
      <c r="F21" s="14">
        <v>12</v>
      </c>
      <c r="G21" s="51">
        <f>+D21+E21</f>
        <v>105413</v>
      </c>
      <c r="H21" s="52" t="e">
        <f>+G21-#REF!</f>
        <v>#REF!</v>
      </c>
      <c r="J21" s="49">
        <v>-64405</v>
      </c>
      <c r="K21" s="49"/>
      <c r="L21" s="50">
        <v>9</v>
      </c>
      <c r="M21" s="49"/>
      <c r="N21" s="54"/>
      <c r="O21" s="55">
        <f>(J21+K21+M21)*6</f>
        <v>-386430</v>
      </c>
      <c r="Q21" s="49"/>
      <c r="R21" s="54"/>
      <c r="S21" s="56">
        <f>+O21</f>
        <v>-386430</v>
      </c>
      <c r="T21" s="57">
        <f t="shared" si="3"/>
        <v>0</v>
      </c>
      <c r="V21" s="51">
        <v>-64405</v>
      </c>
      <c r="W21" s="49"/>
      <c r="X21" s="50">
        <v>9</v>
      </c>
      <c r="Y21" s="58">
        <f t="shared" si="4"/>
        <v>-257620</v>
      </c>
      <c r="AA21" s="49"/>
      <c r="AB21" s="54"/>
      <c r="AC21" s="59">
        <f>+Y21</f>
        <v>-257620</v>
      </c>
      <c r="AD21" s="60">
        <f t="shared" si="5"/>
        <v>0</v>
      </c>
      <c r="AF21" s="51">
        <v>-74324</v>
      </c>
      <c r="AG21" s="49"/>
      <c r="AH21" s="50">
        <v>9</v>
      </c>
      <c r="AI21" s="58">
        <f t="shared" ref="AI21:AI33" si="16">(AF21+AG21)*2</f>
        <v>-148648</v>
      </c>
      <c r="AK21" s="51"/>
      <c r="AL21" s="54"/>
      <c r="AM21" s="59">
        <f>+AI21</f>
        <v>-148648</v>
      </c>
      <c r="AN21" s="60">
        <f t="shared" si="7"/>
        <v>0</v>
      </c>
      <c r="AP21" s="10">
        <v>-251531</v>
      </c>
      <c r="AQ21" s="11"/>
      <c r="AR21" s="12">
        <v>9</v>
      </c>
      <c r="AS21" s="10"/>
      <c r="AT21" s="13"/>
      <c r="AU21" s="10">
        <f>+AP21/10*12</f>
        <v>-301837.19999999995</v>
      </c>
      <c r="AV21" s="10">
        <f t="shared" si="8"/>
        <v>-153189.19999999995</v>
      </c>
      <c r="AX21" s="10">
        <v>-251531</v>
      </c>
      <c r="AY21" s="11"/>
      <c r="AZ21" s="12">
        <v>9</v>
      </c>
      <c r="BA21" s="10"/>
      <c r="BB21" s="13"/>
      <c r="BC21" s="10">
        <f>+AX21/10*12</f>
        <v>-301837.19999999995</v>
      </c>
      <c r="BD21" s="10">
        <f t="shared" si="11"/>
        <v>0</v>
      </c>
      <c r="BF21" s="10">
        <v>-251531</v>
      </c>
      <c r="BG21" s="11"/>
      <c r="BH21" s="65">
        <v>9</v>
      </c>
      <c r="BI21" s="10">
        <f t="shared" si="9"/>
        <v>-251531</v>
      </c>
      <c r="BJ21" s="10">
        <f t="shared" si="10"/>
        <v>50306.199999999953</v>
      </c>
      <c r="BL21" s="10">
        <v>-252907</v>
      </c>
      <c r="BN21" s="14">
        <v>12</v>
      </c>
      <c r="BO21" s="10">
        <f>+BL21+BM21</f>
        <v>-252907</v>
      </c>
      <c r="BP21" s="36">
        <f>+BO21-BI21</f>
        <v>-1376</v>
      </c>
      <c r="BQ21" s="36"/>
    </row>
    <row r="22" spans="1:69" ht="18.75">
      <c r="A22" s="66" t="s">
        <v>71</v>
      </c>
      <c r="D22" s="49"/>
      <c r="F22" s="8"/>
      <c r="G22" s="51"/>
      <c r="H22" s="8"/>
      <c r="J22" s="49"/>
      <c r="K22" s="49"/>
      <c r="L22" s="61"/>
      <c r="M22" s="49"/>
      <c r="N22" s="61"/>
      <c r="O22" s="55">
        <f>(J22+K22+M22)*4</f>
        <v>0</v>
      </c>
      <c r="Q22" s="49"/>
      <c r="R22" s="61"/>
      <c r="S22" s="56">
        <f t="shared" si="2"/>
        <v>0</v>
      </c>
      <c r="T22" s="57">
        <f t="shared" si="3"/>
        <v>0</v>
      </c>
      <c r="V22" s="51"/>
      <c r="W22" s="49"/>
      <c r="X22" s="61"/>
      <c r="Y22" s="58">
        <f t="shared" si="4"/>
        <v>0</v>
      </c>
      <c r="AA22" s="49"/>
      <c r="AB22" s="61"/>
      <c r="AC22" s="59">
        <f>V22+AA22</f>
        <v>0</v>
      </c>
      <c r="AD22" s="60">
        <f t="shared" si="5"/>
        <v>0</v>
      </c>
      <c r="AF22" s="51"/>
      <c r="AG22" s="49"/>
      <c r="AH22" s="61"/>
      <c r="AI22" s="58">
        <f t="shared" si="16"/>
        <v>0</v>
      </c>
      <c r="AK22" s="51"/>
      <c r="AL22" s="61"/>
      <c r="AM22" s="59">
        <f>AF22+AK22</f>
        <v>0</v>
      </c>
      <c r="AN22" s="60">
        <f t="shared" si="7"/>
        <v>0</v>
      </c>
      <c r="AP22" s="10"/>
      <c r="AQ22" s="11"/>
      <c r="AR22" s="12"/>
      <c r="AS22" s="10"/>
      <c r="AT22" s="13"/>
      <c r="AU22" s="10"/>
      <c r="AV22" s="10"/>
      <c r="AX22" s="10"/>
      <c r="AY22" s="11"/>
      <c r="AZ22" s="12"/>
      <c r="BA22" s="10"/>
      <c r="BB22" s="13"/>
      <c r="BC22" s="10"/>
      <c r="BD22" s="10"/>
      <c r="BF22" s="10"/>
      <c r="BG22" s="11"/>
      <c r="BH22" s="65"/>
      <c r="BI22" s="10"/>
      <c r="BJ22" s="10"/>
      <c r="BL22" s="10"/>
      <c r="BN22" s="67">
        <f>SUM(BO11:BO22)</f>
        <v>198776595</v>
      </c>
      <c r="BO22" s="10"/>
      <c r="BP22" s="9"/>
      <c r="BQ22" s="9"/>
    </row>
    <row r="23" spans="1:69" ht="18.75">
      <c r="A23" s="48" t="s">
        <v>72</v>
      </c>
      <c r="D23" s="49">
        <v>-752271</v>
      </c>
      <c r="F23" s="62">
        <v>65</v>
      </c>
      <c r="G23" s="51">
        <v>-275459</v>
      </c>
      <c r="H23" s="52" t="e">
        <f>+G23-#REF!</f>
        <v>#REF!</v>
      </c>
      <c r="J23" s="49">
        <v>444184</v>
      </c>
      <c r="K23" s="49"/>
      <c r="L23" s="62">
        <v>13</v>
      </c>
      <c r="M23" s="49">
        <v>-771000</v>
      </c>
      <c r="N23" s="62" t="s">
        <v>73</v>
      </c>
      <c r="O23" s="55">
        <f>(J23+K23+M23)*4</f>
        <v>-1307264</v>
      </c>
      <c r="Q23" s="49">
        <v>890000</v>
      </c>
      <c r="R23" s="62" t="s">
        <v>73</v>
      </c>
      <c r="S23" s="56">
        <f t="shared" si="2"/>
        <v>563184</v>
      </c>
      <c r="T23" s="57">
        <f t="shared" si="3"/>
        <v>1870448</v>
      </c>
      <c r="V23" s="51">
        <v>-45585</v>
      </c>
      <c r="W23" s="49"/>
      <c r="X23" s="62">
        <v>13</v>
      </c>
      <c r="Y23" s="58">
        <f t="shared" si="4"/>
        <v>-182340</v>
      </c>
      <c r="AA23" s="49">
        <v>646000</v>
      </c>
      <c r="AB23" s="62" t="s">
        <v>73</v>
      </c>
      <c r="AC23" s="59">
        <f>V23+AA23</f>
        <v>600415</v>
      </c>
      <c r="AD23" s="60">
        <f t="shared" si="5"/>
        <v>782755</v>
      </c>
      <c r="AF23" s="51">
        <v>69774</v>
      </c>
      <c r="AG23" s="49"/>
      <c r="AH23" s="61" t="s">
        <v>56</v>
      </c>
      <c r="AI23" s="58">
        <f t="shared" si="16"/>
        <v>139548</v>
      </c>
      <c r="AK23" s="51">
        <v>530000</v>
      </c>
      <c r="AL23" s="62" t="s">
        <v>73</v>
      </c>
      <c r="AM23" s="59">
        <f>AF23+AK23</f>
        <v>599774</v>
      </c>
      <c r="AN23" s="60">
        <f t="shared" si="7"/>
        <v>460226</v>
      </c>
      <c r="AP23" s="10">
        <v>77538</v>
      </c>
      <c r="AQ23" s="11"/>
      <c r="AR23" s="12">
        <v>13</v>
      </c>
      <c r="AS23" s="10">
        <v>104000</v>
      </c>
      <c r="AT23" s="13">
        <v>2.1</v>
      </c>
      <c r="AU23" s="10">
        <f>+AS23+AP23</f>
        <v>181538</v>
      </c>
      <c r="AV23" s="10">
        <f t="shared" si="8"/>
        <v>-418236</v>
      </c>
      <c r="AX23" s="10">
        <v>77538</v>
      </c>
      <c r="AY23" s="11"/>
      <c r="AZ23" s="12">
        <v>13</v>
      </c>
      <c r="BA23" s="10">
        <v>104000</v>
      </c>
      <c r="BB23" s="13">
        <v>2.1</v>
      </c>
      <c r="BC23" s="10">
        <f>+BA23+AX23</f>
        <v>181538</v>
      </c>
      <c r="BD23" s="10">
        <f t="shared" ref="BD23:BD25" si="17">+BC23-AU23</f>
        <v>0</v>
      </c>
      <c r="BF23" s="10">
        <v>101266</v>
      </c>
      <c r="BG23" s="11"/>
      <c r="BH23" s="65">
        <v>65</v>
      </c>
      <c r="BI23" s="10">
        <f t="shared" ref="BI23:BI33" si="18">+BF23+BG23</f>
        <v>101266</v>
      </c>
      <c r="BJ23" s="10">
        <f t="shared" si="10"/>
        <v>-80272</v>
      </c>
      <c r="BL23" s="10">
        <v>101266</v>
      </c>
      <c r="BN23" s="14">
        <v>65</v>
      </c>
      <c r="BO23" s="10">
        <f t="shared" ref="BO23:BO34" si="19">+BL23+BM23</f>
        <v>101266</v>
      </c>
      <c r="BP23" s="36">
        <f t="shared" ref="BP23:BP86" si="20">+BO23-BI23</f>
        <v>0</v>
      </c>
      <c r="BQ23" s="36"/>
    </row>
    <row r="24" spans="1:69" ht="18.75">
      <c r="A24" s="48" t="s">
        <v>74</v>
      </c>
      <c r="D24" s="49">
        <v>-466675</v>
      </c>
      <c r="F24" s="61">
        <v>54</v>
      </c>
      <c r="G24" s="51">
        <v>-420180</v>
      </c>
      <c r="H24" s="52" t="e">
        <f>+G24-#REF!</f>
        <v>#REF!</v>
      </c>
      <c r="J24" s="49">
        <v>-45037</v>
      </c>
      <c r="K24" s="49"/>
      <c r="L24" s="61">
        <v>16</v>
      </c>
      <c r="M24" s="49"/>
      <c r="N24" s="61"/>
      <c r="O24" s="55">
        <f>(J24+K24+M24)*6</f>
        <v>-270222</v>
      </c>
      <c r="Q24" s="49"/>
      <c r="R24" s="61">
        <v>16</v>
      </c>
      <c r="S24" s="56">
        <f>+O24</f>
        <v>-270222</v>
      </c>
      <c r="T24" s="57">
        <f t="shared" si="3"/>
        <v>0</v>
      </c>
      <c r="V24" s="51">
        <v>278249</v>
      </c>
      <c r="W24" s="49"/>
      <c r="X24" s="61">
        <v>16</v>
      </c>
      <c r="Y24" s="58">
        <f t="shared" si="4"/>
        <v>1112996</v>
      </c>
      <c r="AA24" s="49"/>
      <c r="AB24" s="61">
        <v>16</v>
      </c>
      <c r="AC24" s="59">
        <f>+Y24</f>
        <v>1112996</v>
      </c>
      <c r="AD24" s="60">
        <f t="shared" si="5"/>
        <v>0</v>
      </c>
      <c r="AF24" s="51">
        <v>175824</v>
      </c>
      <c r="AG24" s="49"/>
      <c r="AH24" s="61">
        <v>16</v>
      </c>
      <c r="AI24" s="58">
        <f t="shared" si="16"/>
        <v>351648</v>
      </c>
      <c r="AK24" s="51"/>
      <c r="AL24" s="61">
        <v>16</v>
      </c>
      <c r="AM24" s="59">
        <f>+AI24</f>
        <v>351648</v>
      </c>
      <c r="AN24" s="60">
        <f t="shared" si="7"/>
        <v>0</v>
      </c>
      <c r="AP24" s="10">
        <v>161364</v>
      </c>
      <c r="AQ24" s="11"/>
      <c r="AR24" s="12">
        <v>16</v>
      </c>
      <c r="AS24" s="10"/>
      <c r="AT24" s="13"/>
      <c r="AU24" s="10">
        <f t="shared" ref="AU24:AU29" si="21">+AP24/10*12</f>
        <v>193636.8</v>
      </c>
      <c r="AV24" s="10">
        <f t="shared" si="8"/>
        <v>-158011.20000000001</v>
      </c>
      <c r="AX24" s="10">
        <v>161364</v>
      </c>
      <c r="AY24" s="11"/>
      <c r="AZ24" s="12">
        <v>16</v>
      </c>
      <c r="BA24" s="10"/>
      <c r="BB24" s="13"/>
      <c r="BC24" s="10">
        <f t="shared" ref="BC24:BC29" si="22">+AX24/10*12</f>
        <v>193636.8</v>
      </c>
      <c r="BD24" s="10">
        <f t="shared" si="17"/>
        <v>0</v>
      </c>
      <c r="BF24" s="10">
        <v>129052</v>
      </c>
      <c r="BG24" s="11"/>
      <c r="BH24" s="65">
        <v>54</v>
      </c>
      <c r="BI24" s="10">
        <f t="shared" si="18"/>
        <v>129052</v>
      </c>
      <c r="BJ24" s="10">
        <f t="shared" si="10"/>
        <v>-64584.799999999988</v>
      </c>
      <c r="BL24" s="10">
        <v>129052</v>
      </c>
      <c r="BN24" s="14">
        <v>54</v>
      </c>
      <c r="BO24" s="10">
        <f t="shared" si="19"/>
        <v>129052</v>
      </c>
      <c r="BP24" s="36">
        <f t="shared" si="20"/>
        <v>0</v>
      </c>
      <c r="BQ24" s="36"/>
    </row>
    <row r="25" spans="1:69" ht="18.75">
      <c r="A25" s="48" t="s">
        <v>76</v>
      </c>
      <c r="D25" s="49">
        <v>-46495</v>
      </c>
      <c r="F25" s="61">
        <v>54</v>
      </c>
      <c r="G25" s="51">
        <f>+D25+E25</f>
        <v>-46495</v>
      </c>
      <c r="H25" s="52" t="e">
        <f>+G25-#REF!</f>
        <v>#REF!</v>
      </c>
      <c r="J25" s="49">
        <v>-22716</v>
      </c>
      <c r="K25" s="49"/>
      <c r="L25" s="61">
        <v>16</v>
      </c>
      <c r="M25" s="49"/>
      <c r="N25" s="61"/>
      <c r="O25" s="55">
        <f>(J25+K25+M25)*6</f>
        <v>-136296</v>
      </c>
      <c r="Q25" s="49"/>
      <c r="R25" s="61">
        <v>16</v>
      </c>
      <c r="S25" s="56">
        <f>+O25</f>
        <v>-136296</v>
      </c>
      <c r="T25" s="57">
        <f t="shared" si="3"/>
        <v>0</v>
      </c>
      <c r="V25" s="51">
        <v>-37680</v>
      </c>
      <c r="W25" s="49"/>
      <c r="X25" s="61">
        <v>16</v>
      </c>
      <c r="Y25" s="58">
        <f t="shared" si="4"/>
        <v>-150720</v>
      </c>
      <c r="AA25" s="49"/>
      <c r="AB25" s="61">
        <v>16</v>
      </c>
      <c r="AC25" s="59">
        <f>+Y25</f>
        <v>-150720</v>
      </c>
      <c r="AD25" s="60">
        <f t="shared" si="5"/>
        <v>0</v>
      </c>
      <c r="AF25" s="51">
        <v>-59140</v>
      </c>
      <c r="AG25" s="49"/>
      <c r="AH25" s="61">
        <v>16</v>
      </c>
      <c r="AI25" s="58">
        <f t="shared" si="16"/>
        <v>-118280</v>
      </c>
      <c r="AK25" s="51"/>
      <c r="AL25" s="61">
        <v>16</v>
      </c>
      <c r="AM25" s="59">
        <f>+AI25</f>
        <v>-118280</v>
      </c>
      <c r="AN25" s="60">
        <f t="shared" si="7"/>
        <v>0</v>
      </c>
      <c r="AP25" s="10">
        <v>-60712</v>
      </c>
      <c r="AQ25" s="11"/>
      <c r="AR25" s="12">
        <v>16</v>
      </c>
      <c r="AS25" s="10"/>
      <c r="AT25" s="13"/>
      <c r="AU25" s="10">
        <f t="shared" si="21"/>
        <v>-72854.399999999994</v>
      </c>
      <c r="AV25" s="10">
        <f t="shared" si="8"/>
        <v>45425.600000000006</v>
      </c>
      <c r="AX25" s="10">
        <v>-60712</v>
      </c>
      <c r="AY25" s="11"/>
      <c r="AZ25" s="12">
        <v>16</v>
      </c>
      <c r="BA25" s="10"/>
      <c r="BB25" s="13"/>
      <c r="BC25" s="10">
        <f t="shared" si="22"/>
        <v>-72854.399999999994</v>
      </c>
      <c r="BD25" s="10">
        <f t="shared" si="17"/>
        <v>0</v>
      </c>
      <c r="BF25" s="10">
        <v>-61751</v>
      </c>
      <c r="BG25" s="11"/>
      <c r="BH25" s="65">
        <v>54</v>
      </c>
      <c r="BI25" s="10">
        <f t="shared" si="18"/>
        <v>-61751</v>
      </c>
      <c r="BJ25" s="10">
        <f t="shared" si="10"/>
        <v>11103.399999999994</v>
      </c>
      <c r="BL25" s="10">
        <v>-61751</v>
      </c>
      <c r="BN25" s="14">
        <v>54</v>
      </c>
      <c r="BO25" s="10">
        <f t="shared" si="19"/>
        <v>-61751</v>
      </c>
      <c r="BP25" s="36">
        <f t="shared" si="20"/>
        <v>0</v>
      </c>
      <c r="BQ25" s="36"/>
    </row>
    <row r="26" spans="1:69" ht="18.75">
      <c r="A26" s="48" t="s">
        <v>77</v>
      </c>
      <c r="D26" s="49">
        <v>0</v>
      </c>
      <c r="F26" s="61">
        <v>62</v>
      </c>
      <c r="G26" s="51">
        <f>+D26+E26</f>
        <v>0</v>
      </c>
      <c r="H26" s="52" t="e">
        <f>+G26-#REF!</f>
        <v>#REF!</v>
      </c>
      <c r="J26" s="49"/>
      <c r="K26" s="49"/>
      <c r="L26" s="61">
        <v>9</v>
      </c>
      <c r="M26" s="49"/>
      <c r="N26" s="61"/>
      <c r="O26" s="55">
        <f>(J26+K26+M26)*4</f>
        <v>0</v>
      </c>
      <c r="Q26" s="49"/>
      <c r="R26" s="61"/>
      <c r="S26" s="56">
        <f t="shared" si="2"/>
        <v>0</v>
      </c>
      <c r="T26" s="57">
        <f t="shared" si="3"/>
        <v>0</v>
      </c>
      <c r="V26" s="51"/>
      <c r="W26" s="49"/>
      <c r="X26" s="61">
        <v>9</v>
      </c>
      <c r="Y26" s="58">
        <f t="shared" si="4"/>
        <v>0</v>
      </c>
      <c r="AA26" s="49"/>
      <c r="AB26" s="61"/>
      <c r="AC26" s="59">
        <f>V26+AA26</f>
        <v>0</v>
      </c>
      <c r="AD26" s="60">
        <f t="shared" si="5"/>
        <v>0</v>
      </c>
      <c r="AF26" s="51"/>
      <c r="AG26" s="49"/>
      <c r="AH26" s="61">
        <v>9</v>
      </c>
      <c r="AI26" s="58">
        <f t="shared" si="16"/>
        <v>0</v>
      </c>
      <c r="AK26" s="51"/>
      <c r="AL26" s="61"/>
      <c r="AM26" s="59">
        <f>AF26+AK26</f>
        <v>0</v>
      </c>
      <c r="AN26" s="60">
        <f t="shared" si="7"/>
        <v>0</v>
      </c>
      <c r="AP26" s="10">
        <v>0</v>
      </c>
      <c r="AQ26" s="11"/>
      <c r="AR26" s="12"/>
      <c r="AS26" s="10"/>
      <c r="AT26" s="13"/>
      <c r="AU26" s="10">
        <f t="shared" si="21"/>
        <v>0</v>
      </c>
      <c r="AV26" s="10"/>
      <c r="AX26" s="10">
        <v>0</v>
      </c>
      <c r="AY26" s="11"/>
      <c r="AZ26" s="12"/>
      <c r="BA26" s="10"/>
      <c r="BB26" s="13"/>
      <c r="BC26" s="10">
        <f t="shared" si="22"/>
        <v>0</v>
      </c>
      <c r="BD26" s="10"/>
      <c r="BF26" s="10">
        <v>0</v>
      </c>
      <c r="BG26" s="11"/>
      <c r="BH26" s="65"/>
      <c r="BI26" s="10">
        <f t="shared" si="18"/>
        <v>0</v>
      </c>
      <c r="BJ26" s="10">
        <f t="shared" si="10"/>
        <v>0</v>
      </c>
      <c r="BL26" s="10">
        <v>147519</v>
      </c>
      <c r="BN26" s="14">
        <v>62</v>
      </c>
      <c r="BO26" s="10">
        <f t="shared" si="19"/>
        <v>147519</v>
      </c>
      <c r="BP26" s="36">
        <f t="shared" si="20"/>
        <v>147519</v>
      </c>
      <c r="BQ26" s="36"/>
    </row>
    <row r="27" spans="1:69" ht="18.75">
      <c r="A27" s="48" t="s">
        <v>78</v>
      </c>
      <c r="D27" s="49">
        <v>965694</v>
      </c>
      <c r="F27" s="61">
        <v>46</v>
      </c>
      <c r="G27" s="51">
        <v>571274</v>
      </c>
      <c r="H27" s="52" t="e">
        <f>+G27-#REF!</f>
        <v>#REF!</v>
      </c>
      <c r="J27" s="49">
        <v>68501</v>
      </c>
      <c r="K27" s="49"/>
      <c r="L27" s="61">
        <v>17</v>
      </c>
      <c r="M27" s="49"/>
      <c r="N27" s="61"/>
      <c r="O27" s="55">
        <f>(J27+K27+M27)*6</f>
        <v>411006</v>
      </c>
      <c r="Q27" s="49"/>
      <c r="R27" s="61"/>
      <c r="S27" s="56">
        <f>+O27</f>
        <v>411006</v>
      </c>
      <c r="T27" s="57">
        <f t="shared" si="3"/>
        <v>0</v>
      </c>
      <c r="V27" s="51">
        <v>119688</v>
      </c>
      <c r="W27" s="49"/>
      <c r="X27" s="61">
        <v>17</v>
      </c>
      <c r="Y27" s="58">
        <f t="shared" si="4"/>
        <v>478752</v>
      </c>
      <c r="AA27" s="49"/>
      <c r="AB27" s="61"/>
      <c r="AC27" s="59">
        <f>+Y27</f>
        <v>478752</v>
      </c>
      <c r="AD27" s="60">
        <f t="shared" si="5"/>
        <v>0</v>
      </c>
      <c r="AF27" s="51">
        <v>294845</v>
      </c>
      <c r="AG27" s="49"/>
      <c r="AH27" s="61">
        <v>17</v>
      </c>
      <c r="AI27" s="58">
        <f t="shared" si="16"/>
        <v>589690</v>
      </c>
      <c r="AK27" s="51"/>
      <c r="AL27" s="61"/>
      <c r="AM27" s="59">
        <f>+AI27</f>
        <v>589690</v>
      </c>
      <c r="AN27" s="60">
        <f t="shared" si="7"/>
        <v>0</v>
      </c>
      <c r="AP27" s="10">
        <v>537498</v>
      </c>
      <c r="AQ27" s="11"/>
      <c r="AR27" s="12">
        <v>17</v>
      </c>
      <c r="AS27" s="10"/>
      <c r="AT27" s="13"/>
      <c r="AU27" s="10">
        <f t="shared" si="21"/>
        <v>644997.60000000009</v>
      </c>
      <c r="AV27" s="10">
        <f t="shared" si="8"/>
        <v>55307.600000000093</v>
      </c>
      <c r="AX27" s="10">
        <v>537498</v>
      </c>
      <c r="AY27" s="11"/>
      <c r="AZ27" s="12">
        <v>17</v>
      </c>
      <c r="BA27" s="10"/>
      <c r="BB27" s="13"/>
      <c r="BC27" s="10">
        <f t="shared" si="22"/>
        <v>644997.60000000009</v>
      </c>
      <c r="BD27" s="10">
        <f t="shared" ref="BD27:BD33" si="23">+BC27-AU27</f>
        <v>0</v>
      </c>
      <c r="BF27" s="10">
        <v>481091</v>
      </c>
      <c r="BG27" s="11"/>
      <c r="BH27" s="65">
        <v>46</v>
      </c>
      <c r="BI27" s="10">
        <f t="shared" si="18"/>
        <v>481091</v>
      </c>
      <c r="BJ27" s="10">
        <f t="shared" si="10"/>
        <v>-163906.60000000009</v>
      </c>
      <c r="BL27" s="10">
        <v>636121</v>
      </c>
      <c r="BN27" s="14">
        <v>46</v>
      </c>
      <c r="BO27" s="10">
        <f t="shared" si="19"/>
        <v>636121</v>
      </c>
      <c r="BP27" s="36">
        <f t="shared" si="20"/>
        <v>155030</v>
      </c>
      <c r="BQ27" s="36"/>
    </row>
    <row r="28" spans="1:69" ht="18.75">
      <c r="A28" s="48" t="s">
        <v>79</v>
      </c>
      <c r="D28" s="49">
        <v>1568035</v>
      </c>
      <c r="F28" s="61">
        <v>46</v>
      </c>
      <c r="G28" s="51">
        <v>1571003</v>
      </c>
      <c r="H28" s="52" t="e">
        <f>+G28-#REF!</f>
        <v>#REF!</v>
      </c>
      <c r="J28" s="49">
        <v>98963</v>
      </c>
      <c r="K28" s="49"/>
      <c r="L28" s="61">
        <v>17</v>
      </c>
      <c r="M28" s="49"/>
      <c r="N28" s="61"/>
      <c r="O28" s="55">
        <f>(J28+K28+M28)*6</f>
        <v>593778</v>
      </c>
      <c r="Q28" s="49"/>
      <c r="R28" s="61"/>
      <c r="S28" s="56">
        <f>+O28</f>
        <v>593778</v>
      </c>
      <c r="T28" s="57">
        <f t="shared" si="3"/>
        <v>0</v>
      </c>
      <c r="V28" s="51">
        <v>99691</v>
      </c>
      <c r="W28" s="49"/>
      <c r="X28" s="61">
        <v>17</v>
      </c>
      <c r="Y28" s="58">
        <f t="shared" si="4"/>
        <v>398764</v>
      </c>
      <c r="AA28" s="49"/>
      <c r="AB28" s="61"/>
      <c r="AC28" s="59">
        <f>+Y28</f>
        <v>398764</v>
      </c>
      <c r="AD28" s="60">
        <f t="shared" si="5"/>
        <v>0</v>
      </c>
      <c r="AF28" s="51">
        <v>425739</v>
      </c>
      <c r="AG28" s="49"/>
      <c r="AH28" s="61">
        <v>17</v>
      </c>
      <c r="AI28" s="58">
        <f t="shared" si="16"/>
        <v>851478</v>
      </c>
      <c r="AK28" s="51"/>
      <c r="AL28" s="61"/>
      <c r="AM28" s="59">
        <f>+AI28</f>
        <v>851478</v>
      </c>
      <c r="AN28" s="60">
        <f t="shared" si="7"/>
        <v>0</v>
      </c>
      <c r="AP28" s="10">
        <v>696200</v>
      </c>
      <c r="AQ28" s="11"/>
      <c r="AR28" s="12">
        <v>17</v>
      </c>
      <c r="AS28" s="10"/>
      <c r="AT28" s="13"/>
      <c r="AU28" s="10">
        <f t="shared" si="21"/>
        <v>835440</v>
      </c>
      <c r="AV28" s="10">
        <f t="shared" si="8"/>
        <v>-16038</v>
      </c>
      <c r="AX28" s="10">
        <v>696200</v>
      </c>
      <c r="AY28" s="11"/>
      <c r="AZ28" s="12">
        <v>17</v>
      </c>
      <c r="BA28" s="10"/>
      <c r="BB28" s="13"/>
      <c r="BC28" s="10">
        <f t="shared" si="22"/>
        <v>835440</v>
      </c>
      <c r="BD28" s="10">
        <f t="shared" si="23"/>
        <v>0</v>
      </c>
      <c r="BF28" s="10">
        <v>879265</v>
      </c>
      <c r="BG28" s="11"/>
      <c r="BH28" s="65">
        <v>46</v>
      </c>
      <c r="BI28" s="10">
        <f t="shared" si="18"/>
        <v>879265</v>
      </c>
      <c r="BJ28" s="10">
        <f t="shared" si="10"/>
        <v>43825</v>
      </c>
      <c r="BL28" s="10">
        <v>860441</v>
      </c>
      <c r="BN28" s="14">
        <v>46</v>
      </c>
      <c r="BO28" s="10">
        <f t="shared" si="19"/>
        <v>860441</v>
      </c>
      <c r="BP28" s="36">
        <f t="shared" si="20"/>
        <v>-18824</v>
      </c>
      <c r="BQ28" s="36"/>
    </row>
    <row r="29" spans="1:69" ht="18.75">
      <c r="A29" s="48" t="s">
        <v>80</v>
      </c>
      <c r="D29" s="49">
        <v>-31191</v>
      </c>
      <c r="F29" s="61">
        <v>76</v>
      </c>
      <c r="G29" s="51">
        <f>+D29+E29</f>
        <v>-31191</v>
      </c>
      <c r="H29" s="52" t="e">
        <f>+G29-#REF!</f>
        <v>#REF!</v>
      </c>
      <c r="J29" s="49">
        <v>-10916</v>
      </c>
      <c r="K29" s="49"/>
      <c r="L29" s="61">
        <v>7</v>
      </c>
      <c r="M29" s="49"/>
      <c r="N29" s="61"/>
      <c r="O29" s="55">
        <f>(J29+K29+M29)*6</f>
        <v>-65496</v>
      </c>
      <c r="Q29" s="49"/>
      <c r="R29" s="8"/>
      <c r="S29" s="56">
        <f>+O29</f>
        <v>-65496</v>
      </c>
      <c r="T29" s="57">
        <f t="shared" si="3"/>
        <v>0</v>
      </c>
      <c r="V29" s="51">
        <v>113680</v>
      </c>
      <c r="W29" s="49"/>
      <c r="X29" s="61">
        <v>7</v>
      </c>
      <c r="Y29" s="58">
        <f t="shared" si="4"/>
        <v>454720</v>
      </c>
      <c r="AA29" s="49"/>
      <c r="AB29" s="8"/>
      <c r="AC29" s="59">
        <f>+Y29</f>
        <v>454720</v>
      </c>
      <c r="AD29" s="60">
        <f t="shared" si="5"/>
        <v>0</v>
      </c>
      <c r="AF29" s="51">
        <v>390797</v>
      </c>
      <c r="AG29" s="49"/>
      <c r="AH29" s="61" t="s">
        <v>56</v>
      </c>
      <c r="AI29" s="58">
        <f t="shared" si="16"/>
        <v>781594</v>
      </c>
      <c r="AK29" s="51"/>
      <c r="AL29" s="8"/>
      <c r="AM29" s="59">
        <f>+AI29</f>
        <v>781594</v>
      </c>
      <c r="AN29" s="60">
        <f t="shared" si="7"/>
        <v>0</v>
      </c>
      <c r="AP29" s="10">
        <v>766105</v>
      </c>
      <c r="AQ29" s="11"/>
      <c r="AR29" s="12">
        <v>7</v>
      </c>
      <c r="AS29" s="10"/>
      <c r="AT29" s="13"/>
      <c r="AU29" s="10">
        <f t="shared" si="21"/>
        <v>919326</v>
      </c>
      <c r="AV29" s="10">
        <f t="shared" si="8"/>
        <v>137732</v>
      </c>
      <c r="AX29" s="10">
        <v>766105</v>
      </c>
      <c r="AY29" s="11"/>
      <c r="AZ29" s="12">
        <v>7</v>
      </c>
      <c r="BA29" s="10"/>
      <c r="BB29" s="13"/>
      <c r="BC29" s="10">
        <f t="shared" si="22"/>
        <v>919326</v>
      </c>
      <c r="BD29" s="10">
        <f t="shared" si="23"/>
        <v>0</v>
      </c>
      <c r="BF29" s="10">
        <v>1028961</v>
      </c>
      <c r="BG29" s="11"/>
      <c r="BH29" s="65">
        <v>76</v>
      </c>
      <c r="BI29" s="10">
        <f t="shared" si="18"/>
        <v>1028961</v>
      </c>
      <c r="BJ29" s="10">
        <f t="shared" si="10"/>
        <v>109635</v>
      </c>
      <c r="BL29" s="10">
        <v>1028961</v>
      </c>
      <c r="BN29" s="14">
        <v>76</v>
      </c>
      <c r="BO29" s="10">
        <f t="shared" si="19"/>
        <v>1028961</v>
      </c>
      <c r="BP29" s="36">
        <f t="shared" si="20"/>
        <v>0</v>
      </c>
      <c r="BQ29" s="36"/>
    </row>
    <row r="30" spans="1:69" ht="18.75">
      <c r="A30" s="48" t="s">
        <v>81</v>
      </c>
      <c r="D30" s="49">
        <v>11656410</v>
      </c>
      <c r="F30" s="62" t="s">
        <v>82</v>
      </c>
      <c r="G30" s="51">
        <f>+D30+E30</f>
        <v>11656410</v>
      </c>
      <c r="H30" s="52" t="e">
        <f>+G30-#REF!</f>
        <v>#REF!</v>
      </c>
      <c r="J30" s="49">
        <v>-863563</v>
      </c>
      <c r="K30" s="49"/>
      <c r="L30" s="62">
        <v>4</v>
      </c>
      <c r="M30" s="49">
        <v>-1125275</v>
      </c>
      <c r="N30" s="62">
        <v>4</v>
      </c>
      <c r="O30" s="55">
        <f>(J30+K30+M30)*4</f>
        <v>-7955352</v>
      </c>
      <c r="Q30" s="49">
        <v>2898407</v>
      </c>
      <c r="R30" s="62">
        <v>4</v>
      </c>
      <c r="S30" s="56">
        <f t="shared" si="2"/>
        <v>909569</v>
      </c>
      <c r="T30" s="57">
        <f t="shared" si="3"/>
        <v>8864921</v>
      </c>
      <c r="V30" s="51">
        <v>-2514409</v>
      </c>
      <c r="W30" s="49"/>
      <c r="X30" s="62">
        <v>4</v>
      </c>
      <c r="Y30" s="58">
        <f t="shared" si="4"/>
        <v>-10057636</v>
      </c>
      <c r="AA30" s="49">
        <v>2902640</v>
      </c>
      <c r="AB30" s="62">
        <v>4</v>
      </c>
      <c r="AC30" s="59">
        <f>V30+AA30</f>
        <v>388231</v>
      </c>
      <c r="AD30" s="60">
        <f t="shared" si="5"/>
        <v>10445867</v>
      </c>
      <c r="AF30" s="51">
        <v>1200247</v>
      </c>
      <c r="AG30" s="49"/>
      <c r="AH30" s="62">
        <v>4</v>
      </c>
      <c r="AI30" s="58">
        <f t="shared" si="16"/>
        <v>2400494</v>
      </c>
      <c r="AK30" s="51">
        <v>-826814</v>
      </c>
      <c r="AL30" s="62">
        <v>4</v>
      </c>
      <c r="AM30" s="59">
        <f>AF30+AK30</f>
        <v>373433</v>
      </c>
      <c r="AN30" s="60">
        <f t="shared" si="7"/>
        <v>-2027061</v>
      </c>
      <c r="AP30" s="10">
        <v>3613333</v>
      </c>
      <c r="AQ30" s="11"/>
      <c r="AR30" s="12">
        <v>4</v>
      </c>
      <c r="AS30" s="10">
        <v>-3983228</v>
      </c>
      <c r="AT30" s="13"/>
      <c r="AU30" s="10">
        <f>+AS30+AP30</f>
        <v>-369895</v>
      </c>
      <c r="AV30" s="10">
        <f t="shared" si="8"/>
        <v>-743328</v>
      </c>
      <c r="AX30" s="10">
        <v>3613333</v>
      </c>
      <c r="AY30" s="11"/>
      <c r="AZ30" s="12">
        <v>4</v>
      </c>
      <c r="BA30" s="10">
        <f>-1328040-AX30</f>
        <v>-4941373</v>
      </c>
      <c r="BB30" s="13"/>
      <c r="BC30" s="10">
        <f>+BA30+AX30</f>
        <v>-1328040</v>
      </c>
      <c r="BD30" s="10">
        <f t="shared" si="23"/>
        <v>-958145</v>
      </c>
      <c r="BF30" s="10">
        <v>-1328040</v>
      </c>
      <c r="BG30" s="11"/>
      <c r="BH30" s="65">
        <v>53.2</v>
      </c>
      <c r="BI30" s="10">
        <f t="shared" si="18"/>
        <v>-1328040</v>
      </c>
      <c r="BJ30" s="10">
        <f t="shared" si="10"/>
        <v>0</v>
      </c>
      <c r="BL30" s="10">
        <v>-1328040</v>
      </c>
      <c r="BN30" s="65">
        <v>53.2</v>
      </c>
      <c r="BO30" s="10">
        <f t="shared" si="19"/>
        <v>-1328040</v>
      </c>
      <c r="BP30" s="36">
        <f t="shared" si="20"/>
        <v>0</v>
      </c>
      <c r="BQ30" s="36"/>
    </row>
    <row r="31" spans="1:69" ht="18.75">
      <c r="A31" s="48" t="s">
        <v>83</v>
      </c>
      <c r="D31" s="49">
        <v>94347825</v>
      </c>
      <c r="F31" s="62" t="s">
        <v>84</v>
      </c>
      <c r="G31" s="51">
        <f>+D31+E31</f>
        <v>94347825</v>
      </c>
      <c r="H31" s="52" t="e">
        <f>+G31-#REF!</f>
        <v>#REF!</v>
      </c>
      <c r="J31" s="49">
        <v>-5774955</v>
      </c>
      <c r="K31" s="49"/>
      <c r="L31" s="62">
        <v>3</v>
      </c>
      <c r="M31" s="49">
        <v>2089502</v>
      </c>
      <c r="N31" s="62">
        <v>3</v>
      </c>
      <c r="O31" s="55">
        <f>(J31+K31+M31)*4</f>
        <v>-14741812</v>
      </c>
      <c r="Q31" s="49">
        <v>33905</v>
      </c>
      <c r="R31" s="62">
        <v>3</v>
      </c>
      <c r="S31" s="56">
        <f t="shared" si="2"/>
        <v>-3651548</v>
      </c>
      <c r="T31" s="57">
        <f t="shared" si="3"/>
        <v>11090264</v>
      </c>
      <c r="V31" s="51">
        <v>-6954885</v>
      </c>
      <c r="W31" s="49"/>
      <c r="X31" s="62">
        <v>3</v>
      </c>
      <c r="Y31" s="58">
        <f t="shared" si="4"/>
        <v>-27819540</v>
      </c>
      <c r="AA31" s="49">
        <v>1003759</v>
      </c>
      <c r="AB31" s="68">
        <v>3.3</v>
      </c>
      <c r="AC31" s="59">
        <f>V31+AA31</f>
        <v>-5951126</v>
      </c>
      <c r="AD31" s="60">
        <f t="shared" si="5"/>
        <v>21868414</v>
      </c>
      <c r="AF31" s="51">
        <v>-11368991</v>
      </c>
      <c r="AG31" s="49"/>
      <c r="AH31" s="62">
        <v>3</v>
      </c>
      <c r="AI31" s="58">
        <f t="shared" si="16"/>
        <v>-22737982</v>
      </c>
      <c r="AK31" s="51">
        <v>-3257040</v>
      </c>
      <c r="AL31" s="68">
        <v>3.2</v>
      </c>
      <c r="AM31" s="59">
        <f>AF31+AK31</f>
        <v>-14626031</v>
      </c>
      <c r="AN31" s="60">
        <f t="shared" si="7"/>
        <v>8111951</v>
      </c>
      <c r="AP31" s="10">
        <v>-11600121</v>
      </c>
      <c r="AQ31" s="11"/>
      <c r="AR31" s="12">
        <v>3</v>
      </c>
      <c r="AS31" s="10">
        <v>-7100339</v>
      </c>
      <c r="AT31" s="13"/>
      <c r="AU31" s="10">
        <f>+AS31+AP31</f>
        <v>-18700460</v>
      </c>
      <c r="AV31" s="10">
        <f t="shared" si="8"/>
        <v>-4074429</v>
      </c>
      <c r="AX31" s="10">
        <v>-11600121</v>
      </c>
      <c r="AY31" s="11"/>
      <c r="AZ31" s="12">
        <v>3</v>
      </c>
      <c r="BA31" s="10">
        <f>-15052866-AX31</f>
        <v>-3452745</v>
      </c>
      <c r="BB31" s="13"/>
      <c r="BC31" s="10">
        <f>+BA31+AX31</f>
        <v>-15052866</v>
      </c>
      <c r="BD31" s="10">
        <f t="shared" si="23"/>
        <v>3647594</v>
      </c>
      <c r="BF31" s="10">
        <v>-15052866</v>
      </c>
      <c r="BG31" s="11"/>
      <c r="BH31" s="65">
        <v>53.1</v>
      </c>
      <c r="BI31" s="10">
        <f t="shared" si="18"/>
        <v>-15052866</v>
      </c>
      <c r="BJ31" s="10">
        <f t="shared" si="10"/>
        <v>0</v>
      </c>
      <c r="BL31" s="10">
        <v>-15052866</v>
      </c>
      <c r="BN31" s="69" t="s">
        <v>84</v>
      </c>
      <c r="BO31" s="10">
        <f t="shared" si="19"/>
        <v>-15052866</v>
      </c>
      <c r="BP31" s="36">
        <f t="shared" si="20"/>
        <v>0</v>
      </c>
      <c r="BQ31" s="36"/>
    </row>
    <row r="32" spans="1:69" ht="18.75">
      <c r="A32" s="48" t="s">
        <v>85</v>
      </c>
      <c r="D32" s="49">
        <v>436030</v>
      </c>
      <c r="F32" s="61">
        <v>60</v>
      </c>
      <c r="G32" s="51">
        <f>+D32+E32</f>
        <v>436030</v>
      </c>
      <c r="H32" s="52" t="e">
        <f>+G32-#REF!</f>
        <v>#REF!</v>
      </c>
      <c r="J32" s="49">
        <v>101594</v>
      </c>
      <c r="K32" s="49"/>
      <c r="L32" s="61">
        <v>11</v>
      </c>
      <c r="M32" s="49"/>
      <c r="N32" s="61"/>
      <c r="O32" s="55">
        <f>(J32+K32+M32)*6</f>
        <v>609564</v>
      </c>
      <c r="Q32" s="49"/>
      <c r="R32" s="61"/>
      <c r="S32" s="56">
        <f>+O32</f>
        <v>609564</v>
      </c>
      <c r="T32" s="57">
        <f t="shared" si="3"/>
        <v>0</v>
      </c>
      <c r="V32" s="51">
        <v>163807</v>
      </c>
      <c r="W32" s="49"/>
      <c r="X32" s="61">
        <v>11</v>
      </c>
      <c r="Y32" s="58">
        <f t="shared" si="4"/>
        <v>655228</v>
      </c>
      <c r="AA32" s="49"/>
      <c r="AB32" s="61"/>
      <c r="AC32" s="59">
        <f>+Y32</f>
        <v>655228</v>
      </c>
      <c r="AD32" s="60">
        <f t="shared" si="5"/>
        <v>0</v>
      </c>
      <c r="AF32" s="51">
        <v>231950</v>
      </c>
      <c r="AG32" s="49"/>
      <c r="AH32" s="61" t="s">
        <v>56</v>
      </c>
      <c r="AI32" s="58">
        <f t="shared" si="16"/>
        <v>463900</v>
      </c>
      <c r="AK32" s="51"/>
      <c r="AL32" s="61"/>
      <c r="AM32" s="59">
        <f>+AI32</f>
        <v>463900</v>
      </c>
      <c r="AN32" s="60">
        <f t="shared" si="7"/>
        <v>0</v>
      </c>
      <c r="AP32" s="10">
        <v>-1062371</v>
      </c>
      <c r="AQ32" s="11"/>
      <c r="AR32" s="12">
        <v>11</v>
      </c>
      <c r="AS32" s="10"/>
      <c r="AT32" s="13"/>
      <c r="AU32" s="10">
        <f t="shared" ref="AU32:AU33" si="24">+AP32/10*12</f>
        <v>-1274845.2000000002</v>
      </c>
      <c r="AV32" s="10">
        <f t="shared" si="8"/>
        <v>-1738745.2000000002</v>
      </c>
      <c r="AX32" s="10">
        <v>-1062371</v>
      </c>
      <c r="AY32" s="11"/>
      <c r="AZ32" s="12">
        <v>11</v>
      </c>
      <c r="BA32" s="10">
        <f>-976261-AX32</f>
        <v>86110</v>
      </c>
      <c r="BB32" s="13"/>
      <c r="BC32" s="10">
        <f>+BA32+AX32</f>
        <v>-976261</v>
      </c>
      <c r="BD32" s="10">
        <f t="shared" si="23"/>
        <v>298584.20000000019</v>
      </c>
      <c r="BF32" s="10">
        <v>-976261</v>
      </c>
      <c r="BG32" s="11"/>
      <c r="BH32" s="65">
        <v>60</v>
      </c>
      <c r="BI32" s="10">
        <f t="shared" si="18"/>
        <v>-976261</v>
      </c>
      <c r="BJ32" s="10">
        <f t="shared" si="10"/>
        <v>0</v>
      </c>
      <c r="BL32" s="10">
        <v>-976261</v>
      </c>
      <c r="BN32" s="65">
        <v>60</v>
      </c>
      <c r="BO32" s="10">
        <f t="shared" si="19"/>
        <v>-976261</v>
      </c>
      <c r="BP32" s="36">
        <f t="shared" si="20"/>
        <v>0</v>
      </c>
      <c r="BQ32" s="36"/>
    </row>
    <row r="33" spans="1:69" ht="18.75">
      <c r="A33" s="48" t="s">
        <v>86</v>
      </c>
      <c r="D33" s="49">
        <v>-46904</v>
      </c>
      <c r="F33" s="61">
        <v>55</v>
      </c>
      <c r="G33" s="51">
        <f>+D33+E33</f>
        <v>-46904</v>
      </c>
      <c r="H33" s="52" t="e">
        <f>+G33-#REF!</f>
        <v>#REF!</v>
      </c>
      <c r="J33" s="49">
        <v>154217</v>
      </c>
      <c r="K33" s="49"/>
      <c r="L33" s="61">
        <v>19</v>
      </c>
      <c r="M33" s="49"/>
      <c r="N33" s="61"/>
      <c r="O33" s="55">
        <f>(J33+K33+M33)*6</f>
        <v>925302</v>
      </c>
      <c r="Q33" s="49"/>
      <c r="R33" s="61"/>
      <c r="S33" s="56">
        <f>+O33</f>
        <v>925302</v>
      </c>
      <c r="T33" s="57">
        <f t="shared" si="3"/>
        <v>0</v>
      </c>
      <c r="V33" s="51">
        <v>-78163</v>
      </c>
      <c r="W33" s="49"/>
      <c r="X33" s="61">
        <v>19</v>
      </c>
      <c r="Y33" s="58">
        <f t="shared" si="4"/>
        <v>-312652</v>
      </c>
      <c r="AA33" s="49"/>
      <c r="AB33" s="61"/>
      <c r="AC33" s="59">
        <f>+Y33</f>
        <v>-312652</v>
      </c>
      <c r="AD33" s="60">
        <f t="shared" si="5"/>
        <v>0</v>
      </c>
      <c r="AF33" s="51">
        <v>40219</v>
      </c>
      <c r="AG33" s="49"/>
      <c r="AH33" s="61" t="s">
        <v>56</v>
      </c>
      <c r="AI33" s="58">
        <f t="shared" si="16"/>
        <v>80438</v>
      </c>
      <c r="AK33" s="51">
        <v>0</v>
      </c>
      <c r="AL33" s="61"/>
      <c r="AM33" s="59">
        <f>+AI33</f>
        <v>80438</v>
      </c>
      <c r="AN33" s="60">
        <f t="shared" si="7"/>
        <v>0</v>
      </c>
      <c r="AP33" s="10">
        <v>177925</v>
      </c>
      <c r="AQ33" s="11"/>
      <c r="AR33" s="12">
        <v>19</v>
      </c>
      <c r="AS33" s="10"/>
      <c r="AT33" s="13"/>
      <c r="AU33" s="10">
        <f t="shared" si="24"/>
        <v>213510</v>
      </c>
      <c r="AV33" s="10">
        <f t="shared" si="8"/>
        <v>133072</v>
      </c>
      <c r="AX33" s="10">
        <v>177925</v>
      </c>
      <c r="AY33" s="11"/>
      <c r="AZ33" s="12">
        <v>19</v>
      </c>
      <c r="BA33" s="10"/>
      <c r="BB33" s="13"/>
      <c r="BC33" s="10">
        <f t="shared" ref="BC33" si="25">+AX33/10*12</f>
        <v>213510</v>
      </c>
      <c r="BD33" s="10">
        <f t="shared" si="23"/>
        <v>0</v>
      </c>
      <c r="BF33" s="10">
        <v>-277704</v>
      </c>
      <c r="BG33" s="11"/>
      <c r="BH33" s="65">
        <v>55</v>
      </c>
      <c r="BI33" s="10">
        <f t="shared" si="18"/>
        <v>-277704</v>
      </c>
      <c r="BJ33" s="10">
        <f t="shared" si="10"/>
        <v>-491214</v>
      </c>
      <c r="BL33" s="10">
        <v>-277704</v>
      </c>
      <c r="BN33" s="65">
        <v>55</v>
      </c>
      <c r="BO33" s="10">
        <f t="shared" si="19"/>
        <v>-277704</v>
      </c>
      <c r="BP33" s="36">
        <f t="shared" si="20"/>
        <v>0</v>
      </c>
      <c r="BQ33" s="36"/>
    </row>
    <row r="34" spans="1:69" ht="18.75">
      <c r="A34" s="49" t="s">
        <v>87</v>
      </c>
      <c r="D34" s="52" t="e">
        <f>+#REF!</f>
        <v>#REF!</v>
      </c>
      <c r="F34" s="61" t="s">
        <v>88</v>
      </c>
      <c r="G34" s="51">
        <v>19604</v>
      </c>
      <c r="H34" s="52" t="e">
        <f>+G34-#REF!</f>
        <v>#REF!</v>
      </c>
      <c r="J34" s="49"/>
      <c r="K34" s="49"/>
      <c r="L34" s="61"/>
      <c r="M34" s="49"/>
      <c r="N34" s="61"/>
      <c r="O34" s="70"/>
      <c r="Q34" s="49"/>
      <c r="R34" s="61"/>
      <c r="S34" s="56">
        <f t="shared" si="2"/>
        <v>0</v>
      </c>
      <c r="T34" s="57">
        <f t="shared" si="3"/>
        <v>0</v>
      </c>
      <c r="V34" s="51"/>
      <c r="W34" s="49"/>
      <c r="X34" s="61"/>
      <c r="Y34" s="71"/>
      <c r="AA34" s="49"/>
      <c r="AB34" s="61"/>
      <c r="AC34" s="59">
        <f>V34++AA34</f>
        <v>0</v>
      </c>
      <c r="AD34" s="60">
        <f t="shared" si="5"/>
        <v>0</v>
      </c>
      <c r="AF34" s="51"/>
      <c r="AG34" s="49"/>
      <c r="AH34" s="61"/>
      <c r="AI34" s="71"/>
      <c r="AK34" s="51"/>
      <c r="AL34" s="61"/>
      <c r="AM34" s="59">
        <f>AF34++AK34</f>
        <v>0</v>
      </c>
      <c r="AN34" s="60">
        <f t="shared" si="7"/>
        <v>0</v>
      </c>
      <c r="AP34" s="10">
        <v>0</v>
      </c>
      <c r="AQ34" s="11"/>
      <c r="AR34" s="12"/>
      <c r="AS34" s="10"/>
      <c r="AT34" s="13"/>
      <c r="AU34" s="10"/>
      <c r="AV34" s="10"/>
      <c r="AX34" s="10">
        <v>0</v>
      </c>
      <c r="AY34" s="11"/>
      <c r="AZ34" s="12"/>
      <c r="BA34" s="10"/>
      <c r="BB34" s="13"/>
      <c r="BC34" s="10"/>
      <c r="BD34" s="10"/>
      <c r="BF34" s="10">
        <v>0</v>
      </c>
      <c r="BG34" s="11"/>
      <c r="BH34" s="65"/>
      <c r="BI34" s="10"/>
      <c r="BJ34" s="10"/>
      <c r="BL34" s="10">
        <v>27648</v>
      </c>
      <c r="BN34" s="14">
        <v>4</v>
      </c>
      <c r="BO34" s="10">
        <f t="shared" si="19"/>
        <v>27648</v>
      </c>
      <c r="BP34" s="36">
        <f t="shared" si="20"/>
        <v>27648</v>
      </c>
      <c r="BQ34" s="36"/>
    </row>
    <row r="35" spans="1:69" ht="18.75">
      <c r="A35" s="49" t="s">
        <v>89</v>
      </c>
      <c r="D35" s="49">
        <v>0</v>
      </c>
      <c r="F35" s="61">
        <v>18</v>
      </c>
      <c r="G35" s="51">
        <f t="shared" ref="G35:G41" si="26">+D35+E35</f>
        <v>0</v>
      </c>
      <c r="H35" s="52" t="e">
        <f>+G35-#REF!</f>
        <v>#REF!</v>
      </c>
      <c r="J35" s="49"/>
      <c r="K35" s="49"/>
      <c r="L35" s="61"/>
      <c r="M35" s="49"/>
      <c r="N35" s="61"/>
      <c r="O35" s="70"/>
      <c r="Q35" s="49"/>
      <c r="R35" s="61"/>
      <c r="S35" s="56">
        <f t="shared" si="2"/>
        <v>0</v>
      </c>
      <c r="T35" s="57">
        <f t="shared" si="3"/>
        <v>0</v>
      </c>
      <c r="V35" s="51"/>
      <c r="W35" s="49"/>
      <c r="X35" s="61"/>
      <c r="Y35" s="71"/>
      <c r="AA35" s="49"/>
      <c r="AB35" s="61"/>
      <c r="AC35" s="59">
        <f>V35++AA35</f>
        <v>0</v>
      </c>
      <c r="AD35" s="60">
        <f t="shared" si="5"/>
        <v>0</v>
      </c>
      <c r="AF35" s="51"/>
      <c r="AG35" s="49"/>
      <c r="AH35" s="61"/>
      <c r="AI35" s="71"/>
      <c r="AK35" s="51"/>
      <c r="AL35" s="61"/>
      <c r="AM35" s="59">
        <f>AF35++AK35</f>
        <v>0</v>
      </c>
      <c r="AN35" s="60">
        <f t="shared" si="7"/>
        <v>0</v>
      </c>
      <c r="AP35" s="10">
        <v>0</v>
      </c>
      <c r="AQ35" s="11"/>
      <c r="AR35" s="12"/>
      <c r="AS35" s="10"/>
      <c r="AT35" s="13"/>
      <c r="AU35" s="10"/>
      <c r="AV35" s="10"/>
      <c r="AX35" s="10">
        <v>0</v>
      </c>
      <c r="AY35" s="11"/>
      <c r="AZ35" s="12"/>
      <c r="BA35" s="10"/>
      <c r="BB35" s="13"/>
      <c r="BC35" s="10"/>
      <c r="BD35" s="10"/>
      <c r="BF35" s="10">
        <v>0</v>
      </c>
      <c r="BG35" s="11"/>
      <c r="BH35" s="65"/>
      <c r="BI35" s="10"/>
      <c r="BJ35" s="10"/>
      <c r="BL35" s="10">
        <v>0</v>
      </c>
      <c r="BN35" s="14">
        <v>18</v>
      </c>
      <c r="BO35" s="10">
        <v>0</v>
      </c>
      <c r="BP35" s="36">
        <f t="shared" si="20"/>
        <v>0</v>
      </c>
      <c r="BQ35" s="36"/>
    </row>
    <row r="36" spans="1:69" ht="18.75">
      <c r="A36" s="48" t="s">
        <v>90</v>
      </c>
      <c r="D36" s="49">
        <v>0</v>
      </c>
      <c r="F36" s="61">
        <v>56</v>
      </c>
      <c r="G36" s="51">
        <f t="shared" si="26"/>
        <v>0</v>
      </c>
      <c r="H36" s="52" t="e">
        <f>+G36-#REF!</f>
        <v>#REF!</v>
      </c>
      <c r="J36" s="49"/>
      <c r="K36" s="49"/>
      <c r="L36" s="61">
        <v>24</v>
      </c>
      <c r="M36" s="49"/>
      <c r="N36" s="61"/>
      <c r="O36" s="70"/>
      <c r="Q36" s="49"/>
      <c r="R36" s="61"/>
      <c r="S36" s="56">
        <f t="shared" si="2"/>
        <v>0</v>
      </c>
      <c r="T36" s="57">
        <f t="shared" si="3"/>
        <v>0</v>
      </c>
      <c r="V36" s="51"/>
      <c r="W36" s="49"/>
      <c r="X36" s="61">
        <v>24</v>
      </c>
      <c r="Y36" s="71"/>
      <c r="AA36" s="49"/>
      <c r="AB36" s="61"/>
      <c r="AC36" s="59">
        <f>V36++AA36</f>
        <v>0</v>
      </c>
      <c r="AD36" s="60">
        <f t="shared" si="5"/>
        <v>0</v>
      </c>
      <c r="AF36" s="51"/>
      <c r="AG36" s="49"/>
      <c r="AH36" s="61">
        <v>24</v>
      </c>
      <c r="AI36" s="71"/>
      <c r="AK36" s="51"/>
      <c r="AL36" s="61"/>
      <c r="AM36" s="59">
        <f>AF36++AK36</f>
        <v>0</v>
      </c>
      <c r="AN36" s="60">
        <f t="shared" si="7"/>
        <v>0</v>
      </c>
      <c r="AP36" s="10">
        <v>0</v>
      </c>
      <c r="AQ36" s="11"/>
      <c r="AR36" s="12"/>
      <c r="AS36" s="10"/>
      <c r="AT36" s="13"/>
      <c r="AU36" s="10"/>
      <c r="AV36" s="10"/>
      <c r="AX36" s="10">
        <v>0</v>
      </c>
      <c r="AY36" s="11"/>
      <c r="AZ36" s="12"/>
      <c r="BA36" s="10"/>
      <c r="BB36" s="13"/>
      <c r="BC36" s="10"/>
      <c r="BD36" s="10"/>
      <c r="BF36" s="10">
        <v>0</v>
      </c>
      <c r="BG36" s="11"/>
      <c r="BH36" s="65"/>
      <c r="BI36" s="10"/>
      <c r="BJ36" s="10"/>
      <c r="BL36" s="10">
        <v>0</v>
      </c>
      <c r="BN36" s="14">
        <v>56</v>
      </c>
      <c r="BO36" s="10">
        <v>0</v>
      </c>
      <c r="BP36" s="36">
        <f t="shared" si="20"/>
        <v>0</v>
      </c>
      <c r="BQ36" s="36"/>
    </row>
    <row r="37" spans="1:69" ht="18.75">
      <c r="A37" s="48" t="s">
        <v>91</v>
      </c>
      <c r="D37" s="49">
        <v>1198034</v>
      </c>
      <c r="F37" s="62" t="s">
        <v>92</v>
      </c>
      <c r="G37" s="51">
        <f t="shared" si="26"/>
        <v>1198034</v>
      </c>
      <c r="H37" s="52" t="e">
        <f>+G37-#REF!</f>
        <v>#REF!</v>
      </c>
      <c r="J37" s="49">
        <v>5654659</v>
      </c>
      <c r="K37" s="49"/>
      <c r="L37" s="62">
        <v>5</v>
      </c>
      <c r="M37" s="49">
        <v>2556321</v>
      </c>
      <c r="N37" s="62">
        <v>5</v>
      </c>
      <c r="O37" s="55">
        <f>(J37+K37+M37)*4</f>
        <v>32843920</v>
      </c>
      <c r="Q37" s="49">
        <v>-5904154</v>
      </c>
      <c r="R37" s="62">
        <v>5</v>
      </c>
      <c r="S37" s="56">
        <f t="shared" si="2"/>
        <v>2306826</v>
      </c>
      <c r="T37" s="57">
        <f t="shared" si="3"/>
        <v>-30537094</v>
      </c>
      <c r="V37" s="51">
        <v>8307931</v>
      </c>
      <c r="W37" s="49"/>
      <c r="X37" s="62">
        <v>5</v>
      </c>
      <c r="Y37" s="58">
        <f>(V37+W37)*4</f>
        <v>33231724</v>
      </c>
      <c r="AA37" s="49">
        <v>-5904154</v>
      </c>
      <c r="AB37" s="62">
        <v>5</v>
      </c>
      <c r="AC37" s="59">
        <f>V37++AA37</f>
        <v>2403777</v>
      </c>
      <c r="AD37" s="60">
        <f t="shared" si="5"/>
        <v>-30827947</v>
      </c>
      <c r="AF37" s="51">
        <v>9941761</v>
      </c>
      <c r="AG37" s="49"/>
      <c r="AH37" s="62">
        <v>5</v>
      </c>
      <c r="AI37" s="58">
        <f>(AF37+AG37)*2</f>
        <v>19883522</v>
      </c>
      <c r="AK37" s="51">
        <v>-8277981</v>
      </c>
      <c r="AL37" s="62">
        <v>5</v>
      </c>
      <c r="AM37" s="59">
        <f>AF37++AK37</f>
        <v>1663780</v>
      </c>
      <c r="AN37" s="60">
        <f t="shared" si="7"/>
        <v>-18219742</v>
      </c>
      <c r="AP37" s="10">
        <v>-1274417</v>
      </c>
      <c r="AQ37" s="11"/>
      <c r="AR37" s="12">
        <v>5</v>
      </c>
      <c r="AS37" s="10">
        <v>3922885</v>
      </c>
      <c r="AT37" s="13"/>
      <c r="AU37" s="10">
        <f>+AS37+AP37</f>
        <v>2648468</v>
      </c>
      <c r="AV37" s="10">
        <f t="shared" ref="AV37" si="27">+AU37-AM37</f>
        <v>984688</v>
      </c>
      <c r="AX37" s="10">
        <v>-1274417</v>
      </c>
      <c r="AY37" s="11"/>
      <c r="AZ37" s="12">
        <v>5</v>
      </c>
      <c r="BA37" s="10">
        <f>2870257-AX37</f>
        <v>4144674</v>
      </c>
      <c r="BB37" s="13"/>
      <c r="BC37" s="10">
        <f>+BA37+AX37</f>
        <v>2870257</v>
      </c>
      <c r="BD37" s="10">
        <f>+BC37-AU37</f>
        <v>221789</v>
      </c>
      <c r="BF37" s="10">
        <v>2870257</v>
      </c>
      <c r="BG37" s="11"/>
      <c r="BH37" s="65">
        <v>53.3</v>
      </c>
      <c r="BI37" s="10">
        <f t="shared" ref="BI37" si="28">+BF37+BG37</f>
        <v>2870257</v>
      </c>
      <c r="BJ37" s="10">
        <f t="shared" ref="BJ37" si="29">+BI37-BC37</f>
        <v>0</v>
      </c>
      <c r="BL37" s="10">
        <v>2870257</v>
      </c>
      <c r="BN37" s="65">
        <v>53.3</v>
      </c>
      <c r="BO37" s="10">
        <f>+BL37+BM37</f>
        <v>2870257</v>
      </c>
      <c r="BP37" s="36">
        <f t="shared" si="20"/>
        <v>0</v>
      </c>
      <c r="BQ37" s="36"/>
    </row>
    <row r="38" spans="1:69" ht="18.75">
      <c r="A38" s="72" t="s">
        <v>93</v>
      </c>
      <c r="D38" s="49"/>
      <c r="F38" s="61">
        <v>49</v>
      </c>
      <c r="G38" s="51">
        <f t="shared" si="26"/>
        <v>0</v>
      </c>
      <c r="H38" s="52" t="e">
        <f>+G38-#REF!</f>
        <v>#REF!</v>
      </c>
      <c r="J38" s="49"/>
      <c r="K38" s="49"/>
      <c r="L38" s="61"/>
      <c r="M38" s="49"/>
      <c r="N38" s="61"/>
      <c r="O38" s="70"/>
      <c r="Q38" s="49"/>
      <c r="R38" s="61"/>
      <c r="S38" s="56">
        <f t="shared" si="2"/>
        <v>0</v>
      </c>
      <c r="T38" s="57">
        <f t="shared" si="3"/>
        <v>0</v>
      </c>
      <c r="V38" s="51"/>
      <c r="W38" s="49"/>
      <c r="X38" s="61"/>
      <c r="Y38" s="71"/>
      <c r="AA38" s="49"/>
      <c r="AB38" s="61"/>
      <c r="AC38" s="59">
        <f>V38++AA38</f>
        <v>0</v>
      </c>
      <c r="AD38" s="60">
        <f t="shared" si="5"/>
        <v>0</v>
      </c>
      <c r="AF38" s="51"/>
      <c r="AG38" s="49"/>
      <c r="AH38" s="61"/>
      <c r="AI38" s="71"/>
      <c r="AK38" s="51"/>
      <c r="AL38" s="61"/>
      <c r="AM38" s="59">
        <f>AF38++AK38</f>
        <v>0</v>
      </c>
      <c r="AN38" s="60">
        <f t="shared" si="7"/>
        <v>0</v>
      </c>
      <c r="AP38" s="10">
        <v>0</v>
      </c>
      <c r="AQ38" s="11"/>
      <c r="AR38" s="12"/>
      <c r="AS38" s="10"/>
      <c r="AT38" s="13"/>
      <c r="AU38" s="10"/>
      <c r="AV38" s="10"/>
      <c r="AX38" s="10">
        <v>0</v>
      </c>
      <c r="AY38" s="11"/>
      <c r="AZ38" s="12"/>
      <c r="BA38" s="10"/>
      <c r="BB38" s="13"/>
      <c r="BC38" s="10"/>
      <c r="BD38" s="10"/>
      <c r="BF38" s="10">
        <v>0</v>
      </c>
      <c r="BG38" s="11"/>
      <c r="BH38" s="65"/>
      <c r="BI38" s="10"/>
      <c r="BJ38" s="10"/>
      <c r="BL38" s="10">
        <v>0</v>
      </c>
      <c r="BN38" s="14">
        <v>49</v>
      </c>
      <c r="BO38" s="10">
        <v>0</v>
      </c>
      <c r="BP38" s="36">
        <f t="shared" si="20"/>
        <v>0</v>
      </c>
      <c r="BQ38" s="36"/>
    </row>
    <row r="39" spans="1:69" ht="18.75">
      <c r="A39" s="48" t="s">
        <v>94</v>
      </c>
      <c r="D39" s="49">
        <v>-1639097</v>
      </c>
      <c r="F39" s="62" t="s">
        <v>95</v>
      </c>
      <c r="G39" s="51">
        <f t="shared" si="26"/>
        <v>-1639097</v>
      </c>
      <c r="H39" s="52" t="e">
        <f>+G39-#REF!</f>
        <v>#REF!</v>
      </c>
      <c r="J39" s="49">
        <v>376688</v>
      </c>
      <c r="K39" s="49"/>
      <c r="L39" s="61">
        <v>6</v>
      </c>
      <c r="M39" s="49"/>
      <c r="N39" s="61"/>
      <c r="O39" s="55">
        <f>(J39+K39+M39)*6</f>
        <v>2260128</v>
      </c>
      <c r="Q39" s="49"/>
      <c r="R39" s="61"/>
      <c r="S39" s="56">
        <f>+O39</f>
        <v>2260128</v>
      </c>
      <c r="T39" s="57">
        <f t="shared" si="3"/>
        <v>0</v>
      </c>
      <c r="V39" s="51">
        <v>332436</v>
      </c>
      <c r="W39" s="49"/>
      <c r="X39" s="61">
        <v>6</v>
      </c>
      <c r="Y39" s="58">
        <f>(V39+W39)*4</f>
        <v>1329744</v>
      </c>
      <c r="AA39" s="49"/>
      <c r="AB39" s="61"/>
      <c r="AC39" s="59">
        <f>+Y39</f>
        <v>1329744</v>
      </c>
      <c r="AD39" s="60">
        <f t="shared" si="5"/>
        <v>0</v>
      </c>
      <c r="AF39" s="51">
        <v>814386</v>
      </c>
      <c r="AG39" s="49"/>
      <c r="AH39" s="61">
        <v>6</v>
      </c>
      <c r="AI39" s="58">
        <f t="shared" ref="AI39:AI41" si="30">(AF39+AG39)*2</f>
        <v>1628772</v>
      </c>
      <c r="AK39" s="51"/>
      <c r="AL39" s="61"/>
      <c r="AM39" s="59">
        <f>+AI39</f>
        <v>1628772</v>
      </c>
      <c r="AN39" s="60">
        <f t="shared" si="7"/>
        <v>0</v>
      </c>
      <c r="AP39" s="10">
        <v>2085775</v>
      </c>
      <c r="AQ39" s="11"/>
      <c r="AR39" s="12">
        <v>6</v>
      </c>
      <c r="AS39" s="10"/>
      <c r="AT39" s="13"/>
      <c r="AU39" s="10">
        <f t="shared" ref="AU39:AU40" si="31">+AP39/10*12</f>
        <v>2502930</v>
      </c>
      <c r="AV39" s="10">
        <f t="shared" ref="AV39:AV42" si="32">+AU39-AM39</f>
        <v>874158</v>
      </c>
      <c r="AX39" s="10">
        <v>2085775</v>
      </c>
      <c r="AY39" s="11"/>
      <c r="AZ39" s="12">
        <v>6</v>
      </c>
      <c r="BA39" s="10">
        <f>1650378-AX39</f>
        <v>-435397</v>
      </c>
      <c r="BB39" s="13"/>
      <c r="BC39" s="10">
        <f>+AX39+BA39</f>
        <v>1650378</v>
      </c>
      <c r="BD39" s="10">
        <f>+BC39-AU39</f>
        <v>-852552</v>
      </c>
      <c r="BF39" s="10">
        <v>1650378</v>
      </c>
      <c r="BG39" s="11"/>
      <c r="BH39" s="65">
        <v>53.4</v>
      </c>
      <c r="BI39" s="10">
        <f t="shared" ref="BI39:BI42" si="33">+BF39+BG39</f>
        <v>1650378</v>
      </c>
      <c r="BJ39" s="10">
        <f t="shared" ref="BJ39:BJ42" si="34">+BI39-BC39</f>
        <v>0</v>
      </c>
      <c r="BL39" s="10">
        <v>1650378</v>
      </c>
      <c r="BN39" s="65">
        <v>53.4</v>
      </c>
      <c r="BO39" s="10">
        <f t="shared" ref="BO39:BO52" si="35">+BL39+BM39</f>
        <v>1650378</v>
      </c>
      <c r="BP39" s="36">
        <f t="shared" si="20"/>
        <v>0</v>
      </c>
      <c r="BQ39" s="36"/>
    </row>
    <row r="40" spans="1:69" ht="18.75">
      <c r="A40" s="48" t="s">
        <v>96</v>
      </c>
      <c r="D40" s="49">
        <v>1649049</v>
      </c>
      <c r="F40" s="62">
        <v>32</v>
      </c>
      <c r="G40" s="51">
        <f t="shared" si="26"/>
        <v>1649049</v>
      </c>
      <c r="H40" s="52" t="e">
        <f>+G40-#REF!</f>
        <v>#REF!</v>
      </c>
      <c r="J40" s="49">
        <v>248671</v>
      </c>
      <c r="K40" s="49"/>
      <c r="L40" s="62">
        <v>8</v>
      </c>
      <c r="M40" s="49">
        <v>114000</v>
      </c>
      <c r="N40" s="62" t="s">
        <v>73</v>
      </c>
      <c r="O40" s="55">
        <f>(J40+K40+M40)*4</f>
        <v>1450684</v>
      </c>
      <c r="Q40" s="49">
        <v>1028000</v>
      </c>
      <c r="R40" s="62" t="s">
        <v>73</v>
      </c>
      <c r="S40" s="56">
        <f t="shared" si="2"/>
        <v>1390671</v>
      </c>
      <c r="T40" s="57">
        <f t="shared" si="3"/>
        <v>-60013</v>
      </c>
      <c r="V40" s="51">
        <v>362897</v>
      </c>
      <c r="W40" s="49"/>
      <c r="X40" s="62">
        <v>8</v>
      </c>
      <c r="Y40" s="58">
        <f>(V40+W40)*4</f>
        <v>1451588</v>
      </c>
      <c r="AA40" s="49">
        <v>1028000</v>
      </c>
      <c r="AB40" s="62" t="s">
        <v>73</v>
      </c>
      <c r="AC40" s="59">
        <f>V40+AA40</f>
        <v>1390897</v>
      </c>
      <c r="AD40" s="60">
        <f t="shared" si="5"/>
        <v>-60691</v>
      </c>
      <c r="AF40" s="51">
        <v>705575</v>
      </c>
      <c r="AG40" s="49"/>
      <c r="AH40" s="61" t="s">
        <v>56</v>
      </c>
      <c r="AI40" s="58">
        <f t="shared" si="30"/>
        <v>1411150</v>
      </c>
      <c r="AK40" s="51">
        <v>685000</v>
      </c>
      <c r="AL40" s="62" t="s">
        <v>73</v>
      </c>
      <c r="AM40" s="59">
        <f>AF40+AK40</f>
        <v>1390575</v>
      </c>
      <c r="AN40" s="60">
        <f t="shared" si="7"/>
        <v>-20575</v>
      </c>
      <c r="AP40" s="10">
        <v>1162478</v>
      </c>
      <c r="AQ40" s="11"/>
      <c r="AR40" s="12">
        <v>8</v>
      </c>
      <c r="AS40" s="10">
        <v>26000</v>
      </c>
      <c r="AT40" s="13">
        <v>2.1</v>
      </c>
      <c r="AU40" s="10">
        <f t="shared" si="31"/>
        <v>1394973.6</v>
      </c>
      <c r="AV40" s="10">
        <f t="shared" si="32"/>
        <v>4398.6000000000931</v>
      </c>
      <c r="AX40" s="10">
        <v>1162478</v>
      </c>
      <c r="AY40" s="11"/>
      <c r="AZ40" s="12">
        <v>8</v>
      </c>
      <c r="BA40" s="10">
        <v>26000</v>
      </c>
      <c r="BB40" s="13">
        <v>2.1</v>
      </c>
      <c r="BC40" s="10">
        <f t="shared" ref="BC40" si="36">+AX40/10*12</f>
        <v>1394973.6</v>
      </c>
      <c r="BD40" s="10">
        <f t="shared" ref="BD40:BD42" si="37">+BC40-AU40</f>
        <v>0</v>
      </c>
      <c r="BF40" s="10">
        <v>-1274757</v>
      </c>
      <c r="BG40" s="11"/>
      <c r="BH40" s="65">
        <v>32</v>
      </c>
      <c r="BI40" s="10">
        <f t="shared" si="33"/>
        <v>-1274757</v>
      </c>
      <c r="BJ40" s="10">
        <f t="shared" si="34"/>
        <v>-2669730.6</v>
      </c>
      <c r="BL40" s="10">
        <f>+BI40</f>
        <v>-1274757</v>
      </c>
      <c r="BN40" s="14">
        <v>32</v>
      </c>
      <c r="BO40" s="10">
        <f t="shared" si="35"/>
        <v>-1274757</v>
      </c>
      <c r="BP40" s="36">
        <f t="shared" si="20"/>
        <v>0</v>
      </c>
      <c r="BQ40" s="36"/>
    </row>
    <row r="41" spans="1:69" ht="18.75">
      <c r="A41" s="48" t="s">
        <v>97</v>
      </c>
      <c r="D41" s="49">
        <v>-452062</v>
      </c>
      <c r="F41" s="61">
        <v>45</v>
      </c>
      <c r="G41" s="51">
        <f t="shared" si="26"/>
        <v>-452062</v>
      </c>
      <c r="H41" s="52" t="e">
        <f>+G41-#REF!</f>
        <v>#REF!</v>
      </c>
      <c r="J41" s="49">
        <v>134948</v>
      </c>
      <c r="K41" s="49"/>
      <c r="L41" s="61">
        <v>18</v>
      </c>
      <c r="M41" s="49"/>
      <c r="N41" s="61"/>
      <c r="O41" s="55">
        <f>(J41+K41+M41)*6</f>
        <v>809688</v>
      </c>
      <c r="Q41" s="49"/>
      <c r="R41" s="61"/>
      <c r="S41" s="56">
        <f>+O41</f>
        <v>809688</v>
      </c>
      <c r="T41" s="57">
        <f t="shared" si="3"/>
        <v>0</v>
      </c>
      <c r="V41" s="51">
        <v>80277</v>
      </c>
      <c r="W41" s="49"/>
      <c r="X41" s="61">
        <v>18</v>
      </c>
      <c r="Y41" s="58">
        <f>(V41+W41)*4</f>
        <v>321108</v>
      </c>
      <c r="AA41" s="49"/>
      <c r="AB41" s="61"/>
      <c r="AC41" s="59">
        <f>+Y41</f>
        <v>321108</v>
      </c>
      <c r="AD41" s="60">
        <f t="shared" si="5"/>
        <v>0</v>
      </c>
      <c r="AF41" s="51">
        <v>163932</v>
      </c>
      <c r="AG41" s="49"/>
      <c r="AH41" s="61">
        <v>18</v>
      </c>
      <c r="AI41" s="58">
        <f t="shared" si="30"/>
        <v>327864</v>
      </c>
      <c r="AK41" s="51"/>
      <c r="AL41" s="61"/>
      <c r="AM41" s="59">
        <f>+AI41</f>
        <v>327864</v>
      </c>
      <c r="AN41" s="60">
        <f t="shared" si="7"/>
        <v>0</v>
      </c>
      <c r="AP41" s="10">
        <v>278787</v>
      </c>
      <c r="AQ41" s="11"/>
      <c r="AR41" s="12">
        <v>18</v>
      </c>
      <c r="AS41" s="10"/>
      <c r="AT41" s="13"/>
      <c r="AU41" s="10">
        <f>(+AP41/10*12)</f>
        <v>334544.40000000002</v>
      </c>
      <c r="AV41" s="10">
        <f t="shared" si="32"/>
        <v>6680.4000000000233</v>
      </c>
      <c r="AX41" s="10">
        <v>278787</v>
      </c>
      <c r="AY41" s="11"/>
      <c r="AZ41" s="12">
        <v>18</v>
      </c>
      <c r="BA41" s="10"/>
      <c r="BB41" s="13"/>
      <c r="BC41" s="10">
        <f>(+AX41/10*12)</f>
        <v>334544.40000000002</v>
      </c>
      <c r="BD41" s="10">
        <f t="shared" si="37"/>
        <v>0</v>
      </c>
      <c r="BF41" s="10">
        <v>335636</v>
      </c>
      <c r="BG41" s="11"/>
      <c r="BH41" s="65">
        <v>45</v>
      </c>
      <c r="BI41" s="10">
        <f t="shared" si="33"/>
        <v>335636</v>
      </c>
      <c r="BJ41" s="10">
        <f t="shared" si="34"/>
        <v>1091.5999999999767</v>
      </c>
      <c r="BL41" s="10">
        <v>335638</v>
      </c>
      <c r="BN41" s="14">
        <v>45</v>
      </c>
      <c r="BO41" s="10">
        <f t="shared" si="35"/>
        <v>335638</v>
      </c>
      <c r="BP41" s="36">
        <f t="shared" si="20"/>
        <v>2</v>
      </c>
      <c r="BQ41" s="36"/>
    </row>
    <row r="42" spans="1:69" ht="18.75">
      <c r="A42" s="48" t="s">
        <v>98</v>
      </c>
      <c r="D42" s="49"/>
      <c r="F42" s="61"/>
      <c r="G42" s="51"/>
      <c r="H42" s="52"/>
      <c r="J42" s="49"/>
      <c r="K42" s="49"/>
      <c r="L42" s="61"/>
      <c r="M42" s="49"/>
      <c r="N42" s="61"/>
      <c r="O42" s="55"/>
      <c r="Q42" s="49"/>
      <c r="R42" s="61"/>
      <c r="S42" s="56"/>
      <c r="T42" s="57"/>
      <c r="V42" s="51"/>
      <c r="W42" s="49"/>
      <c r="X42" s="61"/>
      <c r="Y42" s="58"/>
      <c r="AA42" s="49"/>
      <c r="AB42" s="61"/>
      <c r="AC42" s="59"/>
      <c r="AD42" s="60"/>
      <c r="AF42" s="51"/>
      <c r="AG42" s="49"/>
      <c r="AH42" s="61"/>
      <c r="AI42" s="58"/>
      <c r="AK42" s="51"/>
      <c r="AL42" s="61"/>
      <c r="AM42" s="59"/>
      <c r="AN42" s="60"/>
      <c r="AP42" s="10"/>
      <c r="AQ42" s="11"/>
      <c r="AR42" s="12"/>
      <c r="AS42" s="10">
        <v>-27706507</v>
      </c>
      <c r="AT42" s="13">
        <v>18</v>
      </c>
      <c r="AU42" s="10">
        <f>+AS42</f>
        <v>-27706507</v>
      </c>
      <c r="AV42" s="10">
        <f t="shared" si="32"/>
        <v>-27706507</v>
      </c>
      <c r="AX42" s="10"/>
      <c r="AY42" s="11"/>
      <c r="AZ42" s="12"/>
      <c r="BA42" s="10">
        <v>-27706507</v>
      </c>
      <c r="BB42" s="13">
        <v>18</v>
      </c>
      <c r="BC42" s="10">
        <f>+BA42</f>
        <v>-27706507</v>
      </c>
      <c r="BD42" s="10">
        <f t="shared" si="37"/>
        <v>0</v>
      </c>
      <c r="BF42" s="10">
        <v>-22333323</v>
      </c>
      <c r="BG42" s="11"/>
      <c r="BH42" s="65">
        <v>45</v>
      </c>
      <c r="BI42" s="10">
        <f t="shared" si="33"/>
        <v>-22333323</v>
      </c>
      <c r="BJ42" s="10">
        <f t="shared" si="34"/>
        <v>5373184</v>
      </c>
      <c r="BL42" s="10">
        <v>-22882608</v>
      </c>
      <c r="BN42" s="14">
        <v>45</v>
      </c>
      <c r="BO42" s="10">
        <f t="shared" si="35"/>
        <v>-22882608</v>
      </c>
      <c r="BP42" s="36">
        <f t="shared" si="20"/>
        <v>-549285</v>
      </c>
      <c r="BQ42" s="36"/>
    </row>
    <row r="43" spans="1:69" ht="18.75">
      <c r="A43" s="48" t="s">
        <v>99</v>
      </c>
      <c r="D43" s="49">
        <v>-21000</v>
      </c>
      <c r="F43" s="61">
        <v>64</v>
      </c>
      <c r="G43" s="51">
        <f>+D43+E43</f>
        <v>-21000</v>
      </c>
      <c r="H43" s="52" t="e">
        <f>+G43-#REF!</f>
        <v>#REF!</v>
      </c>
      <c r="J43" s="49"/>
      <c r="K43" s="49"/>
      <c r="L43" s="61" t="s">
        <v>100</v>
      </c>
      <c r="M43" s="49"/>
      <c r="N43" s="61"/>
      <c r="O43" s="73"/>
      <c r="Q43" s="49"/>
      <c r="R43" s="61"/>
      <c r="S43" s="56">
        <f t="shared" si="2"/>
        <v>0</v>
      </c>
      <c r="T43" s="57">
        <f t="shared" si="3"/>
        <v>0</v>
      </c>
      <c r="V43" s="51"/>
      <c r="W43" s="49"/>
      <c r="X43" s="61" t="s">
        <v>100</v>
      </c>
      <c r="Y43" s="10"/>
      <c r="AA43" s="49"/>
      <c r="AB43" s="61"/>
      <c r="AC43" s="59">
        <f>V43+AA43</f>
        <v>0</v>
      </c>
      <c r="AD43" s="60">
        <f t="shared" si="5"/>
        <v>0</v>
      </c>
      <c r="AF43" s="51"/>
      <c r="AG43" s="49"/>
      <c r="AH43" s="61" t="s">
        <v>100</v>
      </c>
      <c r="AI43" s="10"/>
      <c r="AK43" s="51"/>
      <c r="AL43" s="61"/>
      <c r="AM43" s="59">
        <f>AF43+AK43</f>
        <v>0</v>
      </c>
      <c r="AN43" s="60">
        <f t="shared" si="7"/>
        <v>0</v>
      </c>
      <c r="AP43" s="10"/>
      <c r="AQ43" s="11"/>
      <c r="AR43" s="12"/>
      <c r="AS43" s="10"/>
      <c r="AT43" s="13"/>
      <c r="AU43" s="10"/>
      <c r="AV43" s="10"/>
      <c r="AX43" s="10"/>
      <c r="AY43" s="11"/>
      <c r="AZ43" s="12"/>
      <c r="BA43" s="10"/>
      <c r="BB43" s="13"/>
      <c r="BC43" s="10"/>
      <c r="BD43" s="10"/>
      <c r="BF43" s="10"/>
      <c r="BG43" s="11"/>
      <c r="BH43" s="65"/>
      <c r="BI43" s="10"/>
      <c r="BJ43" s="10"/>
      <c r="BL43" s="10">
        <v>-21000</v>
      </c>
      <c r="BN43" s="14">
        <v>64</v>
      </c>
      <c r="BO43" s="10">
        <f t="shared" si="35"/>
        <v>-21000</v>
      </c>
      <c r="BP43" s="36">
        <f t="shared" si="20"/>
        <v>-21000</v>
      </c>
      <c r="BQ43" s="36"/>
    </row>
    <row r="44" spans="1:69" ht="18.75">
      <c r="A44" s="48" t="s">
        <v>101</v>
      </c>
      <c r="D44" s="49">
        <f>18902955</f>
        <v>18902955</v>
      </c>
      <c r="F44" s="61">
        <v>36</v>
      </c>
      <c r="G44" s="51">
        <f>+D44+E44</f>
        <v>18902955</v>
      </c>
      <c r="H44" s="52" t="e">
        <f>+G44-#REF!</f>
        <v>#REF!</v>
      </c>
      <c r="J44" s="49">
        <v>3480056</v>
      </c>
      <c r="K44" s="49"/>
      <c r="L44" s="61">
        <v>31</v>
      </c>
      <c r="M44" s="49"/>
      <c r="N44" s="61"/>
      <c r="O44" s="55">
        <f>(J44+K44+M44)*6</f>
        <v>20880336</v>
      </c>
      <c r="Q44" s="49"/>
      <c r="R44" s="61">
        <v>31</v>
      </c>
      <c r="S44" s="56">
        <f>+O44</f>
        <v>20880336</v>
      </c>
      <c r="T44" s="57">
        <f t="shared" si="3"/>
        <v>0</v>
      </c>
      <c r="V44" s="51">
        <v>4442340</v>
      </c>
      <c r="W44" s="49"/>
      <c r="X44" s="61">
        <v>31</v>
      </c>
      <c r="Y44" s="58">
        <f>(V44+W44)*2</f>
        <v>8884680</v>
      </c>
      <c r="AA44" s="49"/>
      <c r="AB44" s="61">
        <v>31</v>
      </c>
      <c r="AC44" s="59">
        <f>+Y44</f>
        <v>8884680</v>
      </c>
      <c r="AD44" s="60">
        <f t="shared" si="5"/>
        <v>0</v>
      </c>
      <c r="AF44" s="51">
        <v>6184404</v>
      </c>
      <c r="AG44" s="49"/>
      <c r="AH44" s="61">
        <v>31</v>
      </c>
      <c r="AI44" s="58">
        <f>(AF44+AG44)*2</f>
        <v>12368808</v>
      </c>
      <c r="AK44" s="51"/>
      <c r="AL44" s="61">
        <v>31</v>
      </c>
      <c r="AM44" s="59">
        <f>+AI44</f>
        <v>12368808</v>
      </c>
      <c r="AN44" s="60">
        <f t="shared" si="7"/>
        <v>0</v>
      </c>
      <c r="AP44" s="10">
        <v>10154929</v>
      </c>
      <c r="AQ44" s="11"/>
      <c r="AR44" s="12">
        <v>31</v>
      </c>
      <c r="AS44" s="10">
        <f>877648+863619</f>
        <v>1741267</v>
      </c>
      <c r="AT44" s="13">
        <v>31.4</v>
      </c>
      <c r="AU44" s="10">
        <f>+AP44+AS44</f>
        <v>11896196</v>
      </c>
      <c r="AV44" s="10">
        <f t="shared" ref="AV44:AV47" si="38">+AU44-AM44</f>
        <v>-472612</v>
      </c>
      <c r="AX44" s="10">
        <v>10154929</v>
      </c>
      <c r="AY44" s="11"/>
      <c r="AZ44" s="12">
        <v>31</v>
      </c>
      <c r="BA44" s="10">
        <f>11386197-AX44</f>
        <v>1231268</v>
      </c>
      <c r="BB44" s="13">
        <v>31.4</v>
      </c>
      <c r="BC44" s="10">
        <f>+AX44+BA44</f>
        <v>11386197</v>
      </c>
      <c r="BD44" s="10">
        <f t="shared" ref="BD44:BD47" si="39">+BC44-AU44</f>
        <v>-509999</v>
      </c>
      <c r="BF44" s="74">
        <v>11386197</v>
      </c>
      <c r="BG44" s="11"/>
      <c r="BH44" s="65">
        <v>36</v>
      </c>
      <c r="BI44" s="10">
        <f t="shared" ref="BI44:BI52" si="40">+BF44+BG44</f>
        <v>11386197</v>
      </c>
      <c r="BJ44" s="10">
        <f t="shared" ref="BJ44:BJ52" si="41">+BI44-BC44</f>
        <v>0</v>
      </c>
      <c r="BL44" s="10">
        <v>11386197</v>
      </c>
      <c r="BN44" s="14">
        <v>36</v>
      </c>
      <c r="BO44" s="10">
        <f t="shared" si="35"/>
        <v>11386197</v>
      </c>
      <c r="BP44" s="36">
        <f t="shared" si="20"/>
        <v>0</v>
      </c>
      <c r="BQ44" s="36"/>
    </row>
    <row r="45" spans="1:69" ht="18.75">
      <c r="A45" s="48" t="s">
        <v>102</v>
      </c>
      <c r="D45" s="49">
        <v>-30156000</v>
      </c>
      <c r="F45" s="61">
        <v>36</v>
      </c>
      <c r="G45" s="51">
        <f>+D45+E45</f>
        <v>-30156000</v>
      </c>
      <c r="H45" s="52" t="e">
        <f>+G45-#REF!</f>
        <v>#REF!</v>
      </c>
      <c r="J45" s="49">
        <v>0</v>
      </c>
      <c r="K45" s="49"/>
      <c r="L45" s="61">
        <v>31</v>
      </c>
      <c r="M45" s="49">
        <v>0</v>
      </c>
      <c r="N45" s="61"/>
      <c r="O45" s="55">
        <f>(J45+K45+M45)*6</f>
        <v>0</v>
      </c>
      <c r="Q45" s="49"/>
      <c r="R45" s="61"/>
      <c r="S45" s="56">
        <f t="shared" si="2"/>
        <v>0</v>
      </c>
      <c r="T45" s="57">
        <f t="shared" si="3"/>
        <v>0</v>
      </c>
      <c r="V45" s="51"/>
      <c r="W45" s="49"/>
      <c r="X45" s="61">
        <v>31</v>
      </c>
      <c r="Y45" s="58">
        <v>-6500000</v>
      </c>
      <c r="AA45" s="49"/>
      <c r="AB45" s="61"/>
      <c r="AC45" s="59">
        <f>+Y45</f>
        <v>-6500000</v>
      </c>
      <c r="AD45" s="60">
        <f t="shared" si="5"/>
        <v>0</v>
      </c>
      <c r="AF45" s="51"/>
      <c r="AG45" s="49"/>
      <c r="AH45" s="61">
        <v>31</v>
      </c>
      <c r="AI45" s="58">
        <v>-6582500</v>
      </c>
      <c r="AK45" s="51"/>
      <c r="AL45" s="61"/>
      <c r="AM45" s="59">
        <f>+AI45</f>
        <v>-6582500</v>
      </c>
      <c r="AN45" s="60">
        <f t="shared" si="7"/>
        <v>0</v>
      </c>
      <c r="AP45" s="10"/>
      <c r="AQ45" s="11"/>
      <c r="AR45" s="12"/>
      <c r="AS45" s="10"/>
      <c r="AT45" s="13">
        <v>31</v>
      </c>
      <c r="AU45" s="10">
        <v>-6582500</v>
      </c>
      <c r="AV45" s="10">
        <f t="shared" si="38"/>
        <v>0</v>
      </c>
      <c r="AX45" s="10"/>
      <c r="AY45" s="11"/>
      <c r="AZ45" s="12"/>
      <c r="BA45" s="10"/>
      <c r="BB45" s="13">
        <v>31</v>
      </c>
      <c r="BC45" s="10">
        <v>-6582500</v>
      </c>
      <c r="BD45" s="10">
        <f t="shared" si="39"/>
        <v>0</v>
      </c>
      <c r="BF45" s="10">
        <v>-6525500</v>
      </c>
      <c r="BG45" s="11"/>
      <c r="BH45" s="65">
        <v>36</v>
      </c>
      <c r="BI45" s="10">
        <f t="shared" si="40"/>
        <v>-6525500</v>
      </c>
      <c r="BJ45" s="10">
        <f t="shared" si="41"/>
        <v>57000</v>
      </c>
      <c r="BL45" s="10">
        <v>-6525500</v>
      </c>
      <c r="BN45" s="14">
        <v>36</v>
      </c>
      <c r="BO45" s="10">
        <f t="shared" si="35"/>
        <v>-6525500</v>
      </c>
      <c r="BP45" s="36">
        <f t="shared" si="20"/>
        <v>0</v>
      </c>
      <c r="BQ45" s="36"/>
    </row>
    <row r="46" spans="1:69" ht="18.75">
      <c r="A46" s="8" t="s">
        <v>103</v>
      </c>
      <c r="D46" s="49">
        <v>-73100</v>
      </c>
      <c r="F46" s="61">
        <v>36</v>
      </c>
      <c r="G46" s="51">
        <f>+D46+E46</f>
        <v>-73100</v>
      </c>
      <c r="H46" s="52" t="e">
        <f>+G46-#REF!</f>
        <v>#REF!</v>
      </c>
      <c r="J46" s="49">
        <v>-184504</v>
      </c>
      <c r="K46" s="49"/>
      <c r="L46" s="61">
        <v>31</v>
      </c>
      <c r="M46" s="49"/>
      <c r="N46" s="61"/>
      <c r="O46" s="55">
        <f>(J46+K46+M46)*6</f>
        <v>-1107024</v>
      </c>
      <c r="Q46" s="49"/>
      <c r="R46" s="61">
        <v>31</v>
      </c>
      <c r="S46" s="56">
        <f>+O46</f>
        <v>-1107024</v>
      </c>
      <c r="T46" s="57">
        <f t="shared" si="3"/>
        <v>0</v>
      </c>
      <c r="V46" s="51">
        <v>-190898</v>
      </c>
      <c r="W46" s="49"/>
      <c r="X46" s="61">
        <v>31</v>
      </c>
      <c r="Y46" s="58">
        <f>(V46+W46)*4</f>
        <v>-763592</v>
      </c>
      <c r="AA46" s="49"/>
      <c r="AB46" s="61">
        <v>31</v>
      </c>
      <c r="AC46" s="59">
        <f>+Y46</f>
        <v>-763592</v>
      </c>
      <c r="AD46" s="60">
        <f t="shared" si="5"/>
        <v>0</v>
      </c>
      <c r="AF46" s="51">
        <v>-13646</v>
      </c>
      <c r="AG46" s="49"/>
      <c r="AH46" s="61">
        <v>31</v>
      </c>
      <c r="AI46" s="58">
        <f t="shared" ref="AI46:AI47" si="42">(AF46+AG46)*2</f>
        <v>-27292</v>
      </c>
      <c r="AK46" s="51"/>
      <c r="AL46" s="61">
        <v>31</v>
      </c>
      <c r="AM46" s="59">
        <f>+AI46</f>
        <v>-27292</v>
      </c>
      <c r="AN46" s="60">
        <f t="shared" si="7"/>
        <v>0</v>
      </c>
      <c r="AP46" s="10">
        <v>-54477</v>
      </c>
      <c r="AQ46" s="11"/>
      <c r="AR46" s="12">
        <v>31</v>
      </c>
      <c r="AS46" s="10"/>
      <c r="AT46" s="13"/>
      <c r="AU46" s="10">
        <f t="shared" ref="AU46:AU47" si="43">+AP46/10*12</f>
        <v>-65372.399999999994</v>
      </c>
      <c r="AV46" s="10">
        <f t="shared" si="38"/>
        <v>-38080.399999999994</v>
      </c>
      <c r="AX46" s="10">
        <v>-54477</v>
      </c>
      <c r="AY46" s="11"/>
      <c r="AZ46" s="12">
        <v>31</v>
      </c>
      <c r="BA46" s="10"/>
      <c r="BB46" s="13"/>
      <c r="BC46" s="10">
        <f t="shared" ref="BC46:BC47" si="44">+AX46/10*12</f>
        <v>-65372.399999999994</v>
      </c>
      <c r="BD46" s="10">
        <f t="shared" si="39"/>
        <v>0</v>
      </c>
      <c r="BF46" s="10">
        <v>-74893</v>
      </c>
      <c r="BG46" s="11"/>
      <c r="BH46" s="65">
        <v>36</v>
      </c>
      <c r="BI46" s="10">
        <f t="shared" si="40"/>
        <v>-74893</v>
      </c>
      <c r="BJ46" s="10">
        <f t="shared" si="41"/>
        <v>-9520.6000000000058</v>
      </c>
      <c r="BL46" s="10">
        <v>-74893</v>
      </c>
      <c r="BN46" s="14">
        <v>36</v>
      </c>
      <c r="BO46" s="10">
        <f t="shared" si="35"/>
        <v>-74893</v>
      </c>
      <c r="BP46" s="36">
        <f t="shared" si="20"/>
        <v>0</v>
      </c>
      <c r="BQ46" s="36"/>
    </row>
    <row r="47" spans="1:69" ht="18.75">
      <c r="A47" s="8" t="s">
        <v>104</v>
      </c>
      <c r="D47" s="49">
        <v>-217256</v>
      </c>
      <c r="F47" s="61">
        <v>44</v>
      </c>
      <c r="G47" s="51">
        <v>-20922</v>
      </c>
      <c r="H47" s="52" t="e">
        <f>+G47-#REF!</f>
        <v>#REF!</v>
      </c>
      <c r="J47" s="49">
        <v>0</v>
      </c>
      <c r="K47" s="49"/>
      <c r="L47" s="61">
        <v>26</v>
      </c>
      <c r="M47" s="49"/>
      <c r="N47" s="61"/>
      <c r="O47" s="73">
        <f>(J47+K47+M47)*6</f>
        <v>0</v>
      </c>
      <c r="Q47" s="49"/>
      <c r="R47" s="61"/>
      <c r="S47" s="56">
        <f t="shared" si="2"/>
        <v>0</v>
      </c>
      <c r="T47" s="57">
        <f t="shared" si="3"/>
        <v>0</v>
      </c>
      <c r="V47" s="51"/>
      <c r="W47" s="49"/>
      <c r="X47" s="61">
        <v>26</v>
      </c>
      <c r="Y47" s="58">
        <f>(V47+W47)*4</f>
        <v>0</v>
      </c>
      <c r="AA47" s="49"/>
      <c r="AB47" s="61"/>
      <c r="AC47" s="59">
        <f>V47+AA47</f>
        <v>0</v>
      </c>
      <c r="AD47" s="60">
        <f t="shared" si="5"/>
        <v>0</v>
      </c>
      <c r="AF47" s="51">
        <v>-9391</v>
      </c>
      <c r="AG47" s="49"/>
      <c r="AH47" s="61" t="s">
        <v>56</v>
      </c>
      <c r="AI47" s="58">
        <f t="shared" si="42"/>
        <v>-18782</v>
      </c>
      <c r="AK47" s="51"/>
      <c r="AL47" s="61"/>
      <c r="AM47" s="59">
        <f>+AI47</f>
        <v>-18782</v>
      </c>
      <c r="AN47" s="60">
        <f t="shared" si="7"/>
        <v>0</v>
      </c>
      <c r="AP47" s="10">
        <v>-16569</v>
      </c>
      <c r="AQ47" s="11"/>
      <c r="AR47" s="12">
        <v>26</v>
      </c>
      <c r="AS47" s="10"/>
      <c r="AT47" s="13"/>
      <c r="AU47" s="10">
        <f t="shared" si="43"/>
        <v>-19882.800000000003</v>
      </c>
      <c r="AV47" s="10">
        <f t="shared" si="38"/>
        <v>-1100.8000000000029</v>
      </c>
      <c r="AX47" s="10">
        <v>-16569</v>
      </c>
      <c r="AY47" s="11"/>
      <c r="AZ47" s="12">
        <v>26</v>
      </c>
      <c r="BA47" s="10"/>
      <c r="BB47" s="13"/>
      <c r="BC47" s="10">
        <f t="shared" si="44"/>
        <v>-19882.800000000003</v>
      </c>
      <c r="BD47" s="10">
        <f t="shared" si="39"/>
        <v>0</v>
      </c>
      <c r="BF47" s="10">
        <v>-15688</v>
      </c>
      <c r="BG47" s="11"/>
      <c r="BH47" s="65">
        <v>44</v>
      </c>
      <c r="BI47" s="10">
        <f t="shared" si="40"/>
        <v>-15688</v>
      </c>
      <c r="BJ47" s="10">
        <f t="shared" si="41"/>
        <v>4194.8000000000029</v>
      </c>
      <c r="BL47" s="10">
        <v>-15688</v>
      </c>
      <c r="BN47" s="14">
        <v>44</v>
      </c>
      <c r="BO47" s="10">
        <f t="shared" si="35"/>
        <v>-15688</v>
      </c>
      <c r="BP47" s="36">
        <f t="shared" si="20"/>
        <v>0</v>
      </c>
      <c r="BQ47" s="36"/>
    </row>
    <row r="48" spans="1:69" ht="18.75">
      <c r="A48" s="8" t="s">
        <v>105</v>
      </c>
      <c r="D48" s="49"/>
      <c r="F48" s="61">
        <v>17</v>
      </c>
      <c r="G48" s="51">
        <f>+D48+E48</f>
        <v>0</v>
      </c>
      <c r="H48" s="52" t="e">
        <f>+G48-#REF!</f>
        <v>#REF!</v>
      </c>
      <c r="J48" s="49"/>
      <c r="K48" s="49"/>
      <c r="L48" s="61"/>
      <c r="M48" s="49"/>
      <c r="N48" s="61"/>
      <c r="O48" s="73"/>
      <c r="Q48" s="49"/>
      <c r="R48" s="61"/>
      <c r="S48" s="56">
        <f t="shared" si="2"/>
        <v>0</v>
      </c>
      <c r="T48" s="57">
        <f t="shared" si="3"/>
        <v>0</v>
      </c>
      <c r="V48" s="51"/>
      <c r="W48" s="49"/>
      <c r="X48" s="61"/>
      <c r="Y48" s="10"/>
      <c r="AA48" s="49"/>
      <c r="AB48" s="61"/>
      <c r="AC48" s="59">
        <f>V48+AA48</f>
        <v>0</v>
      </c>
      <c r="AD48" s="60">
        <f t="shared" si="5"/>
        <v>0</v>
      </c>
      <c r="AF48" s="51"/>
      <c r="AG48" s="49"/>
      <c r="AH48" s="61"/>
      <c r="AI48" s="10"/>
      <c r="AK48" s="51"/>
      <c r="AL48" s="61"/>
      <c r="AM48" s="59">
        <f>AF48+AK48</f>
        <v>0</v>
      </c>
      <c r="AN48" s="60">
        <f t="shared" si="7"/>
        <v>0</v>
      </c>
      <c r="AP48" s="10">
        <v>0</v>
      </c>
      <c r="AQ48" s="11"/>
      <c r="AR48" s="12"/>
      <c r="AS48" s="10"/>
      <c r="AT48" s="13"/>
      <c r="AU48" s="10"/>
      <c r="AV48" s="10"/>
      <c r="AX48" s="10">
        <v>0</v>
      </c>
      <c r="AY48" s="11"/>
      <c r="AZ48" s="12"/>
      <c r="BA48" s="10"/>
      <c r="BB48" s="13"/>
      <c r="BC48" s="10"/>
      <c r="BD48" s="10"/>
      <c r="BF48" s="10">
        <v>0</v>
      </c>
      <c r="BG48" s="11"/>
      <c r="BH48" s="65"/>
      <c r="BI48" s="10">
        <f t="shared" si="40"/>
        <v>0</v>
      </c>
      <c r="BJ48" s="10">
        <f t="shared" si="41"/>
        <v>0</v>
      </c>
      <c r="BL48" s="10">
        <v>36623</v>
      </c>
      <c r="BN48" s="67">
        <v>17</v>
      </c>
      <c r="BO48" s="10">
        <f t="shared" si="35"/>
        <v>36623</v>
      </c>
      <c r="BP48" s="36">
        <f t="shared" si="20"/>
        <v>36623</v>
      </c>
      <c r="BQ48" s="36"/>
    </row>
    <row r="49" spans="1:69" ht="18.75">
      <c r="A49" s="8" t="s">
        <v>106</v>
      </c>
      <c r="D49" s="49">
        <v>-20922</v>
      </c>
      <c r="F49" s="61">
        <v>59</v>
      </c>
      <c r="G49" s="51">
        <v>-217256</v>
      </c>
      <c r="H49" s="52" t="e">
        <f>+G49-#REF!</f>
        <v>#REF!</v>
      </c>
      <c r="J49" s="49"/>
      <c r="K49" s="49"/>
      <c r="L49" s="61">
        <v>21</v>
      </c>
      <c r="M49" s="49"/>
      <c r="N49" s="61"/>
      <c r="O49" s="73"/>
      <c r="Q49" s="49"/>
      <c r="R49" s="61"/>
      <c r="S49" s="56">
        <f t="shared" si="2"/>
        <v>0</v>
      </c>
      <c r="T49" s="57">
        <f t="shared" si="3"/>
        <v>0</v>
      </c>
      <c r="V49" s="51">
        <v>-55824</v>
      </c>
      <c r="W49" s="49"/>
      <c r="X49" s="61">
        <v>21</v>
      </c>
      <c r="Y49" s="58">
        <f>(V49+W49)*4</f>
        <v>-223296</v>
      </c>
      <c r="AA49" s="49"/>
      <c r="AB49" s="61"/>
      <c r="AC49" s="59">
        <f>+Y49</f>
        <v>-223296</v>
      </c>
      <c r="AD49" s="60">
        <f t="shared" si="5"/>
        <v>0</v>
      </c>
      <c r="AF49" s="51">
        <v>-112287</v>
      </c>
      <c r="AG49" s="49"/>
      <c r="AH49" s="61" t="s">
        <v>56</v>
      </c>
      <c r="AI49" s="58">
        <f t="shared" ref="AI49:AI52" si="45">(AF49+AG49)*2</f>
        <v>-224574</v>
      </c>
      <c r="AK49" s="51"/>
      <c r="AL49" s="61">
        <v>21</v>
      </c>
      <c r="AM49" s="59">
        <f>+AI49</f>
        <v>-224574</v>
      </c>
      <c r="AN49" s="60">
        <f t="shared" si="7"/>
        <v>0</v>
      </c>
      <c r="AP49" s="10">
        <v>-188595</v>
      </c>
      <c r="AQ49" s="11"/>
      <c r="AR49" s="12">
        <v>21</v>
      </c>
      <c r="AS49" s="10"/>
      <c r="AT49" s="13"/>
      <c r="AU49" s="10">
        <f>+AP49/10*12</f>
        <v>-226314</v>
      </c>
      <c r="AV49" s="10">
        <f t="shared" ref="AV49" si="46">+AU49-AM49</f>
        <v>-1740</v>
      </c>
      <c r="AX49" s="10">
        <v>-188595</v>
      </c>
      <c r="AY49" s="11"/>
      <c r="AZ49" s="12">
        <v>21</v>
      </c>
      <c r="BA49" s="10"/>
      <c r="BB49" s="13"/>
      <c r="BC49" s="10">
        <f>+AX49/10*12</f>
        <v>-226314</v>
      </c>
      <c r="BD49" s="10">
        <f t="shared" ref="BD49" si="47">+BC49-AU49</f>
        <v>0</v>
      </c>
      <c r="BF49" s="10">
        <v>-227201</v>
      </c>
      <c r="BG49" s="11"/>
      <c r="BH49" s="65">
        <v>59</v>
      </c>
      <c r="BI49" s="10">
        <f t="shared" si="40"/>
        <v>-227201</v>
      </c>
      <c r="BJ49" s="10">
        <f t="shared" si="41"/>
        <v>-887</v>
      </c>
      <c r="BL49" s="10">
        <v>-227201</v>
      </c>
      <c r="BN49" s="14">
        <v>59</v>
      </c>
      <c r="BO49" s="10">
        <f t="shared" si="35"/>
        <v>-227201</v>
      </c>
      <c r="BP49" s="36">
        <f t="shared" si="20"/>
        <v>0</v>
      </c>
      <c r="BQ49" s="36"/>
    </row>
    <row r="50" spans="1:69" ht="18.75">
      <c r="A50" s="8" t="s">
        <v>107</v>
      </c>
      <c r="D50" s="49">
        <v>110570</v>
      </c>
      <c r="F50" s="61">
        <v>48</v>
      </c>
      <c r="G50" s="51">
        <f>+D50+E50</f>
        <v>110570</v>
      </c>
      <c r="H50" s="52" t="e">
        <f>+G50-#REF!</f>
        <v>#REF!</v>
      </c>
      <c r="J50" s="49">
        <v>0</v>
      </c>
      <c r="K50" s="49"/>
      <c r="L50" s="61"/>
      <c r="M50" s="49"/>
      <c r="N50" s="61"/>
      <c r="O50" s="55">
        <f>(J50+K50+M50)*6</f>
        <v>0</v>
      </c>
      <c r="Q50" s="49"/>
      <c r="R50" s="61"/>
      <c r="S50" s="56">
        <f t="shared" si="2"/>
        <v>0</v>
      </c>
      <c r="T50" s="57">
        <f t="shared" si="3"/>
        <v>0</v>
      </c>
      <c r="V50" s="51"/>
      <c r="W50" s="49"/>
      <c r="X50" s="61"/>
      <c r="Y50" s="58">
        <f>(V50+W50)*4</f>
        <v>0</v>
      </c>
      <c r="AA50" s="49"/>
      <c r="AB50" s="61"/>
      <c r="AC50" s="59">
        <f>V50+AA50</f>
        <v>0</v>
      </c>
      <c r="AD50" s="60">
        <f t="shared" si="5"/>
        <v>0</v>
      </c>
      <c r="AF50" s="51"/>
      <c r="AG50" s="49"/>
      <c r="AH50" s="61"/>
      <c r="AI50" s="58">
        <f t="shared" si="45"/>
        <v>0</v>
      </c>
      <c r="AK50" s="51"/>
      <c r="AL50" s="61"/>
      <c r="AM50" s="59">
        <f>AF50+AK50</f>
        <v>0</v>
      </c>
      <c r="AN50" s="60">
        <f t="shared" si="7"/>
        <v>0</v>
      </c>
      <c r="AP50" s="10">
        <v>0</v>
      </c>
      <c r="AQ50" s="11"/>
      <c r="AR50" s="12"/>
      <c r="AS50" s="10"/>
      <c r="AT50" s="13"/>
      <c r="AU50" s="10"/>
      <c r="AV50" s="10"/>
      <c r="AX50" s="10">
        <v>0</v>
      </c>
      <c r="AY50" s="11"/>
      <c r="AZ50" s="12"/>
      <c r="BA50" s="10"/>
      <c r="BB50" s="13"/>
      <c r="BC50" s="10"/>
      <c r="BD50" s="10"/>
      <c r="BF50" s="10">
        <v>0</v>
      </c>
      <c r="BG50" s="11"/>
      <c r="BH50" s="65"/>
      <c r="BI50" s="10">
        <f t="shared" si="40"/>
        <v>0</v>
      </c>
      <c r="BJ50" s="10">
        <f t="shared" si="41"/>
        <v>0</v>
      </c>
      <c r="BL50" s="10">
        <v>-244298</v>
      </c>
      <c r="BN50" s="14">
        <v>48</v>
      </c>
      <c r="BO50" s="10">
        <f t="shared" si="35"/>
        <v>-244298</v>
      </c>
      <c r="BP50" s="36">
        <f t="shared" si="20"/>
        <v>-244298</v>
      </c>
      <c r="BQ50" s="36"/>
    </row>
    <row r="51" spans="1:69" ht="18.75">
      <c r="A51" s="8" t="s">
        <v>108</v>
      </c>
      <c r="D51" s="49"/>
      <c r="F51" s="61">
        <v>82</v>
      </c>
      <c r="G51" s="51">
        <v>107964</v>
      </c>
      <c r="H51" s="52" t="e">
        <f>+G51-#REF!</f>
        <v>#REF!</v>
      </c>
      <c r="J51" s="49"/>
      <c r="K51" s="49"/>
      <c r="L51" s="61"/>
      <c r="M51" s="49"/>
      <c r="N51" s="61"/>
      <c r="O51" s="73"/>
      <c r="Q51" s="49"/>
      <c r="R51" s="61"/>
      <c r="S51" s="56">
        <f t="shared" si="2"/>
        <v>0</v>
      </c>
      <c r="T51" s="57">
        <f t="shared" si="3"/>
        <v>0</v>
      </c>
      <c r="V51" s="51"/>
      <c r="W51" s="49"/>
      <c r="X51" s="61"/>
      <c r="Y51" s="58">
        <f>(V51+W51)*4</f>
        <v>0</v>
      </c>
      <c r="AA51" s="49"/>
      <c r="AB51" s="61"/>
      <c r="AC51" s="59">
        <f>V51+AA51</f>
        <v>0</v>
      </c>
      <c r="AD51" s="60">
        <f t="shared" si="5"/>
        <v>0</v>
      </c>
      <c r="AF51" s="51"/>
      <c r="AG51" s="49"/>
      <c r="AH51" s="61"/>
      <c r="AI51" s="58">
        <v>-107964</v>
      </c>
      <c r="AK51" s="51"/>
      <c r="AL51" s="61"/>
      <c r="AM51" s="59">
        <f>+AI51</f>
        <v>-107964</v>
      </c>
      <c r="AN51" s="60">
        <f t="shared" si="7"/>
        <v>0</v>
      </c>
      <c r="AP51" s="10"/>
      <c r="AQ51" s="11"/>
      <c r="AR51" s="12"/>
      <c r="AS51" s="10"/>
      <c r="AT51" s="13"/>
      <c r="AU51" s="10">
        <f>+AM51</f>
        <v>-107964</v>
      </c>
      <c r="AV51" s="10">
        <f t="shared" ref="AV51:AV52" si="48">+AU51-AM51</f>
        <v>0</v>
      </c>
      <c r="AX51" s="10"/>
      <c r="AY51" s="11"/>
      <c r="AZ51" s="12"/>
      <c r="BA51" s="10"/>
      <c r="BB51" s="13"/>
      <c r="BC51" s="10">
        <f>+AU51</f>
        <v>-107964</v>
      </c>
      <c r="BD51" s="10">
        <f t="shared" ref="BD51:BD52" si="49">+BC51-AU51</f>
        <v>0</v>
      </c>
      <c r="BF51" s="10">
        <v>-107964</v>
      </c>
      <c r="BG51" s="11"/>
      <c r="BH51" s="65">
        <v>82</v>
      </c>
      <c r="BI51" s="10">
        <f t="shared" si="40"/>
        <v>-107964</v>
      </c>
      <c r="BJ51" s="10">
        <f t="shared" si="41"/>
        <v>0</v>
      </c>
      <c r="BL51" s="10">
        <v>-112154</v>
      </c>
      <c r="BN51" s="14">
        <v>82</v>
      </c>
      <c r="BO51" s="10">
        <f t="shared" si="35"/>
        <v>-112154</v>
      </c>
      <c r="BP51" s="36">
        <f t="shared" si="20"/>
        <v>-4190</v>
      </c>
      <c r="BQ51" s="36"/>
    </row>
    <row r="52" spans="1:69" ht="18.75">
      <c r="A52" s="8" t="s">
        <v>109</v>
      </c>
      <c r="D52" s="49">
        <v>2316796</v>
      </c>
      <c r="F52" s="61">
        <v>38</v>
      </c>
      <c r="G52" s="51">
        <f>+D52+E52</f>
        <v>2316796</v>
      </c>
      <c r="H52" s="52" t="e">
        <f>+G52-#REF!</f>
        <v>#REF!</v>
      </c>
      <c r="J52" s="49">
        <v>-181796</v>
      </c>
      <c r="K52" s="49"/>
      <c r="L52" s="61">
        <v>15</v>
      </c>
      <c r="M52" s="49"/>
      <c r="N52" s="61"/>
      <c r="O52" s="55">
        <f>(J52+K52+M52)*6</f>
        <v>-1090776</v>
      </c>
      <c r="Q52" s="49"/>
      <c r="R52" s="61"/>
      <c r="S52" s="56">
        <f>+O52</f>
        <v>-1090776</v>
      </c>
      <c r="T52" s="57">
        <f t="shared" si="3"/>
        <v>0</v>
      </c>
      <c r="V52" s="51">
        <v>-181796</v>
      </c>
      <c r="W52" s="49"/>
      <c r="X52" s="61">
        <v>15</v>
      </c>
      <c r="Y52" s="58">
        <f>(V52+W52)*4</f>
        <v>-727184</v>
      </c>
      <c r="AA52" s="49"/>
      <c r="AB52" s="61"/>
      <c r="AC52" s="59">
        <f>+Y52</f>
        <v>-727184</v>
      </c>
      <c r="AD52" s="60">
        <f t="shared" si="5"/>
        <v>0</v>
      </c>
      <c r="AF52" s="51">
        <v>439204</v>
      </c>
      <c r="AG52" s="49"/>
      <c r="AH52" s="61">
        <v>15</v>
      </c>
      <c r="AI52" s="58">
        <f t="shared" si="45"/>
        <v>878408</v>
      </c>
      <c r="AK52" s="51"/>
      <c r="AL52" s="61"/>
      <c r="AM52" s="59">
        <f>+AI52</f>
        <v>878408</v>
      </c>
      <c r="AN52" s="60">
        <f t="shared" si="7"/>
        <v>0</v>
      </c>
      <c r="AP52" s="10">
        <v>-595796</v>
      </c>
      <c r="AQ52" s="11"/>
      <c r="AR52" s="12">
        <v>15</v>
      </c>
      <c r="AS52" s="10"/>
      <c r="AT52" s="13"/>
      <c r="AU52" s="10">
        <f>+AP52/10*12</f>
        <v>-714955.2</v>
      </c>
      <c r="AV52" s="10">
        <f t="shared" si="48"/>
        <v>-1593363.2</v>
      </c>
      <c r="AX52" s="10">
        <v>-595796</v>
      </c>
      <c r="AY52" s="11"/>
      <c r="AZ52" s="12">
        <v>15</v>
      </c>
      <c r="BA52" s="10"/>
      <c r="BB52" s="13"/>
      <c r="BC52" s="10">
        <f>+AX52/10*12</f>
        <v>-714955.2</v>
      </c>
      <c r="BD52" s="10">
        <f t="shared" si="49"/>
        <v>0</v>
      </c>
      <c r="BF52" s="10">
        <v>-2516796</v>
      </c>
      <c r="BG52" s="11"/>
      <c r="BH52" s="65">
        <v>38</v>
      </c>
      <c r="BI52" s="10">
        <f t="shared" si="40"/>
        <v>-2516796</v>
      </c>
      <c r="BJ52" s="10">
        <f t="shared" si="41"/>
        <v>-1801840.8</v>
      </c>
      <c r="BL52" s="10">
        <v>-2516796</v>
      </c>
      <c r="BN52" s="14">
        <v>38</v>
      </c>
      <c r="BO52" s="10">
        <f t="shared" si="35"/>
        <v>-2516796</v>
      </c>
      <c r="BP52" s="36">
        <f t="shared" si="20"/>
        <v>0</v>
      </c>
      <c r="BQ52" s="36"/>
    </row>
    <row r="53" spans="1:69" ht="18.75">
      <c r="A53" s="8" t="s">
        <v>110</v>
      </c>
      <c r="D53" s="49"/>
      <c r="F53" s="61"/>
      <c r="G53" s="51"/>
      <c r="H53" s="52" t="e">
        <f>+G53-#REF!</f>
        <v>#REF!</v>
      </c>
      <c r="J53" s="49"/>
      <c r="K53" s="49"/>
      <c r="L53" s="61"/>
      <c r="M53" s="49"/>
      <c r="N53" s="61"/>
      <c r="O53" s="73"/>
      <c r="Q53" s="49"/>
      <c r="R53" s="61"/>
      <c r="S53" s="56">
        <f t="shared" si="2"/>
        <v>0</v>
      </c>
      <c r="T53" s="57">
        <f t="shared" si="3"/>
        <v>0</v>
      </c>
      <c r="V53" s="51"/>
      <c r="W53" s="49"/>
      <c r="X53" s="61"/>
      <c r="Y53" s="10"/>
      <c r="AA53" s="49"/>
      <c r="AB53" s="61"/>
      <c r="AC53" s="59">
        <f>V53+AA53</f>
        <v>0</v>
      </c>
      <c r="AD53" s="60">
        <f t="shared" si="5"/>
        <v>0</v>
      </c>
      <c r="AF53" s="51"/>
      <c r="AG53" s="49"/>
      <c r="AH53" s="61"/>
      <c r="AI53" s="10"/>
      <c r="AK53" s="51"/>
      <c r="AL53" s="61"/>
      <c r="AM53" s="59">
        <f>AF53+AK53</f>
        <v>0</v>
      </c>
      <c r="AN53" s="60">
        <f t="shared" si="7"/>
        <v>0</v>
      </c>
      <c r="AP53" s="10">
        <v>0</v>
      </c>
      <c r="AQ53" s="11"/>
      <c r="AR53" s="12"/>
      <c r="AS53" s="10"/>
      <c r="AT53" s="13"/>
      <c r="AU53" s="10"/>
      <c r="AV53" s="10"/>
      <c r="AX53" s="10">
        <v>0</v>
      </c>
      <c r="AY53" s="11"/>
      <c r="AZ53" s="12"/>
      <c r="BA53" s="10"/>
      <c r="BB53" s="13"/>
      <c r="BC53" s="10"/>
      <c r="BD53" s="10"/>
      <c r="BF53" s="10">
        <v>0</v>
      </c>
      <c r="BG53" s="11"/>
      <c r="BH53" s="65"/>
      <c r="BI53" s="10"/>
      <c r="BJ53" s="10"/>
      <c r="BL53" s="10"/>
      <c r="BN53" s="14"/>
      <c r="BO53" s="10"/>
      <c r="BP53" s="36">
        <f t="shared" si="20"/>
        <v>0</v>
      </c>
      <c r="BQ53" s="36"/>
    </row>
    <row r="54" spans="1:69" ht="18.75">
      <c r="A54" s="8" t="s">
        <v>111</v>
      </c>
      <c r="D54" s="49"/>
      <c r="F54" s="61"/>
      <c r="G54" s="51">
        <v>65332</v>
      </c>
      <c r="H54" s="52" t="e">
        <f>+G54-#REF!</f>
        <v>#REF!</v>
      </c>
      <c r="J54" s="49"/>
      <c r="K54" s="49"/>
      <c r="L54" s="61"/>
      <c r="M54" s="49"/>
      <c r="N54" s="61"/>
      <c r="O54" s="73"/>
      <c r="Q54" s="49"/>
      <c r="R54" s="61"/>
      <c r="S54" s="56">
        <f t="shared" si="2"/>
        <v>0</v>
      </c>
      <c r="T54" s="57">
        <f t="shared" si="3"/>
        <v>0</v>
      </c>
      <c r="V54" s="51"/>
      <c r="W54" s="49"/>
      <c r="X54" s="61"/>
      <c r="Y54" s="10"/>
      <c r="AA54" s="49"/>
      <c r="AB54" s="61"/>
      <c r="AC54" s="59">
        <f>V54+AA54</f>
        <v>0</v>
      </c>
      <c r="AD54" s="60">
        <f t="shared" si="5"/>
        <v>0</v>
      </c>
      <c r="AF54" s="51"/>
      <c r="AG54" s="49"/>
      <c r="AH54" s="61"/>
      <c r="AI54" s="10"/>
      <c r="AK54" s="51"/>
      <c r="AL54" s="61"/>
      <c r="AM54" s="59">
        <f>AF54+AK54</f>
        <v>0</v>
      </c>
      <c r="AN54" s="60">
        <f t="shared" si="7"/>
        <v>0</v>
      </c>
      <c r="AP54" s="10"/>
      <c r="AQ54" s="11"/>
      <c r="AR54" s="12"/>
      <c r="AS54" s="10"/>
      <c r="AT54" s="13"/>
      <c r="AU54" s="10"/>
      <c r="AV54" s="10"/>
      <c r="AX54" s="10"/>
      <c r="AY54" s="11"/>
      <c r="AZ54" s="12"/>
      <c r="BA54" s="10"/>
      <c r="BB54" s="13"/>
      <c r="BC54" s="10"/>
      <c r="BD54" s="10"/>
      <c r="BF54" s="10"/>
      <c r="BG54" s="11"/>
      <c r="BH54" s="65"/>
      <c r="BI54" s="10"/>
      <c r="BJ54" s="10"/>
      <c r="BL54" s="10">
        <v>-52683</v>
      </c>
      <c r="BN54" s="14">
        <v>52</v>
      </c>
      <c r="BO54" s="10">
        <f t="shared" ref="BO54:BO55" si="50">+BL54+BM54</f>
        <v>-52683</v>
      </c>
      <c r="BP54" s="36">
        <f t="shared" si="20"/>
        <v>-52683</v>
      </c>
      <c r="BQ54" s="36"/>
    </row>
    <row r="55" spans="1:69" ht="18.75">
      <c r="A55" s="8" t="s">
        <v>112</v>
      </c>
      <c r="D55" s="49">
        <v>-154286</v>
      </c>
      <c r="F55" s="61">
        <v>43</v>
      </c>
      <c r="G55" s="51">
        <f>+D55+E55</f>
        <v>-154286</v>
      </c>
      <c r="H55" s="52" t="e">
        <f>+G55-#REF!</f>
        <v>#REF!</v>
      </c>
      <c r="J55" s="49">
        <v>-25714</v>
      </c>
      <c r="K55" s="49"/>
      <c r="L55" s="61">
        <v>27</v>
      </c>
      <c r="M55" s="49"/>
      <c r="N55" s="61"/>
      <c r="O55" s="55">
        <f>(J55+K55+M55)*6</f>
        <v>-154284</v>
      </c>
      <c r="Q55" s="49"/>
      <c r="R55" s="61"/>
      <c r="S55" s="56">
        <f>+O55</f>
        <v>-154284</v>
      </c>
      <c r="T55" s="57">
        <f t="shared" si="3"/>
        <v>0</v>
      </c>
      <c r="V55" s="51">
        <v>-38571</v>
      </c>
      <c r="W55" s="49"/>
      <c r="X55" s="61">
        <v>27</v>
      </c>
      <c r="Y55" s="58">
        <f>(V55+W55)*4</f>
        <v>-154284</v>
      </c>
      <c r="AA55" s="49"/>
      <c r="AB55" s="61"/>
      <c r="AC55" s="59">
        <f>+Y55</f>
        <v>-154284</v>
      </c>
      <c r="AD55" s="60">
        <f t="shared" si="5"/>
        <v>0</v>
      </c>
      <c r="AF55" s="51">
        <v>-77143</v>
      </c>
      <c r="AG55" s="49"/>
      <c r="AH55" s="61" t="s">
        <v>56</v>
      </c>
      <c r="AI55" s="58">
        <f>(AF55+AG55)*2</f>
        <v>-154286</v>
      </c>
      <c r="AK55" s="51"/>
      <c r="AL55" s="61"/>
      <c r="AM55" s="59">
        <f>+AI55</f>
        <v>-154286</v>
      </c>
      <c r="AN55" s="60">
        <f t="shared" si="7"/>
        <v>0</v>
      </c>
      <c r="AP55" s="10">
        <v>-303857</v>
      </c>
      <c r="AQ55" s="11"/>
      <c r="AR55" s="12">
        <v>27</v>
      </c>
      <c r="AS55" s="10"/>
      <c r="AT55" s="13"/>
      <c r="AU55" s="10">
        <f>+AP55/10*12</f>
        <v>-364628.4</v>
      </c>
      <c r="AV55" s="10">
        <f t="shared" ref="AV55" si="51">+AU55-AM55</f>
        <v>-210342.40000000002</v>
      </c>
      <c r="AX55" s="10">
        <v>-303857</v>
      </c>
      <c r="AY55" s="11"/>
      <c r="AZ55" s="12">
        <v>27</v>
      </c>
      <c r="BA55" s="10"/>
      <c r="BB55" s="13"/>
      <c r="BC55" s="10">
        <f>+AX55/10*12</f>
        <v>-364628.4</v>
      </c>
      <c r="BD55" s="10">
        <f t="shared" ref="BD55" si="52">+BC55-AU55</f>
        <v>0</v>
      </c>
      <c r="BF55" s="10">
        <v>-339319</v>
      </c>
      <c r="BG55" s="11"/>
      <c r="BH55" s="65">
        <v>43</v>
      </c>
      <c r="BI55" s="10">
        <f t="shared" ref="BI55" si="53">+BF55+BG55</f>
        <v>-339319</v>
      </c>
      <c r="BJ55" s="10">
        <f t="shared" ref="BJ55:BJ69" si="54">+BI55-BC55</f>
        <v>25309.400000000023</v>
      </c>
      <c r="BL55" s="10">
        <v>-339319</v>
      </c>
      <c r="BN55" s="14">
        <v>43</v>
      </c>
      <c r="BO55" s="10">
        <f t="shared" si="50"/>
        <v>-339319</v>
      </c>
      <c r="BP55" s="36">
        <f t="shared" si="20"/>
        <v>0</v>
      </c>
      <c r="BQ55" s="36"/>
    </row>
    <row r="56" spans="1:69" ht="18.75">
      <c r="A56" s="8" t="s">
        <v>113</v>
      </c>
      <c r="D56" s="49"/>
      <c r="F56" s="61">
        <v>25</v>
      </c>
      <c r="G56" s="51">
        <f>+D56+E56</f>
        <v>0</v>
      </c>
      <c r="H56" s="52" t="e">
        <f>+G56-#REF!</f>
        <v>#REF!</v>
      </c>
      <c r="J56" s="49"/>
      <c r="K56" s="49"/>
      <c r="L56" s="61">
        <v>10</v>
      </c>
      <c r="M56" s="49"/>
      <c r="N56" s="61"/>
      <c r="O56" s="73"/>
      <c r="Q56" s="49"/>
      <c r="R56" s="61"/>
      <c r="S56" s="56">
        <f t="shared" si="2"/>
        <v>0</v>
      </c>
      <c r="T56" s="57">
        <f t="shared" si="3"/>
        <v>0</v>
      </c>
      <c r="V56" s="51"/>
      <c r="W56" s="49"/>
      <c r="X56" s="61">
        <v>10</v>
      </c>
      <c r="Y56" s="10"/>
      <c r="AA56" s="49"/>
      <c r="AB56" s="61"/>
      <c r="AC56" s="59">
        <f t="shared" ref="AC56:AC63" si="55">V56+AA56</f>
        <v>0</v>
      </c>
      <c r="AD56" s="60">
        <f t="shared" si="5"/>
        <v>0</v>
      </c>
      <c r="AF56" s="51"/>
      <c r="AG56" s="49"/>
      <c r="AH56" s="61">
        <v>10</v>
      </c>
      <c r="AI56" s="10"/>
      <c r="AK56" s="51"/>
      <c r="AL56" s="61"/>
      <c r="AM56" s="59">
        <f t="shared" ref="AM56:AM63" si="56">AF56+AK56</f>
        <v>0</v>
      </c>
      <c r="AN56" s="60">
        <f t="shared" si="7"/>
        <v>0</v>
      </c>
      <c r="AP56" s="10">
        <v>0</v>
      </c>
      <c r="AQ56" s="11"/>
      <c r="AR56" s="12"/>
      <c r="AS56" s="10"/>
      <c r="AT56" s="13"/>
      <c r="AU56" s="10"/>
      <c r="AV56" s="10"/>
      <c r="AX56" s="10">
        <v>0</v>
      </c>
      <c r="AY56" s="11"/>
      <c r="AZ56" s="12">
        <v>25</v>
      </c>
      <c r="BA56" s="10"/>
      <c r="BB56" s="13"/>
      <c r="BC56" s="10"/>
      <c r="BD56" s="10"/>
      <c r="BF56" s="10">
        <v>0</v>
      </c>
      <c r="BG56" s="11"/>
      <c r="BH56" s="65"/>
      <c r="BI56" s="10"/>
      <c r="BJ56" s="10">
        <f t="shared" si="54"/>
        <v>0</v>
      </c>
      <c r="BL56" s="10">
        <v>0</v>
      </c>
      <c r="BN56" s="14">
        <v>25</v>
      </c>
      <c r="BO56" s="10">
        <v>0</v>
      </c>
      <c r="BP56" s="36">
        <f t="shared" si="20"/>
        <v>0</v>
      </c>
      <c r="BQ56" s="36"/>
    </row>
    <row r="57" spans="1:69" ht="18.75">
      <c r="A57" s="8" t="s">
        <v>114</v>
      </c>
      <c r="D57" s="49" t="e">
        <f>+#REF!</f>
        <v>#REF!</v>
      </c>
      <c r="F57" s="61" t="s">
        <v>88</v>
      </c>
      <c r="G57" s="51">
        <v>-21897</v>
      </c>
      <c r="H57" s="52" t="e">
        <f>+G57-#REF!</f>
        <v>#REF!</v>
      </c>
      <c r="J57" s="49"/>
      <c r="K57" s="49"/>
      <c r="L57" s="61"/>
      <c r="M57" s="49"/>
      <c r="N57" s="61"/>
      <c r="O57" s="73"/>
      <c r="Q57" s="49"/>
      <c r="R57" s="61"/>
      <c r="S57" s="56">
        <f t="shared" si="2"/>
        <v>0</v>
      </c>
      <c r="T57" s="57">
        <f t="shared" si="3"/>
        <v>0</v>
      </c>
      <c r="V57" s="51"/>
      <c r="W57" s="49"/>
      <c r="X57" s="61"/>
      <c r="Y57" s="10"/>
      <c r="AA57" s="49"/>
      <c r="AB57" s="61"/>
      <c r="AC57" s="59">
        <f t="shared" si="55"/>
        <v>0</v>
      </c>
      <c r="AD57" s="60">
        <f t="shared" si="5"/>
        <v>0</v>
      </c>
      <c r="AF57" s="51"/>
      <c r="AG57" s="49"/>
      <c r="AH57" s="61"/>
      <c r="AI57" s="10"/>
      <c r="AK57" s="51"/>
      <c r="AL57" s="61"/>
      <c r="AM57" s="59">
        <f t="shared" si="56"/>
        <v>0</v>
      </c>
      <c r="AN57" s="60">
        <f t="shared" si="7"/>
        <v>0</v>
      </c>
      <c r="AP57" s="10"/>
      <c r="AQ57" s="11"/>
      <c r="AR57" s="12"/>
      <c r="AS57" s="10"/>
      <c r="AT57" s="13"/>
      <c r="AU57" s="10"/>
      <c r="AV57" s="10"/>
      <c r="AX57" s="10"/>
      <c r="AY57" s="11"/>
      <c r="AZ57" s="12"/>
      <c r="BA57" s="10"/>
      <c r="BB57" s="13"/>
      <c r="BC57" s="10"/>
      <c r="BD57" s="10"/>
      <c r="BF57" s="10"/>
      <c r="BG57" s="11"/>
      <c r="BH57" s="65"/>
      <c r="BI57" s="10"/>
      <c r="BJ57" s="10">
        <f t="shared" si="54"/>
        <v>0</v>
      </c>
      <c r="BL57" s="10">
        <v>-3648</v>
      </c>
      <c r="BN57" s="14">
        <v>66</v>
      </c>
      <c r="BO57" s="10">
        <f t="shared" ref="BO57:BO62" si="57">+BL57+BM57</f>
        <v>-3648</v>
      </c>
      <c r="BP57" s="36">
        <f t="shared" si="20"/>
        <v>-3648</v>
      </c>
      <c r="BQ57" s="36"/>
    </row>
    <row r="58" spans="1:69" ht="18.75">
      <c r="A58" s="8" t="s">
        <v>115</v>
      </c>
      <c r="D58" s="49"/>
      <c r="F58" s="61">
        <v>34</v>
      </c>
      <c r="G58" s="51">
        <v>14147</v>
      </c>
      <c r="H58" s="52" t="e">
        <f>+G58-#REF!</f>
        <v>#REF!</v>
      </c>
      <c r="J58" s="49"/>
      <c r="K58" s="49"/>
      <c r="L58" s="61"/>
      <c r="M58" s="49"/>
      <c r="N58" s="61"/>
      <c r="O58" s="73"/>
      <c r="Q58" s="49"/>
      <c r="R58" s="61"/>
      <c r="S58" s="56">
        <f t="shared" si="2"/>
        <v>0</v>
      </c>
      <c r="T58" s="57">
        <f t="shared" si="3"/>
        <v>0</v>
      </c>
      <c r="V58" s="51"/>
      <c r="W58" s="49"/>
      <c r="X58" s="61"/>
      <c r="Y58" s="10"/>
      <c r="AA58" s="49"/>
      <c r="AB58" s="61"/>
      <c r="AC58" s="59">
        <f t="shared" si="55"/>
        <v>0</v>
      </c>
      <c r="AD58" s="60">
        <f t="shared" si="5"/>
        <v>0</v>
      </c>
      <c r="AF58" s="51"/>
      <c r="AG58" s="49"/>
      <c r="AH58" s="61"/>
      <c r="AI58" s="10"/>
      <c r="AK58" s="51"/>
      <c r="AL58" s="61"/>
      <c r="AM58" s="59">
        <f t="shared" si="56"/>
        <v>0</v>
      </c>
      <c r="AN58" s="60">
        <f t="shared" si="7"/>
        <v>0</v>
      </c>
      <c r="AP58" s="10"/>
      <c r="AQ58" s="11"/>
      <c r="AR58" s="12"/>
      <c r="AS58" s="10"/>
      <c r="AT58" s="13"/>
      <c r="AU58" s="10"/>
      <c r="AV58" s="10"/>
      <c r="AX58" s="10"/>
      <c r="AY58" s="11"/>
      <c r="AZ58" s="12"/>
      <c r="BA58" s="10"/>
      <c r="BB58" s="13"/>
      <c r="BC58" s="10"/>
      <c r="BD58" s="10"/>
      <c r="BF58" s="10"/>
      <c r="BG58" s="11"/>
      <c r="BH58" s="65"/>
      <c r="BI58" s="10"/>
      <c r="BJ58" s="10">
        <f t="shared" si="54"/>
        <v>0</v>
      </c>
      <c r="BL58" s="10">
        <v>4352</v>
      </c>
      <c r="BM58" s="11"/>
      <c r="BN58" s="12">
        <v>34</v>
      </c>
      <c r="BO58" s="10">
        <f t="shared" si="57"/>
        <v>4352</v>
      </c>
      <c r="BP58" s="36">
        <f t="shared" si="20"/>
        <v>4352</v>
      </c>
      <c r="BQ58" s="36"/>
    </row>
    <row r="59" spans="1:69" ht="18.75">
      <c r="A59" s="8" t="s">
        <v>116</v>
      </c>
      <c r="D59" s="49"/>
      <c r="F59" s="61">
        <v>73</v>
      </c>
      <c r="G59" s="51">
        <v>-1526</v>
      </c>
      <c r="H59" s="52" t="e">
        <f>+G59-#REF!</f>
        <v>#REF!</v>
      </c>
      <c r="J59" s="49"/>
      <c r="K59" s="49"/>
      <c r="L59" s="61"/>
      <c r="M59" s="49"/>
      <c r="N59" s="61"/>
      <c r="O59" s="73"/>
      <c r="Q59" s="49"/>
      <c r="R59" s="61"/>
      <c r="S59" s="56">
        <f t="shared" si="2"/>
        <v>0</v>
      </c>
      <c r="T59" s="57">
        <f t="shared" si="3"/>
        <v>0</v>
      </c>
      <c r="V59" s="51"/>
      <c r="W59" s="49"/>
      <c r="X59" s="61"/>
      <c r="Y59" s="10"/>
      <c r="AA59" s="49"/>
      <c r="AB59" s="61"/>
      <c r="AC59" s="59">
        <f t="shared" si="55"/>
        <v>0</v>
      </c>
      <c r="AD59" s="60">
        <f t="shared" si="5"/>
        <v>0</v>
      </c>
      <c r="AF59" s="51"/>
      <c r="AG59" s="49"/>
      <c r="AH59" s="61"/>
      <c r="AI59" s="10"/>
      <c r="AK59" s="51"/>
      <c r="AL59" s="61"/>
      <c r="AM59" s="59">
        <f t="shared" si="56"/>
        <v>0</v>
      </c>
      <c r="AN59" s="60">
        <f t="shared" si="7"/>
        <v>0</v>
      </c>
      <c r="AP59" s="10"/>
      <c r="AQ59" s="11"/>
      <c r="AR59" s="12"/>
      <c r="AS59" s="10"/>
      <c r="AT59" s="13"/>
      <c r="AU59" s="10"/>
      <c r="AV59" s="10"/>
      <c r="AX59" s="10"/>
      <c r="AY59" s="11"/>
      <c r="AZ59" s="12"/>
      <c r="BA59" s="10"/>
      <c r="BB59" s="13"/>
      <c r="BC59" s="10"/>
      <c r="BD59" s="10"/>
      <c r="BF59" s="10"/>
      <c r="BG59" s="11"/>
      <c r="BH59" s="65"/>
      <c r="BI59" s="10"/>
      <c r="BJ59" s="10">
        <f t="shared" si="54"/>
        <v>0</v>
      </c>
      <c r="BL59" s="10">
        <v>-1634</v>
      </c>
      <c r="BM59" s="11"/>
      <c r="BN59" s="12">
        <v>73</v>
      </c>
      <c r="BO59" s="10">
        <f t="shared" si="57"/>
        <v>-1634</v>
      </c>
      <c r="BP59" s="36">
        <f t="shared" si="20"/>
        <v>-1634</v>
      </c>
      <c r="BQ59" s="36"/>
    </row>
    <row r="60" spans="1:69" ht="18.75">
      <c r="A60" s="8" t="s">
        <v>117</v>
      </c>
      <c r="D60" s="49">
        <v>-1159181</v>
      </c>
      <c r="F60" s="61">
        <v>70</v>
      </c>
      <c r="G60" s="51">
        <v>-1177254</v>
      </c>
      <c r="H60" s="52" t="e">
        <f>+G60-#REF!</f>
        <v>#REF!</v>
      </c>
      <c r="J60" s="49"/>
      <c r="K60" s="49"/>
      <c r="L60" s="61"/>
      <c r="M60" s="49"/>
      <c r="N60" s="61"/>
      <c r="O60" s="73"/>
      <c r="Q60" s="49"/>
      <c r="R60" s="61"/>
      <c r="S60" s="56">
        <f t="shared" si="2"/>
        <v>0</v>
      </c>
      <c r="T60" s="57">
        <f t="shared" si="3"/>
        <v>0</v>
      </c>
      <c r="V60" s="51"/>
      <c r="W60" s="49"/>
      <c r="X60" s="61"/>
      <c r="Y60" s="10"/>
      <c r="AA60" s="49"/>
      <c r="AB60" s="61"/>
      <c r="AC60" s="59">
        <f t="shared" si="55"/>
        <v>0</v>
      </c>
      <c r="AD60" s="60">
        <f t="shared" si="5"/>
        <v>0</v>
      </c>
      <c r="AF60" s="51"/>
      <c r="AG60" s="49"/>
      <c r="AH60" s="61"/>
      <c r="AI60" s="10"/>
      <c r="AK60" s="51"/>
      <c r="AL60" s="61"/>
      <c r="AM60" s="59">
        <f t="shared" si="56"/>
        <v>0</v>
      </c>
      <c r="AN60" s="60">
        <f t="shared" si="7"/>
        <v>0</v>
      </c>
      <c r="AP60" s="10"/>
      <c r="AQ60" s="11"/>
      <c r="AR60" s="12"/>
      <c r="AS60" s="10"/>
      <c r="AT60" s="13"/>
      <c r="AU60" s="10"/>
      <c r="AV60" s="10"/>
      <c r="AX60" s="10"/>
      <c r="AY60" s="11"/>
      <c r="AZ60" s="12"/>
      <c r="BA60" s="10"/>
      <c r="BB60" s="13"/>
      <c r="BC60" s="10"/>
      <c r="BD60" s="10"/>
      <c r="BF60" s="10">
        <v>-473792</v>
      </c>
      <c r="BG60" s="11"/>
      <c r="BH60" s="65">
        <v>70</v>
      </c>
      <c r="BI60" s="10">
        <f t="shared" ref="BI60:BI61" si="58">+BF60+BG60</f>
        <v>-473792</v>
      </c>
      <c r="BJ60" s="10">
        <f t="shared" si="54"/>
        <v>-473792</v>
      </c>
      <c r="BL60" s="10">
        <v>-386365</v>
      </c>
      <c r="BM60" s="11"/>
      <c r="BN60" s="12">
        <v>70</v>
      </c>
      <c r="BO60" s="10">
        <f t="shared" si="57"/>
        <v>-386365</v>
      </c>
      <c r="BP60" s="36">
        <f t="shared" si="20"/>
        <v>87427</v>
      </c>
      <c r="BQ60" s="36"/>
    </row>
    <row r="61" spans="1:69" ht="18.75">
      <c r="A61" s="8" t="s">
        <v>118</v>
      </c>
      <c r="D61" s="49">
        <v>-508149</v>
      </c>
      <c r="F61" s="61">
        <v>71</v>
      </c>
      <c r="G61" s="51">
        <v>-415904</v>
      </c>
      <c r="H61" s="52" t="e">
        <f>+G61-#REF!</f>
        <v>#REF!</v>
      </c>
      <c r="J61" s="49"/>
      <c r="K61" s="49"/>
      <c r="L61" s="61"/>
      <c r="M61" s="49"/>
      <c r="N61" s="61"/>
      <c r="O61" s="73"/>
      <c r="Q61" s="49"/>
      <c r="R61" s="61"/>
      <c r="S61" s="56">
        <f t="shared" si="2"/>
        <v>0</v>
      </c>
      <c r="T61" s="57">
        <f t="shared" si="3"/>
        <v>0</v>
      </c>
      <c r="V61" s="51"/>
      <c r="W61" s="49"/>
      <c r="X61" s="61"/>
      <c r="Y61" s="10"/>
      <c r="AA61" s="49"/>
      <c r="AB61" s="61"/>
      <c r="AC61" s="59">
        <f t="shared" si="55"/>
        <v>0</v>
      </c>
      <c r="AD61" s="60">
        <f t="shared" si="5"/>
        <v>0</v>
      </c>
      <c r="AF61" s="51"/>
      <c r="AG61" s="49"/>
      <c r="AH61" s="61"/>
      <c r="AI61" s="10"/>
      <c r="AK61" s="51"/>
      <c r="AL61" s="61"/>
      <c r="AM61" s="59">
        <f t="shared" si="56"/>
        <v>0</v>
      </c>
      <c r="AN61" s="60">
        <f t="shared" si="7"/>
        <v>0</v>
      </c>
      <c r="AP61" s="10"/>
      <c r="AQ61" s="11"/>
      <c r="AR61" s="12"/>
      <c r="AS61" s="10"/>
      <c r="AT61" s="13"/>
      <c r="AU61" s="10"/>
      <c r="AV61" s="10"/>
      <c r="AX61" s="10"/>
      <c r="AY61" s="11"/>
      <c r="AZ61" s="12"/>
      <c r="BA61" s="10"/>
      <c r="BB61" s="13"/>
      <c r="BC61" s="10"/>
      <c r="BD61" s="10"/>
      <c r="BF61" s="10">
        <v>498327</v>
      </c>
      <c r="BG61" s="11"/>
      <c r="BH61" s="65">
        <v>71</v>
      </c>
      <c r="BI61" s="10">
        <f t="shared" si="58"/>
        <v>498327</v>
      </c>
      <c r="BJ61" s="10">
        <f t="shared" si="54"/>
        <v>498327</v>
      </c>
      <c r="BL61" s="10">
        <v>410567</v>
      </c>
      <c r="BM61" s="11"/>
      <c r="BN61" s="12">
        <v>71</v>
      </c>
      <c r="BO61" s="10">
        <f t="shared" si="57"/>
        <v>410567</v>
      </c>
      <c r="BP61" s="36">
        <f t="shared" si="20"/>
        <v>-87760</v>
      </c>
      <c r="BQ61" s="36"/>
    </row>
    <row r="62" spans="1:69" ht="18.75">
      <c r="A62" s="8" t="s">
        <v>119</v>
      </c>
      <c r="D62" s="49">
        <v>260770</v>
      </c>
      <c r="F62" s="61">
        <v>72</v>
      </c>
      <c r="G62" s="51">
        <v>180064</v>
      </c>
      <c r="H62" s="52" t="e">
        <f>+G62-#REF!</f>
        <v>#REF!</v>
      </c>
      <c r="J62" s="49"/>
      <c r="K62" s="49"/>
      <c r="L62" s="61"/>
      <c r="M62" s="49"/>
      <c r="N62" s="61"/>
      <c r="O62" s="73"/>
      <c r="Q62" s="49"/>
      <c r="R62" s="61"/>
      <c r="S62" s="56">
        <f t="shared" si="2"/>
        <v>0</v>
      </c>
      <c r="T62" s="57">
        <f t="shared" si="3"/>
        <v>0</v>
      </c>
      <c r="V62" s="51"/>
      <c r="W62" s="49"/>
      <c r="X62" s="61"/>
      <c r="Y62" s="10"/>
      <c r="AA62" s="49"/>
      <c r="AB62" s="61"/>
      <c r="AC62" s="59">
        <f t="shared" si="55"/>
        <v>0</v>
      </c>
      <c r="AD62" s="60">
        <f t="shared" si="5"/>
        <v>0</v>
      </c>
      <c r="AF62" s="51"/>
      <c r="AG62" s="49"/>
      <c r="AH62" s="61"/>
      <c r="AI62" s="10"/>
      <c r="AK62" s="51"/>
      <c r="AL62" s="61"/>
      <c r="AM62" s="59">
        <f t="shared" si="56"/>
        <v>0</v>
      </c>
      <c r="AN62" s="60">
        <f t="shared" si="7"/>
        <v>0</v>
      </c>
      <c r="AP62" s="10"/>
      <c r="AQ62" s="11"/>
      <c r="AR62" s="12"/>
      <c r="AS62" s="10"/>
      <c r="AT62" s="13"/>
      <c r="AU62" s="10"/>
      <c r="AV62" s="10"/>
      <c r="AX62" s="10"/>
      <c r="AY62" s="11"/>
      <c r="AZ62" s="12"/>
      <c r="BA62" s="10"/>
      <c r="BB62" s="13"/>
      <c r="BC62" s="10"/>
      <c r="BD62" s="10"/>
      <c r="BF62" s="10"/>
      <c r="BG62" s="11"/>
      <c r="BH62" s="65"/>
      <c r="BI62" s="10"/>
      <c r="BJ62" s="10">
        <f t="shared" si="54"/>
        <v>0</v>
      </c>
      <c r="BL62" s="10">
        <v>223407</v>
      </c>
      <c r="BM62" s="11"/>
      <c r="BN62" s="12">
        <v>72</v>
      </c>
      <c r="BO62" s="10">
        <f t="shared" si="57"/>
        <v>223407</v>
      </c>
      <c r="BP62" s="36">
        <f t="shared" si="20"/>
        <v>223407</v>
      </c>
      <c r="BQ62" s="36"/>
    </row>
    <row r="63" spans="1:69" ht="18.75">
      <c r="A63" s="8" t="s">
        <v>120</v>
      </c>
      <c r="D63" s="49">
        <v>-30258</v>
      </c>
      <c r="F63" s="61">
        <v>19</v>
      </c>
      <c r="G63" s="51">
        <f>+D63+E63</f>
        <v>-30258</v>
      </c>
      <c r="H63" s="52" t="e">
        <f>+G63-#REF!</f>
        <v>#REF!</v>
      </c>
      <c r="J63" s="49">
        <v>0</v>
      </c>
      <c r="K63" s="49"/>
      <c r="L63" s="61"/>
      <c r="M63" s="49"/>
      <c r="N63" s="61"/>
      <c r="O63" s="73"/>
      <c r="Q63" s="49"/>
      <c r="R63" s="61"/>
      <c r="S63" s="56">
        <f t="shared" si="2"/>
        <v>0</v>
      </c>
      <c r="T63" s="57">
        <f t="shared" si="3"/>
        <v>0</v>
      </c>
      <c r="V63" s="51"/>
      <c r="W63" s="49"/>
      <c r="X63" s="61"/>
      <c r="Y63" s="10"/>
      <c r="AA63" s="49"/>
      <c r="AB63" s="61"/>
      <c r="AC63" s="59">
        <f t="shared" si="55"/>
        <v>0</v>
      </c>
      <c r="AD63" s="60">
        <f t="shared" si="5"/>
        <v>0</v>
      </c>
      <c r="AF63" s="51"/>
      <c r="AG63" s="49"/>
      <c r="AH63" s="61"/>
      <c r="AI63" s="10"/>
      <c r="AK63" s="51"/>
      <c r="AL63" s="61"/>
      <c r="AM63" s="59">
        <f t="shared" si="56"/>
        <v>0</v>
      </c>
      <c r="AN63" s="60">
        <f t="shared" si="7"/>
        <v>0</v>
      </c>
      <c r="AP63" s="10"/>
      <c r="AQ63" s="11"/>
      <c r="AR63" s="12"/>
      <c r="AS63" s="10"/>
      <c r="AT63" s="13"/>
      <c r="AU63" s="10"/>
      <c r="AV63" s="10"/>
      <c r="AX63" s="10"/>
      <c r="AY63" s="11"/>
      <c r="AZ63" s="12"/>
      <c r="BA63" s="10"/>
      <c r="BB63" s="13"/>
      <c r="BC63" s="10"/>
      <c r="BD63" s="10"/>
      <c r="BF63" s="10">
        <v>0</v>
      </c>
      <c r="BG63" s="11"/>
      <c r="BH63" s="65"/>
      <c r="BI63" s="10"/>
      <c r="BJ63" s="10">
        <f t="shared" si="54"/>
        <v>0</v>
      </c>
      <c r="BL63" s="10">
        <v>0</v>
      </c>
      <c r="BN63" s="14">
        <v>12</v>
      </c>
      <c r="BO63" s="10">
        <v>0</v>
      </c>
      <c r="BP63" s="36">
        <f t="shared" si="20"/>
        <v>0</v>
      </c>
      <c r="BQ63" s="36"/>
    </row>
    <row r="64" spans="1:69" ht="18.75">
      <c r="A64" s="8" t="s">
        <v>121</v>
      </c>
      <c r="D64" s="49">
        <v>754871</v>
      </c>
      <c r="F64" s="61">
        <v>68</v>
      </c>
      <c r="G64" s="51">
        <f>+D64+E64</f>
        <v>754871</v>
      </c>
      <c r="H64" s="52" t="e">
        <f>+G64-#REF!</f>
        <v>#REF!</v>
      </c>
      <c r="J64" s="49">
        <v>316150</v>
      </c>
      <c r="K64" s="49"/>
      <c r="L64" s="61">
        <v>29</v>
      </c>
      <c r="M64" s="49"/>
      <c r="N64" s="8"/>
      <c r="O64" s="55">
        <f>(J64+K64+M64)*6</f>
        <v>1896900</v>
      </c>
      <c r="Q64" s="49"/>
      <c r="R64" s="61"/>
      <c r="S64" s="56">
        <f>+O64</f>
        <v>1896900</v>
      </c>
      <c r="T64" s="57">
        <f t="shared" si="3"/>
        <v>0</v>
      </c>
      <c r="V64" s="51">
        <v>319987</v>
      </c>
      <c r="W64" s="49"/>
      <c r="X64" s="61">
        <v>29</v>
      </c>
      <c r="Y64" s="58">
        <f>(V64+W64)*4</f>
        <v>1279948</v>
      </c>
      <c r="AA64" s="49"/>
      <c r="AB64" s="61"/>
      <c r="AC64" s="59">
        <f>+Y64</f>
        <v>1279948</v>
      </c>
      <c r="AD64" s="60">
        <f t="shared" si="5"/>
        <v>0</v>
      </c>
      <c r="AF64" s="51">
        <v>219703</v>
      </c>
      <c r="AG64" s="49"/>
      <c r="AH64" s="61">
        <v>29</v>
      </c>
      <c r="AI64" s="58">
        <f>(AF64+AG64)*2</f>
        <v>439406</v>
      </c>
      <c r="AK64" s="51"/>
      <c r="AL64" s="61"/>
      <c r="AM64" s="59">
        <f>+AI64</f>
        <v>439406</v>
      </c>
      <c r="AN64" s="60">
        <f t="shared" si="7"/>
        <v>0</v>
      </c>
      <c r="AP64" s="10">
        <v>1089411</v>
      </c>
      <c r="AQ64" s="11"/>
      <c r="AR64" s="12">
        <v>29</v>
      </c>
      <c r="AS64" s="10"/>
      <c r="AT64" s="13"/>
      <c r="AU64" s="10">
        <f>+AP64/10*12</f>
        <v>1307293.2000000002</v>
      </c>
      <c r="AV64" s="10">
        <f t="shared" ref="AV64" si="59">+AU64-AM64</f>
        <v>867887.20000000019</v>
      </c>
      <c r="AX64" s="10">
        <v>1089411</v>
      </c>
      <c r="AY64" s="11"/>
      <c r="AZ64" s="12">
        <v>29</v>
      </c>
      <c r="BA64" s="10"/>
      <c r="BB64" s="13"/>
      <c r="BC64" s="10">
        <f>+AX64/10*12</f>
        <v>1307293.2000000002</v>
      </c>
      <c r="BD64" s="10">
        <f t="shared" ref="BD64" si="60">+BC64-AU64</f>
        <v>0</v>
      </c>
      <c r="BF64" s="10">
        <v>-780869</v>
      </c>
      <c r="BG64" s="11"/>
      <c r="BH64" s="65">
        <v>68</v>
      </c>
      <c r="BI64" s="10">
        <f t="shared" ref="BI64" si="61">+BF64+BG64</f>
        <v>-780869</v>
      </c>
      <c r="BJ64" s="10">
        <f t="shared" si="54"/>
        <v>-2088162.2000000002</v>
      </c>
      <c r="BL64" s="10">
        <v>-780869</v>
      </c>
      <c r="BN64" s="14">
        <v>68</v>
      </c>
      <c r="BO64" s="10">
        <f t="shared" ref="BO64:BO70" si="62">+BL64+BM64</f>
        <v>-780869</v>
      </c>
      <c r="BP64" s="36">
        <f t="shared" si="20"/>
        <v>0</v>
      </c>
      <c r="BQ64" s="36"/>
    </row>
    <row r="65" spans="1:69" ht="18.75">
      <c r="A65" s="8" t="s">
        <v>122</v>
      </c>
      <c r="D65" s="49"/>
      <c r="F65" s="61">
        <v>77</v>
      </c>
      <c r="G65" s="51">
        <v>5798</v>
      </c>
      <c r="H65" s="52" t="e">
        <f>+G65-#REF!</f>
        <v>#REF!</v>
      </c>
      <c r="J65" s="49"/>
      <c r="K65" s="49"/>
      <c r="L65" s="61"/>
      <c r="M65" s="49"/>
      <c r="N65" s="61"/>
      <c r="O65" s="73"/>
      <c r="Q65" s="49"/>
      <c r="R65" s="61"/>
      <c r="S65" s="56">
        <f t="shared" si="2"/>
        <v>0</v>
      </c>
      <c r="T65" s="57">
        <f t="shared" si="3"/>
        <v>0</v>
      </c>
      <c r="V65" s="51"/>
      <c r="W65" s="49"/>
      <c r="X65" s="61"/>
      <c r="Y65" s="10"/>
      <c r="AA65" s="49"/>
      <c r="AB65" s="61"/>
      <c r="AC65" s="59">
        <f>V65+AA65</f>
        <v>0</v>
      </c>
      <c r="AD65" s="60">
        <f t="shared" si="5"/>
        <v>0</v>
      </c>
      <c r="AF65" s="51"/>
      <c r="AG65" s="49"/>
      <c r="AH65" s="61"/>
      <c r="AI65" s="10"/>
      <c r="AK65" s="51"/>
      <c r="AL65" s="61"/>
      <c r="AM65" s="59">
        <f>AF65+AK65</f>
        <v>0</v>
      </c>
      <c r="AN65" s="60">
        <f t="shared" si="7"/>
        <v>0</v>
      </c>
      <c r="AP65" s="10"/>
      <c r="AQ65" s="11"/>
      <c r="AR65" s="12"/>
      <c r="AS65" s="10"/>
      <c r="AT65" s="13"/>
      <c r="AU65" s="10"/>
      <c r="AV65" s="10"/>
      <c r="AX65" s="10"/>
      <c r="AY65" s="11"/>
      <c r="AZ65" s="12"/>
      <c r="BA65" s="10"/>
      <c r="BB65" s="13"/>
      <c r="BC65" s="10"/>
      <c r="BD65" s="10"/>
      <c r="BF65" s="10"/>
      <c r="BG65" s="11"/>
      <c r="BH65" s="65"/>
      <c r="BI65" s="10"/>
      <c r="BJ65" s="10">
        <f t="shared" si="54"/>
        <v>0</v>
      </c>
      <c r="BL65" s="10">
        <v>16292</v>
      </c>
      <c r="BN65" s="14">
        <v>77</v>
      </c>
      <c r="BO65" s="10">
        <f t="shared" si="62"/>
        <v>16292</v>
      </c>
      <c r="BP65" s="36">
        <f t="shared" si="20"/>
        <v>16292</v>
      </c>
      <c r="BQ65" s="36"/>
    </row>
    <row r="66" spans="1:69" ht="18.75">
      <c r="A66" s="8" t="s">
        <v>123</v>
      </c>
      <c r="D66" s="49"/>
      <c r="F66" s="61">
        <v>33</v>
      </c>
      <c r="G66" s="51">
        <v>-2197</v>
      </c>
      <c r="H66" s="52" t="e">
        <f>+G66-#REF!</f>
        <v>#REF!</v>
      </c>
      <c r="J66" s="49"/>
      <c r="K66" s="49"/>
      <c r="L66" s="61"/>
      <c r="M66" s="49"/>
      <c r="N66" s="61"/>
      <c r="O66" s="73"/>
      <c r="Q66" s="49"/>
      <c r="R66" s="61"/>
      <c r="S66" s="56">
        <f t="shared" si="2"/>
        <v>0</v>
      </c>
      <c r="T66" s="57">
        <f t="shared" si="3"/>
        <v>0</v>
      </c>
      <c r="V66" s="51"/>
      <c r="W66" s="49"/>
      <c r="X66" s="61"/>
      <c r="Y66" s="10"/>
      <c r="AA66" s="49"/>
      <c r="AB66" s="61"/>
      <c r="AC66" s="59">
        <f>V66+AA66</f>
        <v>0</v>
      </c>
      <c r="AD66" s="60">
        <f t="shared" si="5"/>
        <v>0</v>
      </c>
      <c r="AF66" s="51"/>
      <c r="AG66" s="49"/>
      <c r="AH66" s="61"/>
      <c r="AI66" s="10"/>
      <c r="AK66" s="51"/>
      <c r="AL66" s="61"/>
      <c r="AM66" s="59">
        <f>AF66+AK66</f>
        <v>0</v>
      </c>
      <c r="AN66" s="60">
        <f t="shared" si="7"/>
        <v>0</v>
      </c>
      <c r="AP66" s="10"/>
      <c r="AQ66" s="11"/>
      <c r="AR66" s="12"/>
      <c r="AS66" s="10"/>
      <c r="AT66" s="13"/>
      <c r="AU66" s="10"/>
      <c r="AV66" s="10"/>
      <c r="AX66" s="10"/>
      <c r="AY66" s="11"/>
      <c r="AZ66" s="12"/>
      <c r="BA66" s="10"/>
      <c r="BB66" s="13"/>
      <c r="BC66" s="10"/>
      <c r="BD66" s="10"/>
      <c r="BF66" s="10"/>
      <c r="BG66" s="11"/>
      <c r="BH66" s="65"/>
      <c r="BI66" s="10"/>
      <c r="BJ66" s="10">
        <f t="shared" si="54"/>
        <v>0</v>
      </c>
      <c r="BL66" s="10">
        <v>-1483</v>
      </c>
      <c r="BN66" s="14">
        <v>33</v>
      </c>
      <c r="BO66" s="10">
        <f t="shared" si="62"/>
        <v>-1483</v>
      </c>
      <c r="BP66" s="36">
        <f t="shared" si="20"/>
        <v>-1483</v>
      </c>
      <c r="BQ66" s="36"/>
    </row>
    <row r="67" spans="1:69" ht="18.75">
      <c r="A67" s="8" t="s">
        <v>124</v>
      </c>
      <c r="D67" s="49">
        <f>-18676-157822</f>
        <v>-176498</v>
      </c>
      <c r="F67" s="62">
        <v>42</v>
      </c>
      <c r="G67" s="51">
        <v>-300469</v>
      </c>
      <c r="H67" s="52" t="e">
        <f>+G67-#REF!</f>
        <v>#REF!</v>
      </c>
      <c r="J67" s="49"/>
      <c r="K67" s="49"/>
      <c r="L67" s="61"/>
      <c r="M67" s="49"/>
      <c r="N67" s="61"/>
      <c r="O67" s="73"/>
      <c r="Q67" s="49"/>
      <c r="R67" s="61"/>
      <c r="S67" s="56">
        <f t="shared" si="2"/>
        <v>0</v>
      </c>
      <c r="T67" s="57">
        <f t="shared" si="3"/>
        <v>0</v>
      </c>
      <c r="V67" s="51"/>
      <c r="W67" s="49"/>
      <c r="X67" s="61"/>
      <c r="Y67" s="10"/>
      <c r="AA67" s="49"/>
      <c r="AB67" s="61"/>
      <c r="AC67" s="59">
        <f>V67+AA67</f>
        <v>0</v>
      </c>
      <c r="AD67" s="60">
        <f t="shared" si="5"/>
        <v>0</v>
      </c>
      <c r="AF67" s="51"/>
      <c r="AG67" s="49"/>
      <c r="AH67" s="61"/>
      <c r="AI67" s="10"/>
      <c r="AK67" s="51"/>
      <c r="AL67" s="61"/>
      <c r="AM67" s="59">
        <f>AF67+AK67</f>
        <v>0</v>
      </c>
      <c r="AN67" s="60">
        <f t="shared" si="7"/>
        <v>0</v>
      </c>
      <c r="AP67" s="10">
        <v>-920449</v>
      </c>
      <c r="AQ67" s="11"/>
      <c r="AR67" s="12">
        <v>40</v>
      </c>
      <c r="AS67" s="10"/>
      <c r="AT67" s="13"/>
      <c r="AU67" s="10">
        <f t="shared" ref="AU67:AU69" si="63">+AP67/10*12</f>
        <v>-1104538.7999999998</v>
      </c>
      <c r="AV67" s="10">
        <f t="shared" ref="AV67:AV69" si="64">+AU67-AM67</f>
        <v>-1104538.7999999998</v>
      </c>
      <c r="AX67" s="10">
        <v>-920449</v>
      </c>
      <c r="AY67" s="11"/>
      <c r="AZ67" s="12">
        <v>40</v>
      </c>
      <c r="BA67" s="10"/>
      <c r="BB67" s="13"/>
      <c r="BC67" s="10">
        <f t="shared" ref="BC67:BC69" si="65">+AX67/10*12</f>
        <v>-1104538.7999999998</v>
      </c>
      <c r="BD67" s="10">
        <f t="shared" ref="BD67:BD69" si="66">+BC67-AU67</f>
        <v>0</v>
      </c>
      <c r="BF67" s="10">
        <v>-1793405</v>
      </c>
      <c r="BG67" s="11"/>
      <c r="BH67" s="65">
        <v>42</v>
      </c>
      <c r="BI67" s="10">
        <f t="shared" ref="BI67:BI69" si="67">+BF67+BG67</f>
        <v>-1793405</v>
      </c>
      <c r="BJ67" s="10">
        <f t="shared" si="54"/>
        <v>-688866.20000000019</v>
      </c>
      <c r="BL67" s="10">
        <v>-1793405</v>
      </c>
      <c r="BN67" s="14">
        <v>42</v>
      </c>
      <c r="BO67" s="10">
        <f t="shared" si="62"/>
        <v>-1793405</v>
      </c>
      <c r="BP67" s="36">
        <f t="shared" si="20"/>
        <v>0</v>
      </c>
      <c r="BQ67" s="36"/>
    </row>
    <row r="68" spans="1:69" ht="18.75">
      <c r="A68" s="8" t="s">
        <v>125</v>
      </c>
      <c r="D68" s="49">
        <v>631801</v>
      </c>
      <c r="F68" s="62">
        <v>57</v>
      </c>
      <c r="G68" s="51">
        <v>641879</v>
      </c>
      <c r="H68" s="52" t="e">
        <f>+G68-#REF!</f>
        <v>#REF!</v>
      </c>
      <c r="J68" s="49">
        <v>109188</v>
      </c>
      <c r="K68" s="49"/>
      <c r="L68" s="62">
        <v>14</v>
      </c>
      <c r="M68" s="49"/>
      <c r="N68" s="62"/>
      <c r="O68" s="55">
        <f>(J68+K68+M68)*6</f>
        <v>655128</v>
      </c>
      <c r="Q68" s="49"/>
      <c r="R68" s="62"/>
      <c r="S68" s="56">
        <f>+O68</f>
        <v>655128</v>
      </c>
      <c r="T68" s="57">
        <f t="shared" si="3"/>
        <v>0</v>
      </c>
      <c r="V68" s="51">
        <v>164140</v>
      </c>
      <c r="W68" s="49"/>
      <c r="X68" s="62">
        <v>14</v>
      </c>
      <c r="Y68" s="58">
        <f>(V68+W68)*4</f>
        <v>656560</v>
      </c>
      <c r="AA68" s="49"/>
      <c r="AB68" s="62"/>
      <c r="AC68" s="59">
        <f>+Y68</f>
        <v>656560</v>
      </c>
      <c r="AD68" s="60">
        <f t="shared" si="5"/>
        <v>0</v>
      </c>
      <c r="AF68" s="51">
        <v>330439</v>
      </c>
      <c r="AG68" s="49"/>
      <c r="AH68" s="50" t="s">
        <v>46</v>
      </c>
      <c r="AI68" s="58">
        <f>(AF68+AG68)*2</f>
        <v>660878</v>
      </c>
      <c r="AK68" s="51"/>
      <c r="AL68" s="62"/>
      <c r="AM68" s="59">
        <f>+AI68</f>
        <v>660878</v>
      </c>
      <c r="AN68" s="60">
        <f t="shared" si="7"/>
        <v>0</v>
      </c>
      <c r="AP68" s="10">
        <v>-60378</v>
      </c>
      <c r="AQ68" s="11"/>
      <c r="AR68" s="12">
        <v>14</v>
      </c>
      <c r="AS68" s="10"/>
      <c r="AT68" s="13"/>
      <c r="AU68" s="10">
        <f t="shared" si="63"/>
        <v>-72453.600000000006</v>
      </c>
      <c r="AV68" s="10">
        <f t="shared" si="64"/>
        <v>-733331.6</v>
      </c>
      <c r="AX68" s="10">
        <v>-60378</v>
      </c>
      <c r="AY68" s="11"/>
      <c r="AZ68" s="12">
        <v>14</v>
      </c>
      <c r="BA68" s="10"/>
      <c r="BB68" s="13"/>
      <c r="BC68" s="10">
        <f t="shared" si="65"/>
        <v>-72453.600000000006</v>
      </c>
      <c r="BD68" s="10">
        <f t="shared" si="66"/>
        <v>0</v>
      </c>
      <c r="BF68" s="10">
        <v>656148</v>
      </c>
      <c r="BG68" s="11"/>
      <c r="BH68" s="65">
        <v>57</v>
      </c>
      <c r="BI68" s="10">
        <f t="shared" si="67"/>
        <v>656148</v>
      </c>
      <c r="BJ68" s="10">
        <f t="shared" si="54"/>
        <v>728601.59999999998</v>
      </c>
      <c r="BL68" s="10">
        <v>656148</v>
      </c>
      <c r="BN68" s="14">
        <v>57</v>
      </c>
      <c r="BO68" s="10">
        <f t="shared" si="62"/>
        <v>656148</v>
      </c>
      <c r="BP68" s="36">
        <f t="shared" si="20"/>
        <v>0</v>
      </c>
      <c r="BQ68" s="36"/>
    </row>
    <row r="69" spans="1:69" ht="18.75">
      <c r="A69" s="8" t="s">
        <v>126</v>
      </c>
      <c r="D69" s="49">
        <v>-159839</v>
      </c>
      <c r="F69" s="61">
        <v>57</v>
      </c>
      <c r="G69" s="51">
        <f>+D69+E69</f>
        <v>-159839</v>
      </c>
      <c r="H69" s="52" t="e">
        <f>+G69-#REF!</f>
        <v>#REF!</v>
      </c>
      <c r="J69" s="49">
        <v>-11752</v>
      </c>
      <c r="K69" s="49"/>
      <c r="L69" s="62">
        <v>14</v>
      </c>
      <c r="M69" s="49"/>
      <c r="N69" s="62"/>
      <c r="O69" s="55">
        <f>(J69+K69+M69)*6</f>
        <v>-70512</v>
      </c>
      <c r="Q69" s="49"/>
      <c r="R69" s="62"/>
      <c r="S69" s="56">
        <f>+O69</f>
        <v>-70512</v>
      </c>
      <c r="T69" s="57">
        <f t="shared" si="3"/>
        <v>0</v>
      </c>
      <c r="V69" s="51">
        <v>-35972</v>
      </c>
      <c r="W69" s="49"/>
      <c r="X69" s="62">
        <v>14</v>
      </c>
      <c r="Y69" s="58">
        <f>(V69+W69)*4</f>
        <v>-143888</v>
      </c>
      <c r="AA69" s="49"/>
      <c r="AB69" s="62"/>
      <c r="AC69" s="59">
        <f>+Y69</f>
        <v>-143888</v>
      </c>
      <c r="AD69" s="60">
        <f t="shared" si="5"/>
        <v>0</v>
      </c>
      <c r="AF69" s="51">
        <v>-74105</v>
      </c>
      <c r="AG69" s="49"/>
      <c r="AH69" s="62">
        <v>14</v>
      </c>
      <c r="AI69" s="58">
        <f>(AF69+AG69)*2</f>
        <v>-148210</v>
      </c>
      <c r="AK69" s="51"/>
      <c r="AL69" s="62"/>
      <c r="AM69" s="59">
        <f>+AI69</f>
        <v>-148210</v>
      </c>
      <c r="AN69" s="60">
        <f t="shared" si="7"/>
        <v>0</v>
      </c>
      <c r="AP69" s="10">
        <v>555583</v>
      </c>
      <c r="AQ69" s="11"/>
      <c r="AR69" s="12">
        <v>14</v>
      </c>
      <c r="AS69" s="10"/>
      <c r="AT69" s="13"/>
      <c r="AU69" s="10">
        <f t="shared" si="63"/>
        <v>666699.60000000009</v>
      </c>
      <c r="AV69" s="10">
        <f t="shared" si="64"/>
        <v>814909.60000000009</v>
      </c>
      <c r="AX69" s="10">
        <v>555583</v>
      </c>
      <c r="AY69" s="11"/>
      <c r="AZ69" s="12">
        <v>14</v>
      </c>
      <c r="BA69" s="10"/>
      <c r="BB69" s="13"/>
      <c r="BC69" s="10">
        <f t="shared" si="65"/>
        <v>666699.60000000009</v>
      </c>
      <c r="BD69" s="10">
        <f t="shared" si="66"/>
        <v>0</v>
      </c>
      <c r="BF69" s="10">
        <v>-61903</v>
      </c>
      <c r="BG69" s="11"/>
      <c r="BH69" s="65">
        <v>57</v>
      </c>
      <c r="BI69" s="10">
        <f t="shared" si="67"/>
        <v>-61903</v>
      </c>
      <c r="BJ69" s="10">
        <f t="shared" si="54"/>
        <v>-728602.60000000009</v>
      </c>
      <c r="BL69" s="10">
        <v>-61903</v>
      </c>
      <c r="BN69" s="65">
        <v>57</v>
      </c>
      <c r="BO69" s="10">
        <f t="shared" si="62"/>
        <v>-61903</v>
      </c>
      <c r="BP69" s="36">
        <f t="shared" si="20"/>
        <v>0</v>
      </c>
      <c r="BQ69" s="36"/>
    </row>
    <row r="70" spans="1:69" ht="18.75">
      <c r="A70" s="8" t="s">
        <v>127</v>
      </c>
      <c r="D70" s="49" t="e">
        <f>+#REF!</f>
        <v>#REF!</v>
      </c>
      <c r="F70" s="61" t="s">
        <v>88</v>
      </c>
      <c r="G70" s="51">
        <v>-1223126</v>
      </c>
      <c r="H70" s="52" t="e">
        <f>+G70-#REF!</f>
        <v>#REF!</v>
      </c>
      <c r="J70" s="49"/>
      <c r="K70" s="49"/>
      <c r="L70" s="61"/>
      <c r="M70" s="49"/>
      <c r="N70" s="61"/>
      <c r="O70" s="73"/>
      <c r="Q70" s="49"/>
      <c r="R70" s="61"/>
      <c r="S70" s="56">
        <f t="shared" si="2"/>
        <v>0</v>
      </c>
      <c r="T70" s="57">
        <f t="shared" si="3"/>
        <v>0</v>
      </c>
      <c r="V70" s="51"/>
      <c r="W70" s="49"/>
      <c r="X70" s="61"/>
      <c r="Y70" s="10"/>
      <c r="AA70" s="49"/>
      <c r="AB70" s="61"/>
      <c r="AC70" s="59">
        <f>V70+AA70</f>
        <v>0</v>
      </c>
      <c r="AD70" s="60">
        <f t="shared" si="5"/>
        <v>0</v>
      </c>
      <c r="AF70" s="51"/>
      <c r="AG70" s="49"/>
      <c r="AH70" s="61"/>
      <c r="AI70" s="10"/>
      <c r="AK70" s="51"/>
      <c r="AL70" s="61"/>
      <c r="AM70" s="59">
        <f>AF70+AK70</f>
        <v>0</v>
      </c>
      <c r="AN70" s="60">
        <f t="shared" si="7"/>
        <v>0</v>
      </c>
      <c r="AP70" s="10"/>
      <c r="AQ70" s="11"/>
      <c r="AR70" s="12"/>
      <c r="AS70" s="10"/>
      <c r="AT70" s="13"/>
      <c r="AU70" s="10"/>
      <c r="AV70" s="10"/>
      <c r="AX70" s="10"/>
      <c r="AY70" s="11"/>
      <c r="AZ70" s="12"/>
      <c r="BA70" s="10"/>
      <c r="BB70" s="13"/>
      <c r="BC70" s="10"/>
      <c r="BD70" s="10"/>
      <c r="BF70" s="10"/>
      <c r="BG70" s="11"/>
      <c r="BH70" s="65"/>
      <c r="BI70" s="10"/>
      <c r="BJ70" s="10"/>
      <c r="BL70" s="10">
        <v>-1363936</v>
      </c>
      <c r="BN70" s="14">
        <v>61</v>
      </c>
      <c r="BO70" s="10">
        <f t="shared" si="62"/>
        <v>-1363936</v>
      </c>
      <c r="BP70" s="36">
        <f t="shared" si="20"/>
        <v>-1363936</v>
      </c>
      <c r="BQ70" s="36"/>
    </row>
    <row r="71" spans="1:69" ht="18.75">
      <c r="A71" s="8" t="s">
        <v>128</v>
      </c>
      <c r="D71" s="49">
        <v>0</v>
      </c>
      <c r="F71" s="61">
        <v>79</v>
      </c>
      <c r="G71" s="51">
        <f>+D71+E71</f>
        <v>0</v>
      </c>
      <c r="H71" s="52" t="e">
        <f>+G71-#REF!</f>
        <v>#REF!</v>
      </c>
      <c r="J71" s="49"/>
      <c r="K71" s="49"/>
      <c r="L71" s="61"/>
      <c r="M71" s="49"/>
      <c r="N71" s="61"/>
      <c r="O71" s="73"/>
      <c r="Q71" s="49"/>
      <c r="R71" s="61"/>
      <c r="S71" s="56">
        <f t="shared" si="2"/>
        <v>0</v>
      </c>
      <c r="T71" s="57">
        <f t="shared" si="3"/>
        <v>0</v>
      </c>
      <c r="V71" s="51"/>
      <c r="W71" s="49"/>
      <c r="X71" s="61"/>
      <c r="Y71" s="10"/>
      <c r="AA71" s="49"/>
      <c r="AB71" s="61"/>
      <c r="AC71" s="59">
        <f>V71+AA71</f>
        <v>0</v>
      </c>
      <c r="AD71" s="60">
        <f t="shared" si="5"/>
        <v>0</v>
      </c>
      <c r="AF71" s="51"/>
      <c r="AG71" s="49"/>
      <c r="AH71" s="61"/>
      <c r="AI71" s="10"/>
      <c r="AK71" s="51"/>
      <c r="AL71" s="61"/>
      <c r="AM71" s="59">
        <f>AF71+AK71</f>
        <v>0</v>
      </c>
      <c r="AN71" s="60">
        <f t="shared" si="7"/>
        <v>0</v>
      </c>
      <c r="AP71" s="10"/>
      <c r="AQ71" s="11"/>
      <c r="AR71" s="12"/>
      <c r="AS71" s="10"/>
      <c r="AT71" s="13"/>
      <c r="AU71" s="10"/>
      <c r="AV71" s="10"/>
      <c r="AX71" s="10"/>
      <c r="AY71" s="11"/>
      <c r="AZ71" s="12"/>
      <c r="BA71" s="10"/>
      <c r="BB71" s="13"/>
      <c r="BC71" s="10"/>
      <c r="BD71" s="10"/>
      <c r="BF71" s="10"/>
      <c r="BG71" s="11"/>
      <c r="BH71" s="65"/>
      <c r="BI71" s="10"/>
      <c r="BJ71" s="10"/>
      <c r="BL71" s="10">
        <v>0</v>
      </c>
      <c r="BN71" s="67">
        <v>79</v>
      </c>
      <c r="BO71" s="10">
        <v>0</v>
      </c>
      <c r="BP71" s="36">
        <f t="shared" si="20"/>
        <v>0</v>
      </c>
      <c r="BQ71" s="36"/>
    </row>
    <row r="72" spans="1:69" ht="18.75">
      <c r="A72" s="8" t="s">
        <v>129</v>
      </c>
      <c r="D72" s="49" t="e">
        <f>+#REF!</f>
        <v>#REF!</v>
      </c>
      <c r="F72" s="61" t="s">
        <v>88</v>
      </c>
      <c r="G72" s="51">
        <v>-517283</v>
      </c>
      <c r="H72" s="52" t="e">
        <f>+G72-#REF!</f>
        <v>#REF!</v>
      </c>
      <c r="J72" s="49"/>
      <c r="K72" s="49"/>
      <c r="L72" s="61"/>
      <c r="M72" s="49"/>
      <c r="N72" s="61"/>
      <c r="O72" s="73"/>
      <c r="Q72" s="49"/>
      <c r="R72" s="61"/>
      <c r="S72" s="56">
        <f t="shared" si="2"/>
        <v>0</v>
      </c>
      <c r="T72" s="57">
        <f t="shared" si="3"/>
        <v>0</v>
      </c>
      <c r="V72" s="51"/>
      <c r="W72" s="49"/>
      <c r="X72" s="61"/>
      <c r="Y72" s="10"/>
      <c r="AA72" s="49"/>
      <c r="AB72" s="61"/>
      <c r="AC72" s="59">
        <f>V72+AA72</f>
        <v>0</v>
      </c>
      <c r="AD72" s="60">
        <f t="shared" si="5"/>
        <v>0</v>
      </c>
      <c r="AF72" s="51"/>
      <c r="AG72" s="49"/>
      <c r="AH72" s="61"/>
      <c r="AI72" s="10"/>
      <c r="AK72" s="51"/>
      <c r="AL72" s="61"/>
      <c r="AM72" s="59">
        <f>AF72+AK72</f>
        <v>0</v>
      </c>
      <c r="AN72" s="60">
        <f t="shared" si="7"/>
        <v>0</v>
      </c>
      <c r="AP72" s="10"/>
      <c r="AQ72" s="11"/>
      <c r="AR72" s="12"/>
      <c r="AS72" s="10"/>
      <c r="AT72" s="13"/>
      <c r="AU72" s="10"/>
      <c r="AV72" s="10"/>
      <c r="AX72" s="10"/>
      <c r="AY72" s="11"/>
      <c r="AZ72" s="12"/>
      <c r="BA72" s="10"/>
      <c r="BB72" s="13"/>
      <c r="BC72" s="10"/>
      <c r="BD72" s="10"/>
      <c r="BF72" s="10"/>
      <c r="BG72" s="11"/>
      <c r="BH72" s="65"/>
      <c r="BI72" s="10"/>
      <c r="BJ72" s="10"/>
      <c r="BL72" s="10">
        <v>239654</v>
      </c>
      <c r="BN72" s="14">
        <v>35</v>
      </c>
      <c r="BO72" s="10">
        <v>239654</v>
      </c>
      <c r="BP72" s="36">
        <f t="shared" si="20"/>
        <v>239654</v>
      </c>
      <c r="BQ72" s="36"/>
    </row>
    <row r="73" spans="1:69" ht="18.75">
      <c r="A73" s="8" t="s">
        <v>130</v>
      </c>
      <c r="D73" s="49">
        <v>-4600000</v>
      </c>
      <c r="F73" s="61">
        <v>80</v>
      </c>
      <c r="G73" s="51">
        <v>-6480778</v>
      </c>
      <c r="H73" s="52" t="e">
        <f>+G73-#REF!</f>
        <v>#REF!</v>
      </c>
      <c r="J73" s="49"/>
      <c r="K73" s="49"/>
      <c r="L73" s="61">
        <v>30</v>
      </c>
      <c r="M73" s="49"/>
      <c r="N73" s="61"/>
      <c r="O73" s="73">
        <v>-4600000</v>
      </c>
      <c r="Q73" s="49"/>
      <c r="R73" s="61">
        <v>30</v>
      </c>
      <c r="S73" s="56">
        <v>-4600000</v>
      </c>
      <c r="T73" s="57">
        <f t="shared" si="3"/>
        <v>0</v>
      </c>
      <c r="V73" s="51"/>
      <c r="W73" s="49"/>
      <c r="X73" s="61">
        <v>30</v>
      </c>
      <c r="Y73" s="58">
        <v>-2900000</v>
      </c>
      <c r="AA73" s="49"/>
      <c r="AB73" s="61">
        <v>30</v>
      </c>
      <c r="AC73" s="59">
        <v>-2900000</v>
      </c>
      <c r="AD73" s="60">
        <f t="shared" si="5"/>
        <v>0</v>
      </c>
      <c r="AF73" s="51"/>
      <c r="AG73" s="49"/>
      <c r="AH73" s="61">
        <v>30</v>
      </c>
      <c r="AI73" s="58">
        <v>-2200000</v>
      </c>
      <c r="AK73" s="51"/>
      <c r="AL73" s="61">
        <v>30</v>
      </c>
      <c r="AM73" s="59">
        <v>-2200000</v>
      </c>
      <c r="AN73" s="60">
        <f t="shared" si="7"/>
        <v>0</v>
      </c>
      <c r="AP73" s="10">
        <v>0</v>
      </c>
      <c r="AQ73" s="11"/>
      <c r="AR73" s="12">
        <v>30</v>
      </c>
      <c r="AS73" s="10"/>
      <c r="AT73" s="13"/>
      <c r="AU73" s="10">
        <v>0</v>
      </c>
      <c r="AV73" s="10"/>
      <c r="AX73" s="10">
        <v>0</v>
      </c>
      <c r="AY73" s="11"/>
      <c r="AZ73" s="12">
        <v>30</v>
      </c>
      <c r="BA73" s="10"/>
      <c r="BB73" s="13"/>
      <c r="BC73" s="10">
        <v>0</v>
      </c>
      <c r="BD73" s="10"/>
      <c r="BF73" s="10">
        <v>0</v>
      </c>
      <c r="BG73" s="11"/>
      <c r="BH73" s="65">
        <v>80</v>
      </c>
      <c r="BI73" s="10">
        <f t="shared" ref="BI73:BI74" si="68">+BF73+BG73</f>
        <v>0</v>
      </c>
      <c r="BJ73" s="10"/>
      <c r="BL73" s="10">
        <v>0</v>
      </c>
      <c r="BN73" s="14">
        <v>80</v>
      </c>
      <c r="BO73" s="10">
        <v>0</v>
      </c>
      <c r="BP73" s="36">
        <f t="shared" si="20"/>
        <v>0</v>
      </c>
      <c r="BQ73" s="36"/>
    </row>
    <row r="74" spans="1:69" ht="18.75">
      <c r="A74" s="8" t="s">
        <v>131</v>
      </c>
      <c r="D74" s="49">
        <v>-706760</v>
      </c>
      <c r="F74" s="61">
        <v>50</v>
      </c>
      <c r="G74" s="51">
        <f>+D74+E74</f>
        <v>-706760</v>
      </c>
      <c r="H74" s="52" t="e">
        <f>+G74-#REF!</f>
        <v>#REF!</v>
      </c>
      <c r="J74" s="49">
        <v>61738</v>
      </c>
      <c r="K74" s="49"/>
      <c r="L74" s="61">
        <v>22</v>
      </c>
      <c r="M74" s="49"/>
      <c r="N74" s="61"/>
      <c r="O74" s="55">
        <f>(J74+K74+M74)*6</f>
        <v>370428</v>
      </c>
      <c r="Q74" s="49"/>
      <c r="R74" s="61"/>
      <c r="S74" s="56">
        <f>+O74</f>
        <v>370428</v>
      </c>
      <c r="T74" s="57">
        <f t="shared" si="3"/>
        <v>0</v>
      </c>
      <c r="V74" s="51">
        <v>62158</v>
      </c>
      <c r="W74" s="49"/>
      <c r="X74" s="61">
        <v>22</v>
      </c>
      <c r="Y74" s="58">
        <f>(V74+W74)*4</f>
        <v>248632</v>
      </c>
      <c r="AA74" s="49"/>
      <c r="AB74" s="61"/>
      <c r="AC74" s="59">
        <f>+Y74</f>
        <v>248632</v>
      </c>
      <c r="AD74" s="60">
        <f t="shared" si="5"/>
        <v>0</v>
      </c>
      <c r="AF74" s="51">
        <v>256867</v>
      </c>
      <c r="AG74" s="49"/>
      <c r="AH74" s="61" t="s">
        <v>56</v>
      </c>
      <c r="AI74" s="58">
        <f>(AF74+AG74)*2</f>
        <v>513734</v>
      </c>
      <c r="AK74" s="51"/>
      <c r="AL74" s="61"/>
      <c r="AM74" s="59">
        <f>+AI74</f>
        <v>513734</v>
      </c>
      <c r="AN74" s="60">
        <f t="shared" si="7"/>
        <v>0</v>
      </c>
      <c r="AP74" s="10">
        <v>-268737</v>
      </c>
      <c r="AQ74" s="11"/>
      <c r="AR74" s="12">
        <v>22</v>
      </c>
      <c r="AS74" s="10"/>
      <c r="AT74" s="13"/>
      <c r="AU74" s="10">
        <f t="shared" ref="AU74:AU77" si="69">+AP74/10*12</f>
        <v>-322484.40000000002</v>
      </c>
      <c r="AV74" s="10">
        <f t="shared" ref="AV74" si="70">+AU74-AM74</f>
        <v>-836218.4</v>
      </c>
      <c r="AX74" s="10">
        <v>-268737</v>
      </c>
      <c r="AY74" s="11"/>
      <c r="AZ74" s="12">
        <v>22</v>
      </c>
      <c r="BA74" s="10">
        <f>12808-AX74</f>
        <v>281545</v>
      </c>
      <c r="BB74" s="13"/>
      <c r="BC74" s="10">
        <f>+BA74+AX74</f>
        <v>12808</v>
      </c>
      <c r="BD74" s="10">
        <f t="shared" ref="BD74" si="71">+BC74-AU74</f>
        <v>335292.40000000002</v>
      </c>
      <c r="BF74" s="10">
        <v>12808</v>
      </c>
      <c r="BG74" s="11"/>
      <c r="BH74" s="65">
        <v>50</v>
      </c>
      <c r="BI74" s="10">
        <f t="shared" si="68"/>
        <v>12808</v>
      </c>
      <c r="BJ74" s="10">
        <f t="shared" ref="BJ74:BJ85" si="72">+BI74-BC74</f>
        <v>0</v>
      </c>
      <c r="BL74" s="10">
        <v>12808</v>
      </c>
      <c r="BN74" s="14">
        <v>50</v>
      </c>
      <c r="BO74" s="10">
        <f>+BL74+BM74</f>
        <v>12808</v>
      </c>
      <c r="BP74" s="36">
        <f t="shared" si="20"/>
        <v>0</v>
      </c>
      <c r="BQ74" s="36"/>
    </row>
    <row r="75" spans="1:69" ht="18.75">
      <c r="A75" s="8" t="s">
        <v>132</v>
      </c>
      <c r="D75" s="49"/>
      <c r="F75" s="61">
        <v>67</v>
      </c>
      <c r="G75" s="51">
        <f>+D75+E75</f>
        <v>0</v>
      </c>
      <c r="H75" s="52" t="e">
        <f>+G75-#REF!</f>
        <v>#REF!</v>
      </c>
      <c r="J75" s="49"/>
      <c r="K75" s="49"/>
      <c r="L75" s="61"/>
      <c r="M75" s="49"/>
      <c r="N75" s="61"/>
      <c r="O75" s="73"/>
      <c r="Q75" s="49"/>
      <c r="R75" s="61"/>
      <c r="S75" s="56">
        <f t="shared" si="2"/>
        <v>0</v>
      </c>
      <c r="T75" s="57">
        <f t="shared" si="3"/>
        <v>0</v>
      </c>
      <c r="V75" s="51"/>
      <c r="W75" s="49"/>
      <c r="X75" s="61"/>
      <c r="Y75" s="10"/>
      <c r="AA75" s="49"/>
      <c r="AB75" s="61"/>
      <c r="AC75" s="59">
        <f>V75+AA75</f>
        <v>0</v>
      </c>
      <c r="AD75" s="60">
        <f t="shared" si="5"/>
        <v>0</v>
      </c>
      <c r="AF75" s="51"/>
      <c r="AG75" s="49"/>
      <c r="AH75" s="61"/>
      <c r="AI75" s="10"/>
      <c r="AK75" s="51"/>
      <c r="AL75" s="61"/>
      <c r="AM75" s="59">
        <f>AF75+AK75</f>
        <v>0</v>
      </c>
      <c r="AN75" s="60">
        <f t="shared" si="7"/>
        <v>0</v>
      </c>
      <c r="AP75" s="10"/>
      <c r="AQ75" s="11"/>
      <c r="AR75" s="12"/>
      <c r="AS75" s="10"/>
      <c r="AT75" s="13"/>
      <c r="AU75" s="10"/>
      <c r="AV75" s="10"/>
      <c r="AX75" s="10"/>
      <c r="AY75" s="11"/>
      <c r="AZ75" s="12"/>
      <c r="BA75" s="10"/>
      <c r="BB75" s="13"/>
      <c r="BC75" s="10"/>
      <c r="BD75" s="10"/>
      <c r="BF75" s="10"/>
      <c r="BG75" s="11"/>
      <c r="BH75" s="65"/>
      <c r="BI75" s="10"/>
      <c r="BJ75" s="10">
        <f t="shared" si="72"/>
        <v>0</v>
      </c>
      <c r="BL75" s="10"/>
      <c r="BN75" s="14"/>
      <c r="BO75" s="10"/>
      <c r="BP75" s="36">
        <f t="shared" si="20"/>
        <v>0</v>
      </c>
      <c r="BQ75" s="36"/>
    </row>
    <row r="76" spans="1:69" ht="18.75">
      <c r="A76" s="8" t="s">
        <v>133</v>
      </c>
      <c r="D76" s="49">
        <v>-11812</v>
      </c>
      <c r="F76" s="50">
        <v>63</v>
      </c>
      <c r="G76" s="51">
        <f>+D76+E76</f>
        <v>-11812</v>
      </c>
      <c r="H76" s="52" t="e">
        <f>+G76-#REF!</f>
        <v>#REF!</v>
      </c>
      <c r="J76" s="49"/>
      <c r="K76" s="49"/>
      <c r="L76" s="61">
        <v>12</v>
      </c>
      <c r="M76" s="49"/>
      <c r="N76" s="61"/>
      <c r="O76" s="73"/>
      <c r="Q76" s="49"/>
      <c r="R76" s="61"/>
      <c r="S76" s="56">
        <f t="shared" si="2"/>
        <v>0</v>
      </c>
      <c r="T76" s="57">
        <f t="shared" si="3"/>
        <v>0</v>
      </c>
      <c r="V76" s="51"/>
      <c r="W76" s="49"/>
      <c r="X76" s="61">
        <v>12</v>
      </c>
      <c r="Y76" s="10"/>
      <c r="AA76" s="49"/>
      <c r="AB76" s="61"/>
      <c r="AC76" s="59">
        <f>V76+AA76</f>
        <v>0</v>
      </c>
      <c r="AD76" s="60">
        <f t="shared" si="5"/>
        <v>0</v>
      </c>
      <c r="AF76" s="51"/>
      <c r="AG76" s="49"/>
      <c r="AH76" s="61">
        <v>12</v>
      </c>
      <c r="AI76" s="10"/>
      <c r="AK76" s="51"/>
      <c r="AL76" s="61"/>
      <c r="AM76" s="59">
        <f>AF76+AK76</f>
        <v>0</v>
      </c>
      <c r="AN76" s="60">
        <f t="shared" si="7"/>
        <v>0</v>
      </c>
      <c r="AP76" s="10">
        <v>-5579</v>
      </c>
      <c r="AQ76" s="11"/>
      <c r="AR76" s="12">
        <v>12</v>
      </c>
      <c r="AS76" s="10"/>
      <c r="AT76" s="13"/>
      <c r="AU76" s="10">
        <f t="shared" si="69"/>
        <v>-6694.7999999999993</v>
      </c>
      <c r="AV76" s="10"/>
      <c r="AX76" s="10">
        <v>-5579</v>
      </c>
      <c r="AY76" s="11"/>
      <c r="AZ76" s="12">
        <v>12</v>
      </c>
      <c r="BA76" s="10"/>
      <c r="BB76" s="13"/>
      <c r="BC76" s="10">
        <f t="shared" ref="BC76:BC77" si="73">+AX76/10*12</f>
        <v>-6694.7999999999993</v>
      </c>
      <c r="BD76" s="10"/>
      <c r="BF76" s="10">
        <v>-7225</v>
      </c>
      <c r="BG76" s="11"/>
      <c r="BH76" s="65">
        <v>63</v>
      </c>
      <c r="BI76" s="10">
        <f t="shared" ref="BI76:BI77" si="74">+BF76+BG76</f>
        <v>-7225</v>
      </c>
      <c r="BJ76" s="10">
        <f t="shared" si="72"/>
        <v>-530.20000000000073</v>
      </c>
      <c r="BL76" s="10">
        <v>-7225</v>
      </c>
      <c r="BN76" s="65">
        <v>63</v>
      </c>
      <c r="BO76" s="10">
        <f t="shared" ref="BO76:BO77" si="75">+BL76+BM76</f>
        <v>-7225</v>
      </c>
      <c r="BP76" s="36">
        <f t="shared" si="20"/>
        <v>0</v>
      </c>
      <c r="BQ76" s="36"/>
    </row>
    <row r="77" spans="1:69" ht="18.75">
      <c r="A77" s="75" t="s">
        <v>134</v>
      </c>
      <c r="B77" s="76"/>
      <c r="D77" s="49">
        <v>253</v>
      </c>
      <c r="F77" s="50">
        <v>63</v>
      </c>
      <c r="G77" s="51">
        <f>+D77+E77</f>
        <v>253</v>
      </c>
      <c r="H77" s="52" t="e">
        <f>+G77-#REF!</f>
        <v>#REF!</v>
      </c>
      <c r="J77" s="49"/>
      <c r="K77" s="49"/>
      <c r="L77" s="50">
        <v>12</v>
      </c>
      <c r="M77" s="49"/>
      <c r="N77" s="50"/>
      <c r="O77" s="73"/>
      <c r="Q77" s="49"/>
      <c r="R77" s="50"/>
      <c r="S77" s="56">
        <f t="shared" si="2"/>
        <v>0</v>
      </c>
      <c r="T77" s="57">
        <f t="shared" si="3"/>
        <v>0</v>
      </c>
      <c r="V77" s="51"/>
      <c r="W77" s="49"/>
      <c r="X77" s="50">
        <v>12</v>
      </c>
      <c r="Y77" s="10"/>
      <c r="AA77" s="49"/>
      <c r="AB77" s="50"/>
      <c r="AC77" s="59">
        <f>V77+AA77</f>
        <v>0</v>
      </c>
      <c r="AD77" s="60">
        <f t="shared" si="5"/>
        <v>0</v>
      </c>
      <c r="AF77" s="51"/>
      <c r="AG77" s="49"/>
      <c r="AH77" s="50">
        <v>12</v>
      </c>
      <c r="AI77" s="10"/>
      <c r="AK77" s="51"/>
      <c r="AL77" s="50"/>
      <c r="AM77" s="59">
        <f>AF77+AK77</f>
        <v>0</v>
      </c>
      <c r="AN77" s="60">
        <f t="shared" si="7"/>
        <v>0</v>
      </c>
      <c r="AP77" s="10">
        <v>-253</v>
      </c>
      <c r="AQ77" s="11"/>
      <c r="AR77" s="12">
        <v>12</v>
      </c>
      <c r="AS77" s="10"/>
      <c r="AT77" s="13"/>
      <c r="AU77" s="10">
        <f t="shared" si="69"/>
        <v>-303.60000000000002</v>
      </c>
      <c r="AV77" s="10"/>
      <c r="AX77" s="10">
        <v>-253</v>
      </c>
      <c r="AY77" s="11"/>
      <c r="AZ77" s="12">
        <v>12</v>
      </c>
      <c r="BA77" s="10"/>
      <c r="BB77" s="13"/>
      <c r="BC77" s="10">
        <f t="shared" si="73"/>
        <v>-303.60000000000002</v>
      </c>
      <c r="BD77" s="10"/>
      <c r="BF77" s="10">
        <v>-253</v>
      </c>
      <c r="BG77" s="11"/>
      <c r="BH77" s="65">
        <v>63</v>
      </c>
      <c r="BI77" s="10">
        <f t="shared" si="74"/>
        <v>-253</v>
      </c>
      <c r="BJ77" s="10">
        <f t="shared" si="72"/>
        <v>50.600000000000023</v>
      </c>
      <c r="BL77" s="10">
        <v>-253</v>
      </c>
      <c r="BN77" s="65">
        <v>63</v>
      </c>
      <c r="BO77" s="10">
        <f t="shared" si="75"/>
        <v>-253</v>
      </c>
      <c r="BP77" s="36">
        <f t="shared" si="20"/>
        <v>0</v>
      </c>
      <c r="BQ77" s="36"/>
    </row>
    <row r="78" spans="1:69" ht="18.75">
      <c r="A78" s="75" t="s">
        <v>135</v>
      </c>
      <c r="B78" s="76"/>
      <c r="D78" s="49">
        <v>0</v>
      </c>
      <c r="F78" s="50"/>
      <c r="G78" s="51">
        <f>+D78+E78</f>
        <v>0</v>
      </c>
      <c r="H78" s="52" t="e">
        <f>+G78-#REF!</f>
        <v>#REF!</v>
      </c>
      <c r="J78" s="49"/>
      <c r="K78" s="49"/>
      <c r="L78" s="50"/>
      <c r="M78" s="49"/>
      <c r="N78" s="50"/>
      <c r="O78" s="73"/>
      <c r="Q78" s="49"/>
      <c r="R78" s="50"/>
      <c r="S78" s="56">
        <f>J78+K78+M78+Q78</f>
        <v>0</v>
      </c>
      <c r="T78" s="57">
        <f t="shared" ref="T78:T105" si="76">+S78-O78</f>
        <v>0</v>
      </c>
      <c r="V78" s="51"/>
      <c r="W78" s="49"/>
      <c r="X78" s="50"/>
      <c r="Y78" s="10"/>
      <c r="AA78" s="49"/>
      <c r="AB78" s="50"/>
      <c r="AC78" s="59">
        <f>V78+AA78</f>
        <v>0</v>
      </c>
      <c r="AD78" s="60">
        <f t="shared" ref="AD78:AD105" si="77">+AC78-Y78</f>
        <v>0</v>
      </c>
      <c r="AF78" s="51"/>
      <c r="AG78" s="49"/>
      <c r="AH78" s="50"/>
      <c r="AI78" s="10"/>
      <c r="AK78" s="51"/>
      <c r="AL78" s="50"/>
      <c r="AM78" s="59">
        <f>AF78+AK78</f>
        <v>0</v>
      </c>
      <c r="AN78" s="60">
        <f t="shared" ref="AN78:AN105" si="78">+AM78-AI78</f>
        <v>0</v>
      </c>
      <c r="AP78" s="10"/>
      <c r="AQ78" s="11"/>
      <c r="AR78" s="12"/>
      <c r="AS78" s="10"/>
      <c r="AT78" s="13"/>
      <c r="AU78" s="10"/>
      <c r="AV78" s="10"/>
      <c r="AX78" s="10"/>
      <c r="AY78" s="11"/>
      <c r="AZ78" s="12"/>
      <c r="BA78" s="10"/>
      <c r="BB78" s="13"/>
      <c r="BC78" s="10"/>
      <c r="BD78" s="10"/>
      <c r="BF78" s="10"/>
      <c r="BG78" s="11"/>
      <c r="BH78" s="65"/>
      <c r="BI78" s="10"/>
      <c r="BJ78" s="10">
        <f t="shared" si="72"/>
        <v>0</v>
      </c>
      <c r="BL78" s="10"/>
      <c r="BN78" s="14"/>
      <c r="BO78" s="10"/>
      <c r="BP78" s="36">
        <f t="shared" si="20"/>
        <v>0</v>
      </c>
      <c r="BQ78" s="36"/>
    </row>
    <row r="79" spans="1:69" ht="18.75">
      <c r="A79" s="77" t="s">
        <v>136</v>
      </c>
      <c r="B79" s="76"/>
      <c r="D79" s="78">
        <v>0</v>
      </c>
      <c r="F79" s="50" t="s">
        <v>88</v>
      </c>
      <c r="G79" s="51">
        <v>734372</v>
      </c>
      <c r="H79" s="52" t="e">
        <f>+G79-#REF!</f>
        <v>#REF!</v>
      </c>
      <c r="J79" s="49"/>
      <c r="K79" s="49"/>
      <c r="L79" s="50"/>
      <c r="M79" s="49"/>
      <c r="N79" s="50"/>
      <c r="O79" s="73"/>
      <c r="Q79" s="49"/>
      <c r="R79" s="50"/>
      <c r="S79" s="56">
        <f>J79+K79+M79+Q79</f>
        <v>0</v>
      </c>
      <c r="T79" s="57">
        <f t="shared" si="76"/>
        <v>0</v>
      </c>
      <c r="V79" s="51"/>
      <c r="W79" s="49"/>
      <c r="X79" s="50"/>
      <c r="Y79" s="10"/>
      <c r="AA79" s="49"/>
      <c r="AB79" s="50"/>
      <c r="AC79" s="59">
        <f>V79+AA79</f>
        <v>0</v>
      </c>
      <c r="AD79" s="60">
        <f t="shared" si="77"/>
        <v>0</v>
      </c>
      <c r="AF79" s="51"/>
      <c r="AG79" s="49"/>
      <c r="AH79" s="50"/>
      <c r="AI79" s="10"/>
      <c r="AK79" s="51"/>
      <c r="AL79" s="50"/>
      <c r="AM79" s="59">
        <f>AF79+AK79</f>
        <v>0</v>
      </c>
      <c r="AN79" s="60">
        <f t="shared" si="78"/>
        <v>0</v>
      </c>
      <c r="AP79" s="10"/>
      <c r="AQ79" s="11"/>
      <c r="AR79" s="12"/>
      <c r="AS79" s="10"/>
      <c r="AT79" s="13"/>
      <c r="AU79" s="10"/>
      <c r="AV79" s="10"/>
      <c r="AX79" s="10"/>
      <c r="AY79" s="11"/>
      <c r="AZ79" s="12"/>
      <c r="BA79" s="10"/>
      <c r="BB79" s="13"/>
      <c r="BC79" s="10"/>
      <c r="BD79" s="10"/>
      <c r="BF79" s="10"/>
      <c r="BG79" s="11"/>
      <c r="BH79" s="65"/>
      <c r="BI79" s="10"/>
      <c r="BJ79" s="10">
        <f t="shared" si="72"/>
        <v>0</v>
      </c>
      <c r="BL79" s="10">
        <v>687453</v>
      </c>
      <c r="BN79" s="14">
        <v>74</v>
      </c>
      <c r="BO79" s="10">
        <f t="shared" ref="BO79:BO82" si="79">+BL79+BM79</f>
        <v>687453</v>
      </c>
      <c r="BP79" s="36">
        <f t="shared" si="20"/>
        <v>687453</v>
      </c>
      <c r="BQ79" s="36"/>
    </row>
    <row r="80" spans="1:69" ht="18">
      <c r="A80" s="75" t="s">
        <v>137</v>
      </c>
      <c r="B80" s="76"/>
      <c r="D80" s="49">
        <v>-157800</v>
      </c>
      <c r="F80" s="50">
        <v>51</v>
      </c>
      <c r="G80" s="51">
        <f>+D80+E80</f>
        <v>-157800</v>
      </c>
      <c r="H80" s="52" t="e">
        <f>+G80-#REF!</f>
        <v>#REF!</v>
      </c>
      <c r="J80" s="49">
        <v>-26300</v>
      </c>
      <c r="K80" s="49"/>
      <c r="L80" s="50">
        <v>35</v>
      </c>
      <c r="M80" s="49"/>
      <c r="N80" s="50">
        <v>35</v>
      </c>
      <c r="O80" s="55">
        <f>(J80+K80+M80)*6</f>
        <v>-157800</v>
      </c>
      <c r="Q80" s="49"/>
      <c r="R80" s="50">
        <v>35</v>
      </c>
      <c r="S80" s="56">
        <f>+O80</f>
        <v>-157800</v>
      </c>
      <c r="T80" s="57">
        <f t="shared" si="76"/>
        <v>0</v>
      </c>
      <c r="V80" s="51">
        <v>-39450</v>
      </c>
      <c r="W80" s="49"/>
      <c r="X80" s="50">
        <v>35</v>
      </c>
      <c r="Y80" s="58">
        <f>(V80+W80)*4</f>
        <v>-157800</v>
      </c>
      <c r="AA80" s="49"/>
      <c r="AB80" s="50">
        <v>35</v>
      </c>
      <c r="AC80" s="59">
        <f>+Y80</f>
        <v>-157800</v>
      </c>
      <c r="AD80" s="60">
        <f t="shared" si="77"/>
        <v>0</v>
      </c>
      <c r="AF80" s="51"/>
      <c r="AG80" s="49"/>
      <c r="AH80" s="50">
        <v>35</v>
      </c>
      <c r="AI80" s="58">
        <f>(AF80+AG80)*2</f>
        <v>0</v>
      </c>
      <c r="AK80" s="51"/>
      <c r="AL80" s="50">
        <v>35</v>
      </c>
      <c r="AM80" s="59">
        <f>+AI80</f>
        <v>0</v>
      </c>
      <c r="AN80" s="60">
        <f t="shared" si="78"/>
        <v>0</v>
      </c>
      <c r="AP80" s="10">
        <v>-131500</v>
      </c>
      <c r="AQ80" s="11"/>
      <c r="AR80" s="61">
        <v>35</v>
      </c>
      <c r="AS80" s="10"/>
      <c r="AT80" s="13"/>
      <c r="AU80" s="10">
        <f t="shared" ref="AU80:AU81" si="80">+AP80/10*12</f>
        <v>-157800</v>
      </c>
      <c r="AV80" s="10">
        <f t="shared" ref="AV80:AV82" si="81">+AU80-AM80</f>
        <v>-157800</v>
      </c>
      <c r="AX80" s="10">
        <v>-131500</v>
      </c>
      <c r="AY80" s="11"/>
      <c r="AZ80" s="61">
        <v>35</v>
      </c>
      <c r="BA80" s="10"/>
      <c r="BB80" s="13"/>
      <c r="BC80" s="10">
        <f t="shared" ref="BC80:BC81" si="82">+AX80/10*12</f>
        <v>-157800</v>
      </c>
      <c r="BD80" s="10">
        <f t="shared" ref="BD80:BD82" si="83">+BC80-AU80</f>
        <v>0</v>
      </c>
      <c r="BF80" s="10">
        <v>-157774</v>
      </c>
      <c r="BG80" s="11"/>
      <c r="BH80" s="61">
        <v>51</v>
      </c>
      <c r="BI80" s="10">
        <f t="shared" ref="BI80" si="84">+BF80+BG80</f>
        <v>-157774</v>
      </c>
      <c r="BJ80" s="10">
        <f t="shared" si="72"/>
        <v>26</v>
      </c>
      <c r="BL80" s="10">
        <v>-157774</v>
      </c>
      <c r="BN80" s="14">
        <v>51</v>
      </c>
      <c r="BO80" s="10">
        <f t="shared" si="79"/>
        <v>-157774</v>
      </c>
      <c r="BP80" s="36">
        <f t="shared" si="20"/>
        <v>0</v>
      </c>
      <c r="BQ80" s="36"/>
    </row>
    <row r="81" spans="1:74" ht="18">
      <c r="A81" s="75" t="s">
        <v>138</v>
      </c>
      <c r="B81" s="76"/>
      <c r="D81" s="49">
        <v>0</v>
      </c>
      <c r="F81" s="50" t="s">
        <v>88</v>
      </c>
      <c r="G81" s="51">
        <v>30677</v>
      </c>
      <c r="H81" s="52" t="e">
        <f>+G81-#REF!</f>
        <v>#REF!</v>
      </c>
      <c r="J81" s="49"/>
      <c r="K81" s="49"/>
      <c r="L81" s="50"/>
      <c r="M81" s="49"/>
      <c r="N81" s="50"/>
      <c r="O81" s="73"/>
      <c r="Q81" s="49"/>
      <c r="R81" s="50"/>
      <c r="S81" s="56">
        <f>J81+K81+M81+Q81</f>
        <v>0</v>
      </c>
      <c r="T81" s="57">
        <f t="shared" si="76"/>
        <v>0</v>
      </c>
      <c r="V81" s="51"/>
      <c r="W81" s="49"/>
      <c r="X81" s="50"/>
      <c r="Y81" s="10"/>
      <c r="AA81" s="49"/>
      <c r="AB81" s="50"/>
      <c r="AC81" s="59">
        <f>V81+AA81</f>
        <v>0</v>
      </c>
      <c r="AD81" s="60">
        <f t="shared" si="77"/>
        <v>0</v>
      </c>
      <c r="AF81" s="51">
        <v>36000</v>
      </c>
      <c r="AG81" s="49"/>
      <c r="AH81" s="50" t="s">
        <v>139</v>
      </c>
      <c r="AI81" s="58">
        <f>(AF81+AG81)*2</f>
        <v>72000</v>
      </c>
      <c r="AK81" s="51"/>
      <c r="AL81" s="50"/>
      <c r="AM81" s="59">
        <f>+AI81</f>
        <v>72000</v>
      </c>
      <c r="AN81" s="60">
        <f t="shared" si="78"/>
        <v>0</v>
      </c>
      <c r="AP81" s="10">
        <v>60000</v>
      </c>
      <c r="AQ81" s="11"/>
      <c r="AR81" s="61" t="s">
        <v>56</v>
      </c>
      <c r="AS81" s="10"/>
      <c r="AT81" s="13"/>
      <c r="AU81" s="10">
        <f t="shared" si="80"/>
        <v>72000</v>
      </c>
      <c r="AV81" s="10">
        <f t="shared" si="81"/>
        <v>0</v>
      </c>
      <c r="AX81" s="10">
        <v>60000</v>
      </c>
      <c r="AY81" s="11"/>
      <c r="AZ81" s="61" t="s">
        <v>56</v>
      </c>
      <c r="BA81" s="10"/>
      <c r="BB81" s="13"/>
      <c r="BC81" s="10">
        <f t="shared" si="82"/>
        <v>72000</v>
      </c>
      <c r="BD81" s="10">
        <f t="shared" si="83"/>
        <v>0</v>
      </c>
      <c r="BF81" s="10" t="s">
        <v>140</v>
      </c>
      <c r="BG81" s="11"/>
      <c r="BH81" s="61" t="s">
        <v>57</v>
      </c>
      <c r="BI81" s="10">
        <v>72000</v>
      </c>
      <c r="BJ81" s="10">
        <f t="shared" si="72"/>
        <v>0</v>
      </c>
      <c r="BL81" s="10">
        <v>10767</v>
      </c>
      <c r="BN81" s="14">
        <v>69</v>
      </c>
      <c r="BO81" s="10">
        <f t="shared" si="79"/>
        <v>10767</v>
      </c>
      <c r="BP81" s="36">
        <f t="shared" si="20"/>
        <v>-61233</v>
      </c>
      <c r="BQ81" s="36"/>
    </row>
    <row r="82" spans="1:74" ht="18.75">
      <c r="A82" s="75" t="s">
        <v>141</v>
      </c>
      <c r="B82" s="76"/>
      <c r="D82" s="49">
        <v>201969</v>
      </c>
      <c r="F82" s="50">
        <v>81</v>
      </c>
      <c r="G82" s="51">
        <f>+D82+E82</f>
        <v>201969</v>
      </c>
      <c r="H82" s="52" t="e">
        <f>+G82-#REF!</f>
        <v>#REF!</v>
      </c>
      <c r="J82" s="49"/>
      <c r="K82" s="49"/>
      <c r="L82" s="50">
        <v>36</v>
      </c>
      <c r="M82" s="49"/>
      <c r="N82" s="50">
        <v>36</v>
      </c>
      <c r="O82" s="73">
        <v>186821</v>
      </c>
      <c r="Q82" s="49"/>
      <c r="R82" s="50">
        <v>36</v>
      </c>
      <c r="S82" s="56">
        <v>186821</v>
      </c>
      <c r="T82" s="57">
        <f t="shared" si="76"/>
        <v>0</v>
      </c>
      <c r="V82" s="51"/>
      <c r="W82" s="49"/>
      <c r="X82" s="50">
        <v>37</v>
      </c>
      <c r="Y82" s="58">
        <v>186821</v>
      </c>
      <c r="AA82" s="49"/>
      <c r="AB82" s="50">
        <v>37</v>
      </c>
      <c r="AC82" s="59">
        <v>186821</v>
      </c>
      <c r="AD82" s="60">
        <f t="shared" si="77"/>
        <v>0</v>
      </c>
      <c r="AF82" s="51"/>
      <c r="AG82" s="49"/>
      <c r="AH82" s="50">
        <v>37</v>
      </c>
      <c r="AI82" s="58">
        <v>186821</v>
      </c>
      <c r="AK82" s="51"/>
      <c r="AL82" s="50">
        <v>37</v>
      </c>
      <c r="AM82" s="59">
        <v>186821</v>
      </c>
      <c r="AN82" s="60">
        <f t="shared" si="78"/>
        <v>0</v>
      </c>
      <c r="AP82" s="10"/>
      <c r="AQ82" s="11"/>
      <c r="AR82" s="12"/>
      <c r="AS82" s="10"/>
      <c r="AT82" s="61">
        <v>37</v>
      </c>
      <c r="AU82" s="10">
        <v>186821</v>
      </c>
      <c r="AV82" s="10">
        <f t="shared" si="81"/>
        <v>0</v>
      </c>
      <c r="AX82" s="10"/>
      <c r="AY82" s="11"/>
      <c r="AZ82" s="12"/>
      <c r="BA82" s="10"/>
      <c r="BB82" s="61">
        <v>37</v>
      </c>
      <c r="BC82" s="10">
        <v>186821</v>
      </c>
      <c r="BD82" s="10">
        <f t="shared" si="83"/>
        <v>0</v>
      </c>
      <c r="BF82" s="10"/>
      <c r="BG82" s="11"/>
      <c r="BH82" s="61">
        <v>81</v>
      </c>
      <c r="BI82" s="10">
        <v>186821</v>
      </c>
      <c r="BJ82" s="10">
        <f t="shared" si="72"/>
        <v>0</v>
      </c>
      <c r="BL82" s="10">
        <v>186821</v>
      </c>
      <c r="BN82" s="14">
        <v>81</v>
      </c>
      <c r="BO82" s="10">
        <f t="shared" si="79"/>
        <v>186821</v>
      </c>
      <c r="BP82" s="36">
        <f t="shared" si="20"/>
        <v>0</v>
      </c>
      <c r="BQ82" s="36"/>
    </row>
    <row r="83" spans="1:74" ht="18">
      <c r="A83" s="75" t="s">
        <v>142</v>
      </c>
      <c r="B83" s="76"/>
      <c r="D83" s="49"/>
      <c r="F83" s="8"/>
      <c r="G83" s="51"/>
      <c r="H83" s="52" t="e">
        <f>+G83-#REF!</f>
        <v>#REF!</v>
      </c>
      <c r="J83" s="49"/>
      <c r="K83" s="49"/>
      <c r="L83" s="50"/>
      <c r="M83" s="49"/>
      <c r="N83" s="50"/>
      <c r="O83" s="73"/>
      <c r="Q83" s="49"/>
      <c r="R83" s="50"/>
      <c r="S83" s="56">
        <f t="shared" ref="S83:S89" si="85">J83+K83+M83+Q83</f>
        <v>0</v>
      </c>
      <c r="T83" s="57">
        <f t="shared" si="76"/>
        <v>0</v>
      </c>
      <c r="V83" s="51"/>
      <c r="W83" s="49"/>
      <c r="X83" s="50"/>
      <c r="Y83" s="10"/>
      <c r="AA83" s="49"/>
      <c r="AB83" s="50"/>
      <c r="AC83" s="59">
        <f t="shared" ref="AC83:AC89" si="86">V83+AA83</f>
        <v>0</v>
      </c>
      <c r="AD83" s="60">
        <f t="shared" si="77"/>
        <v>0</v>
      </c>
      <c r="AF83" s="51"/>
      <c r="AG83" s="49"/>
      <c r="AH83" s="50"/>
      <c r="AI83" s="10"/>
      <c r="AK83" s="51"/>
      <c r="AL83" s="50"/>
      <c r="AM83" s="59">
        <f t="shared" ref="AM83:AM87" si="87">AF83+AK83</f>
        <v>0</v>
      </c>
      <c r="AN83" s="60">
        <f t="shared" si="78"/>
        <v>0</v>
      </c>
      <c r="AP83" s="10"/>
      <c r="AQ83" s="11"/>
      <c r="AR83" s="37"/>
      <c r="AS83" s="10"/>
      <c r="AT83" s="13"/>
      <c r="AU83" s="10"/>
      <c r="AV83" s="10"/>
      <c r="AX83" s="10"/>
      <c r="AY83" s="11"/>
      <c r="AZ83" s="37"/>
      <c r="BA83" s="10"/>
      <c r="BB83" s="13"/>
      <c r="BC83" s="10"/>
      <c r="BD83" s="10"/>
      <c r="BF83" s="10"/>
      <c r="BG83" s="11"/>
      <c r="BH83" s="79"/>
      <c r="BI83" s="10" t="s">
        <v>143</v>
      </c>
      <c r="BJ83" s="10"/>
      <c r="BL83" s="10"/>
      <c r="BN83" s="14"/>
      <c r="BO83" s="10"/>
      <c r="BP83" s="36"/>
      <c r="BQ83" s="36"/>
    </row>
    <row r="84" spans="1:74" ht="18">
      <c r="A84" s="75" t="s">
        <v>144</v>
      </c>
      <c r="B84" s="76"/>
      <c r="D84" s="49">
        <v>0</v>
      </c>
      <c r="F84" s="8"/>
      <c r="G84" s="51"/>
      <c r="H84" s="52" t="e">
        <f>+G84-#REF!</f>
        <v>#REF!</v>
      </c>
      <c r="J84" s="49"/>
      <c r="K84" s="49"/>
      <c r="L84" s="50"/>
      <c r="M84" s="49"/>
      <c r="N84" s="50"/>
      <c r="O84" s="73"/>
      <c r="Q84" s="49"/>
      <c r="R84" s="50"/>
      <c r="S84" s="56">
        <f t="shared" si="85"/>
        <v>0</v>
      </c>
      <c r="T84" s="57">
        <f t="shared" si="76"/>
        <v>0</v>
      </c>
      <c r="V84" s="51"/>
      <c r="W84" s="49"/>
      <c r="X84" s="50"/>
      <c r="Y84" s="10"/>
      <c r="AA84" s="49"/>
      <c r="AB84" s="50"/>
      <c r="AC84" s="59">
        <f t="shared" si="86"/>
        <v>0</v>
      </c>
      <c r="AD84" s="60">
        <f t="shared" si="77"/>
        <v>0</v>
      </c>
      <c r="AF84" s="51"/>
      <c r="AG84" s="49"/>
      <c r="AH84" s="50"/>
      <c r="AI84" s="10"/>
      <c r="AK84" s="51"/>
      <c r="AL84" s="50"/>
      <c r="AM84" s="59">
        <f t="shared" si="87"/>
        <v>0</v>
      </c>
      <c r="AN84" s="60">
        <f t="shared" si="78"/>
        <v>0</v>
      </c>
      <c r="AP84" s="10"/>
      <c r="AQ84" s="11"/>
      <c r="AR84" s="37"/>
      <c r="AS84" s="10"/>
      <c r="AT84" s="13">
        <v>32</v>
      </c>
      <c r="AU84" s="10">
        <v>-1000000</v>
      </c>
      <c r="AV84" s="10"/>
      <c r="AX84" s="10"/>
      <c r="AY84" s="11"/>
      <c r="AZ84" s="37"/>
      <c r="BA84" s="10"/>
      <c r="BB84" s="13">
        <v>32</v>
      </c>
      <c r="BC84" s="10">
        <v>0</v>
      </c>
      <c r="BD84" s="10">
        <f>+BC84-AU84</f>
        <v>1000000</v>
      </c>
      <c r="BF84" s="10">
        <v>-500000</v>
      </c>
      <c r="BG84" s="11"/>
      <c r="BH84" s="79">
        <v>84</v>
      </c>
      <c r="BI84" s="10">
        <f t="shared" ref="BI84" si="88">+BF84+BG84</f>
        <v>-500000</v>
      </c>
      <c r="BJ84" s="10"/>
      <c r="BL84" s="10">
        <v>0</v>
      </c>
      <c r="BN84" s="14">
        <v>84</v>
      </c>
      <c r="BO84" s="10">
        <f t="shared" ref="BO84:BO85" si="89">+BL84+BM84</f>
        <v>0</v>
      </c>
      <c r="BP84" s="36">
        <f t="shared" si="20"/>
        <v>500000</v>
      </c>
      <c r="BQ84" s="36"/>
    </row>
    <row r="85" spans="1:74" ht="18">
      <c r="A85" s="75" t="s">
        <v>145</v>
      </c>
      <c r="B85" s="76"/>
      <c r="D85" s="49"/>
      <c r="F85" s="8"/>
      <c r="G85" s="51"/>
      <c r="H85" s="52"/>
      <c r="J85" s="49"/>
      <c r="K85" s="49"/>
      <c r="L85" s="50"/>
      <c r="M85" s="49"/>
      <c r="N85" s="50"/>
      <c r="O85" s="73"/>
      <c r="Q85" s="49"/>
      <c r="R85" s="50"/>
      <c r="S85" s="56">
        <f t="shared" si="85"/>
        <v>0</v>
      </c>
      <c r="T85" s="57">
        <f t="shared" si="76"/>
        <v>0</v>
      </c>
      <c r="V85" s="51"/>
      <c r="W85" s="49"/>
      <c r="X85" s="50"/>
      <c r="Y85" s="10"/>
      <c r="AA85" s="49"/>
      <c r="AB85" s="50"/>
      <c r="AC85" s="59">
        <f t="shared" si="86"/>
        <v>0</v>
      </c>
      <c r="AD85" s="60">
        <f t="shared" si="77"/>
        <v>0</v>
      </c>
      <c r="AF85" s="51"/>
      <c r="AG85" s="49"/>
      <c r="AH85" s="50"/>
      <c r="AI85" s="10"/>
      <c r="AK85" s="51"/>
      <c r="AL85" s="50"/>
      <c r="AM85" s="59">
        <f t="shared" si="87"/>
        <v>0</v>
      </c>
      <c r="AN85" s="60">
        <f t="shared" si="78"/>
        <v>0</v>
      </c>
      <c r="AP85" s="10"/>
      <c r="AQ85" s="11"/>
      <c r="AR85" s="37"/>
      <c r="AS85" s="10"/>
      <c r="AT85" s="61">
        <v>39</v>
      </c>
      <c r="AU85" s="10">
        <v>269517</v>
      </c>
      <c r="AV85" s="10">
        <f>+AU85-AM86</f>
        <v>269517</v>
      </c>
      <c r="AX85" s="10"/>
      <c r="AY85" s="11"/>
      <c r="AZ85" s="37"/>
      <c r="BA85" s="10"/>
      <c r="BB85" s="61">
        <v>39</v>
      </c>
      <c r="BC85" s="10">
        <v>269517</v>
      </c>
      <c r="BD85" s="10">
        <f>+BC85-AU85</f>
        <v>0</v>
      </c>
      <c r="BF85" s="10"/>
      <c r="BG85" s="11"/>
      <c r="BH85" s="61">
        <v>83</v>
      </c>
      <c r="BI85" s="10">
        <v>269517</v>
      </c>
      <c r="BJ85" s="10">
        <f t="shared" si="72"/>
        <v>0</v>
      </c>
      <c r="BL85" s="10">
        <v>0</v>
      </c>
      <c r="BN85" s="14">
        <v>83</v>
      </c>
      <c r="BO85" s="10">
        <f t="shared" si="89"/>
        <v>0</v>
      </c>
      <c r="BP85" s="36">
        <f t="shared" si="20"/>
        <v>-269517</v>
      </c>
      <c r="BQ85" s="36"/>
    </row>
    <row r="86" spans="1:74" ht="18.75">
      <c r="A86" s="8"/>
      <c r="B86" s="76"/>
      <c r="D86" s="49"/>
      <c r="F86" s="8"/>
      <c r="G86" s="51">
        <v>0</v>
      </c>
      <c r="H86" s="52"/>
      <c r="J86" s="49"/>
      <c r="K86" s="49"/>
      <c r="L86" s="50"/>
      <c r="M86" s="49"/>
      <c r="N86" s="50"/>
      <c r="O86" s="73"/>
      <c r="Q86" s="49"/>
      <c r="R86" s="50"/>
      <c r="S86" s="56">
        <f t="shared" si="85"/>
        <v>0</v>
      </c>
      <c r="T86" s="57">
        <f t="shared" si="76"/>
        <v>0</v>
      </c>
      <c r="V86" s="51"/>
      <c r="W86" s="49"/>
      <c r="X86" s="50"/>
      <c r="Y86" s="10"/>
      <c r="AA86" s="49"/>
      <c r="AB86" s="50"/>
      <c r="AC86" s="59">
        <f t="shared" si="86"/>
        <v>0</v>
      </c>
      <c r="AD86" s="60">
        <f t="shared" si="77"/>
        <v>0</v>
      </c>
      <c r="AF86" s="51"/>
      <c r="AG86" s="49"/>
      <c r="AH86" s="50"/>
      <c r="AI86" s="10"/>
      <c r="AK86" s="51"/>
      <c r="AL86" s="50"/>
      <c r="AM86" s="59">
        <f t="shared" si="87"/>
        <v>0</v>
      </c>
      <c r="AN86" s="60">
        <f t="shared" si="78"/>
        <v>0</v>
      </c>
      <c r="AP86" s="10"/>
      <c r="AQ86" s="11"/>
      <c r="AR86" s="12"/>
      <c r="AS86" s="10"/>
      <c r="AT86" s="13"/>
      <c r="AU86" s="10"/>
      <c r="AV86" s="10"/>
      <c r="AX86" s="10"/>
      <c r="AY86" s="11"/>
      <c r="AZ86" s="12"/>
      <c r="BA86" s="10"/>
      <c r="BB86" s="13"/>
      <c r="BC86" s="10"/>
      <c r="BD86" s="10"/>
      <c r="BF86" s="10"/>
      <c r="BG86" s="11"/>
      <c r="BH86" s="80">
        <f>SUM(BI11:BI85)</f>
        <v>164367991</v>
      </c>
      <c r="BI86" s="10"/>
      <c r="BJ86" s="10"/>
      <c r="BL86" s="10"/>
      <c r="BN86" s="80">
        <f>SUM(BO11:BO85)</f>
        <v>163892951</v>
      </c>
      <c r="BO86" s="10"/>
      <c r="BP86" s="36">
        <f t="shared" si="20"/>
        <v>0</v>
      </c>
      <c r="BQ86" s="36"/>
    </row>
    <row r="87" spans="1:74" ht="18.75">
      <c r="A87" s="81" t="s">
        <v>146</v>
      </c>
      <c r="D87" s="49"/>
      <c r="F87" s="8"/>
      <c r="G87" s="51"/>
      <c r="H87" s="52"/>
      <c r="J87" s="49"/>
      <c r="K87" s="49"/>
      <c r="L87" s="8"/>
      <c r="M87" s="49"/>
      <c r="N87" s="8"/>
      <c r="O87" s="73"/>
      <c r="Q87" s="49"/>
      <c r="R87" s="8"/>
      <c r="S87" s="56">
        <f t="shared" si="85"/>
        <v>0</v>
      </c>
      <c r="T87" s="57">
        <f t="shared" si="76"/>
        <v>0</v>
      </c>
      <c r="V87" s="51"/>
      <c r="W87" s="49"/>
      <c r="X87" s="8"/>
      <c r="Y87" s="10"/>
      <c r="AA87" s="49"/>
      <c r="AB87" s="8"/>
      <c r="AC87" s="59">
        <f t="shared" si="86"/>
        <v>0</v>
      </c>
      <c r="AD87" s="60">
        <f t="shared" si="77"/>
        <v>0</v>
      </c>
      <c r="AF87" s="51"/>
      <c r="AG87" s="49"/>
      <c r="AH87" s="8"/>
      <c r="AI87" s="10"/>
      <c r="AK87" s="51"/>
      <c r="AL87" s="8"/>
      <c r="AM87" s="59">
        <f t="shared" si="87"/>
        <v>0</v>
      </c>
      <c r="AN87" s="60">
        <f t="shared" si="78"/>
        <v>0</v>
      </c>
      <c r="AP87" s="10"/>
      <c r="AQ87" s="11"/>
      <c r="AR87" s="12"/>
      <c r="AS87" s="10"/>
      <c r="AT87" s="13"/>
      <c r="AU87" s="10"/>
      <c r="AV87" s="10"/>
      <c r="AX87" s="10"/>
      <c r="AY87" s="11"/>
      <c r="AZ87" s="12"/>
      <c r="BA87" s="10"/>
      <c r="BB87" s="13"/>
      <c r="BC87" s="10"/>
      <c r="BD87" s="10"/>
      <c r="BF87" s="10"/>
      <c r="BG87" s="11"/>
      <c r="BH87" s="65"/>
      <c r="BI87" s="10"/>
      <c r="BJ87" s="10"/>
      <c r="BL87" s="10"/>
      <c r="BN87" s="14"/>
      <c r="BO87" s="10"/>
      <c r="BP87" s="36">
        <f t="shared" ref="BP87:BP105" si="90">+BO87-BI87</f>
        <v>0</v>
      </c>
      <c r="BQ87" s="36"/>
      <c r="BV87" s="3" t="s">
        <v>146</v>
      </c>
    </row>
    <row r="88" spans="1:74" ht="18.75">
      <c r="A88" s="82" t="s">
        <v>147</v>
      </c>
      <c r="D88" s="49"/>
      <c r="F88" s="14">
        <v>58</v>
      </c>
      <c r="G88" s="51">
        <v>1431242</v>
      </c>
      <c r="H88" s="52"/>
      <c r="J88" s="49"/>
      <c r="K88" s="49"/>
      <c r="L88" s="61"/>
      <c r="M88" s="49"/>
      <c r="N88" s="61"/>
      <c r="O88" s="73"/>
      <c r="Q88" s="49"/>
      <c r="R88" s="61"/>
      <c r="S88" s="56">
        <f t="shared" si="85"/>
        <v>0</v>
      </c>
      <c r="T88" s="57">
        <f t="shared" si="76"/>
        <v>0</v>
      </c>
      <c r="V88" s="51"/>
      <c r="W88" s="49"/>
      <c r="X88" s="61"/>
      <c r="Y88" s="10"/>
      <c r="AA88" s="49"/>
      <c r="AB88" s="61"/>
      <c r="AC88" s="59">
        <f t="shared" si="86"/>
        <v>0</v>
      </c>
      <c r="AD88" s="60">
        <f t="shared" si="77"/>
        <v>0</v>
      </c>
      <c r="AF88" s="51"/>
      <c r="AG88" s="49"/>
      <c r="AH88" s="61"/>
      <c r="AI88" s="10">
        <v>707047</v>
      </c>
      <c r="AK88" s="51"/>
      <c r="AL88" s="61"/>
      <c r="AM88" s="59">
        <v>707047</v>
      </c>
      <c r="AN88" s="60">
        <f t="shared" si="78"/>
        <v>0</v>
      </c>
      <c r="AP88" s="10"/>
      <c r="AQ88" s="11"/>
      <c r="AR88" s="12"/>
      <c r="AS88" s="10"/>
      <c r="AT88" s="65">
        <v>33</v>
      </c>
      <c r="AU88" s="10">
        <v>1000000</v>
      </c>
      <c r="AV88" s="10">
        <f t="shared" ref="AV88:AV95" si="91">+AU88-AM88</f>
        <v>292953</v>
      </c>
      <c r="AX88" s="10"/>
      <c r="AY88" s="11"/>
      <c r="AZ88" s="12"/>
      <c r="BA88" s="10"/>
      <c r="BB88" s="65">
        <v>33</v>
      </c>
      <c r="BC88" s="10">
        <v>1000000</v>
      </c>
      <c r="BD88" s="10">
        <f t="shared" ref="BD88:BD95" si="92">+BC88-AU88</f>
        <v>0</v>
      </c>
      <c r="BF88" s="10"/>
      <c r="BG88" s="11"/>
      <c r="BH88" s="65">
        <v>58</v>
      </c>
      <c r="BI88" s="10">
        <v>1000000</v>
      </c>
      <c r="BJ88" s="10">
        <f t="shared" ref="BJ88:BJ95" si="93">+BI88-BC88</f>
        <v>0</v>
      </c>
      <c r="BL88" s="10">
        <v>2045664</v>
      </c>
      <c r="BN88" s="65">
        <v>58</v>
      </c>
      <c r="BO88" s="10">
        <f t="shared" ref="BO88:BO105" si="94">+BL88+BM88</f>
        <v>2045664</v>
      </c>
      <c r="BP88" s="36">
        <f t="shared" si="90"/>
        <v>1045664</v>
      </c>
      <c r="BQ88" s="36"/>
      <c r="BR88" s="7" t="s">
        <v>353</v>
      </c>
      <c r="BS88" s="7" t="s">
        <v>354</v>
      </c>
      <c r="BT88" s="4">
        <v>7212816.3499999996</v>
      </c>
      <c r="BU88" s="4">
        <f>+BO88</f>
        <v>2045664</v>
      </c>
      <c r="BV88" s="7" t="s">
        <v>147</v>
      </c>
    </row>
    <row r="89" spans="1:74" ht="18.75">
      <c r="A89" s="8" t="s">
        <v>148</v>
      </c>
      <c r="B89" s="76"/>
      <c r="D89" s="49"/>
      <c r="F89" s="14">
        <v>58</v>
      </c>
      <c r="G89" s="51">
        <v>-12034925</v>
      </c>
      <c r="H89" s="52"/>
      <c r="J89" s="49"/>
      <c r="K89" s="49"/>
      <c r="L89" s="50"/>
      <c r="M89" s="49"/>
      <c r="N89" s="50"/>
      <c r="O89" s="73"/>
      <c r="Q89" s="49"/>
      <c r="R89" s="50"/>
      <c r="S89" s="56">
        <f t="shared" si="85"/>
        <v>0</v>
      </c>
      <c r="T89" s="57">
        <f t="shared" si="76"/>
        <v>0</v>
      </c>
      <c r="V89" s="51"/>
      <c r="W89" s="49"/>
      <c r="X89" s="50"/>
      <c r="Y89" s="10"/>
      <c r="AA89" s="49"/>
      <c r="AB89" s="50"/>
      <c r="AC89" s="59">
        <f t="shared" si="86"/>
        <v>0</v>
      </c>
      <c r="AD89" s="60">
        <f t="shared" si="77"/>
        <v>0</v>
      </c>
      <c r="AF89" s="51"/>
      <c r="AG89" s="49"/>
      <c r="AH89" s="50"/>
      <c r="AI89" s="10">
        <v>-3215905</v>
      </c>
      <c r="AK89" s="51"/>
      <c r="AL89" s="50"/>
      <c r="AM89" s="59">
        <v>-3215905</v>
      </c>
      <c r="AN89" s="60">
        <f t="shared" si="78"/>
        <v>0</v>
      </c>
      <c r="AP89" s="10"/>
      <c r="AQ89" s="11"/>
      <c r="AR89" s="12"/>
      <c r="AS89" s="10"/>
      <c r="AT89" s="65">
        <v>33</v>
      </c>
      <c r="AU89" s="10">
        <v>-3200000</v>
      </c>
      <c r="AV89" s="10">
        <f t="shared" si="91"/>
        <v>15905</v>
      </c>
      <c r="AX89" s="10"/>
      <c r="AY89" s="11"/>
      <c r="AZ89" s="12"/>
      <c r="BA89" s="10"/>
      <c r="BB89" s="65">
        <v>33</v>
      </c>
      <c r="BC89" s="10">
        <v>-3200000</v>
      </c>
      <c r="BD89" s="10">
        <f t="shared" si="92"/>
        <v>0</v>
      </c>
      <c r="BF89" s="10"/>
      <c r="BG89" s="11"/>
      <c r="BH89" s="65">
        <v>58</v>
      </c>
      <c r="BI89" s="10">
        <v>0</v>
      </c>
      <c r="BJ89" s="10">
        <f t="shared" si="93"/>
        <v>3200000</v>
      </c>
      <c r="BL89" s="10">
        <v>0</v>
      </c>
      <c r="BN89" s="65">
        <v>58</v>
      </c>
      <c r="BO89" s="10">
        <f t="shared" si="94"/>
        <v>0</v>
      </c>
      <c r="BP89" s="36">
        <f t="shared" si="90"/>
        <v>0</v>
      </c>
      <c r="BQ89" s="36"/>
      <c r="BR89" s="7" t="s">
        <v>355</v>
      </c>
      <c r="BS89" s="7" t="s">
        <v>356</v>
      </c>
      <c r="BT89" s="4">
        <v>2874577.17</v>
      </c>
      <c r="BU89" s="4">
        <f>+BO89</f>
        <v>0</v>
      </c>
      <c r="BV89" s="7" t="s">
        <v>148</v>
      </c>
    </row>
    <row r="90" spans="1:74" ht="18.75">
      <c r="A90" s="83" t="s">
        <v>149</v>
      </c>
      <c r="B90" s="84"/>
      <c r="C90" s="84"/>
      <c r="D90" s="85">
        <f>-23808786-9488832</f>
        <v>-33297618</v>
      </c>
      <c r="E90" s="84"/>
      <c r="F90" s="14">
        <v>58</v>
      </c>
      <c r="G90" s="51">
        <f>+D90+E90</f>
        <v>-33297618</v>
      </c>
      <c r="H90" s="52" t="e">
        <f>+G90-#REF!</f>
        <v>#REF!</v>
      </c>
      <c r="I90" s="84"/>
      <c r="J90" s="85"/>
      <c r="K90" s="85"/>
      <c r="L90" s="62"/>
      <c r="M90" s="85"/>
      <c r="N90" s="62">
        <v>33</v>
      </c>
      <c r="O90" s="86">
        <f>-5300000-2100000</f>
        <v>-7400000</v>
      </c>
      <c r="P90" s="84"/>
      <c r="Q90" s="85"/>
      <c r="R90" s="62">
        <v>33</v>
      </c>
      <c r="S90" s="86">
        <f>-7700000-3100000</f>
        <v>-10800000</v>
      </c>
      <c r="T90" s="57">
        <f t="shared" si="76"/>
        <v>-3400000</v>
      </c>
      <c r="U90" s="84"/>
      <c r="V90" s="87"/>
      <c r="W90" s="85"/>
      <c r="X90" s="62">
        <v>33</v>
      </c>
      <c r="Y90" s="88">
        <f>-6200000-2500000</f>
        <v>-8700000</v>
      </c>
      <c r="Z90" s="84"/>
      <c r="AA90" s="85"/>
      <c r="AB90" s="62">
        <v>33</v>
      </c>
      <c r="AC90" s="88">
        <f>-6200000-2500000</f>
        <v>-8700000</v>
      </c>
      <c r="AD90" s="60">
        <f t="shared" si="77"/>
        <v>0</v>
      </c>
      <c r="AE90" s="84"/>
      <c r="AF90" s="87"/>
      <c r="AG90" s="85"/>
      <c r="AH90" s="62">
        <v>33</v>
      </c>
      <c r="AI90" s="88">
        <f>-6200000-2500000</f>
        <v>-8700000</v>
      </c>
      <c r="AJ90" s="84"/>
      <c r="AK90" s="87"/>
      <c r="AL90" s="62">
        <v>33</v>
      </c>
      <c r="AM90" s="88">
        <f>-7700000-3100000</f>
        <v>-10800000</v>
      </c>
      <c r="AN90" s="60">
        <f t="shared" si="78"/>
        <v>-2100000</v>
      </c>
      <c r="AO90" s="84"/>
      <c r="AP90" s="88"/>
      <c r="AQ90" s="89"/>
      <c r="AR90" s="90"/>
      <c r="AS90" s="88"/>
      <c r="AT90" s="65">
        <v>33</v>
      </c>
      <c r="AU90" s="88">
        <f>-6300000-2500000</f>
        <v>-8800000</v>
      </c>
      <c r="AV90" s="10">
        <f t="shared" si="91"/>
        <v>2000000</v>
      </c>
      <c r="AX90" s="88"/>
      <c r="AY90" s="89"/>
      <c r="AZ90" s="90"/>
      <c r="BA90" s="88"/>
      <c r="BB90" s="65">
        <v>33</v>
      </c>
      <c r="BC90" s="88">
        <f>-6300000-2500000</f>
        <v>-8800000</v>
      </c>
      <c r="BD90" s="10">
        <f t="shared" si="92"/>
        <v>0</v>
      </c>
      <c r="BF90" s="88"/>
      <c r="BG90" s="89"/>
      <c r="BH90" s="65">
        <v>58</v>
      </c>
      <c r="BI90" s="10">
        <f>-7212816-2874577</f>
        <v>-10087393</v>
      </c>
      <c r="BJ90" s="10">
        <f t="shared" si="93"/>
        <v>-1287393</v>
      </c>
      <c r="BL90" s="10">
        <f>-(2874577+7212816)</f>
        <v>-10087393</v>
      </c>
      <c r="BN90" s="65">
        <v>58</v>
      </c>
      <c r="BO90" s="10">
        <f t="shared" si="94"/>
        <v>-10087393</v>
      </c>
      <c r="BP90" s="36">
        <f t="shared" si="90"/>
        <v>0</v>
      </c>
      <c r="BQ90" s="36"/>
      <c r="BT90" s="91">
        <f>SUM(BT88:BT89)</f>
        <v>10087393.52</v>
      </c>
      <c r="BU90" s="4"/>
      <c r="BV90" s="7" t="s">
        <v>149</v>
      </c>
    </row>
    <row r="91" spans="1:74" ht="18.75">
      <c r="A91" s="83" t="s">
        <v>150</v>
      </c>
      <c r="D91" s="49">
        <v>50000</v>
      </c>
      <c r="F91" s="14">
        <v>58</v>
      </c>
      <c r="G91" s="51">
        <v>38329</v>
      </c>
      <c r="H91" s="52" t="e">
        <f>+G91-#REF!</f>
        <v>#REF!</v>
      </c>
      <c r="J91" s="49"/>
      <c r="K91" s="49"/>
      <c r="L91" s="61"/>
      <c r="M91" s="49"/>
      <c r="N91" s="62">
        <v>33</v>
      </c>
      <c r="O91" s="73">
        <v>50000</v>
      </c>
      <c r="Q91" s="49"/>
      <c r="R91" s="62">
        <v>33</v>
      </c>
      <c r="S91" s="73">
        <v>50000</v>
      </c>
      <c r="T91" s="57">
        <f t="shared" si="76"/>
        <v>0</v>
      </c>
      <c r="V91" s="51"/>
      <c r="W91" s="49"/>
      <c r="X91" s="62">
        <v>33</v>
      </c>
      <c r="Y91" s="10">
        <v>40000</v>
      </c>
      <c r="AA91" s="49"/>
      <c r="AB91" s="62">
        <v>33</v>
      </c>
      <c r="AC91" s="10">
        <v>40000</v>
      </c>
      <c r="AD91" s="60">
        <f t="shared" si="77"/>
        <v>0</v>
      </c>
      <c r="AF91" s="51"/>
      <c r="AG91" s="49"/>
      <c r="AH91" s="62">
        <v>33</v>
      </c>
      <c r="AI91" s="10">
        <v>40000</v>
      </c>
      <c r="AK91" s="51"/>
      <c r="AL91" s="62">
        <v>33</v>
      </c>
      <c r="AM91" s="10">
        <v>50000</v>
      </c>
      <c r="AN91" s="60">
        <f t="shared" si="78"/>
        <v>10000</v>
      </c>
      <c r="AP91" s="10"/>
      <c r="AQ91" s="11"/>
      <c r="AR91" s="12"/>
      <c r="AS91" s="10"/>
      <c r="AT91" s="65">
        <v>33</v>
      </c>
      <c r="AU91" s="10">
        <v>40000</v>
      </c>
      <c r="AV91" s="10">
        <f t="shared" si="91"/>
        <v>-10000</v>
      </c>
      <c r="AW91" s="84"/>
      <c r="AX91" s="10"/>
      <c r="AY91" s="11"/>
      <c r="AZ91" s="12"/>
      <c r="BA91" s="10"/>
      <c r="BB91" s="65">
        <v>33</v>
      </c>
      <c r="BC91" s="10">
        <v>40000</v>
      </c>
      <c r="BD91" s="10">
        <f t="shared" si="92"/>
        <v>0</v>
      </c>
      <c r="BE91" s="84"/>
      <c r="BF91" s="10"/>
      <c r="BG91" s="11"/>
      <c r="BH91" s="65">
        <v>58</v>
      </c>
      <c r="BI91" s="10">
        <v>40000</v>
      </c>
      <c r="BJ91" s="10">
        <f t="shared" si="93"/>
        <v>0</v>
      </c>
      <c r="BK91" s="84"/>
      <c r="BL91" s="88">
        <v>-37898</v>
      </c>
      <c r="BM91" s="84"/>
      <c r="BN91" s="65">
        <v>58</v>
      </c>
      <c r="BO91" s="10">
        <f t="shared" si="94"/>
        <v>-37898</v>
      </c>
      <c r="BP91" s="36">
        <f t="shared" si="90"/>
        <v>-77898</v>
      </c>
      <c r="BQ91" s="36"/>
      <c r="BU91" s="4">
        <f>+BO91</f>
        <v>-37898</v>
      </c>
      <c r="BV91" s="7" t="s">
        <v>150</v>
      </c>
    </row>
    <row r="92" spans="1:74" ht="18.75">
      <c r="A92" s="83" t="s">
        <v>151</v>
      </c>
      <c r="D92" s="49">
        <v>6755966</v>
      </c>
      <c r="F92" s="14">
        <v>58</v>
      </c>
      <c r="G92" s="51">
        <v>6600895</v>
      </c>
      <c r="H92" s="52" t="e">
        <f>+G92-#REF!</f>
        <v>#REF!</v>
      </c>
      <c r="J92" s="49"/>
      <c r="K92" s="49"/>
      <c r="L92" s="61"/>
      <c r="M92" s="49"/>
      <c r="N92" s="62">
        <v>33</v>
      </c>
      <c r="O92" s="73">
        <v>1100000</v>
      </c>
      <c r="Q92" s="49"/>
      <c r="R92" s="62">
        <v>33</v>
      </c>
      <c r="S92" s="73">
        <v>9000000</v>
      </c>
      <c r="T92" s="57">
        <f t="shared" si="76"/>
        <v>7900000</v>
      </c>
      <c r="V92" s="51"/>
      <c r="W92" s="49"/>
      <c r="X92" s="62">
        <v>33</v>
      </c>
      <c r="Y92" s="10">
        <v>9000000</v>
      </c>
      <c r="AA92" s="49"/>
      <c r="AB92" s="62">
        <v>33</v>
      </c>
      <c r="AC92" s="10">
        <v>9000000</v>
      </c>
      <c r="AD92" s="60">
        <f t="shared" si="77"/>
        <v>0</v>
      </c>
      <c r="AF92" s="51"/>
      <c r="AG92" s="49"/>
      <c r="AH92" s="62">
        <v>33</v>
      </c>
      <c r="AI92" s="10">
        <v>3000000</v>
      </c>
      <c r="AK92" s="51"/>
      <c r="AL92" s="62">
        <v>33</v>
      </c>
      <c r="AM92" s="10">
        <v>9000000</v>
      </c>
      <c r="AN92" s="60">
        <f t="shared" si="78"/>
        <v>6000000</v>
      </c>
      <c r="AP92" s="10"/>
      <c r="AQ92" s="11"/>
      <c r="AR92" s="12"/>
      <c r="AS92" s="10"/>
      <c r="AT92" s="65">
        <v>33</v>
      </c>
      <c r="AU92" s="10">
        <v>8000000</v>
      </c>
      <c r="AV92" s="10">
        <f t="shared" si="91"/>
        <v>-1000000</v>
      </c>
      <c r="AX92" s="10"/>
      <c r="AY92" s="11"/>
      <c r="AZ92" s="12"/>
      <c r="BA92" s="10"/>
      <c r="BB92" s="65">
        <v>33</v>
      </c>
      <c r="BC92" s="10">
        <v>8000000</v>
      </c>
      <c r="BD92" s="10">
        <f t="shared" si="92"/>
        <v>0</v>
      </c>
      <c r="BF92" s="10"/>
      <c r="BG92" s="11"/>
      <c r="BH92" s="65">
        <v>58</v>
      </c>
      <c r="BI92" s="10">
        <v>7000000</v>
      </c>
      <c r="BJ92" s="10">
        <f t="shared" si="93"/>
        <v>-1000000</v>
      </c>
      <c r="BL92" s="10">
        <v>4963456</v>
      </c>
      <c r="BN92" s="65">
        <v>58</v>
      </c>
      <c r="BO92" s="10">
        <f t="shared" si="94"/>
        <v>4963456</v>
      </c>
      <c r="BP92" s="36">
        <f t="shared" si="90"/>
        <v>-2036544</v>
      </c>
      <c r="BQ92" s="36"/>
      <c r="BU92" s="4">
        <f>+BO92</f>
        <v>4963456</v>
      </c>
      <c r="BV92" s="7" t="s">
        <v>151</v>
      </c>
    </row>
    <row r="93" spans="1:74" ht="18.75">
      <c r="A93" s="92" t="s">
        <v>152</v>
      </c>
      <c r="D93" s="49">
        <v>14341160</v>
      </c>
      <c r="F93" s="14">
        <v>58</v>
      </c>
      <c r="G93" s="51">
        <v>14245836</v>
      </c>
      <c r="H93" s="52" t="e">
        <f>+G93-#REF!</f>
        <v>#REF!</v>
      </c>
      <c r="J93" s="49"/>
      <c r="K93" s="49"/>
      <c r="L93" s="61"/>
      <c r="M93" s="49"/>
      <c r="N93" s="62">
        <v>33</v>
      </c>
      <c r="O93" s="73">
        <v>3500000</v>
      </c>
      <c r="Q93" s="49"/>
      <c r="R93" s="62">
        <v>33</v>
      </c>
      <c r="S93" s="73">
        <v>3500000</v>
      </c>
      <c r="T93" s="57">
        <f t="shared" si="76"/>
        <v>0</v>
      </c>
      <c r="V93" s="51"/>
      <c r="W93" s="49"/>
      <c r="X93" s="62">
        <v>33</v>
      </c>
      <c r="Y93" s="10">
        <v>3500000</v>
      </c>
      <c r="AA93" s="49"/>
      <c r="AB93" s="62">
        <v>33</v>
      </c>
      <c r="AC93" s="10">
        <v>3500000</v>
      </c>
      <c r="AD93" s="60">
        <f t="shared" si="77"/>
        <v>0</v>
      </c>
      <c r="AF93" s="51"/>
      <c r="AG93" s="49"/>
      <c r="AH93" s="62">
        <v>33</v>
      </c>
      <c r="AI93" s="10">
        <v>3500000</v>
      </c>
      <c r="AK93" s="51"/>
      <c r="AL93" s="62">
        <v>33</v>
      </c>
      <c r="AM93" s="10">
        <v>3500000</v>
      </c>
      <c r="AN93" s="60">
        <f t="shared" si="78"/>
        <v>0</v>
      </c>
      <c r="AP93" s="10"/>
      <c r="AQ93" s="11"/>
      <c r="AR93" s="12"/>
      <c r="AS93" s="10"/>
      <c r="AT93" s="65">
        <v>33</v>
      </c>
      <c r="AU93" s="10">
        <v>5400000</v>
      </c>
      <c r="AV93" s="10">
        <f t="shared" si="91"/>
        <v>1900000</v>
      </c>
      <c r="AX93" s="10"/>
      <c r="AY93" s="11"/>
      <c r="AZ93" s="12"/>
      <c r="BA93" s="10"/>
      <c r="BB93" s="65">
        <v>33</v>
      </c>
      <c r="BC93" s="10">
        <v>5400000</v>
      </c>
      <c r="BD93" s="10">
        <f t="shared" si="92"/>
        <v>0</v>
      </c>
      <c r="BF93" s="10"/>
      <c r="BG93" s="11"/>
      <c r="BH93" s="65">
        <v>58</v>
      </c>
      <c r="BI93" s="10">
        <v>3500000</v>
      </c>
      <c r="BJ93" s="10">
        <f t="shared" si="93"/>
        <v>-1900000</v>
      </c>
      <c r="BL93" s="10">
        <f>-51670965+55122871-47230</f>
        <v>3404676</v>
      </c>
      <c r="BN93" s="65">
        <v>58</v>
      </c>
      <c r="BO93" s="10">
        <f t="shared" si="94"/>
        <v>3404676</v>
      </c>
      <c r="BP93" s="36">
        <f t="shared" si="90"/>
        <v>-95324</v>
      </c>
      <c r="BQ93" s="36"/>
      <c r="BU93" s="4"/>
      <c r="BV93" s="7" t="s">
        <v>152</v>
      </c>
    </row>
    <row r="94" spans="1:74" ht="18.75">
      <c r="A94" s="83" t="s">
        <v>153</v>
      </c>
      <c r="D94" s="49"/>
      <c r="F94" s="14">
        <v>58</v>
      </c>
      <c r="G94" s="51">
        <v>115746</v>
      </c>
      <c r="H94" s="52" t="e">
        <f>+G94-#REF!</f>
        <v>#REF!</v>
      </c>
      <c r="J94" s="49"/>
      <c r="K94" s="49"/>
      <c r="L94" s="61"/>
      <c r="M94" s="49"/>
      <c r="N94" s="62">
        <v>33</v>
      </c>
      <c r="O94" s="73"/>
      <c r="Q94" s="49"/>
      <c r="R94" s="62">
        <v>33</v>
      </c>
      <c r="S94" s="73"/>
      <c r="T94" s="57">
        <f t="shared" si="76"/>
        <v>0</v>
      </c>
      <c r="V94" s="51"/>
      <c r="W94" s="49"/>
      <c r="X94" s="61"/>
      <c r="Y94" s="10"/>
      <c r="AA94" s="49"/>
      <c r="AB94" s="62">
        <v>33</v>
      </c>
      <c r="AC94" s="10"/>
      <c r="AD94" s="60">
        <f t="shared" si="77"/>
        <v>0</v>
      </c>
      <c r="AF94" s="51"/>
      <c r="AG94" s="49"/>
      <c r="AH94" s="61"/>
      <c r="AI94" s="10"/>
      <c r="AK94" s="51"/>
      <c r="AL94" s="62">
        <v>33</v>
      </c>
      <c r="AM94" s="10"/>
      <c r="AN94" s="60">
        <f t="shared" si="78"/>
        <v>0</v>
      </c>
      <c r="AP94" s="10"/>
      <c r="AQ94" s="11"/>
      <c r="AR94" s="12"/>
      <c r="AS94" s="10"/>
      <c r="AT94" s="65">
        <v>33</v>
      </c>
      <c r="AU94" s="10">
        <v>0</v>
      </c>
      <c r="AV94" s="10">
        <f t="shared" si="91"/>
        <v>0</v>
      </c>
      <c r="AX94" s="10"/>
      <c r="AY94" s="11"/>
      <c r="AZ94" s="12"/>
      <c r="BA94" s="10"/>
      <c r="BB94" s="65">
        <v>33</v>
      </c>
      <c r="BC94" s="10">
        <v>0</v>
      </c>
      <c r="BD94" s="10">
        <f t="shared" si="92"/>
        <v>0</v>
      </c>
      <c r="BF94" s="10"/>
      <c r="BG94" s="11"/>
      <c r="BH94" s="65"/>
      <c r="BI94" s="10">
        <f t="shared" ref="BI94:BI103" si="95">+BF94+BG94</f>
        <v>0</v>
      </c>
      <c r="BJ94" s="10">
        <f t="shared" si="93"/>
        <v>0</v>
      </c>
      <c r="BL94" s="10">
        <v>-163716</v>
      </c>
      <c r="BN94" s="65">
        <v>58</v>
      </c>
      <c r="BO94" s="10">
        <f t="shared" si="94"/>
        <v>-163716</v>
      </c>
      <c r="BP94" s="36">
        <f t="shared" si="90"/>
        <v>-163716</v>
      </c>
      <c r="BQ94" s="36"/>
      <c r="BU94" s="4">
        <f t="shared" ref="BU94:BU106" si="96">+BO94</f>
        <v>-163716</v>
      </c>
      <c r="BV94" s="7" t="s">
        <v>153</v>
      </c>
    </row>
    <row r="95" spans="1:74" ht="18.75">
      <c r="A95" s="83" t="s">
        <v>154</v>
      </c>
      <c r="D95" s="49">
        <v>17900685</v>
      </c>
      <c r="F95" s="14">
        <v>58</v>
      </c>
      <c r="G95" s="51">
        <f>+D95+E95</f>
        <v>17900685</v>
      </c>
      <c r="H95" s="52" t="e">
        <f>+G95-#REF!</f>
        <v>#REF!</v>
      </c>
      <c r="J95" s="49"/>
      <c r="K95" s="49"/>
      <c r="L95" s="61"/>
      <c r="M95" s="49"/>
      <c r="N95" s="62">
        <v>33</v>
      </c>
      <c r="O95" s="73">
        <v>6000000</v>
      </c>
      <c r="Q95" s="49"/>
      <c r="R95" s="62">
        <v>33</v>
      </c>
      <c r="S95" s="73">
        <v>12700000</v>
      </c>
      <c r="T95" s="57">
        <f t="shared" si="76"/>
        <v>6700000</v>
      </c>
      <c r="V95" s="51"/>
      <c r="W95" s="49"/>
      <c r="X95" s="62">
        <v>33</v>
      </c>
      <c r="Y95" s="10">
        <v>7100000</v>
      </c>
      <c r="AA95" s="49"/>
      <c r="AB95" s="62">
        <v>33</v>
      </c>
      <c r="AC95" s="10">
        <v>7100000</v>
      </c>
      <c r="AD95" s="60">
        <f t="shared" si="77"/>
        <v>0</v>
      </c>
      <c r="AF95" s="51"/>
      <c r="AG95" s="49"/>
      <c r="AH95" s="62">
        <v>33</v>
      </c>
      <c r="AI95" s="10">
        <v>7100000</v>
      </c>
      <c r="AK95" s="51"/>
      <c r="AL95" s="62">
        <v>33</v>
      </c>
      <c r="AM95" s="10">
        <v>12700000</v>
      </c>
      <c r="AN95" s="60">
        <f t="shared" si="78"/>
        <v>5600000</v>
      </c>
      <c r="AP95" s="10"/>
      <c r="AQ95" s="11"/>
      <c r="AR95" s="12"/>
      <c r="AS95" s="10"/>
      <c r="AT95" s="65">
        <v>33</v>
      </c>
      <c r="AU95" s="10">
        <v>7800000</v>
      </c>
      <c r="AV95" s="10">
        <f t="shared" si="91"/>
        <v>-4900000</v>
      </c>
      <c r="AX95" s="10"/>
      <c r="AY95" s="11"/>
      <c r="AZ95" s="12"/>
      <c r="BA95" s="10"/>
      <c r="BB95" s="65">
        <v>33</v>
      </c>
      <c r="BC95" s="10">
        <v>7800000</v>
      </c>
      <c r="BD95" s="10">
        <f t="shared" si="92"/>
        <v>0</v>
      </c>
      <c r="BF95" s="10"/>
      <c r="BG95" s="11"/>
      <c r="BH95" s="65">
        <v>58</v>
      </c>
      <c r="BI95" s="10">
        <v>7000000</v>
      </c>
      <c r="BJ95" s="10">
        <f t="shared" si="93"/>
        <v>-800000</v>
      </c>
      <c r="BL95" s="10">
        <v>6830735</v>
      </c>
      <c r="BN95" s="65">
        <v>58</v>
      </c>
      <c r="BO95" s="10">
        <f t="shared" si="94"/>
        <v>6830735</v>
      </c>
      <c r="BP95" s="36">
        <f t="shared" si="90"/>
        <v>-169265</v>
      </c>
      <c r="BQ95" s="36"/>
      <c r="BU95" s="4">
        <f t="shared" si="96"/>
        <v>6830735</v>
      </c>
      <c r="BV95" s="7" t="s">
        <v>154</v>
      </c>
    </row>
    <row r="96" spans="1:74" ht="18.75">
      <c r="A96" s="83" t="s">
        <v>155</v>
      </c>
      <c r="D96" s="49"/>
      <c r="F96" s="14">
        <v>58</v>
      </c>
      <c r="G96" s="51">
        <f>+D96+E96</f>
        <v>0</v>
      </c>
      <c r="H96" s="52" t="e">
        <f>+G96-#REF!</f>
        <v>#REF!</v>
      </c>
      <c r="J96" s="49"/>
      <c r="K96" s="49"/>
      <c r="L96" s="61"/>
      <c r="M96" s="49"/>
      <c r="N96" s="62"/>
      <c r="O96" s="73"/>
      <c r="Q96" s="49"/>
      <c r="R96" s="62"/>
      <c r="S96" s="73"/>
      <c r="T96" s="57">
        <f t="shared" si="76"/>
        <v>0</v>
      </c>
      <c r="V96" s="51"/>
      <c r="W96" s="49"/>
      <c r="X96" s="61"/>
      <c r="Y96" s="10"/>
      <c r="AA96" s="49"/>
      <c r="AB96" s="62"/>
      <c r="AC96" s="10"/>
      <c r="AD96" s="60">
        <f t="shared" si="77"/>
        <v>0</v>
      </c>
      <c r="AF96" s="51"/>
      <c r="AG96" s="49"/>
      <c r="AH96" s="61"/>
      <c r="AI96" s="10"/>
      <c r="AK96" s="51"/>
      <c r="AL96" s="62"/>
      <c r="AM96" s="10"/>
      <c r="AN96" s="60">
        <f t="shared" si="78"/>
        <v>0</v>
      </c>
      <c r="AP96" s="10"/>
      <c r="AQ96" s="11"/>
      <c r="AR96" s="12"/>
      <c r="AS96" s="10"/>
      <c r="AT96" s="65">
        <v>33</v>
      </c>
      <c r="AU96" s="10"/>
      <c r="AV96" s="10"/>
      <c r="AX96" s="10"/>
      <c r="AY96" s="11"/>
      <c r="AZ96" s="12"/>
      <c r="BA96" s="10"/>
      <c r="BB96" s="65">
        <v>33</v>
      </c>
      <c r="BC96" s="10"/>
      <c r="BD96" s="10"/>
      <c r="BF96" s="10"/>
      <c r="BG96" s="11"/>
      <c r="BH96" s="65"/>
      <c r="BI96" s="10">
        <f t="shared" si="95"/>
        <v>0</v>
      </c>
      <c r="BJ96" s="10"/>
      <c r="BL96" s="10"/>
      <c r="BN96" s="65"/>
      <c r="BO96" s="10">
        <f t="shared" si="94"/>
        <v>0</v>
      </c>
      <c r="BP96" s="36">
        <f t="shared" si="90"/>
        <v>0</v>
      </c>
      <c r="BQ96" s="36"/>
      <c r="BU96" s="4">
        <f t="shared" si="96"/>
        <v>0</v>
      </c>
      <c r="BV96" s="7" t="s">
        <v>155</v>
      </c>
    </row>
    <row r="97" spans="1:74" ht="18.75">
      <c r="A97" s="83" t="s">
        <v>156</v>
      </c>
      <c r="D97" s="49">
        <v>50000</v>
      </c>
      <c r="F97" s="14">
        <v>58</v>
      </c>
      <c r="G97" s="51">
        <v>74278</v>
      </c>
      <c r="H97" s="52" t="e">
        <f>+G97-#REF!</f>
        <v>#REF!</v>
      </c>
      <c r="J97" s="49"/>
      <c r="K97" s="49"/>
      <c r="L97" s="61"/>
      <c r="M97" s="49"/>
      <c r="N97" s="62">
        <v>33</v>
      </c>
      <c r="O97" s="73">
        <v>100000</v>
      </c>
      <c r="Q97" s="49"/>
      <c r="R97" s="62">
        <v>33</v>
      </c>
      <c r="S97" s="73">
        <v>100000</v>
      </c>
      <c r="T97" s="57">
        <f t="shared" si="76"/>
        <v>0</v>
      </c>
      <c r="V97" s="51"/>
      <c r="W97" s="49"/>
      <c r="X97" s="62">
        <v>33</v>
      </c>
      <c r="Y97" s="10">
        <v>75000</v>
      </c>
      <c r="AA97" s="49"/>
      <c r="AB97" s="62">
        <v>33</v>
      </c>
      <c r="AC97" s="10">
        <v>75000</v>
      </c>
      <c r="AD97" s="60">
        <f t="shared" si="77"/>
        <v>0</v>
      </c>
      <c r="AF97" s="51"/>
      <c r="AG97" s="49"/>
      <c r="AH97" s="62">
        <v>33</v>
      </c>
      <c r="AI97" s="10">
        <v>75000</v>
      </c>
      <c r="AK97" s="51"/>
      <c r="AL97" s="62">
        <v>33</v>
      </c>
      <c r="AM97" s="10">
        <v>75000</v>
      </c>
      <c r="AN97" s="60">
        <f t="shared" si="78"/>
        <v>0</v>
      </c>
      <c r="AP97" s="10"/>
      <c r="AQ97" s="11"/>
      <c r="AR97" s="12"/>
      <c r="AS97" s="10"/>
      <c r="AT97" s="65">
        <v>33</v>
      </c>
      <c r="AU97" s="10">
        <v>75000</v>
      </c>
      <c r="AV97" s="10">
        <f t="shared" ref="AV97:AV101" si="97">+AU97-AM97</f>
        <v>0</v>
      </c>
      <c r="AX97" s="10"/>
      <c r="AY97" s="11"/>
      <c r="AZ97" s="12"/>
      <c r="BA97" s="10"/>
      <c r="BB97" s="65">
        <v>33</v>
      </c>
      <c r="BC97" s="10">
        <v>75000</v>
      </c>
      <c r="BD97" s="10">
        <f t="shared" ref="BD97:BD101" si="98">+BC97-AU97</f>
        <v>0</v>
      </c>
      <c r="BF97" s="10"/>
      <c r="BG97" s="11"/>
      <c r="BH97" s="65">
        <v>58</v>
      </c>
      <c r="BI97" s="10">
        <v>75000</v>
      </c>
      <c r="BJ97" s="10">
        <f t="shared" ref="BJ97:BJ106" si="99">+BI97-BC97</f>
        <v>0</v>
      </c>
      <c r="BL97" s="10">
        <v>73047</v>
      </c>
      <c r="BN97" s="65">
        <v>58</v>
      </c>
      <c r="BO97" s="10">
        <f t="shared" si="94"/>
        <v>73047</v>
      </c>
      <c r="BP97" s="36">
        <f t="shared" si="90"/>
        <v>-1953</v>
      </c>
      <c r="BQ97" s="36"/>
      <c r="BU97" s="4">
        <f t="shared" si="96"/>
        <v>73047</v>
      </c>
      <c r="BV97" s="7" t="s">
        <v>156</v>
      </c>
    </row>
    <row r="98" spans="1:74" ht="18.75">
      <c r="A98" s="83" t="s">
        <v>157</v>
      </c>
      <c r="D98" s="49">
        <v>400000</v>
      </c>
      <c r="F98" s="14">
        <v>58</v>
      </c>
      <c r="G98" s="51">
        <v>517625</v>
      </c>
      <c r="H98" s="52" t="e">
        <f>+G98-#REF!</f>
        <v>#REF!</v>
      </c>
      <c r="J98" s="49"/>
      <c r="K98" s="49"/>
      <c r="L98" s="61"/>
      <c r="M98" s="49"/>
      <c r="N98" s="62">
        <v>33</v>
      </c>
      <c r="O98" s="73">
        <v>400000</v>
      </c>
      <c r="Q98" s="49"/>
      <c r="R98" s="62">
        <v>33</v>
      </c>
      <c r="S98" s="73">
        <v>400000</v>
      </c>
      <c r="T98" s="57">
        <f t="shared" si="76"/>
        <v>0</v>
      </c>
      <c r="V98" s="51"/>
      <c r="W98" s="49"/>
      <c r="X98" s="62">
        <v>33</v>
      </c>
      <c r="Y98" s="10">
        <v>500000</v>
      </c>
      <c r="AA98" s="49"/>
      <c r="AB98" s="62">
        <v>33</v>
      </c>
      <c r="AC98" s="10">
        <v>500000</v>
      </c>
      <c r="AD98" s="60">
        <f t="shared" si="77"/>
        <v>0</v>
      </c>
      <c r="AF98" s="51"/>
      <c r="AG98" s="49"/>
      <c r="AH98" s="62">
        <v>33</v>
      </c>
      <c r="AI98" s="10">
        <v>500000</v>
      </c>
      <c r="AK98" s="51"/>
      <c r="AL98" s="62">
        <v>33</v>
      </c>
      <c r="AM98" s="10">
        <v>500000</v>
      </c>
      <c r="AN98" s="60">
        <f t="shared" si="78"/>
        <v>0</v>
      </c>
      <c r="AP98" s="10"/>
      <c r="AQ98" s="11"/>
      <c r="AR98" s="12"/>
      <c r="AS98" s="10"/>
      <c r="AT98" s="65">
        <v>33</v>
      </c>
      <c r="AU98" s="10">
        <v>500000</v>
      </c>
      <c r="AV98" s="10">
        <f t="shared" si="97"/>
        <v>0</v>
      </c>
      <c r="AX98" s="10"/>
      <c r="AY98" s="11"/>
      <c r="AZ98" s="12"/>
      <c r="BA98" s="10"/>
      <c r="BB98" s="65">
        <v>33</v>
      </c>
      <c r="BC98" s="10">
        <v>500000</v>
      </c>
      <c r="BD98" s="10">
        <f t="shared" si="98"/>
        <v>0</v>
      </c>
      <c r="BF98" s="10"/>
      <c r="BG98" s="11"/>
      <c r="BH98" s="65">
        <v>58</v>
      </c>
      <c r="BI98" s="10">
        <v>500000</v>
      </c>
      <c r="BJ98" s="10">
        <f t="shared" si="99"/>
        <v>0</v>
      </c>
      <c r="BL98" s="10">
        <v>525468</v>
      </c>
      <c r="BN98" s="65">
        <v>58</v>
      </c>
      <c r="BO98" s="10">
        <f t="shared" si="94"/>
        <v>525468</v>
      </c>
      <c r="BP98" s="36">
        <f t="shared" si="90"/>
        <v>25468</v>
      </c>
      <c r="BQ98" s="36"/>
      <c r="BU98" s="4">
        <f t="shared" si="96"/>
        <v>525468</v>
      </c>
      <c r="BV98" s="7" t="s">
        <v>157</v>
      </c>
    </row>
    <row r="99" spans="1:74" ht="18.75">
      <c r="A99" s="83" t="s">
        <v>158</v>
      </c>
      <c r="D99" s="49">
        <v>-3000000</v>
      </c>
      <c r="F99" s="14">
        <v>58</v>
      </c>
      <c r="G99" s="51">
        <v>-6466835</v>
      </c>
      <c r="H99" s="52" t="e">
        <f>+G99-#REF!</f>
        <v>#REF!</v>
      </c>
      <c r="J99" s="49"/>
      <c r="K99" s="49"/>
      <c r="L99" s="61"/>
      <c r="M99" s="49"/>
      <c r="N99" s="62">
        <v>33</v>
      </c>
      <c r="O99" s="73">
        <v>-3700000</v>
      </c>
      <c r="Q99" s="49"/>
      <c r="R99" s="62">
        <v>33</v>
      </c>
      <c r="S99" s="73">
        <v>-3700000</v>
      </c>
      <c r="T99" s="57">
        <f t="shared" si="76"/>
        <v>0</v>
      </c>
      <c r="V99" s="51"/>
      <c r="W99" s="49"/>
      <c r="X99" s="62">
        <v>33</v>
      </c>
      <c r="Y99" s="10">
        <v>-3700000</v>
      </c>
      <c r="AA99" s="49"/>
      <c r="AB99" s="62">
        <v>33</v>
      </c>
      <c r="AC99" s="10">
        <v>-3700000</v>
      </c>
      <c r="AD99" s="60">
        <f t="shared" si="77"/>
        <v>0</v>
      </c>
      <c r="AF99" s="51"/>
      <c r="AG99" s="49"/>
      <c r="AH99" s="62">
        <v>33</v>
      </c>
      <c r="AI99" s="10">
        <v>-3700000</v>
      </c>
      <c r="AK99" s="51"/>
      <c r="AL99" s="62">
        <v>33</v>
      </c>
      <c r="AM99" s="10">
        <v>-3700000</v>
      </c>
      <c r="AN99" s="60">
        <f t="shared" si="78"/>
        <v>0</v>
      </c>
      <c r="AP99" s="10"/>
      <c r="AQ99" s="11"/>
      <c r="AR99" s="12"/>
      <c r="AS99" s="10"/>
      <c r="AT99" s="65">
        <v>33</v>
      </c>
      <c r="AU99" s="10">
        <v>-3700000</v>
      </c>
      <c r="AV99" s="10">
        <f t="shared" si="97"/>
        <v>0</v>
      </c>
      <c r="AX99" s="10"/>
      <c r="AY99" s="11"/>
      <c r="AZ99" s="12"/>
      <c r="BA99" s="10"/>
      <c r="BB99" s="65">
        <v>33</v>
      </c>
      <c r="BC99" s="10">
        <v>-3700000</v>
      </c>
      <c r="BD99" s="10">
        <f t="shared" si="98"/>
        <v>0</v>
      </c>
      <c r="BF99" s="10"/>
      <c r="BG99" s="11"/>
      <c r="BH99" s="65">
        <v>58</v>
      </c>
      <c r="BI99" s="10">
        <v>-7000000</v>
      </c>
      <c r="BJ99" s="10">
        <f t="shared" si="99"/>
        <v>-3300000</v>
      </c>
      <c r="BL99" s="10">
        <v>-4423017</v>
      </c>
      <c r="BN99" s="65">
        <v>58</v>
      </c>
      <c r="BO99" s="10">
        <f t="shared" si="94"/>
        <v>-4423017</v>
      </c>
      <c r="BP99" s="36">
        <f t="shared" si="90"/>
        <v>2576983</v>
      </c>
      <c r="BQ99" s="36"/>
      <c r="BU99" s="4">
        <f t="shared" si="96"/>
        <v>-4423017</v>
      </c>
      <c r="BV99" s="7" t="s">
        <v>158</v>
      </c>
    </row>
    <row r="100" spans="1:74" ht="18.75">
      <c r="A100" s="83" t="s">
        <v>159</v>
      </c>
      <c r="D100" s="49">
        <v>-900000</v>
      </c>
      <c r="F100" s="14">
        <v>58</v>
      </c>
      <c r="G100" s="51">
        <v>-872281</v>
      </c>
      <c r="H100" s="52" t="e">
        <f>+G100-#REF!</f>
        <v>#REF!</v>
      </c>
      <c r="J100" s="49"/>
      <c r="K100" s="49"/>
      <c r="L100" s="61"/>
      <c r="M100" s="49"/>
      <c r="N100" s="62">
        <v>33</v>
      </c>
      <c r="O100" s="73">
        <v>-900000</v>
      </c>
      <c r="Q100" s="49"/>
      <c r="R100" s="62">
        <v>33</v>
      </c>
      <c r="S100" s="73">
        <v>-900000</v>
      </c>
      <c r="T100" s="57">
        <f t="shared" si="76"/>
        <v>0</v>
      </c>
      <c r="V100" s="51"/>
      <c r="W100" s="49"/>
      <c r="X100" s="62">
        <v>33</v>
      </c>
      <c r="Y100" s="10">
        <v>-900000</v>
      </c>
      <c r="AA100" s="49"/>
      <c r="AB100" s="62">
        <v>33</v>
      </c>
      <c r="AC100" s="10">
        <v>-900000</v>
      </c>
      <c r="AD100" s="60">
        <f t="shared" si="77"/>
        <v>0</v>
      </c>
      <c r="AF100" s="51"/>
      <c r="AG100" s="49"/>
      <c r="AH100" s="62">
        <v>33</v>
      </c>
      <c r="AI100" s="10">
        <v>-900000</v>
      </c>
      <c r="AK100" s="51"/>
      <c r="AL100" s="62">
        <v>33</v>
      </c>
      <c r="AM100" s="10">
        <v>-900000</v>
      </c>
      <c r="AN100" s="60">
        <f t="shared" si="78"/>
        <v>0</v>
      </c>
      <c r="AP100" s="10"/>
      <c r="AQ100" s="11"/>
      <c r="AR100" s="12"/>
      <c r="AS100" s="10"/>
      <c r="AT100" s="65">
        <v>33</v>
      </c>
      <c r="AU100" s="10">
        <v>-900000</v>
      </c>
      <c r="AV100" s="10">
        <f t="shared" si="97"/>
        <v>0</v>
      </c>
      <c r="AX100" s="10"/>
      <c r="AY100" s="11"/>
      <c r="AZ100" s="12"/>
      <c r="BA100" s="10"/>
      <c r="BB100" s="65">
        <v>33</v>
      </c>
      <c r="BC100" s="10">
        <v>-900000</v>
      </c>
      <c r="BD100" s="10">
        <f t="shared" si="98"/>
        <v>0</v>
      </c>
      <c r="BF100" s="10"/>
      <c r="BG100" s="11"/>
      <c r="BH100" s="65"/>
      <c r="BI100" s="10">
        <v>-9000000</v>
      </c>
      <c r="BJ100" s="10">
        <f t="shared" si="99"/>
        <v>-8100000</v>
      </c>
      <c r="BL100" s="10">
        <v>-13459994</v>
      </c>
      <c r="BN100" s="65">
        <v>58</v>
      </c>
      <c r="BO100" s="10">
        <v>-14422334</v>
      </c>
      <c r="BP100" s="36">
        <f t="shared" si="90"/>
        <v>-5422334</v>
      </c>
      <c r="BQ100" s="36"/>
      <c r="BU100" s="4">
        <f t="shared" si="96"/>
        <v>-14422334</v>
      </c>
      <c r="BV100" s="7" t="s">
        <v>159</v>
      </c>
    </row>
    <row r="101" spans="1:74" ht="18.75">
      <c r="A101" s="83" t="s">
        <v>160</v>
      </c>
      <c r="D101" s="49">
        <v>-1861148</v>
      </c>
      <c r="F101" s="14">
        <v>58</v>
      </c>
      <c r="G101" s="51">
        <f>+D101+E101</f>
        <v>-1861148</v>
      </c>
      <c r="H101" s="52" t="e">
        <f>+G101-#REF!</f>
        <v>#REF!</v>
      </c>
      <c r="J101" s="49"/>
      <c r="K101" s="49"/>
      <c r="L101" s="61"/>
      <c r="M101" s="49"/>
      <c r="N101" s="62">
        <v>33</v>
      </c>
      <c r="O101" s="73">
        <v>-3000000</v>
      </c>
      <c r="Q101" s="49"/>
      <c r="R101" s="62">
        <v>33</v>
      </c>
      <c r="S101" s="73">
        <v>-1600000</v>
      </c>
      <c r="T101" s="57">
        <f t="shared" si="76"/>
        <v>1400000</v>
      </c>
      <c r="V101" s="51"/>
      <c r="W101" s="49"/>
      <c r="X101" s="61"/>
      <c r="Y101" s="10">
        <v>-1700000</v>
      </c>
      <c r="AA101" s="49"/>
      <c r="AB101" s="62">
        <v>33</v>
      </c>
      <c r="AC101" s="10">
        <v>-1700000</v>
      </c>
      <c r="AD101" s="60">
        <f t="shared" si="77"/>
        <v>0</v>
      </c>
      <c r="AF101" s="51"/>
      <c r="AG101" s="49"/>
      <c r="AH101" s="61"/>
      <c r="AI101" s="10">
        <v>-1700000</v>
      </c>
      <c r="AK101" s="51"/>
      <c r="AL101" s="62">
        <v>33</v>
      </c>
      <c r="AM101" s="10">
        <v>-1600000</v>
      </c>
      <c r="AN101" s="60">
        <f t="shared" si="78"/>
        <v>100000</v>
      </c>
      <c r="AP101" s="10"/>
      <c r="AQ101" s="11"/>
      <c r="AR101" s="12"/>
      <c r="AS101" s="10"/>
      <c r="AT101" s="65">
        <v>33</v>
      </c>
      <c r="AU101" s="10">
        <v>-2000000</v>
      </c>
      <c r="AV101" s="10">
        <f t="shared" si="97"/>
        <v>-400000</v>
      </c>
      <c r="AX101" s="10"/>
      <c r="AY101" s="11"/>
      <c r="AZ101" s="12"/>
      <c r="BA101" s="10"/>
      <c r="BB101" s="65">
        <v>33</v>
      </c>
      <c r="BC101" s="10">
        <v>-2000000</v>
      </c>
      <c r="BD101" s="10">
        <f t="shared" si="98"/>
        <v>0</v>
      </c>
      <c r="BF101" s="10"/>
      <c r="BG101" s="11"/>
      <c r="BH101" s="65">
        <v>58</v>
      </c>
      <c r="BI101" s="10">
        <v>-1961359</v>
      </c>
      <c r="BJ101" s="10">
        <f t="shared" si="99"/>
        <v>38641</v>
      </c>
      <c r="BL101" s="10">
        <v>-1813314</v>
      </c>
      <c r="BN101" s="65">
        <v>58</v>
      </c>
      <c r="BO101" s="10">
        <f t="shared" si="94"/>
        <v>-1813314</v>
      </c>
      <c r="BP101" s="36">
        <f t="shared" si="90"/>
        <v>148045</v>
      </c>
      <c r="BQ101" s="36"/>
      <c r="BU101" s="4">
        <f t="shared" si="96"/>
        <v>-1813314</v>
      </c>
      <c r="BV101" s="7" t="s">
        <v>160</v>
      </c>
    </row>
    <row r="102" spans="1:74" ht="18.75">
      <c r="A102" s="83" t="s">
        <v>161</v>
      </c>
      <c r="D102" s="49"/>
      <c r="F102" s="14">
        <v>58</v>
      </c>
      <c r="G102" s="51">
        <v>-409336</v>
      </c>
      <c r="H102" s="52" t="e">
        <f>+G102-#REF!</f>
        <v>#REF!</v>
      </c>
      <c r="J102" s="49"/>
      <c r="K102" s="49"/>
      <c r="L102" s="61"/>
      <c r="M102" s="49"/>
      <c r="N102" s="62"/>
      <c r="O102" s="73"/>
      <c r="Q102" s="49"/>
      <c r="R102" s="62"/>
      <c r="S102" s="73"/>
      <c r="T102" s="57">
        <f t="shared" si="76"/>
        <v>0</v>
      </c>
      <c r="V102" s="51"/>
      <c r="W102" s="49"/>
      <c r="X102" s="61"/>
      <c r="Y102" s="10"/>
      <c r="AA102" s="49"/>
      <c r="AB102" s="62"/>
      <c r="AC102" s="10"/>
      <c r="AD102" s="60">
        <f t="shared" si="77"/>
        <v>0</v>
      </c>
      <c r="AF102" s="51"/>
      <c r="AG102" s="49"/>
      <c r="AH102" s="61"/>
      <c r="AI102" s="10"/>
      <c r="AK102" s="51"/>
      <c r="AL102" s="62"/>
      <c r="AM102" s="10"/>
      <c r="AN102" s="60">
        <f t="shared" si="78"/>
        <v>0</v>
      </c>
      <c r="AP102" s="10"/>
      <c r="AQ102" s="11"/>
      <c r="AR102" s="12"/>
      <c r="AS102" s="10"/>
      <c r="AT102" s="65">
        <v>33</v>
      </c>
      <c r="AU102" s="10"/>
      <c r="AV102" s="10"/>
      <c r="AX102" s="10"/>
      <c r="AY102" s="11"/>
      <c r="AZ102" s="12"/>
      <c r="BA102" s="10"/>
      <c r="BB102" s="65">
        <v>33</v>
      </c>
      <c r="BC102" s="10"/>
      <c r="BD102" s="10"/>
      <c r="BF102" s="10"/>
      <c r="BG102" s="11"/>
      <c r="BH102" s="65"/>
      <c r="BI102" s="10">
        <f t="shared" si="95"/>
        <v>0</v>
      </c>
      <c r="BJ102" s="10">
        <f t="shared" si="99"/>
        <v>0</v>
      </c>
      <c r="BL102" s="10">
        <v>-446401</v>
      </c>
      <c r="BN102" s="65">
        <v>58</v>
      </c>
      <c r="BO102" s="10">
        <f t="shared" si="94"/>
        <v>-446401</v>
      </c>
      <c r="BP102" s="36">
        <f t="shared" si="90"/>
        <v>-446401</v>
      </c>
      <c r="BQ102" s="36"/>
      <c r="BU102" s="4">
        <f t="shared" si="96"/>
        <v>-446401</v>
      </c>
      <c r="BV102" s="7" t="s">
        <v>161</v>
      </c>
    </row>
    <row r="103" spans="1:74" ht="18.75">
      <c r="A103" s="83" t="s">
        <v>162</v>
      </c>
      <c r="D103" s="49"/>
      <c r="F103" s="14">
        <v>58</v>
      </c>
      <c r="G103" s="51">
        <v>-19442372</v>
      </c>
      <c r="H103" s="52" t="e">
        <f>+G103-#REF!</f>
        <v>#REF!</v>
      </c>
      <c r="J103" s="49"/>
      <c r="K103" s="49"/>
      <c r="L103" s="61"/>
      <c r="M103" s="49"/>
      <c r="N103" s="62"/>
      <c r="O103" s="73"/>
      <c r="Q103" s="49"/>
      <c r="R103" s="62"/>
      <c r="S103" s="73"/>
      <c r="T103" s="57">
        <f t="shared" si="76"/>
        <v>0</v>
      </c>
      <c r="V103" s="51"/>
      <c r="W103" s="49"/>
      <c r="X103" s="61"/>
      <c r="Y103" s="10"/>
      <c r="AA103" s="49"/>
      <c r="AB103" s="62"/>
      <c r="AC103" s="10"/>
      <c r="AD103" s="60">
        <f t="shared" si="77"/>
        <v>0</v>
      </c>
      <c r="AF103" s="51"/>
      <c r="AG103" s="49"/>
      <c r="AH103" s="61"/>
      <c r="AI103" s="10"/>
      <c r="AK103" s="51"/>
      <c r="AL103" s="62"/>
      <c r="AM103" s="10"/>
      <c r="AN103" s="60">
        <f t="shared" si="78"/>
        <v>0</v>
      </c>
      <c r="AP103" s="10"/>
      <c r="AQ103" s="11"/>
      <c r="AR103" s="12"/>
      <c r="AS103" s="10"/>
      <c r="AT103" s="65">
        <v>33</v>
      </c>
      <c r="AU103" s="10"/>
      <c r="AV103" s="10"/>
      <c r="AX103" s="10"/>
      <c r="AY103" s="11"/>
      <c r="AZ103" s="12"/>
      <c r="BA103" s="10"/>
      <c r="BB103" s="65">
        <v>33</v>
      </c>
      <c r="BC103" s="10"/>
      <c r="BD103" s="10"/>
      <c r="BF103" s="10"/>
      <c r="BG103" s="11"/>
      <c r="BH103" s="65"/>
      <c r="BI103" s="10">
        <f t="shared" si="95"/>
        <v>0</v>
      </c>
      <c r="BJ103" s="10">
        <f t="shared" si="99"/>
        <v>0</v>
      </c>
      <c r="BL103" s="10">
        <v>-75851373</v>
      </c>
      <c r="BN103" s="65">
        <v>58</v>
      </c>
      <c r="BO103" s="10">
        <f t="shared" si="94"/>
        <v>-75851373</v>
      </c>
      <c r="BP103" s="36">
        <f t="shared" si="90"/>
        <v>-75851373</v>
      </c>
      <c r="BQ103" s="36"/>
      <c r="BU103" s="4">
        <f t="shared" si="96"/>
        <v>-75851373</v>
      </c>
      <c r="BV103" s="7" t="s">
        <v>162</v>
      </c>
    </row>
    <row r="104" spans="1:74" ht="18.75">
      <c r="A104" s="83" t="s">
        <v>163</v>
      </c>
      <c r="D104" s="49">
        <v>-74000000</v>
      </c>
      <c r="F104" s="14">
        <v>58</v>
      </c>
      <c r="G104" s="51">
        <v>-61075706</v>
      </c>
      <c r="H104" s="52" t="e">
        <f>+G104-#REF!</f>
        <v>#REF!</v>
      </c>
      <c r="J104" s="49"/>
      <c r="K104" s="49"/>
      <c r="L104" s="61" t="s">
        <v>100</v>
      </c>
      <c r="M104" s="49"/>
      <c r="N104" s="62">
        <v>33</v>
      </c>
      <c r="O104" s="73">
        <v>-77700000</v>
      </c>
      <c r="Q104" s="49"/>
      <c r="R104" s="62">
        <v>33</v>
      </c>
      <c r="S104" s="73">
        <v>-75000000</v>
      </c>
      <c r="T104" s="57">
        <f t="shared" si="76"/>
        <v>2700000</v>
      </c>
      <c r="V104" s="51"/>
      <c r="W104" s="49"/>
      <c r="X104" s="62">
        <v>33</v>
      </c>
      <c r="Y104" s="10">
        <v>-76200000</v>
      </c>
      <c r="AA104" s="49"/>
      <c r="AB104" s="62">
        <v>33</v>
      </c>
      <c r="AC104" s="10">
        <v>-75000000</v>
      </c>
      <c r="AD104" s="60">
        <f t="shared" si="77"/>
        <v>1200000</v>
      </c>
      <c r="AF104" s="51"/>
      <c r="AG104" s="49"/>
      <c r="AH104" s="62">
        <v>33</v>
      </c>
      <c r="AI104" s="10">
        <v>-76200000</v>
      </c>
      <c r="AK104" s="51"/>
      <c r="AL104" s="62">
        <v>33</v>
      </c>
      <c r="AM104" s="10">
        <v>-74400000</v>
      </c>
      <c r="AN104" s="60">
        <f t="shared" si="78"/>
        <v>1800000</v>
      </c>
      <c r="AP104" s="10"/>
      <c r="AQ104" s="11"/>
      <c r="AR104" s="12"/>
      <c r="AS104" s="10"/>
      <c r="AT104" s="65">
        <v>33</v>
      </c>
      <c r="AU104" s="10">
        <v>-177700000</v>
      </c>
      <c r="AV104" s="10">
        <f t="shared" ref="AV104:AV105" si="100">+AU104-AM104</f>
        <v>-103300000</v>
      </c>
      <c r="AX104" s="10"/>
      <c r="AY104" s="11"/>
      <c r="AZ104" s="12"/>
      <c r="BA104" s="10"/>
      <c r="BB104" s="65">
        <v>33</v>
      </c>
      <c r="BC104" s="10">
        <v>-177700000</v>
      </c>
      <c r="BD104" s="10">
        <f t="shared" ref="BD104:BD105" si="101">+BC104-AU104</f>
        <v>0</v>
      </c>
      <c r="BF104" s="10"/>
      <c r="BG104" s="11"/>
      <c r="BH104" s="65">
        <v>58</v>
      </c>
      <c r="BI104" s="10">
        <v>-160000000</v>
      </c>
      <c r="BJ104" s="10">
        <f t="shared" si="99"/>
        <v>17700000</v>
      </c>
      <c r="BL104" s="10">
        <v>-71099599</v>
      </c>
      <c r="BN104" s="65">
        <v>58</v>
      </c>
      <c r="BO104" s="10">
        <f t="shared" si="94"/>
        <v>-71099599</v>
      </c>
      <c r="BP104" s="36">
        <f t="shared" si="90"/>
        <v>88900401</v>
      </c>
      <c r="BQ104" s="36"/>
      <c r="BU104" s="4">
        <f t="shared" si="96"/>
        <v>-71099599</v>
      </c>
      <c r="BV104" s="7" t="s">
        <v>163</v>
      </c>
    </row>
    <row r="105" spans="1:74" ht="18">
      <c r="A105" s="83" t="s">
        <v>164</v>
      </c>
      <c r="D105" s="49">
        <v>-11394448</v>
      </c>
      <c r="F105" s="14">
        <v>58</v>
      </c>
      <c r="G105" s="51">
        <v>-11394448</v>
      </c>
      <c r="H105" s="52" t="e">
        <f>+G105-#REF!</f>
        <v>#REF!</v>
      </c>
      <c r="I105" s="93">
        <f>SUM(G88:G105)</f>
        <v>-105930033</v>
      </c>
      <c r="J105" s="49"/>
      <c r="K105" s="49"/>
      <c r="L105" s="61"/>
      <c r="M105" s="49">
        <f>SUM(O89:O105)</f>
        <v>-98550000</v>
      </c>
      <c r="N105" s="62">
        <v>33</v>
      </c>
      <c r="O105" s="73">
        <v>-17000000</v>
      </c>
      <c r="Q105" s="49"/>
      <c r="R105" s="62">
        <v>33</v>
      </c>
      <c r="S105" s="73">
        <v>-6597000</v>
      </c>
      <c r="T105" s="57">
        <f t="shared" si="76"/>
        <v>10403000</v>
      </c>
      <c r="V105" s="51"/>
      <c r="W105" s="49"/>
      <c r="X105" s="61">
        <f>SUM(Y90:Y105)</f>
        <v>-89485000</v>
      </c>
      <c r="Y105" s="10">
        <v>-18500000</v>
      </c>
      <c r="AA105" s="49"/>
      <c r="AB105" s="94">
        <f>SUM(AC90:AC105)</f>
        <v>-76285000</v>
      </c>
      <c r="AC105" s="10">
        <v>-6500000</v>
      </c>
      <c r="AD105" s="60">
        <f t="shared" si="77"/>
        <v>12000000</v>
      </c>
      <c r="AF105" s="51"/>
      <c r="AG105" s="49"/>
      <c r="AH105" s="61">
        <f>SUM(AI88:AI105)</f>
        <v>-97993858</v>
      </c>
      <c r="AI105" s="10">
        <v>-18500000</v>
      </c>
      <c r="AK105" s="51"/>
      <c r="AL105" s="62">
        <f>SUM(AM88:AM105)</f>
        <v>-74583858</v>
      </c>
      <c r="AM105" s="10">
        <v>-6500000</v>
      </c>
      <c r="AN105" s="60">
        <f t="shared" si="78"/>
        <v>12000000</v>
      </c>
      <c r="AO105" s="95"/>
      <c r="AP105" s="10"/>
      <c r="AQ105" s="11"/>
      <c r="AR105" s="65"/>
      <c r="AS105" s="10"/>
      <c r="AT105" s="96">
        <f>SUM(AU88:AU105)</f>
        <v>-186985000</v>
      </c>
      <c r="AU105" s="10">
        <v>-13500000</v>
      </c>
      <c r="AV105" s="10">
        <f t="shared" si="100"/>
        <v>-7000000</v>
      </c>
      <c r="AX105" s="10"/>
      <c r="AY105" s="11"/>
      <c r="AZ105" s="65"/>
      <c r="BA105" s="10"/>
      <c r="BB105" s="96"/>
      <c r="BC105" s="10">
        <v>-13500000</v>
      </c>
      <c r="BD105" s="10">
        <f t="shared" si="101"/>
        <v>0</v>
      </c>
      <c r="BF105" s="10"/>
      <c r="BG105" s="11"/>
      <c r="BH105" s="65">
        <v>58</v>
      </c>
      <c r="BI105" s="10">
        <v>-13255482</v>
      </c>
      <c r="BJ105" s="10">
        <f t="shared" si="99"/>
        <v>244518</v>
      </c>
      <c r="BK105" s="93"/>
      <c r="BL105" s="10">
        <v>-13255482</v>
      </c>
      <c r="BN105" s="65">
        <v>58</v>
      </c>
      <c r="BO105" s="10">
        <f t="shared" si="94"/>
        <v>-13255482</v>
      </c>
      <c r="BP105" s="36">
        <f t="shared" si="90"/>
        <v>0</v>
      </c>
      <c r="BQ105" s="36"/>
      <c r="BU105" s="4">
        <f t="shared" si="96"/>
        <v>-13255482</v>
      </c>
      <c r="BV105" s="7" t="s">
        <v>164</v>
      </c>
    </row>
    <row r="106" spans="1:74" ht="18">
      <c r="A106" s="8" t="s">
        <v>165</v>
      </c>
      <c r="B106" s="97"/>
      <c r="C106" s="97"/>
      <c r="D106" s="98">
        <v>0</v>
      </c>
      <c r="E106" s="99"/>
      <c r="F106" s="14">
        <v>58</v>
      </c>
      <c r="G106" s="100">
        <v>0</v>
      </c>
      <c r="H106" s="99" t="e">
        <f>+G106-#REF!</f>
        <v>#REF!</v>
      </c>
      <c r="I106" s="97"/>
      <c r="J106" s="98" t="e">
        <f>+G106+H106</f>
        <v>#REF!</v>
      </c>
      <c r="K106" s="101"/>
      <c r="L106" s="102"/>
      <c r="M106" s="101"/>
      <c r="N106" s="102"/>
      <c r="O106" s="103"/>
      <c r="P106" s="97"/>
      <c r="Q106" s="104"/>
      <c r="R106" s="105"/>
      <c r="S106" s="103"/>
      <c r="T106" s="106"/>
      <c r="U106" s="97"/>
      <c r="V106" s="100"/>
      <c r="W106" s="101"/>
      <c r="X106" s="102"/>
      <c r="Y106" s="107"/>
      <c r="Z106" s="97"/>
      <c r="AA106" s="104"/>
      <c r="AB106" s="105"/>
      <c r="AC106" s="107"/>
      <c r="AD106" s="108"/>
      <c r="AE106" s="97"/>
      <c r="AF106" s="100"/>
      <c r="AG106" s="101"/>
      <c r="AH106" s="102"/>
      <c r="AI106" s="107"/>
      <c r="AJ106" s="97"/>
      <c r="AK106" s="109"/>
      <c r="AL106" s="102"/>
      <c r="AM106" s="107"/>
      <c r="AN106" s="108"/>
      <c r="AO106" s="97"/>
      <c r="AP106" s="110"/>
      <c r="AQ106" s="111"/>
      <c r="AR106" s="112"/>
      <c r="AS106" s="110"/>
      <c r="AT106" s="113"/>
      <c r="AU106" s="110"/>
      <c r="AV106" s="110"/>
      <c r="AX106" s="110"/>
      <c r="AY106" s="111"/>
      <c r="AZ106" s="112"/>
      <c r="BA106" s="110"/>
      <c r="BB106" s="114">
        <f>SUM(BC88:BC106)</f>
        <v>-174913041</v>
      </c>
      <c r="BC106" s="10">
        <v>12071959</v>
      </c>
      <c r="BD106" s="10">
        <f>+BC106-AU106</f>
        <v>12071959</v>
      </c>
      <c r="BF106" s="110"/>
      <c r="BG106" s="111"/>
      <c r="BH106" s="115">
        <f>SUM(BI88:BI106)</f>
        <v>-182189234</v>
      </c>
      <c r="BI106" s="10"/>
      <c r="BJ106" s="10">
        <f t="shared" si="99"/>
        <v>-12071959</v>
      </c>
      <c r="BK106" s="93"/>
      <c r="BL106" s="10"/>
      <c r="BM106" s="93"/>
      <c r="BN106" s="80">
        <f>SUM(BO88:BO105)</f>
        <v>-173757481</v>
      </c>
      <c r="BO106" s="10"/>
      <c r="BP106" s="51"/>
      <c r="BQ106" s="51"/>
      <c r="BU106" s="4">
        <f t="shared" si="96"/>
        <v>0</v>
      </c>
      <c r="BV106" s="7" t="s">
        <v>165</v>
      </c>
    </row>
    <row r="107" spans="1:74" ht="18.75" thickBot="1">
      <c r="A107" s="8"/>
      <c r="D107" s="49"/>
      <c r="E107" s="49">
        <f>SUM(D88:D106)</f>
        <v>-84955403</v>
      </c>
      <c r="F107" s="8"/>
      <c r="G107" s="51"/>
      <c r="H107" s="8"/>
      <c r="J107" s="49"/>
      <c r="K107" s="49"/>
      <c r="L107" s="61"/>
      <c r="M107" s="49"/>
      <c r="N107" s="61"/>
      <c r="O107" s="56"/>
      <c r="Q107" s="116"/>
      <c r="R107" s="63"/>
      <c r="S107" s="56"/>
      <c r="T107" s="117"/>
      <c r="V107" s="51"/>
      <c r="W107" s="49"/>
      <c r="X107" s="61"/>
      <c r="Y107" s="59"/>
      <c r="AA107" s="116"/>
      <c r="AB107" s="63"/>
      <c r="AC107" s="59"/>
      <c r="AD107" s="118"/>
      <c r="AF107" s="51"/>
      <c r="AG107" s="49"/>
      <c r="AH107" s="61"/>
      <c r="AI107" s="59"/>
      <c r="AK107" s="119"/>
      <c r="AL107" s="61"/>
      <c r="AM107" s="59"/>
      <c r="AN107" s="118"/>
      <c r="AP107" s="10"/>
      <c r="AQ107" s="11"/>
      <c r="AR107" s="65"/>
      <c r="AS107" s="10"/>
      <c r="AT107" s="13"/>
      <c r="AU107" s="10"/>
      <c r="AV107" s="10"/>
      <c r="AW107" s="97"/>
      <c r="AX107" s="10"/>
      <c r="AY107" s="11"/>
      <c r="AZ107" s="65"/>
      <c r="BA107" s="10"/>
      <c r="BB107" s="13"/>
      <c r="BC107" s="10"/>
      <c r="BD107" s="10"/>
      <c r="BE107" s="97"/>
      <c r="BF107" s="10"/>
      <c r="BG107" s="11"/>
      <c r="BH107" s="65"/>
      <c r="BI107" s="10"/>
      <c r="BJ107" s="10"/>
      <c r="BK107" s="97"/>
      <c r="BL107" s="110"/>
      <c r="BM107" s="97"/>
      <c r="BN107" s="120"/>
      <c r="BO107" s="110"/>
      <c r="BP107" s="121"/>
      <c r="BQ107" s="121"/>
      <c r="BU107" s="122">
        <f>SUM(BU88:BU106)</f>
        <v>-167074764</v>
      </c>
    </row>
    <row r="108" spans="1:74" ht="19.5" thickTop="1" thickBot="1">
      <c r="A108" s="123" t="s">
        <v>166</v>
      </c>
      <c r="D108" s="124" t="e">
        <f>SUM(D11:D106)</f>
        <v>#REF!</v>
      </c>
      <c r="E108" s="125">
        <f>SUM(E11:E106)</f>
        <v>0</v>
      </c>
      <c r="F108" s="8"/>
      <c r="G108" s="126">
        <f>SUM(G11:G106)</f>
        <v>154643455</v>
      </c>
      <c r="H108" s="125" t="e">
        <f>SUM(H11:H106)</f>
        <v>#REF!</v>
      </c>
      <c r="I108" s="7">
        <v>154643455</v>
      </c>
      <c r="J108" s="124" t="e">
        <f>SUM(J11:J106)</f>
        <v>#REF!</v>
      </c>
      <c r="K108" s="49"/>
      <c r="L108" s="61"/>
      <c r="M108" s="49"/>
      <c r="N108" s="61"/>
      <c r="O108" s="124">
        <f>SUM(O11:O106)</f>
        <v>102729463</v>
      </c>
      <c r="Q108" s="127">
        <f>SUM(Q11:Q106)</f>
        <v>151242158</v>
      </c>
      <c r="R108" s="63"/>
      <c r="S108" s="124">
        <f>SUM(S11:S106)</f>
        <v>144797777</v>
      </c>
      <c r="T108" s="128">
        <f>SUM(T11:T106)</f>
        <v>42068314</v>
      </c>
      <c r="V108" s="126">
        <f>SUM(V11:V106)</f>
        <v>46133424</v>
      </c>
      <c r="W108" s="49"/>
      <c r="X108" s="61"/>
      <c r="Y108" s="126">
        <f>SUM(Y11:Y106)</f>
        <v>76950837</v>
      </c>
      <c r="AA108" s="127">
        <f>SUM(AA11:AA106)</f>
        <v>147970245</v>
      </c>
      <c r="AB108" s="63"/>
      <c r="AC108" s="126">
        <f>SUM(AC11:AC106)</f>
        <v>116071794</v>
      </c>
      <c r="AD108" s="129">
        <f>SUM(AD11:AD106)</f>
        <v>39120957</v>
      </c>
      <c r="AF108" s="126">
        <f>SUM(AF11:AF106)</f>
        <v>103866722</v>
      </c>
      <c r="AG108" s="49"/>
      <c r="AH108" s="61"/>
      <c r="AI108" s="126">
        <f>SUM(AI11:AI106)</f>
        <v>102535943</v>
      </c>
      <c r="AK108" s="130">
        <f>SUM(AK11:AK106)</f>
        <v>95859165</v>
      </c>
      <c r="AL108" s="61"/>
      <c r="AM108" s="126">
        <f>SUM(AM11:AM106)</f>
        <v>127502147</v>
      </c>
      <c r="AN108" s="129">
        <f>SUM(AN11:AN106)</f>
        <v>24966204</v>
      </c>
      <c r="AP108" s="10"/>
      <c r="AQ108" s="11"/>
      <c r="AR108" s="65"/>
      <c r="AS108" s="10"/>
      <c r="AT108" s="13"/>
      <c r="AU108" s="126">
        <f>SUM(AU11:AU106)</f>
        <v>-33571151.200000018</v>
      </c>
      <c r="AV108" s="10">
        <f t="shared" ref="AV108" si="102">+AU108-AM108</f>
        <v>-161073298.20000002</v>
      </c>
      <c r="AX108" s="10"/>
      <c r="AY108" s="11"/>
      <c r="AZ108" s="65"/>
      <c r="BA108" s="10"/>
      <c r="BB108" s="13"/>
      <c r="BC108" s="126">
        <f>SUM(BC11:BC106)</f>
        <v>-21640053.600000024</v>
      </c>
      <c r="BD108" s="10">
        <f t="shared" ref="BD108" si="103">+BC108-AU108</f>
        <v>11931097.599999994</v>
      </c>
      <c r="BF108" s="10"/>
      <c r="BG108" s="11"/>
      <c r="BH108" s="65"/>
      <c r="BI108" s="126">
        <f>SUM(BI11:BI106)</f>
        <v>-17821243</v>
      </c>
      <c r="BJ108" s="126">
        <f>SUM(BJ11:BJ106)</f>
        <v>4318810.5999999996</v>
      </c>
      <c r="BK108" s="93"/>
      <c r="BL108" s="126">
        <f>SUM(BL11:BL106)</f>
        <v>-8902190</v>
      </c>
      <c r="BN108" s="67">
        <f>SUM(BO11:BO106)</f>
        <v>-9864530</v>
      </c>
      <c r="BO108" s="126">
        <f>SUM(BO11:BO106)</f>
        <v>-9864530</v>
      </c>
      <c r="BP108" s="36">
        <f>+BO108-BI108</f>
        <v>7956713</v>
      </c>
      <c r="BQ108" s="36"/>
    </row>
    <row r="109" spans="1:74" ht="18">
      <c r="A109" s="123"/>
      <c r="D109" s="49"/>
      <c r="F109" s="8"/>
      <c r="G109" s="51"/>
      <c r="H109" s="8"/>
      <c r="I109" s="93">
        <f>+I108-G108</f>
        <v>0</v>
      </c>
      <c r="J109" s="49"/>
      <c r="K109" s="49"/>
      <c r="L109" s="61"/>
      <c r="M109" s="49"/>
      <c r="N109" s="61"/>
      <c r="O109" s="56"/>
      <c r="Q109" s="116"/>
      <c r="R109" s="63"/>
      <c r="S109" s="56"/>
      <c r="T109" s="117"/>
      <c r="V109" s="51"/>
      <c r="W109" s="49"/>
      <c r="X109" s="61"/>
      <c r="Y109" s="59"/>
      <c r="AA109" s="116"/>
      <c r="AB109" s="63"/>
      <c r="AC109" s="59"/>
      <c r="AD109" s="118"/>
      <c r="AF109" s="51"/>
      <c r="AG109" s="49"/>
      <c r="AH109" s="61"/>
      <c r="AI109" s="59"/>
      <c r="AK109" s="119"/>
      <c r="AL109" s="61"/>
      <c r="AM109" s="59"/>
      <c r="AN109" s="118"/>
      <c r="AP109" s="10"/>
      <c r="AQ109" s="11"/>
      <c r="AR109" s="65"/>
      <c r="AS109" s="10"/>
      <c r="AT109" s="13"/>
      <c r="AU109" s="59"/>
      <c r="AV109" s="10"/>
      <c r="AX109" s="10"/>
      <c r="AY109" s="11"/>
      <c r="AZ109" s="65"/>
      <c r="BA109" s="10"/>
      <c r="BB109" s="13"/>
      <c r="BC109" s="59"/>
      <c r="BD109" s="10"/>
      <c r="BF109" s="10"/>
      <c r="BG109" s="11"/>
      <c r="BH109" s="65"/>
      <c r="BI109" s="10"/>
      <c r="BJ109" s="10"/>
      <c r="BL109" s="10"/>
      <c r="BN109" s="14"/>
      <c r="BP109" s="9"/>
      <c r="BQ109" s="9"/>
    </row>
    <row r="110" spans="1:74" ht="18">
      <c r="A110" s="48" t="s">
        <v>167</v>
      </c>
      <c r="D110" s="49"/>
      <c r="F110" s="8"/>
      <c r="G110" s="51">
        <v>-179</v>
      </c>
      <c r="H110" s="8"/>
      <c r="J110" s="49"/>
      <c r="K110" s="49"/>
      <c r="L110" s="61"/>
      <c r="M110" s="49"/>
      <c r="N110" s="61"/>
      <c r="O110" s="56"/>
      <c r="Q110" s="116"/>
      <c r="R110" s="63"/>
      <c r="S110" s="56"/>
      <c r="T110" s="117"/>
      <c r="V110" s="51"/>
      <c r="W110" s="49"/>
      <c r="X110" s="61"/>
      <c r="Y110" s="59"/>
      <c r="AA110" s="116"/>
      <c r="AB110" s="63"/>
      <c r="AC110" s="59"/>
      <c r="AD110" s="118"/>
      <c r="AF110" s="51"/>
      <c r="AG110" s="49"/>
      <c r="AH110" s="61"/>
      <c r="AI110" s="59"/>
      <c r="AK110" s="119"/>
      <c r="AL110" s="61"/>
      <c r="AM110" s="59"/>
      <c r="AN110" s="118"/>
      <c r="AP110" s="10"/>
      <c r="AQ110" s="11"/>
      <c r="AR110" s="65"/>
      <c r="AS110" s="10"/>
      <c r="AT110" s="13"/>
      <c r="AU110" s="59"/>
      <c r="AV110" s="10"/>
      <c r="AX110" s="10"/>
      <c r="AY110" s="11"/>
      <c r="AZ110" s="65"/>
      <c r="BA110" s="10"/>
      <c r="BB110" s="13"/>
      <c r="BC110" s="59"/>
      <c r="BD110" s="10"/>
      <c r="BF110" s="10"/>
      <c r="BG110" s="11"/>
      <c r="BH110" s="65"/>
      <c r="BI110" s="10"/>
      <c r="BJ110" s="10"/>
      <c r="BL110" s="10"/>
      <c r="BN110" s="14"/>
      <c r="BO110" s="10">
        <v>-44</v>
      </c>
      <c r="BP110" s="9"/>
      <c r="BQ110" s="131">
        <f>+BO120-BR110-BR111</f>
        <v>-1546860.5724524409</v>
      </c>
      <c r="BR110" s="4">
        <v>-10555717</v>
      </c>
      <c r="BT110" s="7" t="s">
        <v>362</v>
      </c>
    </row>
    <row r="111" spans="1:74" ht="18">
      <c r="A111" s="48" t="s">
        <v>168</v>
      </c>
      <c r="D111" s="49"/>
      <c r="F111" s="8"/>
      <c r="G111" s="51"/>
      <c r="H111" s="8"/>
      <c r="J111" s="49"/>
      <c r="K111" s="49"/>
      <c r="L111" s="61"/>
      <c r="M111" s="49"/>
      <c r="N111" s="61"/>
      <c r="O111" s="56">
        <f>J111+K111</f>
        <v>0</v>
      </c>
      <c r="Q111" s="132"/>
      <c r="R111" s="63"/>
      <c r="S111" s="56">
        <f>J111+K111+M111+Q111</f>
        <v>0</v>
      </c>
      <c r="T111" s="117">
        <f>S111-O111</f>
        <v>0</v>
      </c>
      <c r="V111" s="51"/>
      <c r="W111" s="49"/>
      <c r="X111" s="61"/>
      <c r="Y111" s="59">
        <f>V111+W111</f>
        <v>0</v>
      </c>
      <c r="AA111" s="132"/>
      <c r="AB111" s="63"/>
      <c r="AC111" s="59">
        <f>+Y111</f>
        <v>0</v>
      </c>
      <c r="AD111" s="118">
        <f>AC111-Y111</f>
        <v>0</v>
      </c>
      <c r="AF111" s="51"/>
      <c r="AG111" s="49"/>
      <c r="AH111" s="61"/>
      <c r="AI111" s="59">
        <f>AF111+AG111</f>
        <v>0</v>
      </c>
      <c r="AK111" s="133"/>
      <c r="AL111" s="61"/>
      <c r="AM111" s="59">
        <f>+AI111</f>
        <v>0</v>
      </c>
      <c r="AN111" s="118">
        <f>AM111-AI111</f>
        <v>0</v>
      </c>
      <c r="AP111" s="10"/>
      <c r="AQ111" s="11"/>
      <c r="AR111" s="65"/>
      <c r="AS111" s="10"/>
      <c r="AT111" s="13"/>
      <c r="AU111" s="59">
        <f>+AQ111</f>
        <v>0</v>
      </c>
      <c r="AV111" s="10"/>
      <c r="AX111" s="10"/>
      <c r="AY111" s="11"/>
      <c r="AZ111" s="65"/>
      <c r="BA111" s="10"/>
      <c r="BB111" s="13"/>
      <c r="BC111" s="59">
        <f>+AY111</f>
        <v>0</v>
      </c>
      <c r="BD111" s="10"/>
      <c r="BF111" s="10"/>
      <c r="BG111" s="11"/>
      <c r="BH111" s="65"/>
      <c r="BI111" s="10"/>
      <c r="BJ111" s="10"/>
      <c r="BL111" s="10"/>
      <c r="BN111" s="14"/>
      <c r="BP111" s="9"/>
      <c r="BQ111" s="9"/>
      <c r="BR111" s="4">
        <v>45095</v>
      </c>
      <c r="BT111" s="7" t="s">
        <v>363</v>
      </c>
    </row>
    <row r="112" spans="1:74" ht="18">
      <c r="A112" s="8"/>
      <c r="D112" s="49"/>
      <c r="F112" s="8"/>
      <c r="G112" s="51"/>
      <c r="H112" s="8"/>
      <c r="J112" s="49"/>
      <c r="K112" s="49"/>
      <c r="L112" s="61"/>
      <c r="M112" s="49"/>
      <c r="N112" s="61"/>
      <c r="O112" s="134"/>
      <c r="Q112" s="132"/>
      <c r="R112" s="63"/>
      <c r="S112" s="134"/>
      <c r="T112" s="135"/>
      <c r="V112" s="51"/>
      <c r="W112" s="49"/>
      <c r="X112" s="61"/>
      <c r="Y112" s="136"/>
      <c r="AA112" s="132"/>
      <c r="AB112" s="63"/>
      <c r="AC112" s="136"/>
      <c r="AD112" s="137"/>
      <c r="AF112" s="51"/>
      <c r="AG112" s="49"/>
      <c r="AH112" s="61"/>
      <c r="AI112" s="136"/>
      <c r="AK112" s="133"/>
      <c r="AL112" s="61"/>
      <c r="AM112" s="136"/>
      <c r="AN112" s="137"/>
      <c r="AP112" s="10"/>
      <c r="AQ112" s="11"/>
      <c r="AR112" s="65"/>
      <c r="AS112" s="10"/>
      <c r="AT112" s="13"/>
      <c r="AU112" s="136"/>
      <c r="AV112" s="10"/>
      <c r="AX112" s="10"/>
      <c r="AY112" s="11"/>
      <c r="AZ112" s="65"/>
      <c r="BA112" s="10"/>
      <c r="BB112" s="13"/>
      <c r="BC112" s="136"/>
      <c r="BD112" s="10"/>
      <c r="BF112" s="10"/>
      <c r="BG112" s="11"/>
      <c r="BH112" s="65"/>
      <c r="BI112" s="10"/>
      <c r="BJ112" s="10"/>
      <c r="BL112" s="10"/>
      <c r="BN112" s="14"/>
      <c r="BP112" s="9"/>
      <c r="BQ112" s="9"/>
      <c r="BR112" s="3" t="s">
        <v>364</v>
      </c>
    </row>
    <row r="113" spans="1:74" ht="19.5" thickBot="1">
      <c r="A113" s="123" t="s">
        <v>169</v>
      </c>
      <c r="D113" s="49"/>
      <c r="F113" s="8"/>
      <c r="G113" s="126">
        <f>SUM(G108:G111)</f>
        <v>154643276</v>
      </c>
      <c r="H113" s="125" t="e">
        <f>SUM(H108:H111)</f>
        <v>#REF!</v>
      </c>
      <c r="J113" s="124" t="e">
        <f>SUM(J108:J111)</f>
        <v>#REF!</v>
      </c>
      <c r="K113" s="49"/>
      <c r="L113" s="61"/>
      <c r="M113" s="49"/>
      <c r="N113" s="61"/>
      <c r="O113" s="124">
        <f>SUM(O108:O111)</f>
        <v>102729463</v>
      </c>
      <c r="Q113" s="138">
        <f>SUM(Q108:Q111)</f>
        <v>151242158</v>
      </c>
      <c r="R113" s="63"/>
      <c r="S113" s="124">
        <f>SUM(S108:S111)</f>
        <v>144797777</v>
      </c>
      <c r="T113" s="128">
        <f>SUM(T108:T112)</f>
        <v>42068314</v>
      </c>
      <c r="V113" s="126">
        <f>SUM(V108:V111)</f>
        <v>46133424</v>
      </c>
      <c r="W113" s="49"/>
      <c r="X113" s="61"/>
      <c r="Y113" s="126">
        <f>SUM(Y108:Y111)</f>
        <v>76950837</v>
      </c>
      <c r="AA113" s="138">
        <f>SUM(AA108:AA111)</f>
        <v>147970245</v>
      </c>
      <c r="AB113" s="63"/>
      <c r="AC113" s="126">
        <f>SUM(AC108:AC111)</f>
        <v>116071794</v>
      </c>
      <c r="AD113" s="129">
        <f>SUM(AD108:AD112)</f>
        <v>39120957</v>
      </c>
      <c r="AF113" s="126">
        <f>SUM(AF108:AF111)</f>
        <v>103866722</v>
      </c>
      <c r="AG113" s="49"/>
      <c r="AH113" s="61"/>
      <c r="AI113" s="126">
        <f>SUM(AI108:AI111)</f>
        <v>102535943</v>
      </c>
      <c r="AK113" s="139">
        <f>SUM(AK108:AK111)</f>
        <v>95859165</v>
      </c>
      <c r="AL113" s="61"/>
      <c r="AM113" s="126">
        <f>SUM(AM108:AM111)</f>
        <v>127502147</v>
      </c>
      <c r="AN113" s="129">
        <f>SUM(AN108:AN112)</f>
        <v>24966204</v>
      </c>
      <c r="AP113" s="10"/>
      <c r="AQ113" s="11"/>
      <c r="AR113" s="65"/>
      <c r="AS113" s="10"/>
      <c r="AT113" s="13"/>
      <c r="AU113" s="126">
        <f>SUM(AU108:AU111)</f>
        <v>-33571151.200000018</v>
      </c>
      <c r="AV113" s="10">
        <f t="shared" ref="AV113" si="104">+AU113-AM113</f>
        <v>-161073298.20000002</v>
      </c>
      <c r="AX113" s="10"/>
      <c r="AY113" s="11"/>
      <c r="AZ113" s="65"/>
      <c r="BA113" s="10"/>
      <c r="BB113" s="13"/>
      <c r="BC113" s="126">
        <f>SUM(BC108:BC111)</f>
        <v>-21640053.600000024</v>
      </c>
      <c r="BD113" s="10">
        <f t="shared" ref="BD113" si="105">+BC113-AU113</f>
        <v>11931097.599999994</v>
      </c>
      <c r="BF113" s="10"/>
      <c r="BG113" s="11"/>
      <c r="BH113" s="65"/>
      <c r="BI113" s="126">
        <f>SUM(BI108:BI111)</f>
        <v>-17821243</v>
      </c>
      <c r="BJ113" s="10">
        <f t="shared" ref="BJ113" si="106">+BI113-BC113</f>
        <v>3818810.6000000238</v>
      </c>
      <c r="BL113" s="10"/>
      <c r="BN113" s="14"/>
      <c r="BO113" s="126">
        <f>SUM(BO108:BO111)</f>
        <v>-9864574</v>
      </c>
      <c r="BP113" s="9"/>
      <c r="BR113" s="4">
        <f>ROUND((+BR110*0.35),0)</f>
        <v>-3694501</v>
      </c>
      <c r="BT113" s="7" t="s">
        <v>362</v>
      </c>
    </row>
    <row r="114" spans="1:74" ht="18">
      <c r="A114" s="48"/>
      <c r="D114" s="49"/>
      <c r="F114" s="8"/>
      <c r="G114" s="136"/>
      <c r="H114" s="8"/>
      <c r="J114" s="49"/>
      <c r="K114" s="49"/>
      <c r="L114" s="61"/>
      <c r="M114" s="49"/>
      <c r="N114" s="61"/>
      <c r="O114" s="134"/>
      <c r="Q114" s="132"/>
      <c r="R114" s="63"/>
      <c r="S114" s="134"/>
      <c r="T114" s="135"/>
      <c r="V114" s="51"/>
      <c r="W114" s="49"/>
      <c r="X114" s="61"/>
      <c r="Y114" s="136"/>
      <c r="AA114" s="132"/>
      <c r="AB114" s="63"/>
      <c r="AC114" s="136"/>
      <c r="AD114" s="137"/>
      <c r="AF114" s="51"/>
      <c r="AG114" s="49"/>
      <c r="AH114" s="61"/>
      <c r="AI114" s="136"/>
      <c r="AK114" s="133"/>
      <c r="AL114" s="61"/>
      <c r="AM114" s="136"/>
      <c r="AN114" s="137"/>
      <c r="AP114" s="10"/>
      <c r="AQ114" s="11"/>
      <c r="AR114" s="65"/>
      <c r="AS114" s="10"/>
      <c r="AT114" s="13"/>
      <c r="AU114" s="136"/>
      <c r="AV114" s="10"/>
      <c r="AX114" s="10"/>
      <c r="AY114" s="11"/>
      <c r="AZ114" s="65"/>
      <c r="BA114" s="10"/>
      <c r="BB114" s="13"/>
      <c r="BC114" s="136"/>
      <c r="BD114" s="10"/>
      <c r="BF114" s="10"/>
      <c r="BG114" s="11"/>
      <c r="BH114" s="65"/>
      <c r="BI114" s="136"/>
      <c r="BJ114" s="10"/>
      <c r="BL114" s="10"/>
      <c r="BN114" s="14"/>
      <c r="BO114" s="136"/>
      <c r="BP114" s="9"/>
      <c r="BQ114" s="9"/>
      <c r="BR114" s="4">
        <f>ROUND((+BR111*0.35),0)</f>
        <v>15783</v>
      </c>
      <c r="BT114" s="7" t="s">
        <v>363</v>
      </c>
    </row>
    <row r="115" spans="1:74" ht="18">
      <c r="A115" s="48" t="s">
        <v>170</v>
      </c>
      <c r="D115" s="49"/>
      <c r="F115" s="8"/>
      <c r="G115" s="136">
        <f>-G171</f>
        <v>-8720160.8090442251</v>
      </c>
      <c r="H115" s="52" t="e">
        <f>+G115-#REF!</f>
        <v>#REF!</v>
      </c>
      <c r="J115" s="49"/>
      <c r="K115" s="49"/>
      <c r="L115" s="61"/>
      <c r="M115" s="49"/>
      <c r="N115" s="61"/>
      <c r="O115" s="134">
        <f>-O171</f>
        <v>-5609292.2014041003</v>
      </c>
      <c r="Q115" s="132"/>
      <c r="R115" s="63"/>
      <c r="S115" s="134">
        <f>-S171</f>
        <v>-7794566.5302010002</v>
      </c>
      <c r="T115" s="57">
        <f>+S115-O115</f>
        <v>-2185274.3287968999</v>
      </c>
      <c r="V115" s="51"/>
      <c r="W115" s="49"/>
      <c r="X115" s="61"/>
      <c r="Y115" s="136">
        <f>-Y171</f>
        <v>-4270199.5620020004</v>
      </c>
      <c r="AA115" s="132"/>
      <c r="AB115" s="63"/>
      <c r="AC115" s="136">
        <f>-AC171</f>
        <v>-6302370.9261804502</v>
      </c>
      <c r="AD115" s="60">
        <f>+AC115-Y115</f>
        <v>-2032171.3641784498</v>
      </c>
      <c r="AF115" s="51"/>
      <c r="AG115" s="49"/>
      <c r="AH115" s="61"/>
      <c r="AI115" s="136">
        <f>-AI171</f>
        <v>-4835970.6807366898</v>
      </c>
      <c r="AK115" s="133"/>
      <c r="AL115" s="61"/>
      <c r="AM115" s="136">
        <f>-AM171</f>
        <v>-6136388.9685842702</v>
      </c>
      <c r="AN115" s="60">
        <f>+AM115-AI115</f>
        <v>-1300418.2878475804</v>
      </c>
      <c r="AP115" s="10"/>
      <c r="AQ115" s="11"/>
      <c r="AR115" s="65"/>
      <c r="AS115" s="10"/>
      <c r="AT115" s="13"/>
      <c r="AU115" s="136">
        <f>-AU171</f>
        <v>-1017686.61961263</v>
      </c>
      <c r="AV115" s="10">
        <f t="shared" ref="AV115:AV117" si="107">+AU115-AM115</f>
        <v>5118702.3489716407</v>
      </c>
      <c r="AX115" s="10"/>
      <c r="AY115" s="11"/>
      <c r="AZ115" s="65"/>
      <c r="BA115" s="10"/>
      <c r="BB115" s="13"/>
      <c r="BC115" s="136">
        <f>-BC171</f>
        <v>-1116696.8516360768</v>
      </c>
      <c r="BD115" s="10">
        <f t="shared" ref="BD115:BD117" si="108">+BC115-AU115</f>
        <v>-99010.232023446821</v>
      </c>
      <c r="BF115" s="10"/>
      <c r="BG115" s="11"/>
      <c r="BH115" s="65"/>
      <c r="BI115" s="136">
        <f>-BI171</f>
        <v>-2120353.15381672</v>
      </c>
      <c r="BJ115" s="10">
        <f t="shared" ref="BJ115:BJ118" si="109">+BI115-BC115</f>
        <v>-1003656.3021806432</v>
      </c>
      <c r="BL115" s="10"/>
      <c r="BN115" s="14"/>
      <c r="BO115" s="136">
        <f>-BO171</f>
        <v>-2025439</v>
      </c>
      <c r="BP115" s="36">
        <f t="shared" ref="BP115:BP118" si="110">+BO115-BI115</f>
        <v>94914.153816720005</v>
      </c>
      <c r="BQ115" s="5">
        <f>ROUND((+BO120*0.35),0)</f>
        <v>-4220119</v>
      </c>
      <c r="BR115" s="5">
        <f>SUM(BR113:BR114)</f>
        <v>-3678718</v>
      </c>
      <c r="BT115" s="7" t="s">
        <v>365</v>
      </c>
    </row>
    <row r="116" spans="1:74" ht="18">
      <c r="A116" s="48" t="s">
        <v>171</v>
      </c>
      <c r="D116" s="49"/>
      <c r="F116" s="8"/>
      <c r="G116" s="136">
        <f>-G215</f>
        <v>-186492.35373422358</v>
      </c>
      <c r="H116" s="52" t="e">
        <f>+G116-#REF!</f>
        <v>#REF!</v>
      </c>
      <c r="J116" s="49"/>
      <c r="K116" s="49"/>
      <c r="L116" s="61"/>
      <c r="M116" s="49"/>
      <c r="N116" s="61"/>
      <c r="O116" s="134">
        <f>-O213</f>
        <v>-94695.96457219962</v>
      </c>
      <c r="Q116" s="132"/>
      <c r="R116" s="63"/>
      <c r="S116" s="134">
        <f>-S213</f>
        <v>-133939.34838794317</v>
      </c>
      <c r="T116" s="57">
        <f>+S116-O116</f>
        <v>-39243.383815743553</v>
      </c>
      <c r="V116" s="51"/>
      <c r="W116" s="49"/>
      <c r="X116" s="61"/>
      <c r="Y116" s="136">
        <f>-Y213</f>
        <v>-69062.556329424086</v>
      </c>
      <c r="AA116" s="132"/>
      <c r="AB116" s="63"/>
      <c r="AC116" s="136">
        <f>-AC213</f>
        <v>-105556.50117328447</v>
      </c>
      <c r="AD116" s="60">
        <f>+AC116-Y116</f>
        <v>-36493.944843860387</v>
      </c>
      <c r="AF116" s="51"/>
      <c r="AG116" s="49"/>
      <c r="AH116" s="61"/>
      <c r="AI116" s="136">
        <f>-AI213</f>
        <v>-87233.189050864326</v>
      </c>
      <c r="AK116" s="133"/>
      <c r="AL116" s="61"/>
      <c r="AM116" s="136">
        <f>-AM213</f>
        <v>-110414.22574023937</v>
      </c>
      <c r="AN116" s="60">
        <f>+AM116-AI116</f>
        <v>-23181.036689375047</v>
      </c>
      <c r="AP116" s="10"/>
      <c r="AQ116" s="11"/>
      <c r="AR116" s="65"/>
      <c r="AS116" s="10"/>
      <c r="AT116" s="13"/>
      <c r="AU116" s="136">
        <f>-AU213</f>
        <v>-45129.843563277609</v>
      </c>
      <c r="AV116" s="10">
        <f t="shared" si="107"/>
        <v>65284.382176961764</v>
      </c>
      <c r="AX116" s="10"/>
      <c r="AY116" s="11"/>
      <c r="AZ116" s="65"/>
      <c r="BA116" s="10"/>
      <c r="BB116" s="13"/>
      <c r="BC116" s="136">
        <f>-BC213</f>
        <v>-40628.761933030903</v>
      </c>
      <c r="BD116" s="10">
        <f t="shared" si="108"/>
        <v>4501.0816302467065</v>
      </c>
      <c r="BF116" s="10"/>
      <c r="BG116" s="11"/>
      <c r="BH116" s="65"/>
      <c r="BI116" s="136">
        <f>-BI213</f>
        <v>-192214.54429781999</v>
      </c>
      <c r="BJ116" s="10">
        <f t="shared" si="109"/>
        <v>-151585.78236478908</v>
      </c>
      <c r="BL116" s="10"/>
      <c r="BN116" s="14"/>
      <c r="BO116" s="136">
        <f>-BO215</f>
        <v>-108601.57245243998</v>
      </c>
      <c r="BP116" s="36">
        <f t="shared" si="110"/>
        <v>83612.971845380001</v>
      </c>
      <c r="BQ116" s="36"/>
      <c r="BR116" s="4">
        <v>937860</v>
      </c>
      <c r="BT116" s="7" t="s">
        <v>366</v>
      </c>
    </row>
    <row r="117" spans="1:74" ht="18">
      <c r="A117" s="48" t="s">
        <v>172</v>
      </c>
      <c r="D117" s="49"/>
      <c r="F117" s="8"/>
      <c r="G117" s="136">
        <f>-G272</f>
        <v>-248647.28141340005</v>
      </c>
      <c r="H117" s="52" t="e">
        <f>+G117-#REF!</f>
        <v>#REF!</v>
      </c>
      <c r="J117" s="49"/>
      <c r="K117" s="49"/>
      <c r="L117" s="61"/>
      <c r="M117" s="49"/>
      <c r="N117" s="61"/>
      <c r="O117" s="134">
        <f>-O272</f>
        <v>-120488.5612726</v>
      </c>
      <c r="Q117" s="132"/>
      <c r="R117" s="63"/>
      <c r="S117" s="134">
        <f>-S272</f>
        <v>-170772.81699680001</v>
      </c>
      <c r="T117" s="57">
        <f>+S117-O117</f>
        <v>-50284.255724200018</v>
      </c>
      <c r="V117" s="51"/>
      <c r="W117" s="49"/>
      <c r="X117" s="61"/>
      <c r="Y117" s="136">
        <f>-Y272</f>
        <v>-87643.359614800007</v>
      </c>
      <c r="AA117" s="132"/>
      <c r="AB117" s="63"/>
      <c r="AC117" s="136">
        <f>-AC272</f>
        <v>-134404.6395169</v>
      </c>
      <c r="AD117" s="60">
        <f>+AC117-Y117</f>
        <v>-46761.279902099996</v>
      </c>
      <c r="AF117" s="51"/>
      <c r="AG117" s="49"/>
      <c r="AH117" s="61"/>
      <c r="AI117" s="136">
        <f>-AI272</f>
        <v>-114750.0900772</v>
      </c>
      <c r="AK117" s="133"/>
      <c r="AL117" s="61"/>
      <c r="AM117" s="136">
        <f>-AM272</f>
        <v>-144524.78496760002</v>
      </c>
      <c r="AN117" s="60">
        <f>+AM117-AI117</f>
        <v>-29774.694890400016</v>
      </c>
      <c r="AP117" s="10"/>
      <c r="AQ117" s="11"/>
      <c r="AR117" s="65"/>
      <c r="AS117" s="10"/>
      <c r="AT117" s="13"/>
      <c r="AU117" s="136">
        <f>-AU272</f>
        <v>-58093.129534279986</v>
      </c>
      <c r="AV117" s="10">
        <f t="shared" si="107"/>
        <v>86431.655433320033</v>
      </c>
      <c r="AX117" s="10"/>
      <c r="AY117" s="11"/>
      <c r="AZ117" s="65"/>
      <c r="BA117" s="10"/>
      <c r="BB117" s="13"/>
      <c r="BC117" s="136">
        <f>-BC272</f>
        <v>-52036.185570039976</v>
      </c>
      <c r="BD117" s="10">
        <f t="shared" si="108"/>
        <v>6056.9439642400102</v>
      </c>
      <c r="BF117" s="10"/>
      <c r="BG117" s="11"/>
      <c r="BH117" s="65"/>
      <c r="BI117" s="136">
        <f>-BI272</f>
        <v>-68849.380463600013</v>
      </c>
      <c r="BJ117" s="10">
        <f t="shared" si="109"/>
        <v>-16813.194893560038</v>
      </c>
      <c r="BL117" s="10"/>
      <c r="BN117" s="14"/>
      <c r="BO117" s="136">
        <f>-BO272</f>
        <v>-63707</v>
      </c>
      <c r="BP117" s="36">
        <f t="shared" si="110"/>
        <v>5142.3804636000132</v>
      </c>
      <c r="BR117" s="5">
        <f>SUM(BR115:BR116)</f>
        <v>-2740858</v>
      </c>
      <c r="BT117" s="7" t="s">
        <v>368</v>
      </c>
    </row>
    <row r="118" spans="1:74" ht="18">
      <c r="A118" s="48" t="s">
        <v>173</v>
      </c>
      <c r="D118" s="49"/>
      <c r="F118" s="8"/>
      <c r="G118" s="136"/>
      <c r="H118" s="52"/>
      <c r="J118" s="49"/>
      <c r="K118" s="49"/>
      <c r="L118" s="61"/>
      <c r="M118" s="49"/>
      <c r="N118" s="61"/>
      <c r="O118" s="134"/>
      <c r="Q118" s="132"/>
      <c r="R118" s="63"/>
      <c r="S118" s="134"/>
      <c r="T118" s="57"/>
      <c r="V118" s="51"/>
      <c r="W118" s="49"/>
      <c r="X118" s="61"/>
      <c r="Y118" s="136"/>
      <c r="AA118" s="132"/>
      <c r="AB118" s="63"/>
      <c r="AC118" s="136"/>
      <c r="AD118" s="60"/>
      <c r="AF118" s="51"/>
      <c r="AG118" s="49"/>
      <c r="AH118" s="61"/>
      <c r="AI118" s="136"/>
      <c r="AK118" s="133"/>
      <c r="AL118" s="61"/>
      <c r="AM118" s="136"/>
      <c r="AN118" s="60"/>
      <c r="AP118" s="10"/>
      <c r="AQ118" s="11"/>
      <c r="AR118" s="65"/>
      <c r="AS118" s="10"/>
      <c r="AT118" s="13"/>
      <c r="AU118" s="136"/>
      <c r="AV118" s="10"/>
      <c r="AX118" s="10"/>
      <c r="AY118" s="11"/>
      <c r="AZ118" s="65"/>
      <c r="BA118" s="10"/>
      <c r="BB118" s="13"/>
      <c r="BC118" s="136"/>
      <c r="BD118" s="10"/>
      <c r="BF118" s="10"/>
      <c r="BG118" s="11"/>
      <c r="BH118" s="65"/>
      <c r="BI118" s="136">
        <f>-BI321</f>
        <v>0</v>
      </c>
      <c r="BJ118" s="10">
        <f t="shared" si="109"/>
        <v>0</v>
      </c>
      <c r="BL118" s="10"/>
      <c r="BN118" s="67">
        <f>SUM(BO115:BO118)</f>
        <v>-2192908.5724524399</v>
      </c>
      <c r="BO118" s="136">
        <f>-BO321</f>
        <v>4839</v>
      </c>
      <c r="BP118" s="36">
        <f t="shared" si="110"/>
        <v>4839</v>
      </c>
      <c r="BQ118" s="36"/>
      <c r="BR118" s="4"/>
    </row>
    <row r="119" spans="1:74" ht="18">
      <c r="A119" s="8"/>
      <c r="D119" s="49"/>
      <c r="F119" s="8"/>
      <c r="G119" s="136"/>
      <c r="H119" s="8"/>
      <c r="J119" s="49"/>
      <c r="K119" s="49"/>
      <c r="L119" s="61"/>
      <c r="M119" s="49"/>
      <c r="N119" s="61"/>
      <c r="O119" s="134"/>
      <c r="Q119" s="132"/>
      <c r="R119" s="63"/>
      <c r="S119" s="134"/>
      <c r="T119" s="135"/>
      <c r="V119" s="51"/>
      <c r="W119" s="49"/>
      <c r="X119" s="61"/>
      <c r="Y119" s="136"/>
      <c r="AA119" s="132"/>
      <c r="AB119" s="63"/>
      <c r="AC119" s="136"/>
      <c r="AD119" s="137"/>
      <c r="AF119" s="51"/>
      <c r="AG119" s="49"/>
      <c r="AH119" s="61"/>
      <c r="AI119" s="136"/>
      <c r="AK119" s="133"/>
      <c r="AL119" s="61"/>
      <c r="AM119" s="136"/>
      <c r="AN119" s="137"/>
      <c r="AP119" s="10"/>
      <c r="AQ119" s="11"/>
      <c r="AR119" s="65"/>
      <c r="AS119" s="10"/>
      <c r="AT119" s="13"/>
      <c r="AU119" s="136"/>
      <c r="AV119" s="10"/>
      <c r="AX119" s="10"/>
      <c r="AY119" s="11"/>
      <c r="AZ119" s="65"/>
      <c r="BA119" s="10"/>
      <c r="BB119" s="13"/>
      <c r="BC119" s="136"/>
      <c r="BD119" s="10"/>
      <c r="BF119" s="10"/>
      <c r="BG119" s="11"/>
      <c r="BH119" s="65"/>
      <c r="BI119" s="136"/>
      <c r="BJ119" s="10"/>
      <c r="BL119" s="10"/>
      <c r="BN119" s="14"/>
      <c r="BO119" s="136"/>
      <c r="BP119" s="9"/>
      <c r="BQ119" s="9"/>
      <c r="BR119" s="4">
        <v>-2054661</v>
      </c>
      <c r="BT119" s="7" t="s">
        <v>367</v>
      </c>
    </row>
    <row r="120" spans="1:74" ht="18.75" thickBot="1">
      <c r="A120" s="123" t="s">
        <v>174</v>
      </c>
      <c r="D120" s="49"/>
      <c r="F120" s="8"/>
      <c r="G120" s="140">
        <f>SUM(G113:G117)</f>
        <v>145487975.55580816</v>
      </c>
      <c r="H120" s="141" t="e">
        <f>SUM(H113:H117)</f>
        <v>#REF!</v>
      </c>
      <c r="J120" s="49"/>
      <c r="K120" s="49"/>
      <c r="L120" s="61"/>
      <c r="M120" s="49"/>
      <c r="N120" s="61"/>
      <c r="O120" s="142">
        <f>SUM(O113:O117)</f>
        <v>96904986.272751093</v>
      </c>
      <c r="Q120" s="143">
        <f>SUM(Q113:Q117)</f>
        <v>151242158</v>
      </c>
      <c r="R120" s="63"/>
      <c r="S120" s="142">
        <f>SUM(S113:S117)</f>
        <v>136698498.30441424</v>
      </c>
      <c r="T120" s="144">
        <f>SUM(T113:T117)</f>
        <v>39793512.031663157</v>
      </c>
      <c r="V120" s="51"/>
      <c r="W120" s="49"/>
      <c r="X120" s="61"/>
      <c r="Y120" s="140">
        <f>SUM(Y113:Y117)</f>
        <v>72523931.522053763</v>
      </c>
      <c r="AA120" s="143">
        <f>SUM(AA113:AA117)</f>
        <v>147970245</v>
      </c>
      <c r="AB120" s="63"/>
      <c r="AC120" s="140">
        <f>SUM(AC113:AC117)</f>
        <v>109529461.93312936</v>
      </c>
      <c r="AD120" s="145">
        <f>SUM(AD113:AD117)</f>
        <v>37005530.411075592</v>
      </c>
      <c r="AF120" s="51"/>
      <c r="AG120" s="49"/>
      <c r="AH120" s="61"/>
      <c r="AI120" s="140">
        <f>SUM(AI113:AI117)</f>
        <v>97497989.040135235</v>
      </c>
      <c r="AK120" s="146">
        <f>SUM(AK113:AK117)</f>
        <v>95859165</v>
      </c>
      <c r="AL120" s="61"/>
      <c r="AM120" s="140">
        <f>SUM(AM113:AM117)</f>
        <v>121110819.02070789</v>
      </c>
      <c r="AN120" s="145">
        <f>SUM(AN113:AN117)</f>
        <v>23612829.980572648</v>
      </c>
      <c r="AP120" s="10"/>
      <c r="AQ120" s="11"/>
      <c r="AR120" s="65"/>
      <c r="AS120" s="10"/>
      <c r="AT120" s="13"/>
      <c r="AU120" s="140">
        <f>SUM(AU113:AU117)</f>
        <v>-34692060.792710207</v>
      </c>
      <c r="AV120" s="10">
        <f t="shared" ref="AV120" si="111">+AU120-AM120</f>
        <v>-155802879.81341809</v>
      </c>
      <c r="AX120" s="10"/>
      <c r="AY120" s="11"/>
      <c r="AZ120" s="65"/>
      <c r="BA120" s="10"/>
      <c r="BB120" s="13"/>
      <c r="BC120" s="140">
        <f>SUM(BC113:BC117)</f>
        <v>-22849415.399139173</v>
      </c>
      <c r="BD120" s="10">
        <f t="shared" ref="BD120" si="112">+BC120-AU120</f>
        <v>11842645.393571034</v>
      </c>
      <c r="BF120" s="10"/>
      <c r="BG120" s="11"/>
      <c r="BH120" s="65"/>
      <c r="BI120" s="140">
        <f>SUM(BI113:BI118)</f>
        <v>-20202660.078578141</v>
      </c>
      <c r="BJ120" s="10">
        <f t="shared" ref="BJ120" si="113">+BI120-BC120</f>
        <v>2646755.3205610327</v>
      </c>
      <c r="BL120" s="10"/>
      <c r="BN120" s="14"/>
      <c r="BO120" s="140">
        <f>SUM(BO113:BO118)</f>
        <v>-12057482.572452441</v>
      </c>
      <c r="BP120" s="9"/>
      <c r="BQ120" s="9"/>
      <c r="BR120" s="91">
        <f>SUM(BR117:BR119)</f>
        <v>-4795519</v>
      </c>
    </row>
    <row r="121" spans="1:74" ht="18.75" thickTop="1">
      <c r="A121" s="8"/>
      <c r="D121" s="49"/>
      <c r="F121" s="8"/>
      <c r="G121" s="51"/>
      <c r="H121" s="8"/>
      <c r="J121" s="49"/>
      <c r="K121" s="49"/>
      <c r="L121" s="147"/>
      <c r="M121" s="49"/>
      <c r="N121" s="147"/>
      <c r="O121" s="148"/>
      <c r="Q121" s="49"/>
      <c r="R121" s="149"/>
      <c r="S121" s="73"/>
      <c r="T121" s="8"/>
      <c r="V121" s="51"/>
      <c r="W121" s="49"/>
      <c r="X121" s="147"/>
      <c r="Y121" s="10"/>
      <c r="AA121" s="49"/>
      <c r="AB121" s="149"/>
      <c r="AC121" s="10"/>
      <c r="AD121" s="9"/>
      <c r="AF121" s="51"/>
      <c r="AG121" s="49"/>
      <c r="AH121" s="147"/>
      <c r="AI121" s="10"/>
      <c r="AK121" s="51"/>
      <c r="AL121" s="147"/>
      <c r="AM121" s="10"/>
      <c r="AN121" s="9"/>
      <c r="AP121" s="10"/>
      <c r="AQ121" s="11"/>
      <c r="AR121" s="65"/>
      <c r="AS121" s="10"/>
      <c r="AT121" s="13"/>
      <c r="AU121" s="10"/>
      <c r="AV121" s="10"/>
      <c r="AX121" s="10"/>
      <c r="AY121" s="11"/>
      <c r="AZ121" s="65"/>
      <c r="BA121" s="10"/>
      <c r="BB121" s="13"/>
      <c r="BC121" s="10"/>
      <c r="BD121" s="10"/>
      <c r="BF121" s="10"/>
      <c r="BG121" s="11"/>
      <c r="BH121" s="65"/>
      <c r="BI121" s="10"/>
      <c r="BJ121" s="10"/>
      <c r="BL121" s="10"/>
      <c r="BN121" s="14"/>
      <c r="BP121" s="9"/>
      <c r="BQ121" s="9"/>
    </row>
    <row r="122" spans="1:74" ht="18">
      <c r="A122" s="8"/>
      <c r="D122" s="49"/>
      <c r="F122" s="8"/>
      <c r="G122" s="51"/>
      <c r="H122" s="8"/>
      <c r="J122" s="49"/>
      <c r="K122" s="49"/>
      <c r="L122" s="8"/>
      <c r="M122" s="49"/>
      <c r="N122" s="8"/>
      <c r="O122" s="73"/>
      <c r="Q122" s="49"/>
      <c r="R122" s="8"/>
      <c r="S122" s="73"/>
      <c r="V122" s="51"/>
      <c r="W122" s="49"/>
      <c r="X122" s="8"/>
      <c r="Y122" s="10"/>
      <c r="AA122" s="49"/>
      <c r="AB122" s="8"/>
      <c r="AC122" s="10"/>
      <c r="AD122" s="9"/>
      <c r="AF122" s="51"/>
      <c r="AG122" s="49"/>
      <c r="AH122" s="8"/>
      <c r="AI122" s="10"/>
      <c r="AK122" s="51"/>
      <c r="AL122" s="8"/>
      <c r="AM122" s="10"/>
      <c r="AN122" s="9"/>
      <c r="AP122" s="10"/>
      <c r="AQ122" s="11"/>
      <c r="AR122" s="65"/>
      <c r="AS122" s="10"/>
      <c r="AT122" s="13"/>
      <c r="AU122" s="10"/>
      <c r="AV122" s="10"/>
      <c r="AX122" s="10"/>
      <c r="AY122" s="11"/>
      <c r="AZ122" s="65"/>
      <c r="BA122" s="10"/>
      <c r="BB122" s="13"/>
      <c r="BC122" s="10"/>
      <c r="BD122" s="10"/>
      <c r="BF122" s="10"/>
      <c r="BG122" s="11"/>
      <c r="BH122" s="65"/>
      <c r="BI122" s="10"/>
      <c r="BJ122" s="10"/>
      <c r="BL122" s="10"/>
      <c r="BN122" s="14"/>
      <c r="BP122" s="9"/>
      <c r="BQ122" s="9"/>
    </row>
    <row r="123" spans="1:74" ht="18">
      <c r="A123" s="8"/>
      <c r="D123" s="49"/>
      <c r="F123" s="8"/>
      <c r="G123" s="51"/>
      <c r="H123" s="8"/>
      <c r="J123" s="49"/>
      <c r="K123" s="49"/>
      <c r="L123" s="8"/>
      <c r="M123" s="49"/>
      <c r="N123" s="8"/>
      <c r="O123" s="73"/>
      <c r="Q123" s="49"/>
      <c r="R123" s="8"/>
      <c r="S123" s="73"/>
      <c r="V123" s="51"/>
      <c r="W123" s="49"/>
      <c r="X123" s="8"/>
      <c r="Y123" s="10"/>
      <c r="AA123" s="49"/>
      <c r="AB123" s="8"/>
      <c r="AC123" s="10"/>
      <c r="AD123" s="9"/>
      <c r="AF123" s="51"/>
      <c r="AG123" s="49"/>
      <c r="AH123" s="8"/>
      <c r="AI123" s="10"/>
      <c r="AK123" s="51"/>
      <c r="AL123" s="8"/>
      <c r="AM123" s="10"/>
      <c r="AN123" s="9"/>
      <c r="AP123" s="10"/>
      <c r="AQ123" s="11"/>
      <c r="AR123" s="65"/>
      <c r="AS123" s="10"/>
      <c r="AT123" s="13"/>
      <c r="AU123" s="10"/>
      <c r="AV123" s="10"/>
      <c r="AX123" s="10"/>
      <c r="AY123" s="11"/>
      <c r="AZ123" s="65"/>
      <c r="BA123" s="10"/>
      <c r="BB123" s="13"/>
      <c r="BC123" s="10"/>
      <c r="BD123" s="10"/>
      <c r="BF123" s="10"/>
      <c r="BG123" s="11"/>
      <c r="BH123" s="65"/>
      <c r="BI123" s="10"/>
      <c r="BJ123" s="10"/>
      <c r="BL123" s="10"/>
      <c r="BN123" s="14"/>
      <c r="BP123" s="9"/>
      <c r="BQ123" s="9"/>
    </row>
    <row r="124" spans="1:74" ht="18">
      <c r="A124" s="150" t="s">
        <v>175</v>
      </c>
      <c r="D124" s="49"/>
      <c r="F124" s="8"/>
      <c r="G124" s="51"/>
      <c r="H124" s="8"/>
      <c r="J124" s="49"/>
      <c r="K124" s="49"/>
      <c r="L124" s="8"/>
      <c r="M124" s="49"/>
      <c r="N124" s="8"/>
      <c r="O124" s="73"/>
      <c r="Q124" s="49"/>
      <c r="R124" s="8"/>
      <c r="S124" s="73"/>
      <c r="V124" s="51"/>
      <c r="W124" s="49"/>
      <c r="X124" s="8"/>
      <c r="Y124" s="10"/>
      <c r="AA124" s="49"/>
      <c r="AB124" s="8"/>
      <c r="AC124" s="10"/>
      <c r="AD124" s="9"/>
      <c r="AF124" s="51"/>
      <c r="AG124" s="49"/>
      <c r="AH124" s="8"/>
      <c r="AI124" s="10"/>
      <c r="AK124" s="51"/>
      <c r="AL124" s="8"/>
      <c r="AM124" s="10"/>
      <c r="AN124" s="9"/>
      <c r="AP124" s="10"/>
      <c r="AQ124" s="11"/>
      <c r="AR124" s="65"/>
      <c r="AS124" s="10"/>
      <c r="AT124" s="13"/>
      <c r="AU124" s="10"/>
      <c r="AV124" s="10"/>
      <c r="AX124" s="10"/>
      <c r="AY124" s="11"/>
      <c r="AZ124" s="65"/>
      <c r="BA124" s="10"/>
      <c r="BB124" s="13"/>
      <c r="BC124" s="10"/>
      <c r="BD124" s="10"/>
      <c r="BF124" s="10"/>
      <c r="BG124" s="11"/>
      <c r="BH124" s="65"/>
      <c r="BI124" s="10"/>
      <c r="BJ124" s="10"/>
      <c r="BL124" s="10"/>
      <c r="BN124" s="14"/>
      <c r="BP124" s="9"/>
      <c r="BQ124" s="9"/>
    </row>
    <row r="125" spans="1:74" ht="18">
      <c r="A125" s="151"/>
      <c r="D125" s="49"/>
      <c r="F125" s="8"/>
      <c r="G125" s="51"/>
      <c r="H125" s="8"/>
      <c r="J125" s="49"/>
      <c r="K125" s="49"/>
      <c r="L125" s="8"/>
      <c r="M125" s="49"/>
      <c r="N125" s="8"/>
      <c r="O125" s="73"/>
      <c r="Q125" s="49"/>
      <c r="R125" s="8"/>
      <c r="S125" s="73"/>
      <c r="V125" s="51"/>
      <c r="W125" s="49"/>
      <c r="X125" s="8"/>
      <c r="Y125" s="10"/>
      <c r="AA125" s="49"/>
      <c r="AB125" s="8"/>
      <c r="AC125" s="10"/>
      <c r="AD125" s="9"/>
      <c r="AF125" s="51"/>
      <c r="AG125" s="49"/>
      <c r="AH125" s="8"/>
      <c r="AI125" s="10"/>
      <c r="AK125" s="51"/>
      <c r="AL125" s="8"/>
      <c r="AM125" s="10"/>
      <c r="AN125" s="9"/>
      <c r="AP125" s="10"/>
      <c r="AQ125" s="11"/>
      <c r="AR125" s="65"/>
      <c r="AS125" s="10"/>
      <c r="AT125" s="13"/>
      <c r="AU125" s="10"/>
      <c r="AV125" s="10"/>
      <c r="AX125" s="10"/>
      <c r="AY125" s="11"/>
      <c r="AZ125" s="65"/>
      <c r="BA125" s="10"/>
      <c r="BB125" s="13"/>
      <c r="BC125" s="10"/>
      <c r="BD125" s="10"/>
      <c r="BF125" s="10"/>
      <c r="BG125" s="11"/>
      <c r="BH125" s="65"/>
      <c r="BI125" s="10"/>
      <c r="BJ125" s="10"/>
      <c r="BL125" s="10"/>
      <c r="BN125" s="14"/>
      <c r="BP125" s="9"/>
      <c r="BQ125" s="9"/>
    </row>
    <row r="126" spans="1:74" ht="18">
      <c r="A126" s="151" t="s">
        <v>176</v>
      </c>
      <c r="D126" s="49"/>
      <c r="F126" s="8"/>
      <c r="G126" s="152">
        <f>G113</f>
        <v>154643276</v>
      </c>
      <c r="H126" s="52" t="e">
        <f>+G126-#REF!</f>
        <v>#REF!</v>
      </c>
      <c r="J126" s="49"/>
      <c r="K126" s="49"/>
      <c r="L126" s="8"/>
      <c r="M126" s="49"/>
      <c r="N126" s="8"/>
      <c r="O126" s="153">
        <f>O113</f>
        <v>102729463</v>
      </c>
      <c r="Q126" s="49"/>
      <c r="R126" s="8"/>
      <c r="S126" s="153">
        <f>S113</f>
        <v>144797777</v>
      </c>
      <c r="T126" s="57">
        <f>+S126-O126</f>
        <v>42068314</v>
      </c>
      <c r="V126" s="51"/>
      <c r="W126" s="49"/>
      <c r="X126" s="8"/>
      <c r="Y126" s="152">
        <f>Y113</f>
        <v>76950837</v>
      </c>
      <c r="AA126" s="49"/>
      <c r="AB126" s="8"/>
      <c r="AC126" s="152">
        <f>AC113</f>
        <v>116071794</v>
      </c>
      <c r="AD126" s="60">
        <f>+AC126-Y126</f>
        <v>39120957</v>
      </c>
      <c r="AF126" s="51"/>
      <c r="AG126" s="49"/>
      <c r="AH126" s="8"/>
      <c r="AI126" s="152">
        <f>AI113</f>
        <v>102535943</v>
      </c>
      <c r="AK126" s="51"/>
      <c r="AL126" s="8"/>
      <c r="AM126" s="152">
        <f>AM113</f>
        <v>127502147</v>
      </c>
      <c r="AN126" s="60">
        <f>+AM126-AI126</f>
        <v>24966204</v>
      </c>
      <c r="AP126" s="10"/>
      <c r="AQ126" s="11"/>
      <c r="AR126" s="65"/>
      <c r="AS126" s="10"/>
      <c r="AT126" s="14"/>
      <c r="AU126" s="152">
        <f>AU113</f>
        <v>-33571151.200000018</v>
      </c>
      <c r="AV126" s="10">
        <f t="shared" ref="AV126" si="114">+AU126-AM126</f>
        <v>-161073298.20000002</v>
      </c>
      <c r="AX126" s="10"/>
      <c r="AY126" s="11"/>
      <c r="AZ126" s="65"/>
      <c r="BA126" s="10"/>
      <c r="BB126" s="14"/>
      <c r="BC126" s="152">
        <f>BC113</f>
        <v>-21640053.600000024</v>
      </c>
      <c r="BD126" s="10">
        <f t="shared" ref="BD126" si="115">+BC126-AU126</f>
        <v>11931097.599999994</v>
      </c>
      <c r="BF126" s="152"/>
      <c r="BG126" s="11"/>
      <c r="BH126" s="65"/>
      <c r="BI126" s="152">
        <f>BI113</f>
        <v>-17821243</v>
      </c>
      <c r="BJ126" s="10">
        <f t="shared" ref="BJ126" si="116">+BI126-BC126</f>
        <v>3818810.6000000238</v>
      </c>
      <c r="BL126" s="10"/>
      <c r="BN126" s="14"/>
      <c r="BO126" s="152">
        <f>BO113</f>
        <v>-9864574</v>
      </c>
      <c r="BP126" s="10">
        <f>+BO126-BI126</f>
        <v>7956669</v>
      </c>
      <c r="BQ126" s="10"/>
    </row>
    <row r="127" spans="1:74" ht="18">
      <c r="A127" s="151"/>
      <c r="D127" s="49"/>
      <c r="F127" s="8"/>
      <c r="G127" s="51"/>
      <c r="H127" s="8"/>
      <c r="J127" s="49"/>
      <c r="K127" s="49"/>
      <c r="L127" s="8"/>
      <c r="M127" s="49"/>
      <c r="N127" s="8"/>
      <c r="O127" s="73"/>
      <c r="Q127" s="49"/>
      <c r="R127" s="8"/>
      <c r="S127" s="73"/>
      <c r="V127" s="51"/>
      <c r="W127" s="49"/>
      <c r="X127" s="8"/>
      <c r="Y127" s="10"/>
      <c r="AA127" s="49"/>
      <c r="AB127" s="8"/>
      <c r="AC127" s="10"/>
      <c r="AD127" s="9"/>
      <c r="AF127" s="51"/>
      <c r="AG127" s="49"/>
      <c r="AH127" s="8"/>
      <c r="AI127" s="10"/>
      <c r="AK127" s="51"/>
      <c r="AL127" s="8"/>
      <c r="AM127" s="10"/>
      <c r="AN127" s="9"/>
      <c r="AP127" s="10"/>
      <c r="AQ127" s="11"/>
      <c r="AR127" s="65"/>
      <c r="AS127" s="10"/>
      <c r="AT127" s="14"/>
      <c r="AU127" s="10"/>
      <c r="AV127" s="71"/>
      <c r="AX127" s="10"/>
      <c r="AY127" s="11"/>
      <c r="AZ127" s="65"/>
      <c r="BA127" s="10"/>
      <c r="BB127" s="14"/>
      <c r="BC127" s="10"/>
      <c r="BD127" s="71"/>
      <c r="BF127" s="10"/>
      <c r="BG127" s="11"/>
      <c r="BH127" s="65"/>
      <c r="BI127" s="10"/>
      <c r="BJ127" s="71"/>
      <c r="BL127" s="10"/>
      <c r="BN127" s="14"/>
      <c r="BO127" s="10"/>
      <c r="BP127" s="71"/>
      <c r="BQ127" s="71"/>
    </row>
    <row r="128" spans="1:74" ht="19.5">
      <c r="A128" s="154" t="s">
        <v>177</v>
      </c>
      <c r="D128" s="49"/>
      <c r="F128" s="8"/>
      <c r="G128" s="51"/>
      <c r="H128" s="8"/>
      <c r="J128" s="49"/>
      <c r="K128" s="49"/>
      <c r="L128" s="8"/>
      <c r="M128" s="49"/>
      <c r="N128" s="8"/>
      <c r="O128" s="73"/>
      <c r="Q128" s="49"/>
      <c r="R128" s="8"/>
      <c r="S128" s="73"/>
      <c r="V128" s="51"/>
      <c r="W128" s="49"/>
      <c r="X128" s="8"/>
      <c r="Y128" s="10"/>
      <c r="AA128" s="49"/>
      <c r="AB128" s="8"/>
      <c r="AC128" s="10"/>
      <c r="AD128" s="9"/>
      <c r="AF128" s="51"/>
      <c r="AG128" s="49"/>
      <c r="AH128" s="8"/>
      <c r="AI128" s="10"/>
      <c r="AK128" s="51"/>
      <c r="AL128" s="8"/>
      <c r="AM128" s="10"/>
      <c r="AN128" s="9"/>
      <c r="AP128" s="10"/>
      <c r="AQ128" s="11"/>
      <c r="AR128" s="65"/>
      <c r="AS128" s="10"/>
      <c r="AT128" s="14"/>
      <c r="AU128" s="10"/>
      <c r="AV128" s="71"/>
      <c r="AX128" s="10"/>
      <c r="AY128" s="11"/>
      <c r="AZ128" s="65"/>
      <c r="BA128" s="10"/>
      <c r="BB128" s="14"/>
      <c r="BC128" s="10"/>
      <c r="BD128" s="71"/>
      <c r="BF128" s="10"/>
      <c r="BG128" s="11"/>
      <c r="BH128" s="65"/>
      <c r="BI128" s="10"/>
      <c r="BJ128" s="71"/>
      <c r="BL128" s="10"/>
      <c r="BN128" s="14"/>
      <c r="BO128" s="10"/>
      <c r="BP128" s="71"/>
      <c r="BQ128" s="71"/>
      <c r="BV128" s="154" t="s">
        <v>177</v>
      </c>
    </row>
    <row r="129" spans="1:74" ht="18">
      <c r="A129" s="151"/>
      <c r="D129" s="49"/>
      <c r="F129" s="8"/>
      <c r="G129" s="51"/>
      <c r="H129" s="8"/>
      <c r="J129" s="49"/>
      <c r="K129" s="49"/>
      <c r="L129" s="8"/>
      <c r="M129" s="49"/>
      <c r="N129" s="8"/>
      <c r="O129" s="73"/>
      <c r="Q129" s="49"/>
      <c r="R129" s="8"/>
      <c r="S129" s="73"/>
      <c r="V129" s="51"/>
      <c r="W129" s="49"/>
      <c r="X129" s="8"/>
      <c r="Y129" s="10"/>
      <c r="AA129" s="49"/>
      <c r="AB129" s="8"/>
      <c r="AC129" s="10"/>
      <c r="AD129" s="9"/>
      <c r="AF129" s="51"/>
      <c r="AG129" s="49"/>
      <c r="AH129" s="8"/>
      <c r="AI129" s="10"/>
      <c r="AK129" s="51"/>
      <c r="AL129" s="8"/>
      <c r="AM129" s="10"/>
      <c r="AN129" s="9"/>
      <c r="AP129" s="10"/>
      <c r="AQ129" s="11"/>
      <c r="AR129" s="65"/>
      <c r="AS129" s="10"/>
      <c r="AT129" s="14"/>
      <c r="AU129" s="10"/>
      <c r="AV129" s="71"/>
      <c r="AX129" s="10"/>
      <c r="AY129" s="11"/>
      <c r="AZ129" s="65"/>
      <c r="BA129" s="10"/>
      <c r="BB129" s="14"/>
      <c r="BC129" s="10"/>
      <c r="BD129" s="71"/>
      <c r="BF129" s="10"/>
      <c r="BG129" s="11"/>
      <c r="BH129" s="65"/>
      <c r="BI129" s="10"/>
      <c r="BJ129" s="71"/>
      <c r="BL129" s="10"/>
      <c r="BN129" s="14"/>
      <c r="BO129" s="10"/>
      <c r="BP129" s="71"/>
      <c r="BQ129" s="71"/>
      <c r="BV129" s="151"/>
    </row>
    <row r="130" spans="1:74" ht="18">
      <c r="A130" s="151" t="s">
        <v>178</v>
      </c>
      <c r="D130" s="49"/>
      <c r="F130" s="8">
        <v>9</v>
      </c>
      <c r="G130" s="51">
        <v>50729880</v>
      </c>
      <c r="H130" s="52" t="e">
        <f>+G130-#REF!</f>
        <v>#REF!</v>
      </c>
      <c r="J130" s="49"/>
      <c r="K130" s="49"/>
      <c r="L130" s="8"/>
      <c r="M130" s="49"/>
      <c r="N130" s="62">
        <v>33</v>
      </c>
      <c r="O130" s="73">
        <v>5446104</v>
      </c>
      <c r="Q130" s="49"/>
      <c r="R130" s="62">
        <v>33</v>
      </c>
      <c r="S130" s="73">
        <v>5446104</v>
      </c>
      <c r="T130" s="57">
        <f>+S130-O130</f>
        <v>0</v>
      </c>
      <c r="V130" s="51"/>
      <c r="W130" s="49"/>
      <c r="X130" s="62">
        <v>33</v>
      </c>
      <c r="Y130" s="10">
        <v>5446104</v>
      </c>
      <c r="AA130" s="49"/>
      <c r="AB130" s="62">
        <v>33</v>
      </c>
      <c r="AC130" s="10">
        <v>5446104</v>
      </c>
      <c r="AD130" s="60">
        <f>+AC130-Y130</f>
        <v>0</v>
      </c>
      <c r="AF130" s="51"/>
      <c r="AG130" s="49"/>
      <c r="AH130" s="62">
        <v>33</v>
      </c>
      <c r="AI130" s="10">
        <v>-8000000</v>
      </c>
      <c r="AK130" s="51"/>
      <c r="AL130" s="62">
        <v>33</v>
      </c>
      <c r="AM130" s="10">
        <v>-8000000</v>
      </c>
      <c r="AN130" s="60">
        <f>+AM130-AI130</f>
        <v>0</v>
      </c>
      <c r="AP130" s="10"/>
      <c r="AQ130" s="11"/>
      <c r="AR130" s="65"/>
      <c r="AS130" s="10"/>
      <c r="AT130" s="62">
        <v>33</v>
      </c>
      <c r="AU130" s="10">
        <v>73000000</v>
      </c>
      <c r="AV130" s="10">
        <f t="shared" ref="AV130" si="117">+AU130-AM130</f>
        <v>81000000</v>
      </c>
      <c r="AX130" s="10"/>
      <c r="AY130" s="11"/>
      <c r="AZ130" s="65"/>
      <c r="BA130" s="10"/>
      <c r="BB130" s="62">
        <v>33</v>
      </c>
      <c r="BC130" s="10">
        <v>73000000</v>
      </c>
      <c r="BD130" s="10">
        <f t="shared" ref="BD130" si="118">+BC130-AU130</f>
        <v>0</v>
      </c>
      <c r="BF130" s="10"/>
      <c r="BG130" s="11"/>
      <c r="BH130" s="65">
        <v>58</v>
      </c>
      <c r="BI130" s="10">
        <v>75000000</v>
      </c>
      <c r="BJ130" s="10">
        <f t="shared" ref="BJ130:BJ131" si="119">+BI130-BC130</f>
        <v>2000000</v>
      </c>
      <c r="BL130" s="10"/>
      <c r="BN130" s="14">
        <v>16</v>
      </c>
      <c r="BO130" s="10">
        <v>66762229</v>
      </c>
      <c r="BP130" s="10">
        <f>+BO130-BI130</f>
        <v>-8237771</v>
      </c>
      <c r="BQ130" s="10"/>
      <c r="BU130" s="4">
        <f t="shared" ref="BU130:BU136" si="120">+BO130</f>
        <v>66762229</v>
      </c>
      <c r="BV130" s="151" t="s">
        <v>178</v>
      </c>
    </row>
    <row r="131" spans="1:74" ht="18">
      <c r="A131" s="151"/>
      <c r="D131" s="49"/>
      <c r="F131" s="8"/>
      <c r="G131" s="51"/>
      <c r="H131" s="8"/>
      <c r="J131" s="49"/>
      <c r="K131" s="49"/>
      <c r="L131" s="8"/>
      <c r="M131" s="49"/>
      <c r="N131" s="8"/>
      <c r="O131" s="73"/>
      <c r="Q131" s="49"/>
      <c r="R131" s="8"/>
      <c r="S131" s="73"/>
      <c r="V131" s="51"/>
      <c r="W131" s="49"/>
      <c r="X131" s="8"/>
      <c r="Y131" s="10"/>
      <c r="AA131" s="49"/>
      <c r="AB131" s="8"/>
      <c r="AC131" s="10"/>
      <c r="AD131" s="9"/>
      <c r="AF131" s="51"/>
      <c r="AG131" s="49"/>
      <c r="AH131" s="8"/>
      <c r="AI131" s="10"/>
      <c r="AK131" s="51"/>
      <c r="AL131" s="8"/>
      <c r="AM131" s="10"/>
      <c r="AN131" s="9"/>
      <c r="AP131" s="10"/>
      <c r="AQ131" s="11"/>
      <c r="AR131" s="65"/>
      <c r="AS131" s="10"/>
      <c r="AT131" s="14"/>
      <c r="AU131" s="10"/>
      <c r="AV131" s="71"/>
      <c r="AX131" s="10"/>
      <c r="AY131" s="11"/>
      <c r="AZ131" s="65"/>
      <c r="BA131" s="10"/>
      <c r="BB131" s="14"/>
      <c r="BC131" s="10">
        <v>-14579889</v>
      </c>
      <c r="BD131" s="71"/>
      <c r="BF131" s="10"/>
      <c r="BG131" s="11"/>
      <c r="BH131" s="65"/>
      <c r="BI131" s="10"/>
      <c r="BJ131" s="10">
        <f t="shared" si="119"/>
        <v>14579889</v>
      </c>
      <c r="BL131" s="10"/>
      <c r="BN131" s="14"/>
      <c r="BO131" s="10"/>
      <c r="BP131" s="10">
        <f t="shared" ref="BP131:BP132" si="121">+BO131-BI131</f>
        <v>0</v>
      </c>
      <c r="BQ131" s="10"/>
      <c r="BU131" s="4">
        <f t="shared" si="120"/>
        <v>0</v>
      </c>
      <c r="BV131" s="151"/>
    </row>
    <row r="132" spans="1:74" ht="18">
      <c r="A132" s="155" t="s">
        <v>179</v>
      </c>
      <c r="D132" s="49"/>
      <c r="F132" s="8"/>
      <c r="G132" s="51">
        <v>-21355</v>
      </c>
      <c r="H132" s="8"/>
      <c r="J132" s="49"/>
      <c r="K132" s="49"/>
      <c r="L132" s="8"/>
      <c r="M132" s="49"/>
      <c r="N132" s="62">
        <v>33</v>
      </c>
      <c r="O132" s="73"/>
      <c r="Q132" s="49"/>
      <c r="R132" s="62">
        <v>33</v>
      </c>
      <c r="S132" s="73"/>
      <c r="V132" s="51"/>
      <c r="W132" s="49"/>
      <c r="X132" s="8"/>
      <c r="Y132" s="10"/>
      <c r="AA132" s="49"/>
      <c r="AB132" s="62">
        <v>33</v>
      </c>
      <c r="AC132" s="10"/>
      <c r="AD132" s="9"/>
      <c r="AF132" s="51"/>
      <c r="AG132" s="49"/>
      <c r="AH132" s="8"/>
      <c r="AI132" s="10"/>
      <c r="AK132" s="51"/>
      <c r="AL132" s="62">
        <v>33</v>
      </c>
      <c r="AM132" s="10"/>
      <c r="AN132" s="9"/>
      <c r="AP132" s="10"/>
      <c r="AQ132" s="11"/>
      <c r="AR132" s="65"/>
      <c r="AS132" s="10"/>
      <c r="AT132" s="62">
        <v>33</v>
      </c>
      <c r="AU132" s="10"/>
      <c r="AV132" s="71"/>
      <c r="AX132" s="10"/>
      <c r="AY132" s="11"/>
      <c r="AZ132" s="65"/>
      <c r="BA132" s="10"/>
      <c r="BB132" s="62">
        <v>33</v>
      </c>
      <c r="BC132" s="10"/>
      <c r="BD132" s="71"/>
      <c r="BF132" s="10"/>
      <c r="BG132" s="11"/>
      <c r="BH132" s="65"/>
      <c r="BI132" s="10"/>
      <c r="BJ132" s="71"/>
      <c r="BL132" s="10"/>
      <c r="BN132" s="14">
        <v>16</v>
      </c>
      <c r="BO132" s="10">
        <v>-36713</v>
      </c>
      <c r="BP132" s="36">
        <f t="shared" si="121"/>
        <v>-36713</v>
      </c>
      <c r="BQ132" s="36"/>
      <c r="BU132" s="4">
        <f t="shared" si="120"/>
        <v>-36713</v>
      </c>
      <c r="BV132" s="155" t="s">
        <v>179</v>
      </c>
    </row>
    <row r="133" spans="1:74" ht="18">
      <c r="A133" s="155"/>
      <c r="D133" s="49"/>
      <c r="F133" s="8"/>
      <c r="G133" s="51"/>
      <c r="H133" s="8"/>
      <c r="J133" s="49"/>
      <c r="K133" s="49"/>
      <c r="L133" s="8"/>
      <c r="M133" s="49"/>
      <c r="N133" s="62"/>
      <c r="O133" s="73"/>
      <c r="Q133" s="49"/>
      <c r="R133" s="62"/>
      <c r="S133" s="73"/>
      <c r="V133" s="51"/>
      <c r="W133" s="49"/>
      <c r="X133" s="8"/>
      <c r="Y133" s="10"/>
      <c r="AA133" s="49"/>
      <c r="AB133" s="62"/>
      <c r="AC133" s="10"/>
      <c r="AD133" s="9"/>
      <c r="AF133" s="51"/>
      <c r="AG133" s="49"/>
      <c r="AH133" s="8"/>
      <c r="AI133" s="10"/>
      <c r="AK133" s="51"/>
      <c r="AL133" s="62"/>
      <c r="AM133" s="10"/>
      <c r="AN133" s="9"/>
      <c r="AP133" s="10"/>
      <c r="AQ133" s="11"/>
      <c r="AR133" s="65"/>
      <c r="AS133" s="10"/>
      <c r="AT133" s="62"/>
      <c r="AU133" s="10"/>
      <c r="AV133" s="71"/>
      <c r="AX133" s="10"/>
      <c r="AY133" s="11"/>
      <c r="AZ133" s="65"/>
      <c r="BA133" s="10"/>
      <c r="BB133" s="62"/>
      <c r="BC133" s="10"/>
      <c r="BD133" s="71"/>
      <c r="BF133" s="10"/>
      <c r="BG133" s="11"/>
      <c r="BH133" s="65"/>
      <c r="BI133" s="10"/>
      <c r="BJ133" s="71"/>
      <c r="BL133" s="10"/>
      <c r="BN133" s="14"/>
      <c r="BO133" s="10"/>
      <c r="BP133" s="71"/>
      <c r="BQ133" s="71"/>
      <c r="BU133" s="4">
        <f t="shared" si="120"/>
        <v>0</v>
      </c>
      <c r="BV133" s="155"/>
    </row>
    <row r="134" spans="1:74" ht="18">
      <c r="A134" s="155" t="s">
        <v>180</v>
      </c>
      <c r="D134" s="49"/>
      <c r="F134" s="8"/>
      <c r="G134" s="51">
        <v>-38329</v>
      </c>
      <c r="H134" s="8"/>
      <c r="J134" s="49"/>
      <c r="K134" s="49"/>
      <c r="L134" s="8"/>
      <c r="M134" s="49"/>
      <c r="N134" s="62">
        <v>33</v>
      </c>
      <c r="O134" s="73"/>
      <c r="Q134" s="49"/>
      <c r="R134" s="62">
        <v>33</v>
      </c>
      <c r="S134" s="73"/>
      <c r="V134" s="51"/>
      <c r="W134" s="49"/>
      <c r="X134" s="8"/>
      <c r="Y134" s="10"/>
      <c r="AA134" s="49"/>
      <c r="AB134" s="62">
        <v>33</v>
      </c>
      <c r="AC134" s="10"/>
      <c r="AD134" s="9"/>
      <c r="AF134" s="51"/>
      <c r="AG134" s="49"/>
      <c r="AH134" s="8"/>
      <c r="AI134" s="10"/>
      <c r="AK134" s="51"/>
      <c r="AL134" s="62">
        <v>33</v>
      </c>
      <c r="AM134" s="10"/>
      <c r="AN134" s="9"/>
      <c r="AP134" s="10"/>
      <c r="AQ134" s="11"/>
      <c r="AR134" s="65"/>
      <c r="AS134" s="10"/>
      <c r="AT134" s="62">
        <v>33</v>
      </c>
      <c r="AU134" s="10"/>
      <c r="AV134" s="71"/>
      <c r="AX134" s="10"/>
      <c r="AY134" s="11"/>
      <c r="AZ134" s="65"/>
      <c r="BA134" s="10"/>
      <c r="BB134" s="62">
        <v>33</v>
      </c>
      <c r="BC134" s="10"/>
      <c r="BD134" s="71"/>
      <c r="BF134" s="10"/>
      <c r="BG134" s="11"/>
      <c r="BH134" s="65"/>
      <c r="BI134" s="10"/>
      <c r="BJ134" s="71"/>
      <c r="BL134" s="10"/>
      <c r="BN134" s="14">
        <v>16</v>
      </c>
      <c r="BO134" s="10">
        <v>37898</v>
      </c>
      <c r="BP134" s="36">
        <f t="shared" ref="BP134" si="122">+BO134-BI134</f>
        <v>37898</v>
      </c>
      <c r="BQ134" s="36"/>
      <c r="BU134" s="4">
        <f t="shared" si="120"/>
        <v>37898</v>
      </c>
      <c r="BV134" s="155" t="s">
        <v>180</v>
      </c>
    </row>
    <row r="135" spans="1:74" ht="18">
      <c r="A135" s="151"/>
      <c r="D135" s="49"/>
      <c r="F135" s="8"/>
      <c r="G135" s="51"/>
      <c r="H135" s="8"/>
      <c r="J135" s="49"/>
      <c r="K135" s="49"/>
      <c r="L135" s="8"/>
      <c r="M135" s="49"/>
      <c r="N135" s="8"/>
      <c r="O135" s="73"/>
      <c r="Q135" s="49"/>
      <c r="R135" s="8"/>
      <c r="S135" s="73"/>
      <c r="V135" s="51"/>
      <c r="W135" s="49"/>
      <c r="X135" s="8"/>
      <c r="Y135" s="10"/>
      <c r="AA135" s="49"/>
      <c r="AB135" s="8"/>
      <c r="AC135" s="10"/>
      <c r="AD135" s="9"/>
      <c r="AF135" s="51"/>
      <c r="AG135" s="49"/>
      <c r="AH135" s="8"/>
      <c r="AI135" s="10"/>
      <c r="AK135" s="51"/>
      <c r="AL135" s="8"/>
      <c r="AM135" s="10"/>
      <c r="AN135" s="9"/>
      <c r="AP135" s="10"/>
      <c r="AQ135" s="11"/>
      <c r="AR135" s="65"/>
      <c r="AS135" s="10"/>
      <c r="AT135" s="14"/>
      <c r="AU135" s="10"/>
      <c r="AV135" s="71"/>
      <c r="AX135" s="10"/>
      <c r="AY135" s="11"/>
      <c r="AZ135" s="65"/>
      <c r="BA135" s="10"/>
      <c r="BB135" s="14"/>
      <c r="BC135" s="10"/>
      <c r="BD135" s="71"/>
      <c r="BF135" s="10"/>
      <c r="BG135" s="11"/>
      <c r="BH135" s="65"/>
      <c r="BI135" s="10"/>
      <c r="BJ135" s="71"/>
      <c r="BL135" s="10"/>
      <c r="BN135" s="14"/>
      <c r="BO135" s="10"/>
      <c r="BP135" s="71"/>
      <c r="BQ135" s="71"/>
      <c r="BU135" s="4">
        <f t="shared" si="120"/>
        <v>0</v>
      </c>
      <c r="BV135" s="151"/>
    </row>
    <row r="136" spans="1:74" ht="18">
      <c r="A136" s="151" t="s">
        <v>181</v>
      </c>
      <c r="D136" s="49"/>
      <c r="F136" s="8"/>
      <c r="G136" s="51"/>
      <c r="H136" s="8"/>
      <c r="J136" s="49"/>
      <c r="K136" s="49"/>
      <c r="L136" s="8"/>
      <c r="M136" s="49"/>
      <c r="N136" s="8"/>
      <c r="O136" s="73"/>
      <c r="Q136" s="49"/>
      <c r="R136" s="8"/>
      <c r="S136" s="73"/>
      <c r="V136" s="51"/>
      <c r="W136" s="49"/>
      <c r="X136" s="8"/>
      <c r="Y136" s="10"/>
      <c r="AA136" s="49"/>
      <c r="AB136" s="8"/>
      <c r="AC136" s="10"/>
      <c r="AD136" s="9"/>
      <c r="AF136" s="51"/>
      <c r="AG136" s="49"/>
      <c r="AH136" s="8"/>
      <c r="AI136" s="10"/>
      <c r="AK136" s="51"/>
      <c r="AL136" s="8"/>
      <c r="AM136" s="10"/>
      <c r="AN136" s="9"/>
      <c r="AP136" s="10"/>
      <c r="AQ136" s="11"/>
      <c r="AR136" s="65"/>
      <c r="AS136" s="10"/>
      <c r="AT136" s="14"/>
      <c r="AU136" s="10"/>
      <c r="AV136" s="71"/>
      <c r="AX136" s="10"/>
      <c r="AY136" s="11"/>
      <c r="AZ136" s="65"/>
      <c r="BA136" s="10"/>
      <c r="BB136" s="14"/>
      <c r="BC136" s="10"/>
      <c r="BD136" s="71"/>
      <c r="BF136" s="10"/>
      <c r="BG136" s="11"/>
      <c r="BH136" s="65"/>
      <c r="BI136" s="10"/>
      <c r="BJ136" s="71"/>
      <c r="BL136" s="10"/>
      <c r="BM136" s="93"/>
      <c r="BN136" s="14">
        <v>16</v>
      </c>
      <c r="BO136" s="10">
        <v>-2032720</v>
      </c>
      <c r="BP136" s="36">
        <f t="shared" ref="BP136" si="123">+BO136-BI136</f>
        <v>-2032720</v>
      </c>
      <c r="BQ136" s="36"/>
      <c r="BU136" s="4">
        <f t="shared" si="120"/>
        <v>-2032720</v>
      </c>
      <c r="BV136" s="151" t="s">
        <v>181</v>
      </c>
    </row>
    <row r="137" spans="1:74" ht="18">
      <c r="A137" s="151"/>
      <c r="D137" s="49"/>
      <c r="F137" s="8"/>
      <c r="G137" s="51"/>
      <c r="H137" s="8"/>
      <c r="J137" s="49"/>
      <c r="K137" s="49"/>
      <c r="L137" s="8"/>
      <c r="M137" s="49"/>
      <c r="N137" s="8"/>
      <c r="O137" s="73"/>
      <c r="Q137" s="49"/>
      <c r="R137" s="8"/>
      <c r="S137" s="73"/>
      <c r="V137" s="51"/>
      <c r="W137" s="49"/>
      <c r="X137" s="8"/>
      <c r="Y137" s="10"/>
      <c r="AA137" s="49"/>
      <c r="AB137" s="8"/>
      <c r="AC137" s="10"/>
      <c r="AD137" s="9"/>
      <c r="AF137" s="51"/>
      <c r="AG137" s="49"/>
      <c r="AH137" s="8"/>
      <c r="AI137" s="10"/>
      <c r="AK137" s="51"/>
      <c r="AL137" s="8"/>
      <c r="AM137" s="10"/>
      <c r="AN137" s="9"/>
      <c r="AP137" s="10"/>
      <c r="AQ137" s="11"/>
      <c r="AR137" s="65"/>
      <c r="AS137" s="10"/>
      <c r="AT137" s="14"/>
      <c r="AU137" s="10"/>
      <c r="AV137" s="71"/>
      <c r="AX137" s="10"/>
      <c r="AY137" s="11"/>
      <c r="AZ137" s="65"/>
      <c r="BA137" s="10"/>
      <c r="BB137" s="14"/>
      <c r="BC137" s="10"/>
      <c r="BD137" s="71"/>
      <c r="BF137" s="10"/>
      <c r="BG137" s="11"/>
      <c r="BH137" s="65"/>
      <c r="BI137" s="10"/>
      <c r="BJ137" s="71"/>
      <c r="BL137" s="10"/>
      <c r="BN137" s="80">
        <f>SUM(BO130:BO136)</f>
        <v>64730694</v>
      </c>
      <c r="BO137" s="10"/>
      <c r="BP137" s="71"/>
      <c r="BQ137" s="71"/>
      <c r="BU137" s="91">
        <f>SUM(BU130:BU136)</f>
        <v>64730694</v>
      </c>
      <c r="BV137" s="156" t="s">
        <v>357</v>
      </c>
    </row>
    <row r="138" spans="1:74" ht="20.25" thickBot="1">
      <c r="A138" s="154" t="s">
        <v>182</v>
      </c>
      <c r="D138" s="49"/>
      <c r="F138" s="8"/>
      <c r="G138" s="51"/>
      <c r="H138" s="8"/>
      <c r="J138" s="49"/>
      <c r="K138" s="49"/>
      <c r="L138" s="8"/>
      <c r="M138" s="49"/>
      <c r="N138" s="8"/>
      <c r="O138" s="73"/>
      <c r="Q138" s="49"/>
      <c r="R138" s="8"/>
      <c r="S138" s="73"/>
      <c r="V138" s="51"/>
      <c r="W138" s="49"/>
      <c r="X138" s="8"/>
      <c r="Y138" s="10"/>
      <c r="AA138" s="49"/>
      <c r="AB138" s="8"/>
      <c r="AC138" s="10"/>
      <c r="AD138" s="9"/>
      <c r="AF138" s="51"/>
      <c r="AG138" s="49"/>
      <c r="AH138" s="8"/>
      <c r="AI138" s="10"/>
      <c r="AK138" s="51"/>
      <c r="AL138" s="8"/>
      <c r="AM138" s="10"/>
      <c r="AN138" s="9"/>
      <c r="AP138" s="10"/>
      <c r="AQ138" s="11"/>
      <c r="AR138" s="65"/>
      <c r="AS138" s="10"/>
      <c r="AT138" s="14"/>
      <c r="AU138" s="10"/>
      <c r="AV138" s="71"/>
      <c r="AX138" s="10"/>
      <c r="AY138" s="11"/>
      <c r="AZ138" s="65"/>
      <c r="BA138" s="10"/>
      <c r="BB138" s="14"/>
      <c r="BC138" s="10"/>
      <c r="BD138" s="71"/>
      <c r="BF138" s="10"/>
      <c r="BG138" s="11"/>
      <c r="BH138" s="65"/>
      <c r="BI138" s="10"/>
      <c r="BJ138" s="71"/>
      <c r="BL138" s="10"/>
      <c r="BN138" s="14"/>
      <c r="BO138" s="10"/>
      <c r="BP138" s="71"/>
      <c r="BQ138" s="157" t="s">
        <v>359</v>
      </c>
      <c r="BU138" s="122">
        <f>SUM(BU137,BU107)</f>
        <v>-102344070</v>
      </c>
      <c r="BV138" s="7" t="s">
        <v>358</v>
      </c>
    </row>
    <row r="139" spans="1:74" ht="18.75" thickTop="1">
      <c r="A139" s="151" t="s">
        <v>183</v>
      </c>
      <c r="D139" s="49"/>
      <c r="F139" s="8"/>
      <c r="G139" s="51"/>
      <c r="H139" s="8"/>
      <c r="J139" s="49"/>
      <c r="K139" s="49"/>
      <c r="L139" s="8"/>
      <c r="M139" s="49"/>
      <c r="N139" s="8"/>
      <c r="O139" s="73"/>
      <c r="Q139" s="49"/>
      <c r="R139" s="8"/>
      <c r="S139" s="73"/>
      <c r="V139" s="51"/>
      <c r="W139" s="49"/>
      <c r="X139" s="8"/>
      <c r="Y139" s="10"/>
      <c r="AA139" s="49"/>
      <c r="AB139" s="8"/>
      <c r="AC139" s="10"/>
      <c r="AD139" s="9"/>
      <c r="AF139" s="51"/>
      <c r="AG139" s="49"/>
      <c r="AH139" s="8"/>
      <c r="AI139" s="10"/>
      <c r="AK139" s="51"/>
      <c r="AL139" s="8"/>
      <c r="AM139" s="10"/>
      <c r="AN139" s="9"/>
      <c r="AP139" s="10"/>
      <c r="AQ139" s="11"/>
      <c r="AR139" s="65"/>
      <c r="AS139" s="10"/>
      <c r="AT139" s="14"/>
      <c r="AU139" s="10"/>
      <c r="AV139" s="71"/>
      <c r="AX139" s="10"/>
      <c r="AY139" s="11"/>
      <c r="AZ139" s="65"/>
      <c r="BA139" s="10"/>
      <c r="BB139" s="14"/>
      <c r="BC139" s="10"/>
      <c r="BD139" s="71"/>
      <c r="BF139" s="10"/>
      <c r="BG139" s="11"/>
      <c r="BH139" s="65"/>
      <c r="BI139" s="10"/>
      <c r="BJ139" s="71"/>
      <c r="BL139" s="10"/>
      <c r="BN139" s="14">
        <v>21</v>
      </c>
      <c r="BO139" s="10">
        <v>1546861</v>
      </c>
      <c r="BP139" s="71"/>
      <c r="BQ139" s="8" t="s">
        <v>369</v>
      </c>
    </row>
    <row r="140" spans="1:74" ht="18">
      <c r="A140" s="155" t="s">
        <v>184</v>
      </c>
      <c r="D140" s="49"/>
      <c r="F140" s="8" t="s">
        <v>185</v>
      </c>
      <c r="G140" s="51">
        <v>30258</v>
      </c>
      <c r="H140" s="52" t="e">
        <f>+G140-#REF!</f>
        <v>#REF!</v>
      </c>
      <c r="J140" s="49"/>
      <c r="K140" s="49"/>
      <c r="L140" s="8"/>
      <c r="M140" s="49"/>
      <c r="N140" s="8"/>
      <c r="O140" s="73">
        <v>0</v>
      </c>
      <c r="Q140" s="49"/>
      <c r="R140" s="8"/>
      <c r="S140" s="73"/>
      <c r="V140" s="51"/>
      <c r="W140" s="49"/>
      <c r="X140" s="8"/>
      <c r="Y140" s="10">
        <v>0</v>
      </c>
      <c r="AA140" s="49"/>
      <c r="AB140" s="8"/>
      <c r="AC140" s="10"/>
      <c r="AD140" s="9"/>
      <c r="AF140" s="51"/>
      <c r="AG140" s="49"/>
      <c r="AH140" s="8"/>
      <c r="AI140" s="10">
        <v>0</v>
      </c>
      <c r="AK140" s="51"/>
      <c r="AL140" s="8"/>
      <c r="AM140" s="10"/>
      <c r="AN140" s="9"/>
      <c r="AP140" s="10"/>
      <c r="AQ140" s="11"/>
      <c r="AR140" s="65"/>
      <c r="AS140" s="10"/>
      <c r="AT140" s="14"/>
      <c r="AU140" s="10"/>
      <c r="AV140" s="71"/>
      <c r="AX140" s="10"/>
      <c r="AY140" s="11"/>
      <c r="AZ140" s="65"/>
      <c r="BA140" s="10"/>
      <c r="BB140" s="14"/>
      <c r="BC140" s="10"/>
      <c r="BD140" s="71"/>
      <c r="BF140" s="10"/>
      <c r="BG140" s="11"/>
      <c r="BH140" s="65"/>
      <c r="BI140" s="10">
        <v>0</v>
      </c>
      <c r="BJ140" s="71"/>
      <c r="BL140" s="10"/>
      <c r="BN140" s="158" t="s">
        <v>186</v>
      </c>
      <c r="BO140" s="10">
        <v>0</v>
      </c>
      <c r="BP140" s="71"/>
      <c r="BQ140" s="8" t="s">
        <v>370</v>
      </c>
    </row>
    <row r="141" spans="1:74" ht="18">
      <c r="A141" s="151"/>
      <c r="D141" s="49"/>
      <c r="F141" s="8"/>
      <c r="G141" s="51"/>
      <c r="H141" s="8"/>
      <c r="J141" s="49"/>
      <c r="K141" s="49"/>
      <c r="L141" s="8"/>
      <c r="M141" s="49"/>
      <c r="N141" s="8"/>
      <c r="O141" s="73"/>
      <c r="Q141" s="49"/>
      <c r="R141" s="8"/>
      <c r="S141" s="73"/>
      <c r="V141" s="51"/>
      <c r="W141" s="49"/>
      <c r="X141" s="8"/>
      <c r="Y141" s="10"/>
      <c r="AA141" s="49"/>
      <c r="AB141" s="8"/>
      <c r="AC141" s="10"/>
      <c r="AD141" s="9"/>
      <c r="AF141" s="51"/>
      <c r="AG141" s="49"/>
      <c r="AH141" s="8"/>
      <c r="AI141" s="10"/>
      <c r="AK141" s="51"/>
      <c r="AL141" s="8"/>
      <c r="AM141" s="10"/>
      <c r="AN141" s="9"/>
      <c r="AP141" s="10"/>
      <c r="AQ141" s="11"/>
      <c r="AR141" s="65"/>
      <c r="AS141" s="10"/>
      <c r="AT141" s="14"/>
      <c r="AU141" s="10"/>
      <c r="AV141" s="71"/>
      <c r="AX141" s="10"/>
      <c r="AY141" s="11"/>
      <c r="AZ141" s="65"/>
      <c r="BA141" s="10"/>
      <c r="BB141" s="14"/>
      <c r="BC141" s="10"/>
      <c r="BD141" s="71"/>
      <c r="BF141" s="10"/>
      <c r="BG141" s="11"/>
      <c r="BH141" s="65"/>
      <c r="BI141" s="10"/>
      <c r="BJ141" s="71"/>
      <c r="BL141" s="10"/>
      <c r="BN141" s="14"/>
      <c r="BO141" s="10"/>
      <c r="BP141" s="71"/>
      <c r="BQ141" s="8"/>
    </row>
    <row r="142" spans="1:74" ht="18">
      <c r="A142" s="155" t="s">
        <v>188</v>
      </c>
      <c r="D142" s="49"/>
      <c r="F142" s="8"/>
      <c r="G142" s="51"/>
      <c r="H142" s="8"/>
      <c r="J142" s="49"/>
      <c r="K142" s="49"/>
      <c r="L142" s="8"/>
      <c r="M142" s="49"/>
      <c r="N142" s="8"/>
      <c r="O142" s="73"/>
      <c r="Q142" s="49"/>
      <c r="R142" s="8"/>
      <c r="S142" s="73"/>
      <c r="V142" s="51"/>
      <c r="W142" s="49"/>
      <c r="X142" s="8"/>
      <c r="Y142" s="10"/>
      <c r="AA142" s="49"/>
      <c r="AB142" s="8"/>
      <c r="AC142" s="10"/>
      <c r="AD142" s="9"/>
      <c r="AF142" s="51"/>
      <c r="AG142" s="49"/>
      <c r="AH142" s="8"/>
      <c r="AI142" s="10"/>
      <c r="AK142" s="51"/>
      <c r="AL142" s="8"/>
      <c r="AM142" s="10"/>
      <c r="AN142" s="9"/>
      <c r="AP142" s="10"/>
      <c r="AQ142" s="11"/>
      <c r="AR142" s="65"/>
      <c r="AS142" s="10"/>
      <c r="AT142" s="14"/>
      <c r="AU142" s="10"/>
      <c r="AV142" s="71"/>
      <c r="AX142" s="10"/>
      <c r="AY142" s="11"/>
      <c r="AZ142" s="65"/>
      <c r="BA142" s="10"/>
      <c r="BB142" s="14"/>
      <c r="BC142" s="10"/>
      <c r="BD142" s="71"/>
      <c r="BF142" s="10"/>
      <c r="BG142" s="11"/>
      <c r="BH142" s="65"/>
      <c r="BI142" s="10"/>
      <c r="BJ142" s="71"/>
      <c r="BL142" s="10"/>
      <c r="BN142" s="14"/>
      <c r="BO142" s="10"/>
      <c r="BP142" s="71"/>
      <c r="BQ142" s="71"/>
    </row>
    <row r="143" spans="1:74" ht="18">
      <c r="A143" s="155" t="s">
        <v>189</v>
      </c>
      <c r="D143" s="49"/>
      <c r="F143" s="8"/>
      <c r="G143" s="51">
        <v>-203</v>
      </c>
      <c r="H143" s="8"/>
      <c r="J143" s="49"/>
      <c r="K143" s="49"/>
      <c r="L143" s="8"/>
      <c r="M143" s="49"/>
      <c r="N143" s="8"/>
      <c r="O143" s="73"/>
      <c r="Q143" s="49"/>
      <c r="R143" s="8"/>
      <c r="S143" s="73"/>
      <c r="V143" s="51"/>
      <c r="W143" s="49"/>
      <c r="X143" s="8"/>
      <c r="Y143" s="10"/>
      <c r="AA143" s="49"/>
      <c r="AB143" s="8"/>
      <c r="AC143" s="10"/>
      <c r="AD143" s="9"/>
      <c r="AF143" s="51"/>
      <c r="AG143" s="49"/>
      <c r="AH143" s="8"/>
      <c r="AI143" s="10"/>
      <c r="AK143" s="51"/>
      <c r="AL143" s="8"/>
      <c r="AM143" s="10"/>
      <c r="AN143" s="9"/>
      <c r="AP143" s="10"/>
      <c r="AQ143" s="11"/>
      <c r="AR143" s="65"/>
      <c r="AS143" s="10"/>
      <c r="AT143" s="14"/>
      <c r="AU143" s="10"/>
      <c r="AV143" s="71"/>
      <c r="AX143" s="10"/>
      <c r="AY143" s="11"/>
      <c r="AZ143" s="65"/>
      <c r="BA143" s="10"/>
      <c r="BB143" s="14"/>
      <c r="BC143" s="10"/>
      <c r="BD143" s="71"/>
      <c r="BF143" s="10"/>
      <c r="BG143" s="11"/>
      <c r="BH143" s="65"/>
      <c r="BI143" s="10"/>
      <c r="BJ143" s="71"/>
      <c r="BL143" s="10"/>
      <c r="BN143" s="14">
        <v>15</v>
      </c>
      <c r="BO143" s="10">
        <v>133</v>
      </c>
      <c r="BP143" s="71"/>
      <c r="BQ143" s="71"/>
    </row>
    <row r="144" spans="1:74" ht="18">
      <c r="A144" s="155" t="s">
        <v>190</v>
      </c>
      <c r="D144" s="49"/>
      <c r="F144" s="8"/>
      <c r="G144" s="51"/>
      <c r="H144" s="8"/>
      <c r="J144" s="49"/>
      <c r="K144" s="49"/>
      <c r="L144" s="8"/>
      <c r="M144" s="49"/>
      <c r="N144" s="8"/>
      <c r="O144" s="73"/>
      <c r="Q144" s="49"/>
      <c r="R144" s="8"/>
      <c r="S144" s="73"/>
      <c r="V144" s="51"/>
      <c r="W144" s="49"/>
      <c r="X144" s="8"/>
      <c r="Y144" s="10"/>
      <c r="AA144" s="49"/>
      <c r="AB144" s="8"/>
      <c r="AC144" s="10"/>
      <c r="AD144" s="9"/>
      <c r="AF144" s="51"/>
      <c r="AG144" s="49"/>
      <c r="AH144" s="8"/>
      <c r="AI144" s="10"/>
      <c r="AK144" s="51"/>
      <c r="AL144" s="8"/>
      <c r="AM144" s="10"/>
      <c r="AN144" s="9"/>
      <c r="AP144" s="10"/>
      <c r="AQ144" s="11"/>
      <c r="AR144" s="65"/>
      <c r="AS144" s="10"/>
      <c r="AT144" s="14"/>
      <c r="AU144" s="10"/>
      <c r="AV144" s="71"/>
      <c r="AX144" s="10"/>
      <c r="AY144" s="11"/>
      <c r="AZ144" s="65"/>
      <c r="BA144" s="10"/>
      <c r="BB144" s="14"/>
      <c r="BC144" s="10"/>
      <c r="BD144" s="71"/>
      <c r="BF144" s="10"/>
      <c r="BG144" s="11"/>
      <c r="BH144" s="65"/>
      <c r="BI144" s="10"/>
      <c r="BJ144" s="71"/>
      <c r="BL144" s="10"/>
      <c r="BN144" s="14"/>
      <c r="BO144" s="10"/>
      <c r="BP144" s="71"/>
      <c r="BQ144" s="71"/>
    </row>
    <row r="145" spans="1:69" ht="18">
      <c r="A145" s="156" t="s">
        <v>192</v>
      </c>
      <c r="D145" s="49"/>
      <c r="F145" s="8" t="s">
        <v>191</v>
      </c>
      <c r="G145" s="51">
        <v>-201969</v>
      </c>
      <c r="H145" s="52" t="e">
        <f>+G145-#REF!</f>
        <v>#REF!</v>
      </c>
      <c r="J145" s="49"/>
      <c r="K145" s="49"/>
      <c r="L145" s="8"/>
      <c r="M145" s="49"/>
      <c r="N145" s="8">
        <v>37</v>
      </c>
      <c r="O145" s="73">
        <v>-186821</v>
      </c>
      <c r="Q145" s="49"/>
      <c r="R145" s="8">
        <v>37</v>
      </c>
      <c r="S145" s="73">
        <v>-186821</v>
      </c>
      <c r="T145" s="57">
        <f>+S145-O145</f>
        <v>0</v>
      </c>
      <c r="V145" s="51"/>
      <c r="W145" s="49"/>
      <c r="X145" s="14">
        <v>37</v>
      </c>
      <c r="Y145" s="10">
        <v>-186821</v>
      </c>
      <c r="AA145" s="49"/>
      <c r="AB145" s="14">
        <v>37</v>
      </c>
      <c r="AC145" s="10">
        <v>-186821</v>
      </c>
      <c r="AD145" s="60">
        <f>+AC145-Y145</f>
        <v>0</v>
      </c>
      <c r="AF145" s="51"/>
      <c r="AG145" s="49"/>
      <c r="AH145" s="14">
        <v>37</v>
      </c>
      <c r="AI145" s="10">
        <v>-186821</v>
      </c>
      <c r="AK145" s="51"/>
      <c r="AL145" s="14">
        <v>37</v>
      </c>
      <c r="AM145" s="10">
        <v>-186821</v>
      </c>
      <c r="AN145" s="60">
        <f>+AM145-AI145</f>
        <v>0</v>
      </c>
      <c r="AP145" s="10"/>
      <c r="AQ145" s="11"/>
      <c r="AR145" s="65"/>
      <c r="AS145" s="10"/>
      <c r="AT145" s="14">
        <v>37</v>
      </c>
      <c r="AU145" s="10">
        <v>-186821</v>
      </c>
      <c r="AV145" s="10">
        <f t="shared" ref="AV145" si="124">+AU145-AM145</f>
        <v>0</v>
      </c>
      <c r="AX145" s="10"/>
      <c r="AY145" s="11"/>
      <c r="AZ145" s="65"/>
      <c r="BA145" s="10"/>
      <c r="BB145" s="14">
        <v>37</v>
      </c>
      <c r="BC145" s="10">
        <v>-186821</v>
      </c>
      <c r="BD145" s="10">
        <f t="shared" ref="BD145" si="125">+BC145-AU145</f>
        <v>0</v>
      </c>
      <c r="BF145" s="10"/>
      <c r="BG145" s="11"/>
      <c r="BH145" s="65">
        <v>81</v>
      </c>
      <c r="BI145" s="10">
        <v>-186821</v>
      </c>
      <c r="BJ145" s="10">
        <f t="shared" ref="BJ145" si="126">+BI145-BC145</f>
        <v>0</v>
      </c>
      <c r="BL145" s="10"/>
      <c r="BN145" s="14" t="s">
        <v>191</v>
      </c>
      <c r="BO145" s="10">
        <v>-186821</v>
      </c>
      <c r="BP145" s="36">
        <f t="shared" ref="BP145" si="127">+BO145-BI145</f>
        <v>0</v>
      </c>
      <c r="BQ145" s="36"/>
    </row>
    <row r="146" spans="1:69" ht="18">
      <c r="A146" s="151" t="s">
        <v>193</v>
      </c>
      <c r="D146" s="49"/>
      <c r="F146" s="8"/>
      <c r="G146" s="51"/>
      <c r="H146" s="8"/>
      <c r="J146" s="49"/>
      <c r="K146" s="49"/>
      <c r="L146" s="8"/>
      <c r="M146" s="49"/>
      <c r="N146" s="8"/>
      <c r="O146" s="73"/>
      <c r="Q146" s="49"/>
      <c r="R146" s="8"/>
      <c r="S146" s="73"/>
      <c r="V146" s="51"/>
      <c r="W146" s="49"/>
      <c r="X146" s="8"/>
      <c r="Y146" s="10"/>
      <c r="AA146" s="49"/>
      <c r="AB146" s="8"/>
      <c r="AC146" s="10"/>
      <c r="AD146" s="9"/>
      <c r="AF146" s="51"/>
      <c r="AG146" s="49"/>
      <c r="AH146" s="8"/>
      <c r="AI146" s="10"/>
      <c r="AK146" s="51"/>
      <c r="AL146" s="8"/>
      <c r="AM146" s="10"/>
      <c r="AN146" s="9"/>
      <c r="AP146" s="10"/>
      <c r="AQ146" s="11"/>
      <c r="AR146" s="65"/>
      <c r="AS146" s="10"/>
      <c r="AT146" s="14"/>
      <c r="AU146" s="10"/>
      <c r="AV146" s="71"/>
      <c r="AX146" s="10"/>
      <c r="AY146" s="11"/>
      <c r="AZ146" s="65"/>
      <c r="BA146" s="10"/>
      <c r="BB146" s="14"/>
      <c r="BC146" s="10"/>
      <c r="BD146" s="71"/>
      <c r="BF146" s="10"/>
      <c r="BG146" s="11"/>
      <c r="BH146" s="65"/>
      <c r="BI146" s="10"/>
      <c r="BJ146" s="71"/>
      <c r="BL146" s="10"/>
      <c r="BN146" s="14" t="s">
        <v>194</v>
      </c>
      <c r="BO146" s="10">
        <v>-36623</v>
      </c>
      <c r="BP146" s="71"/>
      <c r="BQ146" s="71"/>
    </row>
    <row r="147" spans="1:69" ht="18">
      <c r="A147" s="151"/>
      <c r="D147" s="49"/>
      <c r="F147" s="8"/>
      <c r="G147" s="51"/>
      <c r="H147" s="8"/>
      <c r="J147" s="49"/>
      <c r="K147" s="49"/>
      <c r="L147" s="8"/>
      <c r="M147" s="49"/>
      <c r="N147" s="8"/>
      <c r="O147" s="73"/>
      <c r="Q147" s="49"/>
      <c r="R147" s="8"/>
      <c r="S147" s="73"/>
      <c r="V147" s="51"/>
      <c r="W147" s="49"/>
      <c r="X147" s="8"/>
      <c r="Y147" s="10"/>
      <c r="AA147" s="49"/>
      <c r="AB147" s="8"/>
      <c r="AC147" s="10"/>
      <c r="AD147" s="9"/>
      <c r="AF147" s="51"/>
      <c r="AG147" s="49"/>
      <c r="AH147" s="8"/>
      <c r="AI147" s="10"/>
      <c r="AK147" s="51"/>
      <c r="AL147" s="8"/>
      <c r="AM147" s="10"/>
      <c r="AN147" s="9"/>
      <c r="AP147" s="10"/>
      <c r="AQ147" s="11"/>
      <c r="AR147" s="65"/>
      <c r="AS147" s="10"/>
      <c r="AT147" s="14"/>
      <c r="AU147" s="10"/>
      <c r="AV147" s="71"/>
      <c r="AX147" s="10"/>
      <c r="AY147" s="11"/>
      <c r="AZ147" s="65"/>
      <c r="BA147" s="10"/>
      <c r="BB147" s="14"/>
      <c r="BC147" s="10"/>
      <c r="BD147" s="71"/>
      <c r="BF147" s="10"/>
      <c r="BG147" s="11"/>
      <c r="BH147" s="65"/>
      <c r="BI147" s="10"/>
      <c r="BJ147" s="71"/>
      <c r="BL147" s="10"/>
      <c r="BN147" s="14"/>
      <c r="BO147" s="10"/>
      <c r="BP147" s="71"/>
      <c r="BQ147" s="71"/>
    </row>
    <row r="148" spans="1:69" ht="18">
      <c r="A148" s="151" t="s">
        <v>195</v>
      </c>
      <c r="D148" s="49"/>
      <c r="F148" s="14">
        <v>10</v>
      </c>
      <c r="G148" s="51">
        <v>2000000</v>
      </c>
      <c r="H148" s="52" t="e">
        <f>+G148-#REF!</f>
        <v>#REF!</v>
      </c>
      <c r="J148" s="49"/>
      <c r="K148" s="49"/>
      <c r="L148" s="8"/>
      <c r="M148" s="49"/>
      <c r="N148" s="62">
        <v>32</v>
      </c>
      <c r="O148" s="73">
        <v>0</v>
      </c>
      <c r="Q148" s="49"/>
      <c r="R148" s="62">
        <v>32</v>
      </c>
      <c r="S148" s="73"/>
      <c r="V148" s="51"/>
      <c r="W148" s="49"/>
      <c r="X148" s="8"/>
      <c r="Y148" s="10">
        <v>0</v>
      </c>
      <c r="AA148" s="49"/>
      <c r="AB148" s="62">
        <v>32</v>
      </c>
      <c r="AC148" s="10"/>
      <c r="AD148" s="9"/>
      <c r="AF148" s="51"/>
      <c r="AG148" s="49"/>
      <c r="AH148" s="8"/>
      <c r="AI148" s="10">
        <v>0</v>
      </c>
      <c r="AK148" s="51"/>
      <c r="AL148" s="62">
        <v>32</v>
      </c>
      <c r="AM148" s="10"/>
      <c r="AN148" s="9"/>
      <c r="AP148" s="10"/>
      <c r="AQ148" s="11"/>
      <c r="AR148" s="65"/>
      <c r="AS148" s="10"/>
      <c r="AT148" s="62">
        <v>32</v>
      </c>
      <c r="AU148" s="10">
        <v>1000000</v>
      </c>
      <c r="AV148" s="71"/>
      <c r="AX148" s="10"/>
      <c r="AY148" s="11"/>
      <c r="AZ148" s="65"/>
      <c r="BA148" s="10"/>
      <c r="BB148" s="62">
        <v>32</v>
      </c>
      <c r="BC148" s="10">
        <v>750000</v>
      </c>
      <c r="BD148" s="71"/>
      <c r="BF148" s="10"/>
      <c r="BG148" s="11"/>
      <c r="BH148" s="65" t="s">
        <v>196</v>
      </c>
      <c r="BI148" s="10">
        <v>750000</v>
      </c>
      <c r="BJ148" s="10">
        <f t="shared" ref="BJ148" si="128">+BI148-BC148</f>
        <v>0</v>
      </c>
      <c r="BL148" s="10"/>
      <c r="BN148" s="14">
        <v>10</v>
      </c>
      <c r="BO148" s="10">
        <v>0</v>
      </c>
      <c r="BP148" s="36">
        <f t="shared" ref="BP148" si="129">+BO148-BI148</f>
        <v>-750000</v>
      </c>
      <c r="BQ148" s="36"/>
    </row>
    <row r="149" spans="1:69" ht="18">
      <c r="A149" s="151"/>
      <c r="D149" s="49"/>
      <c r="F149" s="8"/>
      <c r="G149" s="51"/>
      <c r="H149" s="8"/>
      <c r="J149" s="49"/>
      <c r="K149" s="49"/>
      <c r="L149" s="8"/>
      <c r="M149" s="49"/>
      <c r="N149" s="8"/>
      <c r="O149" s="73"/>
      <c r="Q149" s="49"/>
      <c r="R149" s="8"/>
      <c r="S149" s="73"/>
      <c r="V149" s="51"/>
      <c r="W149" s="49"/>
      <c r="X149" s="8"/>
      <c r="Y149" s="10"/>
      <c r="AA149" s="49"/>
      <c r="AB149" s="8"/>
      <c r="AC149" s="10"/>
      <c r="AD149" s="9"/>
      <c r="AF149" s="51"/>
      <c r="AG149" s="49"/>
      <c r="AH149" s="8"/>
      <c r="AI149" s="10"/>
      <c r="AK149" s="51"/>
      <c r="AL149" s="8"/>
      <c r="AM149" s="10"/>
      <c r="AN149" s="9"/>
      <c r="AP149" s="10"/>
      <c r="AQ149" s="11"/>
      <c r="AR149" s="65"/>
      <c r="AS149" s="10"/>
      <c r="AT149" s="14"/>
      <c r="AU149" s="10"/>
      <c r="AV149" s="71"/>
      <c r="AX149" s="10"/>
      <c r="AY149" s="11"/>
      <c r="AZ149" s="65"/>
      <c r="BA149" s="10"/>
      <c r="BB149" s="14"/>
      <c r="BC149" s="10"/>
      <c r="BD149" s="71"/>
      <c r="BF149" s="10"/>
      <c r="BG149" s="11"/>
      <c r="BH149" s="65"/>
      <c r="BI149" s="10"/>
      <c r="BJ149" s="71"/>
      <c r="BL149" s="10"/>
      <c r="BN149" s="14"/>
      <c r="BO149" s="10"/>
      <c r="BP149" s="71"/>
      <c r="BQ149" s="71"/>
    </row>
    <row r="150" spans="1:69" ht="18">
      <c r="A150" s="151" t="s">
        <v>197</v>
      </c>
      <c r="D150" s="49"/>
      <c r="F150" s="8"/>
      <c r="G150" s="51">
        <v>-1324253</v>
      </c>
      <c r="H150" s="52" t="e">
        <f>+G150-#REF!</f>
        <v>#REF!</v>
      </c>
      <c r="J150" s="49"/>
      <c r="K150" s="49"/>
      <c r="L150" s="8"/>
      <c r="M150" s="49"/>
      <c r="N150" s="8"/>
      <c r="O150" s="73"/>
      <c r="Q150" s="49"/>
      <c r="R150" s="8"/>
      <c r="S150" s="73"/>
      <c r="V150" s="51"/>
      <c r="W150" s="49"/>
      <c r="X150" s="8"/>
      <c r="Y150" s="10"/>
      <c r="AA150" s="49"/>
      <c r="AB150" s="8"/>
      <c r="AC150" s="10"/>
      <c r="AD150" s="9"/>
      <c r="AF150" s="51"/>
      <c r="AG150" s="49"/>
      <c r="AH150" s="14">
        <v>33</v>
      </c>
      <c r="AI150" s="10">
        <v>-1500000</v>
      </c>
      <c r="AK150" s="51"/>
      <c r="AL150" s="14">
        <v>33</v>
      </c>
      <c r="AM150" s="10">
        <v>-1500000</v>
      </c>
      <c r="AN150" s="9"/>
      <c r="AP150" s="10"/>
      <c r="AQ150" s="11"/>
      <c r="AR150" s="65"/>
      <c r="AS150" s="10"/>
      <c r="AT150" s="14">
        <v>33</v>
      </c>
      <c r="AU150" s="10">
        <v>-1500000</v>
      </c>
      <c r="AV150" s="10">
        <f t="shared" ref="AV150" si="130">+AU150-AM150</f>
        <v>0</v>
      </c>
      <c r="AX150" s="10"/>
      <c r="AY150" s="11"/>
      <c r="AZ150" s="65"/>
      <c r="BA150" s="10"/>
      <c r="BB150" s="14">
        <v>33</v>
      </c>
      <c r="BC150" s="10">
        <v>-1500000</v>
      </c>
      <c r="BD150" s="10">
        <f t="shared" ref="BD150" si="131">+BC150-AU150</f>
        <v>0</v>
      </c>
      <c r="BF150" s="10"/>
      <c r="BG150" s="11"/>
      <c r="BH150" s="65">
        <v>58</v>
      </c>
      <c r="BI150" s="10">
        <v>-1200000</v>
      </c>
      <c r="BJ150" s="10">
        <f t="shared" ref="BJ150" si="132">+BI150-BC150</f>
        <v>300000</v>
      </c>
      <c r="BL150" s="10"/>
      <c r="BN150" s="14">
        <v>20</v>
      </c>
      <c r="BO150" s="10">
        <v>-1350000</v>
      </c>
      <c r="BP150" s="36">
        <f t="shared" ref="BP150" si="133">+BO150-BI150</f>
        <v>-150000</v>
      </c>
      <c r="BQ150" s="36"/>
    </row>
    <row r="151" spans="1:69" ht="18.75" thickBot="1">
      <c r="A151" s="151"/>
      <c r="D151" s="49"/>
      <c r="F151" s="8"/>
      <c r="G151" s="159"/>
      <c r="H151" s="160"/>
      <c r="J151" s="49"/>
      <c r="K151" s="49"/>
      <c r="L151" s="8"/>
      <c r="M151" s="49"/>
      <c r="N151" s="8"/>
      <c r="O151" s="161"/>
      <c r="Q151" s="49"/>
      <c r="R151" s="8"/>
      <c r="S151" s="161"/>
      <c r="T151" s="161"/>
      <c r="V151" s="51"/>
      <c r="W151" s="49"/>
      <c r="X151" s="8"/>
      <c r="Y151" s="159"/>
      <c r="AA151" s="49"/>
      <c r="AB151" s="8"/>
      <c r="AC151" s="159"/>
      <c r="AD151" s="159"/>
      <c r="AF151" s="51"/>
      <c r="AG151" s="49"/>
      <c r="AH151" s="8"/>
      <c r="AI151" s="159"/>
      <c r="AK151" s="51"/>
      <c r="AL151" s="8"/>
      <c r="AM151" s="159"/>
      <c r="AN151" s="159"/>
      <c r="AP151" s="10"/>
      <c r="AQ151" s="11"/>
      <c r="AR151" s="65"/>
      <c r="AS151" s="10"/>
      <c r="AT151" s="14"/>
      <c r="AU151" s="159"/>
      <c r="AV151" s="159"/>
      <c r="AX151" s="10"/>
      <c r="AY151" s="11"/>
      <c r="AZ151" s="65"/>
      <c r="BA151" s="10"/>
      <c r="BB151" s="14"/>
      <c r="BC151" s="159"/>
      <c r="BD151" s="159"/>
      <c r="BF151" s="10"/>
      <c r="BG151" s="11"/>
      <c r="BH151" s="65"/>
      <c r="BI151" s="159"/>
      <c r="BJ151" s="159"/>
      <c r="BL151" s="10"/>
      <c r="BN151" s="14"/>
      <c r="BO151" s="159"/>
      <c r="BP151" s="159"/>
      <c r="BQ151" s="74"/>
    </row>
    <row r="152" spans="1:69" ht="18">
      <c r="A152" s="151" t="s">
        <v>198</v>
      </c>
      <c r="D152" s="49"/>
      <c r="F152" s="8"/>
      <c r="G152" s="162">
        <f>SUM(G126:G151)</f>
        <v>205817305</v>
      </c>
      <c r="H152" s="163" t="e">
        <f>SUM(H126:H151)</f>
        <v>#REF!</v>
      </c>
      <c r="J152" s="49"/>
      <c r="K152" s="49"/>
      <c r="L152" s="8"/>
      <c r="M152" s="49"/>
      <c r="N152" s="8"/>
      <c r="O152" s="164">
        <f>SUM(O126:O151)</f>
        <v>107988746</v>
      </c>
      <c r="Q152" s="49"/>
      <c r="R152" s="8"/>
      <c r="S152" s="164">
        <f>SUM(S126:S151)</f>
        <v>150057060</v>
      </c>
      <c r="T152" s="57">
        <f>+S152-O152</f>
        <v>42068314</v>
      </c>
      <c r="V152" s="51"/>
      <c r="W152" s="49"/>
      <c r="X152" s="8"/>
      <c r="Y152" s="162">
        <f>SUM(Y126:Y151)</f>
        <v>82210120</v>
      </c>
      <c r="AA152" s="49"/>
      <c r="AB152" s="8"/>
      <c r="AC152" s="162">
        <f>SUM(AC126:AC151)</f>
        <v>121331077</v>
      </c>
      <c r="AD152" s="60">
        <f>+AC152-Y152</f>
        <v>39120957</v>
      </c>
      <c r="AF152" s="51"/>
      <c r="AG152" s="49"/>
      <c r="AH152" s="8"/>
      <c r="AI152" s="162">
        <f>SUM(AI126:AI151)</f>
        <v>92849122</v>
      </c>
      <c r="AK152" s="51"/>
      <c r="AL152" s="8"/>
      <c r="AM152" s="162">
        <f>SUM(AM126:AM151)</f>
        <v>117815326</v>
      </c>
      <c r="AN152" s="60">
        <f>+AM152-AI152</f>
        <v>24966204</v>
      </c>
      <c r="AP152" s="10"/>
      <c r="AQ152" s="11"/>
      <c r="AR152" s="65"/>
      <c r="AS152" s="10"/>
      <c r="AT152" s="14"/>
      <c r="AU152" s="162">
        <f>SUM(AU126:AU151)</f>
        <v>38742027.799999982</v>
      </c>
      <c r="AV152" s="60">
        <f>+AU152-AQ152</f>
        <v>38742027.799999982</v>
      </c>
      <c r="AX152" s="10"/>
      <c r="AY152" s="11"/>
      <c r="AZ152" s="65"/>
      <c r="BA152" s="10"/>
      <c r="BB152" s="14"/>
      <c r="BC152" s="162">
        <f>SUM(BC126:BC151)</f>
        <v>35843236.399999976</v>
      </c>
      <c r="BD152" s="60">
        <f>+BC152-AY152</f>
        <v>35843236.399999976</v>
      </c>
      <c r="BF152" s="10"/>
      <c r="BG152" s="11"/>
      <c r="BH152" s="65"/>
      <c r="BI152" s="162">
        <f>SUM(BI126:BI151)</f>
        <v>56541936</v>
      </c>
      <c r="BJ152" s="10">
        <f t="shared" ref="BJ152" si="134">+BI152-BC152</f>
        <v>20698699.600000024</v>
      </c>
      <c r="BL152" s="10"/>
      <c r="BN152" s="14"/>
      <c r="BO152" s="162">
        <f>SUM(BO126:BO151)</f>
        <v>54839670</v>
      </c>
      <c r="BP152" s="10">
        <f t="shared" ref="BP152" si="135">+BO152-BI152</f>
        <v>-1702266</v>
      </c>
      <c r="BQ152" s="10"/>
    </row>
    <row r="153" spans="1:69" ht="18">
      <c r="A153" s="151"/>
      <c r="D153" s="49"/>
      <c r="F153" s="8"/>
      <c r="G153" s="74"/>
      <c r="H153" s="8"/>
      <c r="J153" s="49"/>
      <c r="K153" s="49"/>
      <c r="L153" s="8"/>
      <c r="M153" s="49"/>
      <c r="N153" s="8"/>
      <c r="O153" s="165"/>
      <c r="Q153" s="49"/>
      <c r="R153" s="8"/>
      <c r="S153" s="165"/>
      <c r="V153" s="51"/>
      <c r="W153" s="49"/>
      <c r="X153" s="8"/>
      <c r="Y153" s="74"/>
      <c r="AA153" s="49"/>
      <c r="AB153" s="8"/>
      <c r="AC153" s="74"/>
      <c r="AD153" s="9"/>
      <c r="AF153" s="51"/>
      <c r="AG153" s="49"/>
      <c r="AH153" s="8"/>
      <c r="AI153" s="74"/>
      <c r="AK153" s="51"/>
      <c r="AL153" s="8"/>
      <c r="AM153" s="74"/>
      <c r="AN153" s="9"/>
      <c r="AP153" s="10"/>
      <c r="AQ153" s="11"/>
      <c r="AR153" s="65"/>
      <c r="AS153" s="10"/>
      <c r="AT153" s="14"/>
      <c r="AU153" s="74"/>
      <c r="AV153" s="71"/>
      <c r="AX153" s="10"/>
      <c r="AY153" s="11"/>
      <c r="AZ153" s="65"/>
      <c r="BA153" s="10"/>
      <c r="BB153" s="14"/>
      <c r="BC153" s="74"/>
      <c r="BD153" s="71"/>
      <c r="BF153" s="10"/>
      <c r="BG153" s="11"/>
      <c r="BH153" s="65"/>
      <c r="BI153" s="74"/>
      <c r="BJ153" s="71"/>
      <c r="BL153" s="10"/>
      <c r="BN153" s="14"/>
      <c r="BO153" s="74"/>
      <c r="BP153" s="71"/>
      <c r="BQ153" s="71"/>
    </row>
    <row r="154" spans="1:69" ht="18">
      <c r="A154" s="151" t="s">
        <v>199</v>
      </c>
      <c r="D154" s="49"/>
      <c r="F154" s="8"/>
      <c r="G154" s="166">
        <v>0.94703899999999996</v>
      </c>
      <c r="H154" s="167"/>
      <c r="J154" s="49"/>
      <c r="K154" s="49"/>
      <c r="L154" s="8"/>
      <c r="M154" s="49"/>
      <c r="N154" s="168" t="s">
        <v>200</v>
      </c>
      <c r="O154" s="167">
        <v>0.94447000000000003</v>
      </c>
      <c r="Q154" s="49"/>
      <c r="R154" s="168" t="s">
        <v>200</v>
      </c>
      <c r="S154" s="167">
        <v>0.94447000000000003</v>
      </c>
      <c r="T154" s="167">
        <v>0.94447000000000003</v>
      </c>
      <c r="V154" s="51"/>
      <c r="W154" s="49"/>
      <c r="X154" s="168" t="s">
        <v>201</v>
      </c>
      <c r="Y154" s="166">
        <v>0.94447000000000003</v>
      </c>
      <c r="AA154" s="49"/>
      <c r="AB154" s="168" t="s">
        <v>201</v>
      </c>
      <c r="AC154" s="166">
        <v>0.94447000000000003</v>
      </c>
      <c r="AD154" s="166">
        <v>0.94447000000000003</v>
      </c>
      <c r="AF154" s="51"/>
      <c r="AG154" s="49"/>
      <c r="AH154" s="168" t="s">
        <v>202</v>
      </c>
      <c r="AI154" s="166">
        <v>0.94703899999999996</v>
      </c>
      <c r="AK154" s="51"/>
      <c r="AL154" s="168" t="s">
        <v>202</v>
      </c>
      <c r="AM154" s="166">
        <v>0.94703899999999996</v>
      </c>
      <c r="AN154" s="166">
        <v>0.94703899999999996</v>
      </c>
      <c r="AP154" s="10"/>
      <c r="AQ154" s="11"/>
      <c r="AR154" s="65"/>
      <c r="AS154" s="10"/>
      <c r="AT154" s="14" t="s">
        <v>202</v>
      </c>
      <c r="AU154" s="166">
        <v>0.94703899999999996</v>
      </c>
      <c r="AV154" s="166">
        <v>0.94703899999999996</v>
      </c>
      <c r="AX154" s="10"/>
      <c r="AY154" s="11"/>
      <c r="AZ154" s="65"/>
      <c r="BA154" s="10"/>
      <c r="BB154" s="14" t="s">
        <v>202</v>
      </c>
      <c r="BC154" s="166">
        <v>0.94703899999999996</v>
      </c>
      <c r="BD154" s="166">
        <v>0.94703899999999996</v>
      </c>
      <c r="BF154" s="10"/>
      <c r="BG154" s="11"/>
      <c r="BH154" s="65" t="s">
        <v>203</v>
      </c>
      <c r="BI154" s="166">
        <v>0.92308900000000005</v>
      </c>
      <c r="BJ154" s="166">
        <v>0.94703899999999996</v>
      </c>
      <c r="BL154" s="10"/>
      <c r="BN154" s="14"/>
      <c r="BO154" s="166">
        <v>0.92027400000000004</v>
      </c>
      <c r="BP154" s="166"/>
      <c r="BQ154" s="166"/>
    </row>
    <row r="155" spans="1:69" ht="18.75" thickBot="1">
      <c r="A155" s="151"/>
      <c r="D155" s="49"/>
      <c r="F155" s="8"/>
      <c r="G155" s="159"/>
      <c r="H155" s="169"/>
      <c r="J155" s="49"/>
      <c r="K155" s="49"/>
      <c r="L155" s="8"/>
      <c r="M155" s="49"/>
      <c r="N155" s="8"/>
      <c r="O155" s="161"/>
      <c r="Q155" s="49"/>
      <c r="R155" s="8"/>
      <c r="S155" s="161"/>
      <c r="T155" s="161"/>
      <c r="V155" s="51"/>
      <c r="W155" s="49"/>
      <c r="X155" s="8"/>
      <c r="Y155" s="159"/>
      <c r="AA155" s="49"/>
      <c r="AB155" s="8"/>
      <c r="AC155" s="159"/>
      <c r="AD155" s="159"/>
      <c r="AF155" s="51"/>
      <c r="AG155" s="49"/>
      <c r="AH155" s="8"/>
      <c r="AI155" s="159"/>
      <c r="AK155" s="51"/>
      <c r="AL155" s="8"/>
      <c r="AM155" s="159"/>
      <c r="AN155" s="159"/>
      <c r="AP155" s="10"/>
      <c r="AQ155" s="11"/>
      <c r="AR155" s="65"/>
      <c r="AS155" s="10"/>
      <c r="AT155" s="14"/>
      <c r="AU155" s="159"/>
      <c r="AV155" s="159"/>
      <c r="AX155" s="10"/>
      <c r="AY155" s="11"/>
      <c r="AZ155" s="65"/>
      <c r="BA155" s="10"/>
      <c r="BB155" s="14"/>
      <c r="BC155" s="159"/>
      <c r="BD155" s="159"/>
      <c r="BF155" s="10"/>
      <c r="BG155" s="11"/>
      <c r="BH155" s="65"/>
      <c r="BI155" s="159"/>
      <c r="BJ155" s="159"/>
      <c r="BL155" s="10"/>
      <c r="BN155" s="14"/>
      <c r="BO155" s="159"/>
      <c r="BP155" s="159"/>
      <c r="BQ155" s="74"/>
    </row>
    <row r="156" spans="1:69" ht="18">
      <c r="A156" s="151" t="s">
        <v>204</v>
      </c>
      <c r="D156" s="49"/>
      <c r="F156" s="8"/>
      <c r="G156" s="162">
        <f>G152*G154</f>
        <v>194917014.70989498</v>
      </c>
      <c r="H156" s="52" t="e">
        <f>+G156-#REF!</f>
        <v>#REF!</v>
      </c>
      <c r="J156" s="49"/>
      <c r="K156" s="49"/>
      <c r="L156" s="8"/>
      <c r="M156" s="49"/>
      <c r="N156" s="8"/>
      <c r="O156" s="164">
        <f>O152*O154</f>
        <v>101992130.93462001</v>
      </c>
      <c r="Q156" s="49"/>
      <c r="R156" s="8"/>
      <c r="S156" s="164">
        <f>S152*S154</f>
        <v>141724391.45820001</v>
      </c>
      <c r="T156" s="164">
        <f>T152*T154</f>
        <v>39732260.52358</v>
      </c>
      <c r="V156" s="51"/>
      <c r="W156" s="49"/>
      <c r="X156" s="8"/>
      <c r="Y156" s="162">
        <f>Y152*Y154</f>
        <v>77644992.036400005</v>
      </c>
      <c r="AA156" s="49"/>
      <c r="AB156" s="8"/>
      <c r="AC156" s="162">
        <f>AC152*AC154</f>
        <v>114593562.29419</v>
      </c>
      <c r="AD156" s="162">
        <f>AD152*AD154</f>
        <v>36948570.257789999</v>
      </c>
      <c r="AF156" s="51"/>
      <c r="AG156" s="49"/>
      <c r="AH156" s="8"/>
      <c r="AI156" s="162">
        <f>AI152*AI154</f>
        <v>87931739.649757996</v>
      </c>
      <c r="AK156" s="51"/>
      <c r="AL156" s="8"/>
      <c r="AM156" s="162">
        <f>AM152*AM154</f>
        <v>111575708.519714</v>
      </c>
      <c r="AN156" s="162">
        <f>AN152*AN154</f>
        <v>23643968.869955998</v>
      </c>
      <c r="AP156" s="10"/>
      <c r="AQ156" s="11"/>
      <c r="AR156" s="65"/>
      <c r="AS156" s="10"/>
      <c r="AT156" s="14"/>
      <c r="AU156" s="162">
        <f>AU152*AU154</f>
        <v>36690211.26568418</v>
      </c>
      <c r="AV156" s="162">
        <f>AV152*AV154</f>
        <v>36690211.26568418</v>
      </c>
      <c r="AX156" s="10"/>
      <c r="AY156" s="11"/>
      <c r="AZ156" s="65"/>
      <c r="BA156" s="10"/>
      <c r="BB156" s="14"/>
      <c r="BC156" s="162">
        <f>BC152*BC154</f>
        <v>33944942.757019579</v>
      </c>
      <c r="BD156" s="162">
        <f>BD152*BD154</f>
        <v>33944942.757019579</v>
      </c>
      <c r="BF156" s="10"/>
      <c r="BG156" s="11"/>
      <c r="BH156" s="65"/>
      <c r="BI156" s="162">
        <f>BI152*BI154</f>
        <v>52193239.160304002</v>
      </c>
      <c r="BJ156" s="162">
        <f>BJ152*BJ154</f>
        <v>19602475.770484421</v>
      </c>
      <c r="BL156" s="10"/>
      <c r="BN156" s="14"/>
      <c r="BO156" s="162">
        <f>BO152*BO154</f>
        <v>50467522.469580002</v>
      </c>
      <c r="BP156" s="36">
        <f t="shared" ref="BP156" si="136">+BO156-BI156</f>
        <v>-1725716.6907240003</v>
      </c>
      <c r="BQ156" s="36"/>
    </row>
    <row r="157" spans="1:69" ht="18">
      <c r="A157" s="151" t="s">
        <v>205</v>
      </c>
      <c r="D157" s="49"/>
      <c r="F157" s="8"/>
      <c r="G157" s="74"/>
      <c r="H157" s="52" t="e">
        <f>+F157-#REF!</f>
        <v>#REF!</v>
      </c>
      <c r="J157" s="49"/>
      <c r="K157" s="49"/>
      <c r="L157" s="8"/>
      <c r="M157" s="49"/>
      <c r="N157" s="8"/>
      <c r="O157" s="165"/>
      <c r="Q157" s="49"/>
      <c r="R157" s="8"/>
      <c r="S157" s="165"/>
      <c r="V157" s="51"/>
      <c r="W157" s="49"/>
      <c r="X157" s="8"/>
      <c r="Y157" s="74"/>
      <c r="AA157" s="49"/>
      <c r="AB157" s="8"/>
      <c r="AC157" s="74"/>
      <c r="AD157" s="9"/>
      <c r="AF157" s="51"/>
      <c r="AG157" s="49"/>
      <c r="AH157" s="8"/>
      <c r="AI157" s="74"/>
      <c r="AK157" s="51"/>
      <c r="AL157" s="8"/>
      <c r="AM157" s="74"/>
      <c r="AN157" s="9"/>
      <c r="AP157" s="10"/>
      <c r="AQ157" s="11"/>
      <c r="AR157" s="65"/>
      <c r="AS157" s="10"/>
      <c r="AT157" s="14"/>
      <c r="AU157" s="74"/>
      <c r="AV157" s="71"/>
      <c r="AX157" s="10"/>
      <c r="AY157" s="11"/>
      <c r="AZ157" s="65"/>
      <c r="BA157" s="10"/>
      <c r="BB157" s="14"/>
      <c r="BC157" s="74"/>
      <c r="BD157" s="71"/>
      <c r="BF157" s="10"/>
      <c r="BG157" s="11"/>
      <c r="BH157" s="65"/>
      <c r="BI157" s="74"/>
      <c r="BJ157" s="71"/>
      <c r="BL157" s="10"/>
      <c r="BN157" s="14"/>
      <c r="BO157" s="74"/>
      <c r="BP157" s="71"/>
      <c r="BQ157" s="71"/>
    </row>
    <row r="158" spans="1:69" ht="18.75" thickBot="1">
      <c r="A158" s="151"/>
      <c r="D158" s="49"/>
      <c r="F158" s="8"/>
      <c r="G158" s="159"/>
      <c r="H158" s="161"/>
      <c r="J158" s="49"/>
      <c r="K158" s="49"/>
      <c r="L158" s="8"/>
      <c r="M158" s="49"/>
      <c r="N158" s="8"/>
      <c r="O158" s="161"/>
      <c r="Q158" s="49"/>
      <c r="R158" s="8"/>
      <c r="S158" s="161"/>
      <c r="T158" s="161"/>
      <c r="V158" s="51"/>
      <c r="W158" s="49"/>
      <c r="X158" s="8"/>
      <c r="Y158" s="159"/>
      <c r="AA158" s="49"/>
      <c r="AB158" s="8"/>
      <c r="AC158" s="159"/>
      <c r="AD158" s="159"/>
      <c r="AF158" s="51"/>
      <c r="AG158" s="49"/>
      <c r="AH158" s="8"/>
      <c r="AI158" s="159"/>
      <c r="AK158" s="51"/>
      <c r="AL158" s="8"/>
      <c r="AM158" s="159"/>
      <c r="AN158" s="159"/>
      <c r="AP158" s="10"/>
      <c r="AQ158" s="11"/>
      <c r="AR158" s="65"/>
      <c r="AS158" s="10"/>
      <c r="AT158" s="14"/>
      <c r="AU158" s="159"/>
      <c r="AV158" s="159"/>
      <c r="AX158" s="10"/>
      <c r="AY158" s="11"/>
      <c r="AZ158" s="65"/>
      <c r="BA158" s="10"/>
      <c r="BB158" s="14"/>
      <c r="BC158" s="159"/>
      <c r="BD158" s="159"/>
      <c r="BF158" s="10"/>
      <c r="BG158" s="11"/>
      <c r="BH158" s="65"/>
      <c r="BI158" s="159"/>
      <c r="BJ158" s="159"/>
      <c r="BL158" s="10"/>
      <c r="BN158" s="14"/>
      <c r="BO158" s="159"/>
      <c r="BP158" s="159"/>
      <c r="BQ158" s="74"/>
    </row>
    <row r="159" spans="1:69" ht="18">
      <c r="A159" s="151" t="s">
        <v>206</v>
      </c>
      <c r="D159" s="49"/>
      <c r="F159" s="8"/>
      <c r="G159" s="162">
        <f>G156+G157</f>
        <v>194917014.70989498</v>
      </c>
      <c r="H159" s="163" t="e">
        <f>H156+H157</f>
        <v>#REF!</v>
      </c>
      <c r="J159" s="49"/>
      <c r="K159" s="49"/>
      <c r="L159" s="8"/>
      <c r="M159" s="49"/>
      <c r="N159" s="8"/>
      <c r="O159" s="164">
        <f>O156+O157</f>
        <v>101992130.93462001</v>
      </c>
      <c r="Q159" s="49"/>
      <c r="R159" s="8"/>
      <c r="S159" s="164">
        <f>S156+S157</f>
        <v>141724391.45820001</v>
      </c>
      <c r="T159" s="57">
        <f>+S159-O159</f>
        <v>39732260.52358</v>
      </c>
      <c r="V159" s="51"/>
      <c r="W159" s="49"/>
      <c r="X159" s="8"/>
      <c r="Y159" s="162">
        <f>Y156+Y157</f>
        <v>77644992.036400005</v>
      </c>
      <c r="AA159" s="49"/>
      <c r="AB159" s="8"/>
      <c r="AC159" s="162">
        <f>AC156+AC157</f>
        <v>114593562.29419</v>
      </c>
      <c r="AD159" s="60">
        <f>+AC159-Y159</f>
        <v>36948570.257789999</v>
      </c>
      <c r="AF159" s="51"/>
      <c r="AG159" s="49"/>
      <c r="AH159" s="8"/>
      <c r="AI159" s="162">
        <f>AI156+AI157</f>
        <v>87931739.649757996</v>
      </c>
      <c r="AK159" s="51"/>
      <c r="AL159" s="8"/>
      <c r="AM159" s="162">
        <f>AM156+AM157</f>
        <v>111575708.519714</v>
      </c>
      <c r="AN159" s="60">
        <f>+AM159-AI159</f>
        <v>23643968.869956002</v>
      </c>
      <c r="AP159" s="10"/>
      <c r="AQ159" s="11"/>
      <c r="AR159" s="65"/>
      <c r="AS159" s="10"/>
      <c r="AT159" s="14"/>
      <c r="AU159" s="162">
        <f>AU156+AU157</f>
        <v>36690211.26568418</v>
      </c>
      <c r="AV159" s="60">
        <f>+AU159-AQ159</f>
        <v>36690211.26568418</v>
      </c>
      <c r="AX159" s="10"/>
      <c r="AY159" s="11"/>
      <c r="AZ159" s="65"/>
      <c r="BA159" s="10"/>
      <c r="BB159" s="14"/>
      <c r="BC159" s="162">
        <f>BC156+BC157</f>
        <v>33944942.757019579</v>
      </c>
      <c r="BD159" s="60">
        <f>+BC159-AY159</f>
        <v>33944942.757019579</v>
      </c>
      <c r="BF159" s="10"/>
      <c r="BG159" s="11"/>
      <c r="BH159" s="65"/>
      <c r="BI159" s="162">
        <f>BI156+BI157</f>
        <v>52193239.160304002</v>
      </c>
      <c r="BJ159" s="10">
        <f t="shared" ref="BJ159:BJ160" si="137">+BI159-BC159</f>
        <v>18248296.403284423</v>
      </c>
      <c r="BL159" s="10"/>
      <c r="BN159" s="14"/>
      <c r="BO159" s="162">
        <f>BO156+BO157</f>
        <v>50467522.469580002</v>
      </c>
      <c r="BP159" s="10">
        <f t="shared" ref="BP159:BP160" si="138">+BO159-BI159</f>
        <v>-1725716.6907240003</v>
      </c>
      <c r="BQ159" s="10"/>
    </row>
    <row r="160" spans="1:69" ht="18">
      <c r="A160" s="151" t="s">
        <v>207</v>
      </c>
      <c r="D160" s="49"/>
      <c r="F160" s="8"/>
      <c r="G160" s="10">
        <v>-5000</v>
      </c>
      <c r="H160" s="52" t="e">
        <f>+F160-#REF!</f>
        <v>#REF!</v>
      </c>
      <c r="J160" s="49"/>
      <c r="K160" s="49"/>
      <c r="L160" s="8"/>
      <c r="M160" s="49"/>
      <c r="N160" s="8"/>
      <c r="O160" s="73">
        <v>-5000</v>
      </c>
      <c r="Q160" s="49"/>
      <c r="R160" s="8"/>
      <c r="S160" s="73">
        <v>-5000</v>
      </c>
      <c r="T160" s="57">
        <f>+S160-O160</f>
        <v>0</v>
      </c>
      <c r="V160" s="51"/>
      <c r="W160" s="49"/>
      <c r="X160" s="8"/>
      <c r="Y160" s="10">
        <v>-5000</v>
      </c>
      <c r="AA160" s="49"/>
      <c r="AB160" s="8"/>
      <c r="AC160" s="10">
        <v>-5000</v>
      </c>
      <c r="AD160" s="60">
        <f>+AC160-Y160</f>
        <v>0</v>
      </c>
      <c r="AF160" s="51"/>
      <c r="AG160" s="49"/>
      <c r="AH160" s="8"/>
      <c r="AI160" s="10">
        <v>-5000</v>
      </c>
      <c r="AK160" s="51"/>
      <c r="AL160" s="8"/>
      <c r="AM160" s="10">
        <v>-5000</v>
      </c>
      <c r="AN160" s="60">
        <f>+AM160-AI160</f>
        <v>0</v>
      </c>
      <c r="AP160" s="10"/>
      <c r="AQ160" s="11"/>
      <c r="AR160" s="65"/>
      <c r="AS160" s="10"/>
      <c r="AT160" s="14"/>
      <c r="AU160" s="10">
        <v>-5000</v>
      </c>
      <c r="AV160" s="10">
        <f t="shared" ref="AV160" si="139">+AU160-AM160</f>
        <v>0</v>
      </c>
      <c r="AX160" s="10"/>
      <c r="AY160" s="11"/>
      <c r="AZ160" s="65"/>
      <c r="BA160" s="10"/>
      <c r="BB160" s="14"/>
      <c r="BC160" s="10">
        <v>-5000</v>
      </c>
      <c r="BD160" s="10">
        <f t="shared" ref="BD160" si="140">+BC160-AU160</f>
        <v>0</v>
      </c>
      <c r="BF160" s="10"/>
      <c r="BG160" s="11"/>
      <c r="BH160" s="65"/>
      <c r="BI160" s="10">
        <v>-5000</v>
      </c>
      <c r="BJ160" s="10">
        <f t="shared" si="137"/>
        <v>0</v>
      </c>
      <c r="BL160" s="10"/>
      <c r="BN160" s="14"/>
      <c r="BO160" s="10">
        <v>-5000</v>
      </c>
      <c r="BP160" s="10">
        <f t="shared" si="138"/>
        <v>0</v>
      </c>
      <c r="BQ160" s="10"/>
    </row>
    <row r="161" spans="1:69" ht="18.75" thickBot="1">
      <c r="A161" s="151"/>
      <c r="D161" s="49"/>
      <c r="F161" s="8"/>
      <c r="G161" s="159"/>
      <c r="H161" s="161"/>
      <c r="J161" s="49"/>
      <c r="K161" s="49"/>
      <c r="L161" s="8"/>
      <c r="M161" s="49"/>
      <c r="N161" s="8"/>
      <c r="O161" s="161"/>
      <c r="Q161" s="49"/>
      <c r="R161" s="8"/>
      <c r="S161" s="161"/>
      <c r="T161" s="170"/>
      <c r="V161" s="51"/>
      <c r="W161" s="49"/>
      <c r="X161" s="8"/>
      <c r="Y161" s="159"/>
      <c r="AA161" s="49"/>
      <c r="AB161" s="8"/>
      <c r="AC161" s="159"/>
      <c r="AD161" s="171"/>
      <c r="AF161" s="51"/>
      <c r="AG161" s="49"/>
      <c r="AH161" s="8"/>
      <c r="AI161" s="159"/>
      <c r="AK161" s="51"/>
      <c r="AL161" s="8"/>
      <c r="AM161" s="159"/>
      <c r="AN161" s="171"/>
      <c r="AP161" s="10"/>
      <c r="AQ161" s="11"/>
      <c r="AR161" s="65"/>
      <c r="AS161" s="10"/>
      <c r="AT161" s="14"/>
      <c r="AU161" s="159"/>
      <c r="AV161" s="172"/>
      <c r="AX161" s="10"/>
      <c r="AY161" s="11"/>
      <c r="AZ161" s="65"/>
      <c r="BA161" s="10"/>
      <c r="BB161" s="14"/>
      <c r="BC161" s="159"/>
      <c r="BD161" s="172"/>
      <c r="BF161" s="10"/>
      <c r="BG161" s="11"/>
      <c r="BH161" s="65"/>
      <c r="BI161" s="159"/>
      <c r="BJ161" s="172"/>
      <c r="BL161" s="10"/>
      <c r="BN161" s="14"/>
      <c r="BO161" s="159"/>
      <c r="BP161" s="172"/>
      <c r="BQ161" s="173"/>
    </row>
    <row r="162" spans="1:69" ht="18.75" thickBot="1">
      <c r="A162" s="151" t="s">
        <v>208</v>
      </c>
      <c r="D162" s="49"/>
      <c r="F162" s="8"/>
      <c r="G162" s="174">
        <f>SUM(G159:G160)</f>
        <v>194912014.70989498</v>
      </c>
      <c r="H162" s="175" t="e">
        <f>SUM(H159:H160)</f>
        <v>#REF!</v>
      </c>
      <c r="J162" s="49"/>
      <c r="K162" s="49"/>
      <c r="L162" s="8"/>
      <c r="M162" s="49"/>
      <c r="N162" s="8"/>
      <c r="O162" s="176">
        <f>SUM(O159:O160)</f>
        <v>101987130.93462001</v>
      </c>
      <c r="Q162" s="49"/>
      <c r="R162" s="8"/>
      <c r="S162" s="176">
        <f>SUM(S159:S160)</f>
        <v>141719391.45820001</v>
      </c>
      <c r="T162" s="177">
        <f>+S162-O162</f>
        <v>39732260.52358</v>
      </c>
      <c r="V162" s="51"/>
      <c r="W162" s="49"/>
      <c r="X162" s="8"/>
      <c r="Y162" s="174">
        <f>SUM(Y159:Y160)</f>
        <v>77639992.036400005</v>
      </c>
      <c r="AA162" s="49"/>
      <c r="AB162" s="8"/>
      <c r="AC162" s="174">
        <f>SUM(AC159:AC160)</f>
        <v>114588562.29419</v>
      </c>
      <c r="AD162" s="178">
        <f>+AC162-Y162</f>
        <v>36948570.257789999</v>
      </c>
      <c r="AF162" s="51"/>
      <c r="AG162" s="49"/>
      <c r="AH162" s="8"/>
      <c r="AI162" s="174">
        <f>SUM(AI159:AI160)</f>
        <v>87926739.649757996</v>
      </c>
      <c r="AK162" s="51"/>
      <c r="AL162" s="8"/>
      <c r="AM162" s="174">
        <f>SUM(AM159:AM160)</f>
        <v>111570708.519714</v>
      </c>
      <c r="AN162" s="178">
        <f>+AM162-AI162</f>
        <v>23643968.869956002</v>
      </c>
      <c r="AP162" s="10"/>
      <c r="AQ162" s="11"/>
      <c r="AR162" s="65"/>
      <c r="AS162" s="10"/>
      <c r="AT162" s="14"/>
      <c r="AU162" s="174">
        <f>SUM(AU159:AU160)</f>
        <v>36685211.26568418</v>
      </c>
      <c r="AV162" s="178">
        <f>+AU162-AQ162</f>
        <v>36685211.26568418</v>
      </c>
      <c r="AX162" s="10"/>
      <c r="AY162" s="11"/>
      <c r="AZ162" s="65"/>
      <c r="BA162" s="10"/>
      <c r="BB162" s="14"/>
      <c r="BC162" s="174">
        <f>SUM(BC159:BC160)</f>
        <v>33939942.757019579</v>
      </c>
      <c r="BD162" s="178">
        <f>+BC162-AY162</f>
        <v>33939942.757019579</v>
      </c>
      <c r="BF162" s="10"/>
      <c r="BG162" s="11"/>
      <c r="BH162" s="65"/>
      <c r="BI162" s="174">
        <f>SUM(BI159:BI160)</f>
        <v>52188239.160304002</v>
      </c>
      <c r="BJ162" s="10">
        <f t="shared" ref="BJ162" si="141">+BI162-BC162</f>
        <v>18248296.403284423</v>
      </c>
      <c r="BL162" s="10"/>
      <c r="BN162" s="14"/>
      <c r="BO162" s="174">
        <f>SUM(BO159:BO160)</f>
        <v>50462522.469580002</v>
      </c>
      <c r="BP162" s="10">
        <f t="shared" ref="BP162" si="142">+BO162-BI162</f>
        <v>-1725716.6907240003</v>
      </c>
      <c r="BQ162" s="10"/>
    </row>
    <row r="163" spans="1:69" ht="18.75" thickTop="1">
      <c r="A163" s="151"/>
      <c r="D163" s="49"/>
      <c r="F163" s="8"/>
      <c r="G163" s="74"/>
      <c r="H163" s="8"/>
      <c r="J163" s="49"/>
      <c r="K163" s="49"/>
      <c r="L163" s="8"/>
      <c r="M163" s="49"/>
      <c r="N163" s="8"/>
      <c r="O163" s="165"/>
      <c r="Q163" s="49"/>
      <c r="R163" s="8"/>
      <c r="S163" s="165"/>
      <c r="V163" s="51"/>
      <c r="W163" s="49"/>
      <c r="X163" s="8"/>
      <c r="Y163" s="74"/>
      <c r="AA163" s="49"/>
      <c r="AB163" s="8"/>
      <c r="AC163" s="74"/>
      <c r="AD163" s="9"/>
      <c r="AF163" s="51"/>
      <c r="AG163" s="49"/>
      <c r="AH163" s="8"/>
      <c r="AI163" s="74"/>
      <c r="AK163" s="51"/>
      <c r="AL163" s="8"/>
      <c r="AM163" s="74"/>
      <c r="AN163" s="9"/>
      <c r="AP163" s="10"/>
      <c r="AQ163" s="11"/>
      <c r="AR163" s="65"/>
      <c r="AS163" s="10"/>
      <c r="AT163" s="14"/>
      <c r="AU163" s="74"/>
      <c r="AV163" s="71"/>
      <c r="AX163" s="10"/>
      <c r="AY163" s="11"/>
      <c r="AZ163" s="65"/>
      <c r="BA163" s="10"/>
      <c r="BB163" s="14"/>
      <c r="BC163" s="74"/>
      <c r="BD163" s="71"/>
      <c r="BF163" s="10"/>
      <c r="BG163" s="11"/>
      <c r="BH163" s="65"/>
      <c r="BI163" s="74"/>
      <c r="BJ163" s="71"/>
      <c r="BL163" s="10"/>
      <c r="BN163" s="14"/>
      <c r="BO163" s="74"/>
      <c r="BP163" s="71"/>
      <c r="BQ163" s="71"/>
    </row>
    <row r="164" spans="1:69" ht="18">
      <c r="A164" s="151" t="s">
        <v>209</v>
      </c>
      <c r="D164" s="49"/>
      <c r="F164" s="8"/>
      <c r="G164" s="74">
        <v>0</v>
      </c>
      <c r="H164" s="52" t="e">
        <f>+F164-#REF!</f>
        <v>#REF!</v>
      </c>
      <c r="J164" s="49"/>
      <c r="K164" s="49"/>
      <c r="L164" s="8"/>
      <c r="M164" s="49"/>
      <c r="N164" s="8"/>
      <c r="O164" s="165">
        <v>0</v>
      </c>
      <c r="Q164" s="49"/>
      <c r="R164" s="8"/>
      <c r="S164" s="165">
        <v>0</v>
      </c>
      <c r="V164" s="51"/>
      <c r="W164" s="49"/>
      <c r="X164" s="8"/>
      <c r="Y164" s="74">
        <v>0</v>
      </c>
      <c r="AA164" s="49"/>
      <c r="AB164" s="8"/>
      <c r="AC164" s="74">
        <v>0</v>
      </c>
      <c r="AD164" s="9"/>
      <c r="AF164" s="51"/>
      <c r="AG164" s="49"/>
      <c r="AH164" s="8"/>
      <c r="AI164" s="74">
        <v>0</v>
      </c>
      <c r="AK164" s="51"/>
      <c r="AL164" s="8"/>
      <c r="AM164" s="74">
        <v>0</v>
      </c>
      <c r="AN164" s="9"/>
      <c r="AP164" s="10"/>
      <c r="AQ164" s="11"/>
      <c r="AR164" s="65"/>
      <c r="AS164" s="10"/>
      <c r="AT164" s="14"/>
      <c r="AU164" s="74">
        <v>0</v>
      </c>
      <c r="AV164" s="71"/>
      <c r="AX164" s="10"/>
      <c r="AY164" s="11"/>
      <c r="AZ164" s="65"/>
      <c r="BA164" s="10"/>
      <c r="BB164" s="14"/>
      <c r="BC164" s="74">
        <v>0</v>
      </c>
      <c r="BD164" s="71"/>
      <c r="BF164" s="10"/>
      <c r="BG164" s="11"/>
      <c r="BH164" s="65"/>
      <c r="BI164" s="74">
        <v>0</v>
      </c>
      <c r="BJ164" s="71"/>
      <c r="BL164" s="10"/>
      <c r="BN164" s="14"/>
      <c r="BO164" s="74">
        <v>0</v>
      </c>
      <c r="BP164" s="71"/>
      <c r="BQ164" s="71"/>
    </row>
    <row r="165" spans="1:69" ht="18">
      <c r="A165" s="151"/>
      <c r="D165" s="49"/>
      <c r="F165" s="8"/>
      <c r="G165" s="74"/>
      <c r="H165" s="52" t="e">
        <f>+F165-#REF!</f>
        <v>#REF!</v>
      </c>
      <c r="J165" s="49"/>
      <c r="K165" s="49"/>
      <c r="L165" s="8"/>
      <c r="M165" s="49"/>
      <c r="N165" s="8"/>
      <c r="O165" s="165"/>
      <c r="Q165" s="49"/>
      <c r="R165" s="8"/>
      <c r="S165" s="165"/>
      <c r="V165" s="51"/>
      <c r="W165" s="49"/>
      <c r="X165" s="8"/>
      <c r="Y165" s="74"/>
      <c r="AA165" s="49"/>
      <c r="AB165" s="8"/>
      <c r="AC165" s="74"/>
      <c r="AD165" s="9"/>
      <c r="AF165" s="51"/>
      <c r="AG165" s="49"/>
      <c r="AH165" s="8"/>
      <c r="AI165" s="74"/>
      <c r="AK165" s="51"/>
      <c r="AL165" s="8"/>
      <c r="AM165" s="74"/>
      <c r="AN165" s="9"/>
      <c r="AP165" s="10"/>
      <c r="AQ165" s="11"/>
      <c r="AR165" s="65"/>
      <c r="AS165" s="10"/>
      <c r="AT165" s="14"/>
      <c r="AU165" s="74"/>
      <c r="AV165" s="71"/>
      <c r="AX165" s="10"/>
      <c r="AY165" s="11"/>
      <c r="AZ165" s="65"/>
      <c r="BA165" s="10"/>
      <c r="BB165" s="14"/>
      <c r="BC165" s="74"/>
      <c r="BD165" s="71"/>
      <c r="BF165" s="10"/>
      <c r="BG165" s="11"/>
      <c r="BH165" s="65"/>
      <c r="BI165" s="74"/>
      <c r="BJ165" s="71"/>
      <c r="BL165" s="10"/>
      <c r="BN165" s="14"/>
      <c r="BO165" s="74"/>
      <c r="BP165" s="71"/>
      <c r="BQ165" s="71"/>
    </row>
    <row r="166" spans="1:69" ht="18.75" thickBot="1">
      <c r="A166" s="151" t="s">
        <v>210</v>
      </c>
      <c r="D166" s="49"/>
      <c r="F166" s="8"/>
      <c r="G166" s="179">
        <f>SUM(G162:G164)</f>
        <v>194912014.70989498</v>
      </c>
      <c r="H166" s="180" t="e">
        <f>SUM(H162:H164)</f>
        <v>#REF!</v>
      </c>
      <c r="J166" s="49"/>
      <c r="K166" s="49"/>
      <c r="L166" s="8"/>
      <c r="M166" s="49"/>
      <c r="N166" s="8"/>
      <c r="O166" s="180">
        <f>SUM(O162:O164)</f>
        <v>101987130.93462001</v>
      </c>
      <c r="Q166" s="49"/>
      <c r="R166" s="8"/>
      <c r="S166" s="180">
        <f>SUM(S162:S164)</f>
        <v>141719391.45820001</v>
      </c>
      <c r="T166" s="180">
        <f>SUM(T162:T164)</f>
        <v>39732260.52358</v>
      </c>
      <c r="V166" s="51"/>
      <c r="W166" s="49"/>
      <c r="X166" s="8"/>
      <c r="Y166" s="179">
        <f>SUM(Y162:Y164)</f>
        <v>77639992.036400005</v>
      </c>
      <c r="AA166" s="49"/>
      <c r="AB166" s="8"/>
      <c r="AC166" s="179">
        <f>SUM(AC162:AC164)</f>
        <v>114588562.29419</v>
      </c>
      <c r="AD166" s="179">
        <f>SUM(AD162:AD164)</f>
        <v>36948570.257789999</v>
      </c>
      <c r="AF166" s="51"/>
      <c r="AG166" s="49"/>
      <c r="AH166" s="8"/>
      <c r="AI166" s="179">
        <f>SUM(AI162:AI164)</f>
        <v>87926739.649757996</v>
      </c>
      <c r="AK166" s="51"/>
      <c r="AL166" s="8"/>
      <c r="AM166" s="179">
        <f>SUM(AM162:AM164)</f>
        <v>111570708.519714</v>
      </c>
      <c r="AN166" s="179">
        <f>SUM(AN162:AN164)</f>
        <v>23643968.869956002</v>
      </c>
      <c r="AP166" s="10"/>
      <c r="AQ166" s="11"/>
      <c r="AR166" s="65"/>
      <c r="AS166" s="10"/>
      <c r="AT166" s="14"/>
      <c r="AU166" s="179">
        <f>SUM(AU162:AU164)</f>
        <v>36685211.26568418</v>
      </c>
      <c r="AV166" s="179">
        <f>SUM(AV162:AV164)</f>
        <v>36685211.26568418</v>
      </c>
      <c r="AX166" s="10"/>
      <c r="AY166" s="11"/>
      <c r="AZ166" s="65"/>
      <c r="BA166" s="10"/>
      <c r="BB166" s="14"/>
      <c r="BC166" s="179">
        <f>SUM(BC162:BC164)</f>
        <v>33939942.757019579</v>
      </c>
      <c r="BD166" s="179">
        <f>SUM(BD162:BD164)</f>
        <v>33939942.757019579</v>
      </c>
      <c r="BF166" s="10"/>
      <c r="BG166" s="11"/>
      <c r="BH166" s="65"/>
      <c r="BI166" s="179">
        <f>SUM(BI162:BI164)</f>
        <v>52188239.160304002</v>
      </c>
      <c r="BJ166" s="179">
        <f>SUM(BJ162:BJ164)</f>
        <v>18248296.403284423</v>
      </c>
      <c r="BL166" s="10"/>
      <c r="BN166" s="14"/>
      <c r="BO166" s="179">
        <f>SUM(BO162:BO164)</f>
        <v>50462522.469580002</v>
      </c>
      <c r="BP166" s="179">
        <f>SUM(BP162:BP164)</f>
        <v>-1725716.6907240003</v>
      </c>
      <c r="BQ166" s="74"/>
    </row>
    <row r="167" spans="1:69" ht="18.75" thickTop="1">
      <c r="A167" s="151"/>
      <c r="D167" s="49"/>
      <c r="F167" s="8"/>
      <c r="G167" s="74"/>
      <c r="H167" s="8"/>
      <c r="J167" s="49"/>
      <c r="K167" s="49"/>
      <c r="L167" s="8"/>
      <c r="M167" s="49"/>
      <c r="N167" s="8"/>
      <c r="O167" s="165"/>
      <c r="Q167" s="49"/>
      <c r="R167" s="8"/>
      <c r="S167" s="165"/>
      <c r="V167" s="51"/>
      <c r="W167" s="49"/>
      <c r="X167" s="8"/>
      <c r="Y167" s="74"/>
      <c r="AA167" s="49"/>
      <c r="AB167" s="8"/>
      <c r="AC167" s="74"/>
      <c r="AD167" s="9"/>
      <c r="AF167" s="51"/>
      <c r="AG167" s="49"/>
      <c r="AH167" s="8"/>
      <c r="AI167" s="74"/>
      <c r="AK167" s="51"/>
      <c r="AL167" s="8"/>
      <c r="AM167" s="74"/>
      <c r="AN167" s="9"/>
      <c r="AP167" s="10"/>
      <c r="AQ167" s="11"/>
      <c r="AR167" s="65"/>
      <c r="AS167" s="10"/>
      <c r="AT167" s="14"/>
      <c r="AU167" s="74"/>
      <c r="AV167" s="71"/>
      <c r="AX167" s="10"/>
      <c r="AY167" s="11"/>
      <c r="AZ167" s="65"/>
      <c r="BA167" s="10"/>
      <c r="BB167" s="14"/>
      <c r="BC167" s="74"/>
      <c r="BD167" s="71"/>
      <c r="BF167" s="10"/>
      <c r="BG167" s="11"/>
      <c r="BH167" s="65"/>
      <c r="BI167" s="74"/>
      <c r="BJ167" s="71"/>
      <c r="BL167" s="10"/>
      <c r="BN167" s="14"/>
      <c r="BO167" s="74"/>
      <c r="BP167" s="71"/>
      <c r="BQ167" s="71"/>
    </row>
    <row r="168" spans="1:69" ht="18">
      <c r="A168" s="151" t="s">
        <v>211</v>
      </c>
      <c r="D168" s="49"/>
      <c r="F168" s="8"/>
      <c r="G168" s="162">
        <f>G166*0.055</f>
        <v>10720160.809044225</v>
      </c>
      <c r="H168" s="52" t="e">
        <f>+G168-#REF!</f>
        <v>#REF!</v>
      </c>
      <c r="J168" s="49"/>
      <c r="K168" s="49"/>
      <c r="L168" s="8"/>
      <c r="M168" s="49"/>
      <c r="N168" s="8"/>
      <c r="O168" s="164">
        <f>O166*0.055</f>
        <v>5609292.2014041003</v>
      </c>
      <c r="Q168" s="49"/>
      <c r="R168" s="8"/>
      <c r="S168" s="164">
        <f>S166*0.055</f>
        <v>7794566.5302010002</v>
      </c>
      <c r="T168" s="57">
        <f>+S168-O168</f>
        <v>2185274.3287968999</v>
      </c>
      <c r="V168" s="51"/>
      <c r="W168" s="49"/>
      <c r="X168" s="8"/>
      <c r="Y168" s="162">
        <f>Y166*0.055</f>
        <v>4270199.5620020004</v>
      </c>
      <c r="AA168" s="49"/>
      <c r="AB168" s="8"/>
      <c r="AC168" s="162">
        <f>AC166*0.055</f>
        <v>6302370.9261804502</v>
      </c>
      <c r="AD168" s="60">
        <f>+AC168-Y168</f>
        <v>2032171.3641784498</v>
      </c>
      <c r="AF168" s="51"/>
      <c r="AG168" s="49"/>
      <c r="AH168" s="8"/>
      <c r="AI168" s="162">
        <f>AI166*0.055</f>
        <v>4835970.6807366898</v>
      </c>
      <c r="AK168" s="51"/>
      <c r="AL168" s="8"/>
      <c r="AM168" s="162">
        <f>AM166*0.055</f>
        <v>6136388.9685842702</v>
      </c>
      <c r="AN168" s="60">
        <f>+AM168-AI168</f>
        <v>1300418.2878475804</v>
      </c>
      <c r="AP168" s="10"/>
      <c r="AQ168" s="11"/>
      <c r="AR168" s="65"/>
      <c r="AS168" s="10"/>
      <c r="AT168" s="14"/>
      <c r="AU168" s="162">
        <f>AU166*0.055</f>
        <v>2017686.61961263</v>
      </c>
      <c r="AV168" s="60">
        <f>+AU168-AQ168</f>
        <v>2017686.61961263</v>
      </c>
      <c r="AX168" s="10"/>
      <c r="AY168" s="11"/>
      <c r="AZ168" s="65"/>
      <c r="BA168" s="10"/>
      <c r="BB168" s="14"/>
      <c r="BC168" s="162">
        <f>BC166*0.055</f>
        <v>1866696.8516360768</v>
      </c>
      <c r="BD168" s="60">
        <f>+BC168-AY168</f>
        <v>1866696.8516360768</v>
      </c>
      <c r="BF168" s="10"/>
      <c r="BG168" s="11"/>
      <c r="BH168" s="65"/>
      <c r="BI168" s="162">
        <f>BI166*0.055</f>
        <v>2870353.15381672</v>
      </c>
      <c r="BJ168" s="10">
        <f t="shared" ref="BJ168" si="143">+BI168-BC168</f>
        <v>1003656.3021806432</v>
      </c>
      <c r="BL168" s="10"/>
      <c r="BN168" s="14"/>
      <c r="BO168" s="181">
        <f>ROUND(BO166*0.055,0)</f>
        <v>2775439</v>
      </c>
      <c r="BP168" s="10">
        <f t="shared" ref="BP168" si="144">+BO168-BI168</f>
        <v>-94914.153816720005</v>
      </c>
      <c r="BQ168" s="10"/>
    </row>
    <row r="169" spans="1:69" ht="18">
      <c r="A169" s="151" t="s">
        <v>212</v>
      </c>
      <c r="D169" s="49"/>
      <c r="F169" s="8"/>
      <c r="G169" s="136">
        <v>0</v>
      </c>
      <c r="H169" s="52" t="e">
        <f>+G169-#REF!</f>
        <v>#REF!</v>
      </c>
      <c r="J169" s="49"/>
      <c r="K169" s="49"/>
      <c r="L169" s="8"/>
      <c r="M169" s="49"/>
      <c r="N169" s="8"/>
      <c r="O169" s="134">
        <v>0</v>
      </c>
      <c r="Q169" s="49"/>
      <c r="R169" s="8"/>
      <c r="S169" s="134">
        <v>0</v>
      </c>
      <c r="V169" s="51"/>
      <c r="W169" s="49"/>
      <c r="X169" s="8"/>
      <c r="Y169" s="136">
        <v>0</v>
      </c>
      <c r="AA169" s="49"/>
      <c r="AB169" s="8"/>
      <c r="AC169" s="136">
        <v>0</v>
      </c>
      <c r="AD169" s="9"/>
      <c r="AF169" s="51"/>
      <c r="AG169" s="49"/>
      <c r="AH169" s="8"/>
      <c r="AI169" s="136">
        <v>0</v>
      </c>
      <c r="AK169" s="51"/>
      <c r="AL169" s="8"/>
      <c r="AM169" s="136">
        <v>0</v>
      </c>
      <c r="AN169" s="9"/>
      <c r="AP169" s="10"/>
      <c r="AQ169" s="11"/>
      <c r="AR169" s="65"/>
      <c r="AS169" s="148" t="s">
        <v>213</v>
      </c>
      <c r="AT169" s="14"/>
      <c r="AU169" s="136">
        <v>0</v>
      </c>
      <c r="AV169" s="71"/>
      <c r="AX169" s="10"/>
      <c r="AY169" s="11"/>
      <c r="AZ169" s="65"/>
      <c r="BA169" s="148" t="s">
        <v>213</v>
      </c>
      <c r="BB169" s="14"/>
      <c r="BC169" s="136">
        <v>0</v>
      </c>
      <c r="BD169" s="71"/>
      <c r="BF169" s="10"/>
      <c r="BG169" s="11"/>
      <c r="BH169" s="65"/>
      <c r="BI169" s="136">
        <v>0</v>
      </c>
      <c r="BJ169" s="71"/>
      <c r="BL169" s="10"/>
      <c r="BN169" s="14"/>
      <c r="BO169" s="136">
        <v>0</v>
      </c>
      <c r="BP169" s="71"/>
      <c r="BQ169" s="71"/>
    </row>
    <row r="170" spans="1:69" ht="18.75" thickBot="1">
      <c r="A170" s="151" t="s">
        <v>214</v>
      </c>
      <c r="D170" s="49"/>
      <c r="F170" s="8">
        <v>10</v>
      </c>
      <c r="G170" s="159">
        <v>-2000000</v>
      </c>
      <c r="H170" s="52" t="e">
        <f>+G170-#REF!</f>
        <v>#REF!</v>
      </c>
      <c r="J170" s="49"/>
      <c r="K170" s="49"/>
      <c r="L170" s="8"/>
      <c r="M170" s="49"/>
      <c r="N170" s="62">
        <v>32</v>
      </c>
      <c r="O170" s="161">
        <v>0</v>
      </c>
      <c r="Q170" s="49"/>
      <c r="R170" s="62">
        <v>32</v>
      </c>
      <c r="S170" s="161"/>
      <c r="T170" s="161"/>
      <c r="V170" s="51"/>
      <c r="W170" s="49"/>
      <c r="X170" s="8"/>
      <c r="Y170" s="159">
        <v>0</v>
      </c>
      <c r="AA170" s="49"/>
      <c r="AB170" s="62">
        <v>32</v>
      </c>
      <c r="AC170" s="159"/>
      <c r="AD170" s="159"/>
      <c r="AF170" s="51"/>
      <c r="AG170" s="49"/>
      <c r="AH170" s="8"/>
      <c r="AI170" s="159">
        <v>0</v>
      </c>
      <c r="AK170" s="51"/>
      <c r="AL170" s="62">
        <v>32</v>
      </c>
      <c r="AM170" s="159"/>
      <c r="AN170" s="159"/>
      <c r="AP170" s="10"/>
      <c r="AQ170" s="11"/>
      <c r="AR170" s="65"/>
      <c r="AS170" s="10">
        <f>-AU168*0.75</f>
        <v>-1513264.9647094724</v>
      </c>
      <c r="AT170" s="62">
        <v>32</v>
      </c>
      <c r="AU170" s="159">
        <v>-1000000</v>
      </c>
      <c r="AV170" s="10">
        <f t="shared" ref="AV170" si="145">+AU170-AM170</f>
        <v>-1000000</v>
      </c>
      <c r="AX170" s="10"/>
      <c r="AY170" s="11"/>
      <c r="AZ170" s="65"/>
      <c r="BA170" s="10">
        <f>-BC168*0.75</f>
        <v>-1400022.6387270577</v>
      </c>
      <c r="BB170" s="62">
        <v>32</v>
      </c>
      <c r="BC170" s="159">
        <v>-750000</v>
      </c>
      <c r="BD170" s="10">
        <f t="shared" ref="BD170" si="146">+BC170-AU170</f>
        <v>250000</v>
      </c>
      <c r="BF170" s="10"/>
      <c r="BG170" s="10">
        <f>-BI168*0.75</f>
        <v>-2152764.8653625399</v>
      </c>
      <c r="BH170" s="65" t="s">
        <v>196</v>
      </c>
      <c r="BI170" s="159">
        <v>-750000</v>
      </c>
      <c r="BJ170" s="10">
        <f t="shared" ref="BJ170:BJ171" si="147">+BI170-BC170</f>
        <v>0</v>
      </c>
      <c r="BL170" s="10"/>
      <c r="BN170" s="14"/>
      <c r="BO170" s="159">
        <v>-750000</v>
      </c>
      <c r="BP170" s="10">
        <f t="shared" ref="BP170:BP171" si="148">+BO170-BI170</f>
        <v>0</v>
      </c>
      <c r="BQ170" s="10"/>
    </row>
    <row r="171" spans="1:69" ht="18.75" thickBot="1">
      <c r="A171" s="151" t="s">
        <v>215</v>
      </c>
      <c r="D171" s="49"/>
      <c r="F171" s="8"/>
      <c r="G171" s="174">
        <f>SUM(G168:G170)</f>
        <v>8720160.8090442251</v>
      </c>
      <c r="H171" s="175" t="e">
        <f>SUM(H168:H170)</f>
        <v>#REF!</v>
      </c>
      <c r="J171" s="49"/>
      <c r="K171" s="49"/>
      <c r="L171" s="8"/>
      <c r="M171" s="49"/>
      <c r="N171" s="8"/>
      <c r="O171" s="176">
        <f>SUM(O168:O170)</f>
        <v>5609292.2014041003</v>
      </c>
      <c r="Q171" s="49"/>
      <c r="R171" s="8"/>
      <c r="S171" s="176">
        <f>SUM(S168:S170)</f>
        <v>7794566.5302010002</v>
      </c>
      <c r="T171" s="182">
        <f>+S171-O171</f>
        <v>2185274.3287968999</v>
      </c>
      <c r="V171" s="51"/>
      <c r="W171" s="49"/>
      <c r="X171" s="8"/>
      <c r="Y171" s="174">
        <f>SUM(Y168:Y170)</f>
        <v>4270199.5620020004</v>
      </c>
      <c r="AA171" s="49"/>
      <c r="AB171" s="8"/>
      <c r="AC171" s="174">
        <f>SUM(AC168:AC170)</f>
        <v>6302370.9261804502</v>
      </c>
      <c r="AD171" s="183">
        <f>+AC171-Y171</f>
        <v>2032171.3641784498</v>
      </c>
      <c r="AF171" s="51"/>
      <c r="AG171" s="49"/>
      <c r="AH171" s="8"/>
      <c r="AI171" s="174">
        <f>SUM(AI168:AI170)</f>
        <v>4835970.6807366898</v>
      </c>
      <c r="AK171" s="51"/>
      <c r="AL171" s="8"/>
      <c r="AM171" s="174">
        <f>SUM(AM168:AM170)</f>
        <v>6136388.9685842702</v>
      </c>
      <c r="AN171" s="183">
        <f>+AM171-AI171</f>
        <v>1300418.2878475804</v>
      </c>
      <c r="AP171" s="10"/>
      <c r="AQ171" s="11"/>
      <c r="AR171" s="65"/>
      <c r="AS171" s="10"/>
      <c r="AT171" s="14"/>
      <c r="AU171" s="174">
        <f>SUM(AU168:AU170)</f>
        <v>1017686.61961263</v>
      </c>
      <c r="AV171" s="183">
        <f>+AU171-AQ171</f>
        <v>1017686.61961263</v>
      </c>
      <c r="AX171" s="10"/>
      <c r="AY171" s="11"/>
      <c r="AZ171" s="65"/>
      <c r="BA171" s="10"/>
      <c r="BB171" s="14"/>
      <c r="BC171" s="174">
        <f>SUM(BC168:BC170)</f>
        <v>1116696.8516360768</v>
      </c>
      <c r="BD171" s="183">
        <f>+BC171-AY171</f>
        <v>1116696.8516360768</v>
      </c>
      <c r="BF171" s="10"/>
      <c r="BG171" s="11"/>
      <c r="BH171" s="65"/>
      <c r="BI171" s="174">
        <f>SUM(BI168:BI170)</f>
        <v>2120353.15381672</v>
      </c>
      <c r="BJ171" s="10">
        <f t="shared" si="147"/>
        <v>1003656.3021806432</v>
      </c>
      <c r="BL171" s="10"/>
      <c r="BN171" s="14"/>
      <c r="BO171" s="174">
        <f>SUM(BO168:BO170)</f>
        <v>2025439</v>
      </c>
      <c r="BP171" s="10">
        <f t="shared" si="148"/>
        <v>-94914.153816720005</v>
      </c>
      <c r="BQ171" s="10"/>
    </row>
    <row r="172" spans="1:69" ht="18.75" thickTop="1">
      <c r="A172" s="151"/>
      <c r="D172" s="49"/>
      <c r="F172" s="8"/>
      <c r="G172" s="51"/>
      <c r="H172" s="8"/>
      <c r="J172" s="49"/>
      <c r="K172" s="49"/>
      <c r="L172" s="8"/>
      <c r="M172" s="49"/>
      <c r="N172" s="8"/>
      <c r="O172" s="73"/>
      <c r="Q172" s="49"/>
      <c r="R172" s="8"/>
      <c r="S172" s="73"/>
      <c r="V172" s="51"/>
      <c r="W172" s="49"/>
      <c r="X172" s="8"/>
      <c r="Y172" s="10"/>
      <c r="AA172" s="49"/>
      <c r="AB172" s="8"/>
      <c r="AC172" s="10"/>
      <c r="AD172" s="9"/>
      <c r="AF172" s="51"/>
      <c r="AG172" s="49"/>
      <c r="AH172" s="8"/>
      <c r="AI172" s="10"/>
      <c r="AK172" s="51"/>
      <c r="AL172" s="8"/>
      <c r="AM172" s="10"/>
      <c r="AN172" s="9"/>
      <c r="AP172" s="10"/>
      <c r="AQ172" s="11"/>
      <c r="AR172" s="65"/>
      <c r="AS172" s="10"/>
      <c r="AT172" s="13"/>
      <c r="AU172" s="10"/>
      <c r="AV172" s="10"/>
      <c r="AX172" s="10"/>
      <c r="AY172" s="11"/>
      <c r="AZ172" s="65"/>
      <c r="BA172" s="10"/>
      <c r="BB172" s="13"/>
      <c r="BC172" s="10"/>
      <c r="BD172" s="10"/>
      <c r="BF172" s="10"/>
      <c r="BG172" s="11"/>
      <c r="BH172" s="65"/>
      <c r="BI172" s="10"/>
      <c r="BJ172" s="10"/>
      <c r="BL172" s="10"/>
      <c r="BN172" s="14"/>
      <c r="BO172" s="10"/>
      <c r="BP172" s="10"/>
      <c r="BQ172" s="10"/>
    </row>
    <row r="173" spans="1:69" ht="18">
      <c r="A173" s="8"/>
      <c r="D173" s="49"/>
      <c r="F173" s="8"/>
      <c r="G173" s="51"/>
      <c r="H173" s="8"/>
      <c r="J173" s="49"/>
      <c r="K173" s="49"/>
      <c r="L173" s="8"/>
      <c r="M173" s="49"/>
      <c r="N173" s="8"/>
      <c r="O173" s="73"/>
      <c r="Q173" s="49"/>
      <c r="R173" s="8"/>
      <c r="S173" s="73"/>
      <c r="V173" s="51"/>
      <c r="W173" s="49"/>
      <c r="X173" s="8"/>
      <c r="Y173" s="10"/>
      <c r="AA173" s="49"/>
      <c r="AB173" s="8"/>
      <c r="AC173" s="10"/>
      <c r="AD173" s="9"/>
      <c r="AF173" s="51"/>
      <c r="AG173" s="49"/>
      <c r="AH173" s="8"/>
      <c r="AI173" s="10"/>
      <c r="AK173" s="51"/>
      <c r="AL173" s="8"/>
      <c r="AM173" s="10"/>
      <c r="AN173" s="9"/>
      <c r="AP173" s="10"/>
      <c r="AQ173" s="11"/>
      <c r="AR173" s="65"/>
      <c r="AS173" s="10"/>
      <c r="AT173" s="13"/>
      <c r="AU173" s="10"/>
      <c r="AV173" s="10"/>
      <c r="AX173" s="10"/>
      <c r="AY173" s="11"/>
      <c r="AZ173" s="65"/>
      <c r="BA173" s="10"/>
      <c r="BB173" s="13"/>
      <c r="BC173" s="10"/>
      <c r="BD173" s="10"/>
      <c r="BF173" s="10"/>
      <c r="BG173" s="11"/>
      <c r="BH173" s="65"/>
      <c r="BI173" s="10"/>
      <c r="BJ173" s="10"/>
      <c r="BL173" s="10"/>
      <c r="BN173" s="14"/>
      <c r="BO173" s="10"/>
      <c r="BP173" s="10"/>
      <c r="BQ173" s="10"/>
    </row>
    <row r="174" spans="1:69" ht="18">
      <c r="A174" s="8"/>
      <c r="D174" s="49"/>
      <c r="F174" s="8"/>
      <c r="G174" s="51"/>
      <c r="H174" s="8"/>
      <c r="J174" s="49"/>
      <c r="K174" s="49"/>
      <c r="L174" s="8"/>
      <c r="M174" s="49"/>
      <c r="N174" s="8"/>
      <c r="O174" s="73"/>
      <c r="Q174" s="49"/>
      <c r="R174" s="8"/>
      <c r="S174" s="73"/>
      <c r="V174" s="51"/>
      <c r="W174" s="49"/>
      <c r="X174" s="8"/>
      <c r="Y174" s="10"/>
      <c r="AA174" s="49"/>
      <c r="AB174" s="8"/>
      <c r="AC174" s="10"/>
      <c r="AD174" s="9"/>
      <c r="AF174" s="51"/>
      <c r="AG174" s="49"/>
      <c r="AH174" s="8"/>
      <c r="AI174" s="10"/>
      <c r="AK174" s="51"/>
      <c r="AL174" s="8"/>
      <c r="AM174" s="10"/>
      <c r="AN174" s="9"/>
      <c r="AP174" s="10"/>
      <c r="AQ174" s="11"/>
      <c r="AR174" s="65"/>
      <c r="AS174" s="10"/>
      <c r="AT174" s="13"/>
      <c r="AU174" s="10"/>
      <c r="AV174" s="10"/>
      <c r="AX174" s="10"/>
      <c r="AY174" s="11"/>
      <c r="AZ174" s="65"/>
      <c r="BA174" s="10"/>
      <c r="BB174" s="13"/>
      <c r="BC174" s="10"/>
      <c r="BD174" s="10"/>
      <c r="BF174" s="10"/>
      <c r="BG174" s="11"/>
      <c r="BH174" s="65"/>
      <c r="BI174" s="10"/>
      <c r="BJ174" s="10"/>
      <c r="BL174" s="10"/>
      <c r="BN174" s="14"/>
      <c r="BO174" s="10"/>
      <c r="BP174" s="10"/>
      <c r="BQ174" s="10"/>
    </row>
    <row r="175" spans="1:69" ht="18">
      <c r="A175" s="150" t="s">
        <v>216</v>
      </c>
      <c r="D175" s="49"/>
      <c r="F175" s="8"/>
      <c r="G175" s="51"/>
      <c r="H175" s="8"/>
      <c r="J175" s="49"/>
      <c r="K175" s="49"/>
      <c r="L175" s="8"/>
      <c r="M175" s="49"/>
      <c r="N175" s="8"/>
      <c r="O175" s="73"/>
      <c r="Q175" s="49"/>
      <c r="R175" s="8"/>
      <c r="S175" s="73"/>
      <c r="V175" s="51"/>
      <c r="W175" s="49"/>
      <c r="X175" s="8"/>
      <c r="Y175" s="10"/>
      <c r="AA175" s="49"/>
      <c r="AB175" s="8"/>
      <c r="AC175" s="10"/>
      <c r="AD175" s="9"/>
      <c r="AF175" s="51"/>
      <c r="AG175" s="49"/>
      <c r="AH175" s="8"/>
      <c r="AI175" s="10"/>
      <c r="AK175" s="51"/>
      <c r="AL175" s="8"/>
      <c r="AM175" s="10"/>
      <c r="AN175" s="9"/>
      <c r="AP175" s="10"/>
      <c r="AQ175" s="11"/>
      <c r="AR175" s="65"/>
      <c r="AS175" s="10"/>
      <c r="AT175" s="13"/>
      <c r="AU175" s="10"/>
      <c r="AV175" s="10"/>
      <c r="AX175" s="10"/>
      <c r="AY175" s="11"/>
      <c r="AZ175" s="65"/>
      <c r="BA175" s="10"/>
      <c r="BB175" s="13"/>
      <c r="BC175" s="10"/>
      <c r="BD175" s="10"/>
      <c r="BF175" s="10"/>
      <c r="BG175" s="11"/>
      <c r="BH175" s="65"/>
      <c r="BI175" s="10"/>
      <c r="BJ175" s="10"/>
      <c r="BL175" s="10"/>
      <c r="BN175" s="14"/>
      <c r="BO175" s="10"/>
      <c r="BP175" s="10"/>
      <c r="BQ175" s="10"/>
    </row>
    <row r="176" spans="1:69" ht="18">
      <c r="A176" s="151"/>
      <c r="D176" s="49"/>
      <c r="F176" s="8"/>
      <c r="G176" s="51"/>
      <c r="H176" s="8"/>
      <c r="J176" s="49"/>
      <c r="K176" s="49"/>
      <c r="L176" s="8"/>
      <c r="M176" s="49"/>
      <c r="N176" s="8"/>
      <c r="O176" s="73"/>
      <c r="Q176" s="49"/>
      <c r="R176" s="8"/>
      <c r="S176" s="73"/>
      <c r="V176" s="51"/>
      <c r="W176" s="49"/>
      <c r="X176" s="8"/>
      <c r="Y176" s="10"/>
      <c r="AA176" s="49"/>
      <c r="AB176" s="8"/>
      <c r="AC176" s="10"/>
      <c r="AD176" s="9"/>
      <c r="AF176" s="51"/>
      <c r="AG176" s="49"/>
      <c r="AH176" s="8"/>
      <c r="AI176" s="10"/>
      <c r="AK176" s="51"/>
      <c r="AL176" s="8"/>
      <c r="AM176" s="10"/>
      <c r="AN176" s="9"/>
      <c r="AP176" s="10"/>
      <c r="AQ176" s="11"/>
      <c r="AR176" s="65"/>
      <c r="AS176" s="10"/>
      <c r="AT176" s="13"/>
      <c r="AU176" s="10"/>
      <c r="AV176" s="10"/>
      <c r="AX176" s="10"/>
      <c r="AY176" s="11"/>
      <c r="AZ176" s="65"/>
      <c r="BA176" s="10"/>
      <c r="BB176" s="13"/>
      <c r="BC176" s="10"/>
      <c r="BD176" s="10"/>
      <c r="BF176" s="10"/>
      <c r="BG176" s="11"/>
      <c r="BH176" s="65"/>
      <c r="BI176" s="10"/>
      <c r="BJ176" s="10"/>
      <c r="BL176" s="10"/>
      <c r="BN176" s="14"/>
      <c r="BO176" s="10"/>
      <c r="BP176" s="10"/>
      <c r="BQ176" s="10"/>
    </row>
    <row r="177" spans="1:69" ht="18">
      <c r="A177" s="151" t="s">
        <v>217</v>
      </c>
      <c r="D177" s="49"/>
      <c r="F177" s="8"/>
      <c r="G177" s="10">
        <f>+G113</f>
        <v>154643276</v>
      </c>
      <c r="H177" s="52" t="e">
        <f>+G177-#REF!</f>
        <v>#REF!</v>
      </c>
      <c r="J177" s="49"/>
      <c r="K177" s="49"/>
      <c r="L177" s="8"/>
      <c r="M177" s="49"/>
      <c r="N177" s="8"/>
      <c r="O177" s="73">
        <f>+O113</f>
        <v>102729463</v>
      </c>
      <c r="Q177" s="49"/>
      <c r="R177" s="8"/>
      <c r="S177" s="73">
        <f>+S113</f>
        <v>144797777</v>
      </c>
      <c r="T177" s="57">
        <f>+S177-O177</f>
        <v>42068314</v>
      </c>
      <c r="V177" s="51"/>
      <c r="W177" s="49"/>
      <c r="X177" s="8"/>
      <c r="Y177" s="10">
        <f>+Y113</f>
        <v>76950837</v>
      </c>
      <c r="AA177" s="49"/>
      <c r="AB177" s="8"/>
      <c r="AC177" s="10">
        <f>+AC113</f>
        <v>116071794</v>
      </c>
      <c r="AD177" s="60">
        <f>+AC177-Y177</f>
        <v>39120957</v>
      </c>
      <c r="AF177" s="51"/>
      <c r="AG177" s="49"/>
      <c r="AH177" s="8"/>
      <c r="AI177" s="10">
        <f>+AI113</f>
        <v>102535943</v>
      </c>
      <c r="AK177" s="51"/>
      <c r="AL177" s="8"/>
      <c r="AM177" s="10">
        <f>+AM113</f>
        <v>127502147</v>
      </c>
      <c r="AN177" s="60">
        <f>+AM177-AI177</f>
        <v>24966204</v>
      </c>
      <c r="AP177" s="10"/>
      <c r="AQ177" s="11"/>
      <c r="AR177" s="65"/>
      <c r="AS177" s="10"/>
      <c r="AT177" s="14"/>
      <c r="AU177" s="10">
        <f>+AU113</f>
        <v>-33571151.200000018</v>
      </c>
      <c r="AV177" s="10">
        <f t="shared" ref="AV177" si="149">+AU177-AM177</f>
        <v>-161073298.20000002</v>
      </c>
      <c r="AX177" s="10"/>
      <c r="AY177" s="11"/>
      <c r="AZ177" s="65"/>
      <c r="BA177" s="10"/>
      <c r="BB177" s="14"/>
      <c r="BC177" s="10">
        <f>+BC113</f>
        <v>-21640053.600000024</v>
      </c>
      <c r="BD177" s="10">
        <f t="shared" ref="BD177" si="150">+BC177-AU177</f>
        <v>11931097.599999994</v>
      </c>
      <c r="BF177" s="10"/>
      <c r="BG177" s="11"/>
      <c r="BH177" s="10"/>
      <c r="BI177" s="10">
        <f>+BI113</f>
        <v>-17821243</v>
      </c>
      <c r="BJ177" s="10">
        <f t="shared" ref="BJ177" si="151">+BI177-BC177</f>
        <v>3818810.6000000238</v>
      </c>
      <c r="BL177" s="10"/>
      <c r="BN177" s="14"/>
      <c r="BO177" s="10">
        <f>+BO113</f>
        <v>-9864574</v>
      </c>
      <c r="BP177" s="10">
        <f t="shared" ref="BP177" si="152">+BO177-BI177</f>
        <v>7956669</v>
      </c>
      <c r="BQ177" s="10"/>
    </row>
    <row r="178" spans="1:69" ht="18">
      <c r="A178" s="151"/>
      <c r="D178" s="49"/>
      <c r="F178" s="8"/>
      <c r="G178" s="51"/>
      <c r="H178" s="8"/>
      <c r="J178" s="49"/>
      <c r="K178" s="49"/>
      <c r="L178" s="8"/>
      <c r="M178" s="49"/>
      <c r="N178" s="8"/>
      <c r="O178" s="73"/>
      <c r="Q178" s="49"/>
      <c r="R178" s="8"/>
      <c r="S178" s="73"/>
      <c r="V178" s="51"/>
      <c r="W178" s="49"/>
      <c r="X178" s="8"/>
      <c r="Y178" s="10"/>
      <c r="AA178" s="49"/>
      <c r="AB178" s="8"/>
      <c r="AC178" s="10"/>
      <c r="AD178" s="9"/>
      <c r="AF178" s="51"/>
      <c r="AG178" s="49"/>
      <c r="AH178" s="8"/>
      <c r="AI178" s="10"/>
      <c r="AK178" s="51"/>
      <c r="AL178" s="8"/>
      <c r="AM178" s="10"/>
      <c r="AN178" s="9"/>
      <c r="AP178" s="10"/>
      <c r="AQ178" s="11"/>
      <c r="AR178" s="65"/>
      <c r="AS178" s="10"/>
      <c r="AT178" s="14"/>
      <c r="AU178" s="10"/>
      <c r="AV178" s="71"/>
      <c r="AX178" s="10"/>
      <c r="AY178" s="11"/>
      <c r="AZ178" s="65"/>
      <c r="BA178" s="10"/>
      <c r="BB178" s="14"/>
      <c r="BC178" s="10"/>
      <c r="BD178" s="71"/>
      <c r="BF178" s="10"/>
      <c r="BG178" s="11"/>
      <c r="BH178" s="10"/>
      <c r="BI178" s="10"/>
      <c r="BJ178" s="71"/>
      <c r="BL178" s="10"/>
      <c r="BN178" s="14"/>
      <c r="BO178" s="10"/>
      <c r="BP178" s="71"/>
      <c r="BQ178" s="71"/>
    </row>
    <row r="179" spans="1:69" ht="19.5">
      <c r="A179" s="154" t="s">
        <v>182</v>
      </c>
      <c r="D179" s="49"/>
      <c r="F179" s="8"/>
      <c r="G179" s="51"/>
      <c r="H179" s="8"/>
      <c r="J179" s="49"/>
      <c r="K179" s="49"/>
      <c r="L179" s="8"/>
      <c r="M179" s="49"/>
      <c r="N179" s="8"/>
      <c r="O179" s="73"/>
      <c r="Q179" s="49"/>
      <c r="R179" s="8"/>
      <c r="S179" s="73"/>
      <c r="V179" s="51"/>
      <c r="W179" s="49"/>
      <c r="X179" s="8"/>
      <c r="Y179" s="10"/>
      <c r="AA179" s="49"/>
      <c r="AB179" s="8"/>
      <c r="AC179" s="10"/>
      <c r="AD179" s="9"/>
      <c r="AF179" s="51"/>
      <c r="AG179" s="49"/>
      <c r="AH179" s="8"/>
      <c r="AI179" s="10"/>
      <c r="AK179" s="51"/>
      <c r="AL179" s="8"/>
      <c r="AM179" s="10"/>
      <c r="AN179" s="9"/>
      <c r="AP179" s="10"/>
      <c r="AQ179" s="11"/>
      <c r="AR179" s="65"/>
      <c r="AS179" s="10"/>
      <c r="AT179" s="14"/>
      <c r="AU179" s="10"/>
      <c r="AV179" s="71"/>
      <c r="AX179" s="10"/>
      <c r="AY179" s="11"/>
      <c r="AZ179" s="65"/>
      <c r="BA179" s="10"/>
      <c r="BB179" s="14"/>
      <c r="BC179" s="10"/>
      <c r="BD179" s="71"/>
      <c r="BF179" s="10"/>
      <c r="BG179" s="11"/>
      <c r="BH179" s="10"/>
      <c r="BI179" s="10"/>
      <c r="BJ179" s="71"/>
      <c r="BL179" s="10"/>
      <c r="BN179" s="14"/>
      <c r="BO179" s="10"/>
      <c r="BP179" s="71"/>
      <c r="BQ179" s="71"/>
    </row>
    <row r="180" spans="1:69" ht="18">
      <c r="A180" s="151" t="s">
        <v>183</v>
      </c>
      <c r="D180" s="49"/>
      <c r="F180" s="8"/>
      <c r="G180" s="51"/>
      <c r="H180" s="8"/>
      <c r="J180" s="49"/>
      <c r="K180" s="49"/>
      <c r="L180" s="8"/>
      <c r="M180" s="49"/>
      <c r="N180" s="8"/>
      <c r="O180" s="73"/>
      <c r="Q180" s="49"/>
      <c r="R180" s="8"/>
      <c r="S180" s="73"/>
      <c r="V180" s="51"/>
      <c r="W180" s="49"/>
      <c r="X180" s="8"/>
      <c r="Y180" s="10"/>
      <c r="AA180" s="49"/>
      <c r="AB180" s="8"/>
      <c r="AC180" s="10"/>
      <c r="AD180" s="9"/>
      <c r="AF180" s="51"/>
      <c r="AG180" s="49"/>
      <c r="AH180" s="8"/>
      <c r="AI180" s="10"/>
      <c r="AK180" s="51"/>
      <c r="AL180" s="8"/>
      <c r="AM180" s="10"/>
      <c r="AN180" s="9"/>
      <c r="AP180" s="10"/>
      <c r="AQ180" s="11"/>
      <c r="AR180" s="65"/>
      <c r="AS180" s="10"/>
      <c r="AT180" s="14"/>
      <c r="AU180" s="10"/>
      <c r="AV180" s="71"/>
      <c r="AX180" s="10"/>
      <c r="AY180" s="11"/>
      <c r="AZ180" s="65"/>
      <c r="BA180" s="10"/>
      <c r="BB180" s="14"/>
      <c r="BC180" s="10"/>
      <c r="BD180" s="71"/>
      <c r="BF180" s="10"/>
      <c r="BG180" s="11"/>
      <c r="BH180" s="10"/>
      <c r="BI180" s="10"/>
      <c r="BJ180" s="71"/>
      <c r="BL180" s="10"/>
      <c r="BN180" s="14">
        <v>21</v>
      </c>
      <c r="BO180" s="10">
        <v>1546861</v>
      </c>
      <c r="BP180" s="71"/>
      <c r="BQ180" s="71"/>
    </row>
    <row r="181" spans="1:69" ht="18">
      <c r="A181" s="151" t="s">
        <v>218</v>
      </c>
      <c r="D181" s="49"/>
      <c r="F181" s="14" t="s">
        <v>219</v>
      </c>
      <c r="G181" s="51">
        <v>-8458</v>
      </c>
      <c r="H181" s="8"/>
      <c r="J181" s="49"/>
      <c r="K181" s="49"/>
      <c r="L181" s="8"/>
      <c r="M181" s="49"/>
      <c r="N181" s="8"/>
      <c r="O181" s="73"/>
      <c r="Q181" s="49"/>
      <c r="R181" s="8"/>
      <c r="S181" s="73"/>
      <c r="V181" s="51"/>
      <c r="W181" s="49"/>
      <c r="X181" s="8"/>
      <c r="Y181" s="10"/>
      <c r="AA181" s="49"/>
      <c r="AB181" s="8"/>
      <c r="AC181" s="10"/>
      <c r="AD181" s="9"/>
      <c r="AF181" s="51"/>
      <c r="AG181" s="49"/>
      <c r="AH181" s="8"/>
      <c r="AI181" s="10"/>
      <c r="AK181" s="51"/>
      <c r="AL181" s="8"/>
      <c r="AM181" s="10"/>
      <c r="AN181" s="9"/>
      <c r="AP181" s="10"/>
      <c r="AQ181" s="11"/>
      <c r="AR181" s="65"/>
      <c r="AS181" s="10"/>
      <c r="AT181" s="14"/>
      <c r="AU181" s="10"/>
      <c r="AV181" s="71"/>
      <c r="AX181" s="10"/>
      <c r="AY181" s="11"/>
      <c r="AZ181" s="65"/>
      <c r="BA181" s="10"/>
      <c r="BB181" s="14"/>
      <c r="BC181" s="10"/>
      <c r="BD181" s="71"/>
      <c r="BF181" s="10"/>
      <c r="BG181" s="11"/>
      <c r="BH181" s="10"/>
      <c r="BI181" s="10"/>
      <c r="BJ181" s="71"/>
      <c r="BL181" s="10"/>
      <c r="BN181" s="14" t="s">
        <v>220</v>
      </c>
      <c r="BO181" s="10">
        <v>-7806</v>
      </c>
      <c r="BP181" s="71"/>
      <c r="BQ181" s="71"/>
    </row>
    <row r="182" spans="1:69" ht="18">
      <c r="A182" s="156" t="s">
        <v>221</v>
      </c>
      <c r="D182" s="49"/>
      <c r="F182" s="14"/>
      <c r="G182" s="51">
        <v>-203</v>
      </c>
      <c r="H182" s="8"/>
      <c r="J182" s="49"/>
      <c r="K182" s="49"/>
      <c r="L182" s="8"/>
      <c r="M182" s="49"/>
      <c r="N182" s="8"/>
      <c r="O182" s="73"/>
      <c r="Q182" s="49"/>
      <c r="R182" s="8"/>
      <c r="S182" s="73"/>
      <c r="V182" s="51"/>
      <c r="W182" s="49"/>
      <c r="X182" s="8"/>
      <c r="Y182" s="10"/>
      <c r="AA182" s="49"/>
      <c r="AB182" s="8"/>
      <c r="AC182" s="10"/>
      <c r="AD182" s="9"/>
      <c r="AF182" s="51"/>
      <c r="AG182" s="49"/>
      <c r="AH182" s="8"/>
      <c r="AI182" s="10"/>
      <c r="AK182" s="51"/>
      <c r="AL182" s="8"/>
      <c r="AM182" s="10"/>
      <c r="AN182" s="9"/>
      <c r="AP182" s="10"/>
      <c r="AQ182" s="11"/>
      <c r="AR182" s="65"/>
      <c r="AS182" s="10"/>
      <c r="AT182" s="14"/>
      <c r="AU182" s="10"/>
      <c r="AV182" s="71"/>
      <c r="AX182" s="10"/>
      <c r="AY182" s="11"/>
      <c r="AZ182" s="65"/>
      <c r="BA182" s="10"/>
      <c r="BB182" s="14"/>
      <c r="BC182" s="10"/>
      <c r="BD182" s="71"/>
      <c r="BF182" s="10"/>
      <c r="BG182" s="11"/>
      <c r="BH182" s="10"/>
      <c r="BI182" s="10"/>
      <c r="BJ182" s="71"/>
      <c r="BL182" s="10"/>
      <c r="BN182" s="14">
        <v>15</v>
      </c>
      <c r="BO182" s="10">
        <v>133</v>
      </c>
      <c r="BP182" s="71"/>
      <c r="BQ182" s="71"/>
    </row>
    <row r="183" spans="1:69" ht="18">
      <c r="A183" s="155" t="s">
        <v>222</v>
      </c>
      <c r="D183" s="49"/>
      <c r="F183" s="14"/>
      <c r="G183" s="51"/>
      <c r="H183" s="8"/>
      <c r="J183" s="49"/>
      <c r="K183" s="49"/>
      <c r="L183" s="8"/>
      <c r="M183" s="49"/>
      <c r="N183" s="8"/>
      <c r="O183" s="73"/>
      <c r="Q183" s="49"/>
      <c r="R183" s="8"/>
      <c r="S183" s="73"/>
      <c r="V183" s="51"/>
      <c r="W183" s="49"/>
      <c r="X183" s="8"/>
      <c r="Y183" s="10"/>
      <c r="AA183" s="49"/>
      <c r="AB183" s="8"/>
      <c r="AC183" s="10"/>
      <c r="AD183" s="9"/>
      <c r="AF183" s="51"/>
      <c r="AG183" s="49"/>
      <c r="AH183" s="8"/>
      <c r="AI183" s="10"/>
      <c r="AK183" s="51"/>
      <c r="AL183" s="8"/>
      <c r="AM183" s="10"/>
      <c r="AN183" s="9"/>
      <c r="AP183" s="10"/>
      <c r="AQ183" s="11"/>
      <c r="AR183" s="65"/>
      <c r="AS183" s="10"/>
      <c r="AT183" s="14"/>
      <c r="AU183" s="10"/>
      <c r="AV183" s="71"/>
      <c r="AX183" s="10"/>
      <c r="AY183" s="11"/>
      <c r="AZ183" s="65"/>
      <c r="BA183" s="10"/>
      <c r="BB183" s="14"/>
      <c r="BC183" s="10"/>
      <c r="BD183" s="71"/>
      <c r="BF183" s="10"/>
      <c r="BG183" s="11"/>
      <c r="BH183" s="10"/>
      <c r="BI183" s="10"/>
      <c r="BJ183" s="71"/>
      <c r="BL183" s="10"/>
      <c r="BN183" s="14"/>
      <c r="BO183" s="10"/>
      <c r="BP183" s="71"/>
      <c r="BQ183" s="71"/>
    </row>
    <row r="184" spans="1:69" ht="18">
      <c r="A184" s="155" t="s">
        <v>223</v>
      </c>
      <c r="D184" s="49"/>
      <c r="F184" s="14" t="s">
        <v>224</v>
      </c>
      <c r="G184" s="51">
        <v>-201969</v>
      </c>
      <c r="H184" s="52" t="e">
        <f>+G184-#REF!</f>
        <v>#REF!</v>
      </c>
      <c r="J184" s="49"/>
      <c r="K184" s="49"/>
      <c r="L184" s="8"/>
      <c r="M184" s="49"/>
      <c r="N184" s="8">
        <v>37</v>
      </c>
      <c r="O184" s="73">
        <v>-186821</v>
      </c>
      <c r="Q184" s="49"/>
      <c r="R184" s="8">
        <v>37</v>
      </c>
      <c r="S184" s="73">
        <v>-186821</v>
      </c>
      <c r="T184" s="57">
        <f>+S184-O184</f>
        <v>0</v>
      </c>
      <c r="V184" s="51"/>
      <c r="W184" s="49"/>
      <c r="X184" s="14">
        <v>37</v>
      </c>
      <c r="Y184" s="10">
        <v>-186821</v>
      </c>
      <c r="AA184" s="49"/>
      <c r="AB184" s="14">
        <v>37</v>
      </c>
      <c r="AC184" s="10">
        <v>-186821</v>
      </c>
      <c r="AD184" s="60">
        <f>+AC184-Y184</f>
        <v>0</v>
      </c>
      <c r="AF184" s="51"/>
      <c r="AG184" s="49"/>
      <c r="AH184" s="14">
        <v>37</v>
      </c>
      <c r="AI184" s="10">
        <v>-186821</v>
      </c>
      <c r="AK184" s="51"/>
      <c r="AL184" s="14">
        <v>37</v>
      </c>
      <c r="AM184" s="10">
        <v>-186821</v>
      </c>
      <c r="AN184" s="60">
        <f>+AM184-AI184</f>
        <v>0</v>
      </c>
      <c r="AP184" s="10"/>
      <c r="AQ184" s="11"/>
      <c r="AR184" s="65"/>
      <c r="AS184" s="10"/>
      <c r="AT184" s="14">
        <v>37</v>
      </c>
      <c r="AU184" s="10">
        <v>-186821</v>
      </c>
      <c r="AV184" s="10">
        <f t="shared" ref="AV184:AV185" si="153">+AU184-AM184</f>
        <v>0</v>
      </c>
      <c r="AX184" s="10"/>
      <c r="AY184" s="11"/>
      <c r="AZ184" s="65"/>
      <c r="BA184" s="10"/>
      <c r="BB184" s="14">
        <v>37</v>
      </c>
      <c r="BC184" s="10">
        <v>-186821</v>
      </c>
      <c r="BD184" s="10">
        <f t="shared" ref="BD184:BD185" si="154">+BC184-AU184</f>
        <v>0</v>
      </c>
      <c r="BF184" s="10"/>
      <c r="BG184" s="11"/>
      <c r="BH184" s="14">
        <v>81</v>
      </c>
      <c r="BI184" s="10">
        <v>-186821</v>
      </c>
      <c r="BJ184" s="10">
        <f t="shared" ref="BJ184:BJ185" si="155">+BI184-BC184</f>
        <v>0</v>
      </c>
      <c r="BL184" s="10"/>
      <c r="BN184" s="14" t="s">
        <v>191</v>
      </c>
      <c r="BO184" s="10">
        <v>-186821</v>
      </c>
      <c r="BP184" s="10">
        <f t="shared" ref="BP184:BP185" si="156">+BO184-BI184</f>
        <v>0</v>
      </c>
      <c r="BQ184" s="10"/>
    </row>
    <row r="185" spans="1:69" ht="18">
      <c r="A185" s="151" t="s">
        <v>225</v>
      </c>
      <c r="D185" s="49"/>
      <c r="F185" s="14" t="s">
        <v>226</v>
      </c>
      <c r="G185" s="10">
        <v>6480778</v>
      </c>
      <c r="H185" s="52" t="e">
        <f>+G185-#REF!</f>
        <v>#REF!</v>
      </c>
      <c r="J185" s="49"/>
      <c r="K185" s="49"/>
      <c r="L185" s="8"/>
      <c r="M185" s="49"/>
      <c r="N185" s="61">
        <v>30</v>
      </c>
      <c r="O185" s="73">
        <v>4600000</v>
      </c>
      <c r="Q185" s="49"/>
      <c r="R185" s="61">
        <v>30</v>
      </c>
      <c r="S185" s="73">
        <v>4600000</v>
      </c>
      <c r="T185" s="57">
        <f>+S185-O185</f>
        <v>0</v>
      </c>
      <c r="V185" s="51"/>
      <c r="W185" s="49"/>
      <c r="X185" s="61">
        <v>30</v>
      </c>
      <c r="Y185" s="10">
        <v>2900000</v>
      </c>
      <c r="AA185" s="49"/>
      <c r="AB185" s="61">
        <v>30</v>
      </c>
      <c r="AC185" s="10">
        <v>2900000</v>
      </c>
      <c r="AD185" s="60">
        <f>+AC185-Y185</f>
        <v>0</v>
      </c>
      <c r="AF185" s="51"/>
      <c r="AG185" s="49"/>
      <c r="AH185" s="61">
        <v>30</v>
      </c>
      <c r="AI185" s="10">
        <v>2200000</v>
      </c>
      <c r="AK185" s="51"/>
      <c r="AL185" s="61">
        <v>30</v>
      </c>
      <c r="AM185" s="10">
        <v>2900000</v>
      </c>
      <c r="AN185" s="60">
        <f>+AM185-AI185</f>
        <v>700000</v>
      </c>
      <c r="AP185" s="10"/>
      <c r="AQ185" s="11"/>
      <c r="AR185" s="65"/>
      <c r="AS185" s="10"/>
      <c r="AT185" s="61">
        <v>30</v>
      </c>
      <c r="AU185" s="10">
        <v>0</v>
      </c>
      <c r="AV185" s="10">
        <f t="shared" si="153"/>
        <v>-2900000</v>
      </c>
      <c r="AX185" s="10"/>
      <c r="AY185" s="11"/>
      <c r="AZ185" s="65"/>
      <c r="BA185" s="10"/>
      <c r="BB185" s="61">
        <v>30</v>
      </c>
      <c r="BC185" s="10">
        <v>0</v>
      </c>
      <c r="BD185" s="10">
        <f t="shared" si="154"/>
        <v>0</v>
      </c>
      <c r="BF185" s="10"/>
      <c r="BG185" s="11"/>
      <c r="BH185" s="61">
        <v>80</v>
      </c>
      <c r="BI185" s="10">
        <v>0</v>
      </c>
      <c r="BJ185" s="10">
        <f t="shared" si="155"/>
        <v>0</v>
      </c>
      <c r="BL185" s="10"/>
      <c r="BN185" s="14"/>
      <c r="BO185" s="10">
        <v>0</v>
      </c>
      <c r="BP185" s="10">
        <f t="shared" si="156"/>
        <v>0</v>
      </c>
      <c r="BQ185" s="10"/>
    </row>
    <row r="186" spans="1:69" ht="18">
      <c r="A186" s="8"/>
      <c r="D186" s="49"/>
      <c r="F186" s="14"/>
      <c r="G186" s="51"/>
      <c r="H186" s="8"/>
      <c r="J186" s="49"/>
      <c r="K186" s="49"/>
      <c r="L186" s="8"/>
      <c r="M186" s="49"/>
      <c r="N186" s="8"/>
      <c r="O186" s="73"/>
      <c r="Q186" s="49"/>
      <c r="R186" s="8"/>
      <c r="S186" s="73"/>
      <c r="V186" s="51"/>
      <c r="W186" s="49"/>
      <c r="X186" s="8"/>
      <c r="Y186" s="10"/>
      <c r="AA186" s="49"/>
      <c r="AB186" s="8"/>
      <c r="AC186" s="10"/>
      <c r="AD186" s="9"/>
      <c r="AF186" s="51"/>
      <c r="AG186" s="49"/>
      <c r="AH186" s="8"/>
      <c r="AI186" s="10"/>
      <c r="AK186" s="51"/>
      <c r="AL186" s="8"/>
      <c r="AM186" s="10"/>
      <c r="AN186" s="9"/>
      <c r="AP186" s="10"/>
      <c r="AQ186" s="11"/>
      <c r="AR186" s="65"/>
      <c r="AS186" s="10"/>
      <c r="AT186" s="14"/>
      <c r="AU186" s="10"/>
      <c r="AV186" s="71"/>
      <c r="AX186" s="10"/>
      <c r="AY186" s="11"/>
      <c r="AZ186" s="65"/>
      <c r="BA186" s="10"/>
      <c r="BB186" s="14"/>
      <c r="BC186" s="10"/>
      <c r="BD186" s="71"/>
      <c r="BF186" s="10"/>
      <c r="BG186" s="11"/>
      <c r="BH186" s="14"/>
      <c r="BI186" s="10"/>
      <c r="BJ186" s="71"/>
      <c r="BL186" s="10"/>
      <c r="BN186" s="14"/>
      <c r="BO186" s="10"/>
      <c r="BP186" s="71"/>
      <c r="BQ186" s="71"/>
    </row>
    <row r="187" spans="1:69" ht="18">
      <c r="A187" s="151" t="s">
        <v>227</v>
      </c>
      <c r="D187" s="49"/>
      <c r="F187" s="14" t="s">
        <v>228</v>
      </c>
      <c r="G187" s="51">
        <v>0</v>
      </c>
      <c r="H187" s="8"/>
      <c r="J187" s="49"/>
      <c r="K187" s="49"/>
      <c r="L187" s="8"/>
      <c r="M187" s="49"/>
      <c r="N187" s="8"/>
      <c r="O187" s="73"/>
      <c r="Q187" s="49"/>
      <c r="R187" s="8"/>
      <c r="S187" s="73"/>
      <c r="V187" s="51"/>
      <c r="W187" s="49"/>
      <c r="X187" s="8"/>
      <c r="Y187" s="10"/>
      <c r="AA187" s="49"/>
      <c r="AB187" s="8"/>
      <c r="AC187" s="10"/>
      <c r="AD187" s="9"/>
      <c r="AF187" s="51"/>
      <c r="AG187" s="49"/>
      <c r="AH187" s="8"/>
      <c r="AI187" s="10"/>
      <c r="AK187" s="51"/>
      <c r="AL187" s="8"/>
      <c r="AM187" s="10"/>
      <c r="AN187" s="9"/>
      <c r="AP187" s="10"/>
      <c r="AQ187" s="11"/>
      <c r="AR187" s="65"/>
      <c r="AS187" s="10"/>
      <c r="AT187" s="14"/>
      <c r="AU187" s="10"/>
      <c r="AV187" s="71"/>
      <c r="AX187" s="10"/>
      <c r="AY187" s="11"/>
      <c r="AZ187" s="65"/>
      <c r="BA187" s="10"/>
      <c r="BB187" s="14"/>
      <c r="BC187" s="10"/>
      <c r="BD187" s="71"/>
      <c r="BF187" s="10"/>
      <c r="BG187" s="11"/>
      <c r="BH187" s="14"/>
      <c r="BI187" s="10"/>
      <c r="BJ187" s="71"/>
      <c r="BL187" s="10"/>
      <c r="BN187" s="14" t="s">
        <v>194</v>
      </c>
      <c r="BO187" s="10">
        <v>-36623</v>
      </c>
      <c r="BP187" s="71"/>
      <c r="BQ187" s="71"/>
    </row>
    <row r="188" spans="1:69" ht="18">
      <c r="A188" s="151"/>
      <c r="D188" s="49"/>
      <c r="F188" s="14"/>
      <c r="G188" s="51"/>
      <c r="H188" s="8"/>
      <c r="J188" s="49"/>
      <c r="K188" s="49"/>
      <c r="L188" s="8"/>
      <c r="M188" s="49"/>
      <c r="N188" s="8"/>
      <c r="O188" s="73"/>
      <c r="Q188" s="49"/>
      <c r="R188" s="8"/>
      <c r="S188" s="73"/>
      <c r="V188" s="51"/>
      <c r="W188" s="49"/>
      <c r="X188" s="8"/>
      <c r="Y188" s="10"/>
      <c r="AA188" s="49"/>
      <c r="AB188" s="8"/>
      <c r="AC188" s="10"/>
      <c r="AD188" s="9"/>
      <c r="AF188" s="51"/>
      <c r="AG188" s="49"/>
      <c r="AH188" s="8"/>
      <c r="AI188" s="10"/>
      <c r="AK188" s="51"/>
      <c r="AL188" s="8"/>
      <c r="AM188" s="10"/>
      <c r="AN188" s="9"/>
      <c r="AP188" s="10"/>
      <c r="AQ188" s="11"/>
      <c r="AR188" s="65"/>
      <c r="AS188" s="10"/>
      <c r="AT188" s="14"/>
      <c r="AU188" s="10"/>
      <c r="AV188" s="71"/>
      <c r="AX188" s="10"/>
      <c r="AY188" s="11"/>
      <c r="AZ188" s="65"/>
      <c r="BA188" s="10"/>
      <c r="BB188" s="14"/>
      <c r="BC188" s="10"/>
      <c r="BD188" s="71"/>
      <c r="BF188" s="10"/>
      <c r="BG188" s="11"/>
      <c r="BH188" s="14"/>
      <c r="BI188" s="10"/>
      <c r="BJ188" s="71"/>
      <c r="BL188" s="10"/>
      <c r="BN188" s="14"/>
      <c r="BO188" s="10"/>
      <c r="BP188" s="71"/>
      <c r="BQ188" s="71"/>
    </row>
    <row r="189" spans="1:69" ht="18">
      <c r="A189" s="151" t="s">
        <v>120</v>
      </c>
      <c r="D189" s="49"/>
      <c r="F189" s="14" t="s">
        <v>229</v>
      </c>
      <c r="G189" s="51">
        <v>29350</v>
      </c>
      <c r="H189" s="52" t="e">
        <f>+G189-#REF!</f>
        <v>#REF!</v>
      </c>
      <c r="J189" s="49"/>
      <c r="K189" s="49"/>
      <c r="L189" s="8"/>
      <c r="M189" s="49"/>
      <c r="N189" s="8"/>
      <c r="O189" s="73"/>
      <c r="Q189" s="49"/>
      <c r="R189" s="8"/>
      <c r="S189" s="73"/>
      <c r="V189" s="51"/>
      <c r="W189" s="49"/>
      <c r="X189" s="8"/>
      <c r="Y189" s="10"/>
      <c r="AA189" s="49"/>
      <c r="AB189" s="8"/>
      <c r="AC189" s="10"/>
      <c r="AD189" s="9"/>
      <c r="AF189" s="51"/>
      <c r="AG189" s="49"/>
      <c r="AH189" s="8"/>
      <c r="AI189" s="10"/>
      <c r="AK189" s="51"/>
      <c r="AL189" s="8"/>
      <c r="AM189" s="10"/>
      <c r="AN189" s="9"/>
      <c r="AP189" s="10"/>
      <c r="AQ189" s="11"/>
      <c r="AR189" s="65"/>
      <c r="AS189" s="10"/>
      <c r="AT189" s="14"/>
      <c r="AU189" s="10"/>
      <c r="AV189" s="71"/>
      <c r="AX189" s="10"/>
      <c r="AY189" s="11"/>
      <c r="AZ189" s="65"/>
      <c r="BA189" s="10"/>
      <c r="BB189" s="14"/>
      <c r="BC189" s="10"/>
      <c r="BD189" s="71"/>
      <c r="BF189" s="10"/>
      <c r="BG189" s="11"/>
      <c r="BH189" s="14"/>
      <c r="BI189" s="10"/>
      <c r="BJ189" s="71"/>
      <c r="BL189" s="10"/>
      <c r="BN189" s="14"/>
      <c r="BO189" s="10">
        <v>0</v>
      </c>
      <c r="BP189" s="71"/>
      <c r="BQ189" s="71"/>
    </row>
    <row r="190" spans="1:69" ht="18">
      <c r="A190" s="151"/>
      <c r="D190" s="49"/>
      <c r="F190" s="8"/>
      <c r="G190" s="51"/>
      <c r="H190" s="8"/>
      <c r="J190" s="49"/>
      <c r="K190" s="49"/>
      <c r="L190" s="8"/>
      <c r="M190" s="49"/>
      <c r="N190" s="8"/>
      <c r="O190" s="73"/>
      <c r="Q190" s="49"/>
      <c r="R190" s="8"/>
      <c r="S190" s="73"/>
      <c r="V190" s="51"/>
      <c r="W190" s="49"/>
      <c r="X190" s="8"/>
      <c r="Y190" s="10"/>
      <c r="AA190" s="49"/>
      <c r="AB190" s="8"/>
      <c r="AC190" s="10"/>
      <c r="AD190" s="9"/>
      <c r="AF190" s="51"/>
      <c r="AG190" s="49"/>
      <c r="AH190" s="8"/>
      <c r="AI190" s="10"/>
      <c r="AK190" s="51"/>
      <c r="AL190" s="8"/>
      <c r="AM190" s="10"/>
      <c r="AN190" s="9"/>
      <c r="AP190" s="10"/>
      <c r="AQ190" s="11"/>
      <c r="AR190" s="65"/>
      <c r="AS190" s="10"/>
      <c r="AT190" s="14"/>
      <c r="AU190" s="10"/>
      <c r="AV190" s="71"/>
      <c r="AX190" s="10"/>
      <c r="AY190" s="11"/>
      <c r="AZ190" s="65"/>
      <c r="BA190" s="10"/>
      <c r="BB190" s="14"/>
      <c r="BC190" s="10"/>
      <c r="BD190" s="71"/>
      <c r="BF190" s="10"/>
      <c r="BG190" s="11"/>
      <c r="BH190" s="14"/>
      <c r="BI190" s="10"/>
      <c r="BJ190" s="71"/>
      <c r="BL190" s="10"/>
      <c r="BN190" s="14"/>
      <c r="BO190" s="10"/>
      <c r="BP190" s="71"/>
      <c r="BQ190" s="71"/>
    </row>
    <row r="191" spans="1:69" ht="18">
      <c r="A191" s="151"/>
      <c r="D191" s="49"/>
      <c r="F191" s="8"/>
      <c r="G191" s="51"/>
      <c r="H191" s="8"/>
      <c r="J191" s="49"/>
      <c r="K191" s="49"/>
      <c r="L191" s="8"/>
      <c r="M191" s="49"/>
      <c r="N191" s="8"/>
      <c r="O191" s="73"/>
      <c r="Q191" s="49"/>
      <c r="R191" s="8"/>
      <c r="S191" s="73"/>
      <c r="V191" s="51"/>
      <c r="W191" s="49"/>
      <c r="X191" s="8"/>
      <c r="Y191" s="10"/>
      <c r="AA191" s="49"/>
      <c r="AB191" s="8"/>
      <c r="AC191" s="10"/>
      <c r="AD191" s="9"/>
      <c r="AF191" s="51"/>
      <c r="AG191" s="49"/>
      <c r="AH191" s="8"/>
      <c r="AI191" s="10"/>
      <c r="AK191" s="51"/>
      <c r="AL191" s="8"/>
      <c r="AM191" s="10"/>
      <c r="AN191" s="9"/>
      <c r="AP191" s="10"/>
      <c r="AQ191" s="11"/>
      <c r="AR191" s="65"/>
      <c r="AS191" s="10"/>
      <c r="AT191" s="14"/>
      <c r="AU191" s="10"/>
      <c r="AV191" s="71"/>
      <c r="AX191" s="10"/>
      <c r="AY191" s="11"/>
      <c r="AZ191" s="65"/>
      <c r="BA191" s="10"/>
      <c r="BB191" s="14"/>
      <c r="BC191" s="10"/>
      <c r="BD191" s="71"/>
      <c r="BF191" s="10"/>
      <c r="BG191" s="11"/>
      <c r="BH191" s="14"/>
      <c r="BI191" s="10"/>
      <c r="BJ191" s="71"/>
      <c r="BL191" s="10"/>
      <c r="BN191" s="14"/>
      <c r="BO191" s="10"/>
      <c r="BP191" s="71"/>
      <c r="BQ191" s="71"/>
    </row>
    <row r="192" spans="1:69" ht="19.5">
      <c r="A192" s="184" t="s">
        <v>177</v>
      </c>
      <c r="D192" s="49"/>
      <c r="F192" s="8"/>
      <c r="G192" s="51"/>
      <c r="H192" s="8"/>
      <c r="J192" s="49"/>
      <c r="K192" s="49"/>
      <c r="L192" s="8"/>
      <c r="M192" s="49"/>
      <c r="N192" s="8"/>
      <c r="O192" s="73"/>
      <c r="Q192" s="49"/>
      <c r="R192" s="8"/>
      <c r="S192" s="73"/>
      <c r="V192" s="51"/>
      <c r="W192" s="49"/>
      <c r="X192" s="8"/>
      <c r="Y192" s="10"/>
      <c r="AA192" s="49"/>
      <c r="AB192" s="8"/>
      <c r="AC192" s="10"/>
      <c r="AD192" s="9"/>
      <c r="AF192" s="51"/>
      <c r="AG192" s="49"/>
      <c r="AH192" s="8"/>
      <c r="AI192" s="10"/>
      <c r="AK192" s="51"/>
      <c r="AL192" s="8"/>
      <c r="AM192" s="10"/>
      <c r="AN192" s="9"/>
      <c r="AP192" s="10"/>
      <c r="AQ192" s="11"/>
      <c r="AR192" s="65"/>
      <c r="AS192" s="10"/>
      <c r="AT192" s="14"/>
      <c r="AU192" s="10"/>
      <c r="AV192" s="71"/>
      <c r="AX192" s="10"/>
      <c r="AY192" s="11"/>
      <c r="AZ192" s="65"/>
      <c r="BA192" s="10"/>
      <c r="BB192" s="14"/>
      <c r="BC192" s="10"/>
      <c r="BD192" s="71"/>
      <c r="BF192" s="10"/>
      <c r="BG192" s="11"/>
      <c r="BH192" s="14"/>
      <c r="BI192" s="10"/>
      <c r="BJ192" s="71"/>
      <c r="BL192" s="10"/>
      <c r="BN192" s="14"/>
      <c r="BO192" s="10"/>
      <c r="BP192" s="71"/>
      <c r="BQ192" s="71"/>
    </row>
    <row r="193" spans="1:69" ht="18">
      <c r="A193" s="151"/>
      <c r="D193" s="49"/>
      <c r="F193" s="8"/>
      <c r="G193" s="51"/>
      <c r="H193" s="8"/>
      <c r="J193" s="49"/>
      <c r="K193" s="49"/>
      <c r="L193" s="8"/>
      <c r="M193" s="49"/>
      <c r="N193" s="8"/>
      <c r="O193" s="73"/>
      <c r="Q193" s="49"/>
      <c r="R193" s="8"/>
      <c r="S193" s="73"/>
      <c r="V193" s="51"/>
      <c r="W193" s="49"/>
      <c r="X193" s="8"/>
      <c r="Y193" s="10"/>
      <c r="AA193" s="49"/>
      <c r="AB193" s="8"/>
      <c r="AC193" s="10"/>
      <c r="AD193" s="9"/>
      <c r="AF193" s="51"/>
      <c r="AG193" s="49"/>
      <c r="AH193" s="8"/>
      <c r="AI193" s="10"/>
      <c r="AK193" s="51"/>
      <c r="AL193" s="8"/>
      <c r="AM193" s="10"/>
      <c r="AN193" s="9"/>
      <c r="AP193" s="10"/>
      <c r="AQ193" s="11"/>
      <c r="AR193" s="65"/>
      <c r="AS193" s="10"/>
      <c r="AT193" s="14"/>
      <c r="AU193" s="10"/>
      <c r="AV193" s="71"/>
      <c r="AX193" s="10"/>
      <c r="AY193" s="11"/>
      <c r="AZ193" s="65"/>
      <c r="BA193" s="10"/>
      <c r="BB193" s="14"/>
      <c r="BC193" s="10"/>
      <c r="BD193" s="71"/>
      <c r="BF193" s="10"/>
      <c r="BG193" s="11"/>
      <c r="BH193" s="14"/>
      <c r="BI193" s="10"/>
      <c r="BJ193" s="71"/>
      <c r="BL193" s="10"/>
      <c r="BN193" s="14"/>
      <c r="BO193" s="10"/>
      <c r="BP193" s="71"/>
      <c r="BQ193" s="71"/>
    </row>
    <row r="194" spans="1:69" ht="18">
      <c r="A194" s="155" t="s">
        <v>223</v>
      </c>
      <c r="D194" s="49"/>
      <c r="F194" s="14">
        <v>9</v>
      </c>
      <c r="G194" s="51">
        <v>-38329</v>
      </c>
      <c r="H194" s="52" t="e">
        <f>+G194-#REF!</f>
        <v>#REF!</v>
      </c>
      <c r="J194" s="49"/>
      <c r="K194" s="49"/>
      <c r="L194" s="8"/>
      <c r="M194" s="49"/>
      <c r="N194" s="62">
        <v>33</v>
      </c>
      <c r="O194" s="73">
        <v>50000</v>
      </c>
      <c r="Q194" s="49"/>
      <c r="R194" s="62">
        <v>33</v>
      </c>
      <c r="S194" s="73">
        <v>50000</v>
      </c>
      <c r="T194" s="57">
        <f>+S194-O194</f>
        <v>0</v>
      </c>
      <c r="V194" s="51"/>
      <c r="W194" s="49"/>
      <c r="X194" s="62">
        <v>33</v>
      </c>
      <c r="Y194" s="10">
        <v>50000</v>
      </c>
      <c r="AA194" s="49"/>
      <c r="AB194" s="62">
        <v>33</v>
      </c>
      <c r="AC194" s="10">
        <v>50000</v>
      </c>
      <c r="AD194" s="60">
        <f>+AC194-Y194</f>
        <v>0</v>
      </c>
      <c r="AF194" s="51"/>
      <c r="AG194" s="49"/>
      <c r="AH194" s="62">
        <v>33</v>
      </c>
      <c r="AI194" s="10">
        <v>-40000</v>
      </c>
      <c r="AK194" s="51"/>
      <c r="AL194" s="62">
        <v>33</v>
      </c>
      <c r="AM194" s="10">
        <v>50000</v>
      </c>
      <c r="AN194" s="60">
        <f>+AM194-AI194</f>
        <v>90000</v>
      </c>
      <c r="AP194" s="10"/>
      <c r="AQ194" s="11"/>
      <c r="AR194" s="65"/>
      <c r="AS194" s="10"/>
      <c r="AT194" s="62">
        <v>33</v>
      </c>
      <c r="AU194" s="10">
        <v>-40000</v>
      </c>
      <c r="AV194" s="10">
        <f t="shared" ref="AV194" si="157">+AU194-AM194</f>
        <v>-90000</v>
      </c>
      <c r="AX194" s="10"/>
      <c r="AY194" s="11"/>
      <c r="AZ194" s="65"/>
      <c r="BA194" s="10"/>
      <c r="BB194" s="62">
        <v>33</v>
      </c>
      <c r="BC194" s="10">
        <v>-40000</v>
      </c>
      <c r="BD194" s="10">
        <f t="shared" ref="BD194" si="158">+BC194-AU194</f>
        <v>0</v>
      </c>
      <c r="BF194" s="10"/>
      <c r="BG194" s="11"/>
      <c r="BH194" s="62">
        <v>58</v>
      </c>
      <c r="BI194" s="10">
        <v>-40000</v>
      </c>
      <c r="BJ194" s="10">
        <f t="shared" ref="BJ194" si="159">+BI194-BC194</f>
        <v>0</v>
      </c>
      <c r="BL194" s="10"/>
      <c r="BN194" s="14">
        <v>16</v>
      </c>
      <c r="BO194" s="10">
        <v>37898</v>
      </c>
      <c r="BP194" s="10">
        <f t="shared" ref="BP194" si="160">+BO194-BI194</f>
        <v>77898</v>
      </c>
      <c r="BQ194" s="10"/>
    </row>
    <row r="195" spans="1:69" ht="18">
      <c r="A195" s="151"/>
      <c r="D195" s="49"/>
      <c r="F195" s="14"/>
      <c r="G195" s="51"/>
      <c r="H195" s="8"/>
      <c r="J195" s="49"/>
      <c r="K195" s="49"/>
      <c r="L195" s="8"/>
      <c r="M195" s="49"/>
      <c r="N195" s="8"/>
      <c r="O195" s="73"/>
      <c r="Q195" s="49"/>
      <c r="R195" s="8"/>
      <c r="S195" s="73"/>
      <c r="V195" s="51"/>
      <c r="W195" s="49"/>
      <c r="X195" s="8"/>
      <c r="Y195" s="10"/>
      <c r="AA195" s="49"/>
      <c r="AB195" s="8"/>
      <c r="AC195" s="10"/>
      <c r="AD195" s="9"/>
      <c r="AF195" s="51"/>
      <c r="AG195" s="49"/>
      <c r="AH195" s="8"/>
      <c r="AI195" s="10"/>
      <c r="AK195" s="51"/>
      <c r="AL195" s="8"/>
      <c r="AM195" s="10"/>
      <c r="AN195" s="9"/>
      <c r="AP195" s="10"/>
      <c r="AQ195" s="11"/>
      <c r="AR195" s="65"/>
      <c r="AS195" s="10"/>
      <c r="AT195" s="14"/>
      <c r="AU195" s="10"/>
      <c r="AV195" s="71"/>
      <c r="AX195" s="10"/>
      <c r="AY195" s="11"/>
      <c r="AZ195" s="65"/>
      <c r="BA195" s="10"/>
      <c r="BB195" s="14"/>
      <c r="BC195" s="10"/>
      <c r="BD195" s="71"/>
      <c r="BF195" s="10"/>
      <c r="BG195" s="11"/>
      <c r="BH195" s="14"/>
      <c r="BI195" s="10"/>
      <c r="BJ195" s="71"/>
      <c r="BL195" s="10"/>
      <c r="BN195" s="14"/>
      <c r="BO195" s="10"/>
      <c r="BP195" s="71"/>
      <c r="BQ195" s="71"/>
    </row>
    <row r="196" spans="1:69" ht="18">
      <c r="A196" s="151" t="s">
        <v>230</v>
      </c>
      <c r="D196" s="49"/>
      <c r="F196" s="14">
        <v>9</v>
      </c>
      <c r="G196" s="51">
        <v>51265821</v>
      </c>
      <c r="H196" s="52" t="e">
        <f>+G196-#REF!</f>
        <v>#REF!</v>
      </c>
      <c r="J196" s="49"/>
      <c r="K196" s="49"/>
      <c r="L196" s="8"/>
      <c r="M196" s="49"/>
      <c r="N196" s="62">
        <v>33</v>
      </c>
      <c r="O196" s="73">
        <v>-5100000</v>
      </c>
      <c r="Q196" s="49"/>
      <c r="R196" s="62">
        <v>33</v>
      </c>
      <c r="S196" s="73">
        <v>-5100000</v>
      </c>
      <c r="T196" s="57">
        <f>+S196-O196</f>
        <v>0</v>
      </c>
      <c r="V196" s="51"/>
      <c r="W196" s="49"/>
      <c r="X196" s="62">
        <v>33</v>
      </c>
      <c r="Y196" s="10">
        <v>-5100000</v>
      </c>
      <c r="AA196" s="49"/>
      <c r="AB196" s="62">
        <v>33</v>
      </c>
      <c r="AC196" s="10">
        <v>-5100000</v>
      </c>
      <c r="AD196" s="60">
        <f>+AC196-Y196</f>
        <v>0</v>
      </c>
      <c r="AF196" s="51"/>
      <c r="AG196" s="49"/>
      <c r="AH196" s="62">
        <v>33</v>
      </c>
      <c r="AI196" s="10">
        <v>-5500000</v>
      </c>
      <c r="AK196" s="51"/>
      <c r="AL196" s="62">
        <v>33</v>
      </c>
      <c r="AM196" s="10">
        <v>-5100000</v>
      </c>
      <c r="AN196" s="60">
        <f>+AM196-AI196</f>
        <v>400000</v>
      </c>
      <c r="AP196" s="10"/>
      <c r="AQ196" s="11"/>
      <c r="AR196" s="65"/>
      <c r="AS196" s="10"/>
      <c r="AT196" s="62">
        <v>33</v>
      </c>
      <c r="AU196" s="10">
        <v>85300000</v>
      </c>
      <c r="AV196" s="10">
        <f t="shared" ref="AV196" si="161">+AU196-AM196</f>
        <v>90400000</v>
      </c>
      <c r="AX196" s="10"/>
      <c r="AY196" s="11"/>
      <c r="AZ196" s="65"/>
      <c r="BA196" s="10"/>
      <c r="BB196" s="62">
        <v>33</v>
      </c>
      <c r="BC196" s="10">
        <v>85300000</v>
      </c>
      <c r="BD196" s="10">
        <f t="shared" ref="BD196" si="162">+BC196-AU196</f>
        <v>0</v>
      </c>
      <c r="BF196" s="10"/>
      <c r="BG196" s="11"/>
      <c r="BH196" s="62">
        <v>58</v>
      </c>
      <c r="BI196" s="10">
        <v>85000000</v>
      </c>
      <c r="BJ196" s="10">
        <f t="shared" ref="BJ196:BJ197" si="163">+BI196-BC196</f>
        <v>-300000</v>
      </c>
      <c r="BL196" s="10"/>
      <c r="BN196" s="14">
        <v>16</v>
      </c>
      <c r="BO196" s="10">
        <v>74998796</v>
      </c>
      <c r="BP196" s="10">
        <f t="shared" ref="BP196:BP197" si="164">+BO196-BI196</f>
        <v>-10001204</v>
      </c>
      <c r="BQ196" s="10"/>
    </row>
    <row r="197" spans="1:69" ht="18">
      <c r="A197" s="151"/>
      <c r="D197" s="49"/>
      <c r="F197" s="14"/>
      <c r="G197" s="51"/>
      <c r="H197" s="8"/>
      <c r="J197" s="49"/>
      <c r="K197" s="49"/>
      <c r="L197" s="8"/>
      <c r="M197" s="49"/>
      <c r="N197" s="8"/>
      <c r="O197" s="73"/>
      <c r="Q197" s="49"/>
      <c r="R197" s="8"/>
      <c r="S197" s="73"/>
      <c r="V197" s="51"/>
      <c r="W197" s="49"/>
      <c r="X197" s="8"/>
      <c r="Y197" s="10"/>
      <c r="AA197" s="49"/>
      <c r="AB197" s="8"/>
      <c r="AC197" s="10"/>
      <c r="AD197" s="9"/>
      <c r="AF197" s="51"/>
      <c r="AG197" s="49"/>
      <c r="AH197" s="8"/>
      <c r="AI197" s="10"/>
      <c r="AK197" s="51"/>
      <c r="AL197" s="8"/>
      <c r="AM197" s="10"/>
      <c r="AN197" s="9"/>
      <c r="AP197" s="10"/>
      <c r="AQ197" s="11"/>
      <c r="AR197" s="65"/>
      <c r="AS197" s="10"/>
      <c r="AT197" s="14"/>
      <c r="AU197" s="10"/>
      <c r="AV197" s="71"/>
      <c r="AX197" s="10"/>
      <c r="AY197" s="11"/>
      <c r="AZ197" s="65"/>
      <c r="BA197" s="10"/>
      <c r="BB197" s="14"/>
      <c r="BC197" s="10">
        <v>-17009870</v>
      </c>
      <c r="BD197" s="71"/>
      <c r="BF197" s="10"/>
      <c r="BG197" s="11"/>
      <c r="BH197" s="14"/>
      <c r="BI197" s="10"/>
      <c r="BJ197" s="10">
        <f t="shared" si="163"/>
        <v>17009870</v>
      </c>
      <c r="BL197" s="10"/>
      <c r="BN197" s="14"/>
      <c r="BO197" s="10"/>
      <c r="BP197" s="10">
        <f t="shared" si="164"/>
        <v>0</v>
      </c>
      <c r="BQ197" s="10"/>
    </row>
    <row r="198" spans="1:69" ht="18">
      <c r="A198" s="155" t="s">
        <v>231</v>
      </c>
      <c r="D198" s="49"/>
      <c r="F198" s="14"/>
      <c r="G198" s="51"/>
      <c r="H198" s="8"/>
      <c r="J198" s="49"/>
      <c r="K198" s="49"/>
      <c r="L198" s="8"/>
      <c r="M198" s="49"/>
      <c r="N198" s="8"/>
      <c r="O198" s="73"/>
      <c r="Q198" s="49"/>
      <c r="R198" s="8"/>
      <c r="S198" s="73"/>
      <c r="V198" s="51"/>
      <c r="W198" s="49"/>
      <c r="X198" s="8"/>
      <c r="Y198" s="10"/>
      <c r="AA198" s="49"/>
      <c r="AB198" s="8"/>
      <c r="AC198" s="10"/>
      <c r="AD198" s="9"/>
      <c r="AF198" s="51"/>
      <c r="AG198" s="49"/>
      <c r="AH198" s="8"/>
      <c r="AI198" s="10"/>
      <c r="AK198" s="51"/>
      <c r="AL198" s="8"/>
      <c r="AM198" s="10"/>
      <c r="AN198" s="9"/>
      <c r="AP198" s="10"/>
      <c r="AQ198" s="11"/>
      <c r="AR198" s="65"/>
      <c r="AS198" s="10"/>
      <c r="AT198" s="14"/>
      <c r="AU198" s="10"/>
      <c r="AV198" s="71"/>
      <c r="AX198" s="10"/>
      <c r="AY198" s="11"/>
      <c r="AZ198" s="65"/>
      <c r="BA198" s="10"/>
      <c r="BB198" s="14"/>
      <c r="BC198" s="10"/>
      <c r="BD198" s="71"/>
      <c r="BF198" s="10"/>
      <c r="BG198" s="11"/>
      <c r="BH198" s="14"/>
      <c r="BI198" s="10"/>
      <c r="BJ198" s="71"/>
      <c r="BL198" s="10"/>
      <c r="BN198" s="14"/>
      <c r="BO198" s="10"/>
      <c r="BP198" s="71"/>
      <c r="BQ198" s="71"/>
    </row>
    <row r="199" spans="1:69" ht="18">
      <c r="A199" s="151"/>
      <c r="D199" s="49"/>
      <c r="F199" s="14"/>
      <c r="G199" s="51"/>
      <c r="H199" s="8"/>
      <c r="J199" s="49"/>
      <c r="K199" s="49"/>
      <c r="L199" s="8"/>
      <c r="M199" s="49"/>
      <c r="N199" s="8"/>
      <c r="O199" s="73"/>
      <c r="Q199" s="49"/>
      <c r="R199" s="8"/>
      <c r="S199" s="73"/>
      <c r="V199" s="51"/>
      <c r="W199" s="49"/>
      <c r="X199" s="8"/>
      <c r="Y199" s="10"/>
      <c r="AA199" s="49"/>
      <c r="AB199" s="8"/>
      <c r="AC199" s="10"/>
      <c r="AD199" s="9"/>
      <c r="AF199" s="51"/>
      <c r="AG199" s="49"/>
      <c r="AH199" s="8"/>
      <c r="AI199" s="10"/>
      <c r="AK199" s="51"/>
      <c r="AL199" s="8"/>
      <c r="AM199" s="10"/>
      <c r="AN199" s="9"/>
      <c r="AP199" s="10"/>
      <c r="AQ199" s="11"/>
      <c r="AR199" s="65"/>
      <c r="AS199" s="10"/>
      <c r="AT199" s="14"/>
      <c r="AU199" s="10"/>
      <c r="AV199" s="71"/>
      <c r="AX199" s="10"/>
      <c r="AY199" s="11"/>
      <c r="AZ199" s="65"/>
      <c r="BA199" s="10"/>
      <c r="BB199" s="14"/>
      <c r="BC199" s="10"/>
      <c r="BD199" s="71"/>
      <c r="BF199" s="10"/>
      <c r="BG199" s="11"/>
      <c r="BH199" s="14"/>
      <c r="BI199" s="10"/>
      <c r="BJ199" s="71"/>
      <c r="BL199" s="10"/>
      <c r="BN199" s="14"/>
      <c r="BO199" s="10"/>
      <c r="BP199" s="71"/>
      <c r="BQ199" s="71"/>
    </row>
    <row r="200" spans="1:69" ht="18">
      <c r="A200" s="151" t="s">
        <v>232</v>
      </c>
      <c r="D200" s="49"/>
      <c r="F200" s="14">
        <v>9</v>
      </c>
      <c r="G200" s="51">
        <v>-1742574</v>
      </c>
      <c r="H200" s="52" t="e">
        <f>+G200-#REF!</f>
        <v>#REF!</v>
      </c>
      <c r="J200" s="49"/>
      <c r="K200" s="49"/>
      <c r="L200" s="8"/>
      <c r="M200" s="49"/>
      <c r="N200" s="62">
        <v>33</v>
      </c>
      <c r="O200" s="73">
        <v>-580000</v>
      </c>
      <c r="Q200" s="49"/>
      <c r="R200" s="62">
        <v>33</v>
      </c>
      <c r="S200" s="73">
        <v>-580000</v>
      </c>
      <c r="T200" s="57">
        <f>+S200-O200</f>
        <v>0</v>
      </c>
      <c r="V200" s="51"/>
      <c r="W200" s="49"/>
      <c r="X200" s="62">
        <v>33</v>
      </c>
      <c r="Y200" s="10">
        <v>-580000</v>
      </c>
      <c r="AA200" s="49"/>
      <c r="AB200" s="62">
        <v>33</v>
      </c>
      <c r="AC200" s="10">
        <v>-580000</v>
      </c>
      <c r="AD200" s="60">
        <f>+AC200-Y200</f>
        <v>0</v>
      </c>
      <c r="AF200" s="51"/>
      <c r="AG200" s="49"/>
      <c r="AH200" s="62">
        <v>33</v>
      </c>
      <c r="AI200" s="10">
        <v>-580000</v>
      </c>
      <c r="AK200" s="51"/>
      <c r="AL200" s="62">
        <v>33</v>
      </c>
      <c r="AM200" s="10">
        <v>-580000</v>
      </c>
      <c r="AN200" s="60">
        <f>+AM200-AI200</f>
        <v>0</v>
      </c>
      <c r="AP200" s="10"/>
      <c r="AQ200" s="11"/>
      <c r="AR200" s="65"/>
      <c r="AS200" s="10"/>
      <c r="AT200" s="62">
        <v>33</v>
      </c>
      <c r="AU200" s="10">
        <v>-580000</v>
      </c>
      <c r="AV200" s="10">
        <f t="shared" ref="AV200" si="165">+AU200-AM200</f>
        <v>0</v>
      </c>
      <c r="AX200" s="10"/>
      <c r="AY200" s="11"/>
      <c r="AZ200" s="65"/>
      <c r="BA200" s="10"/>
      <c r="BB200" s="62">
        <v>33</v>
      </c>
      <c r="BC200" s="10">
        <v>-580000</v>
      </c>
      <c r="BD200" s="10">
        <f t="shared" ref="BD200" si="166">+BC200-AU200</f>
        <v>0</v>
      </c>
      <c r="BF200" s="10"/>
      <c r="BG200" s="11"/>
      <c r="BH200" s="62">
        <v>58</v>
      </c>
      <c r="BI200" s="10">
        <v>-400000</v>
      </c>
      <c r="BJ200" s="10">
        <f t="shared" ref="BJ200" si="167">+BI200-BC200</f>
        <v>180000</v>
      </c>
      <c r="BL200" s="10"/>
      <c r="BN200" s="14">
        <v>16</v>
      </c>
      <c r="BO200" s="10">
        <v>-1239695</v>
      </c>
      <c r="BP200" s="10">
        <f t="shared" ref="BP200" si="168">+BO200-BI200</f>
        <v>-839695</v>
      </c>
      <c r="BQ200" s="10"/>
    </row>
    <row r="201" spans="1:69" ht="18">
      <c r="A201" s="151"/>
      <c r="D201" s="49"/>
      <c r="F201" s="14"/>
      <c r="G201" s="51"/>
      <c r="H201" s="8"/>
      <c r="J201" s="49"/>
      <c r="K201" s="49"/>
      <c r="L201" s="8"/>
      <c r="M201" s="49"/>
      <c r="N201" s="8"/>
      <c r="O201" s="73"/>
      <c r="Q201" s="49"/>
      <c r="R201" s="8"/>
      <c r="S201" s="73"/>
      <c r="V201" s="51"/>
      <c r="W201" s="49"/>
      <c r="X201" s="8"/>
      <c r="Y201" s="10"/>
      <c r="AA201" s="49"/>
      <c r="AB201" s="8"/>
      <c r="AC201" s="10"/>
      <c r="AD201" s="9"/>
      <c r="AF201" s="51"/>
      <c r="AG201" s="49"/>
      <c r="AH201" s="8"/>
      <c r="AI201" s="10"/>
      <c r="AK201" s="51"/>
      <c r="AL201" s="8"/>
      <c r="AM201" s="10"/>
      <c r="AN201" s="9"/>
      <c r="AP201" s="10"/>
      <c r="AQ201" s="11"/>
      <c r="AR201" s="65"/>
      <c r="AS201" s="10"/>
      <c r="AT201" s="14"/>
      <c r="AU201" s="10"/>
      <c r="AV201" s="71"/>
      <c r="AX201" s="10"/>
      <c r="AY201" s="11"/>
      <c r="AZ201" s="65"/>
      <c r="BA201" s="10"/>
      <c r="BB201" s="14"/>
      <c r="BC201" s="10"/>
      <c r="BD201" s="71"/>
      <c r="BF201" s="10"/>
      <c r="BG201" s="11"/>
      <c r="BH201" s="14"/>
      <c r="BI201" s="10"/>
      <c r="BJ201" s="71"/>
      <c r="BL201" s="10"/>
      <c r="BN201" s="14"/>
      <c r="BO201" s="10"/>
      <c r="BP201" s="71"/>
      <c r="BQ201" s="71"/>
    </row>
    <row r="202" spans="1:69" ht="18">
      <c r="A202" s="151" t="s">
        <v>233</v>
      </c>
      <c r="D202" s="49"/>
      <c r="F202" s="8"/>
      <c r="G202" s="51"/>
      <c r="H202" s="8"/>
      <c r="J202" s="49"/>
      <c r="K202" s="49"/>
      <c r="L202" s="8"/>
      <c r="M202" s="49"/>
      <c r="N202" s="8"/>
      <c r="O202" s="73"/>
      <c r="Q202" s="49"/>
      <c r="R202" s="8"/>
      <c r="S202" s="73"/>
      <c r="V202" s="51"/>
      <c r="W202" s="49"/>
      <c r="X202" s="8"/>
      <c r="Y202" s="10"/>
      <c r="AA202" s="49"/>
      <c r="AB202" s="8"/>
      <c r="AC202" s="10"/>
      <c r="AD202" s="9"/>
      <c r="AF202" s="51"/>
      <c r="AG202" s="49"/>
      <c r="AH202" s="8"/>
      <c r="AI202" s="10"/>
      <c r="AK202" s="51"/>
      <c r="AL202" s="8"/>
      <c r="AM202" s="10"/>
      <c r="AN202" s="9"/>
      <c r="AP202" s="10"/>
      <c r="AQ202" s="11"/>
      <c r="AR202" s="65"/>
      <c r="AS202" s="10"/>
      <c r="AT202" s="14"/>
      <c r="AU202" s="10"/>
      <c r="AV202" s="71"/>
      <c r="AX202" s="10"/>
      <c r="AY202" s="11"/>
      <c r="AZ202" s="65"/>
      <c r="BA202" s="10"/>
      <c r="BB202" s="14"/>
      <c r="BC202" s="10"/>
      <c r="BD202" s="71"/>
      <c r="BF202" s="10"/>
      <c r="BG202" s="11"/>
      <c r="BH202" s="14"/>
      <c r="BI202" s="10"/>
      <c r="BJ202" s="71"/>
      <c r="BL202" s="10"/>
      <c r="BN202" s="67">
        <v>16</v>
      </c>
      <c r="BO202" s="10">
        <v>-2032720</v>
      </c>
      <c r="BP202" s="71"/>
      <c r="BQ202" s="71"/>
    </row>
    <row r="203" spans="1:69" ht="18">
      <c r="A203" s="8"/>
      <c r="D203" s="49"/>
      <c r="F203" s="8"/>
      <c r="G203" s="51"/>
      <c r="H203" s="8"/>
      <c r="J203" s="49"/>
      <c r="K203" s="49"/>
      <c r="L203" s="8"/>
      <c r="M203" s="49"/>
      <c r="N203" s="8"/>
      <c r="O203" s="73"/>
      <c r="Q203" s="49"/>
      <c r="R203" s="8"/>
      <c r="S203" s="73"/>
      <c r="V203" s="51"/>
      <c r="W203" s="49"/>
      <c r="X203" s="8"/>
      <c r="Y203" s="10"/>
      <c r="AA203" s="49"/>
      <c r="AB203" s="8"/>
      <c r="AC203" s="10"/>
      <c r="AD203" s="9"/>
      <c r="AF203" s="51"/>
      <c r="AG203" s="49"/>
      <c r="AH203" s="8"/>
      <c r="AI203" s="10"/>
      <c r="AK203" s="51"/>
      <c r="AL203" s="8"/>
      <c r="AM203" s="10"/>
      <c r="AN203" s="9"/>
      <c r="AP203" s="10"/>
      <c r="AQ203" s="11"/>
      <c r="AR203" s="65"/>
      <c r="AS203" s="10"/>
      <c r="AT203" s="14"/>
      <c r="AU203" s="10"/>
      <c r="AV203" s="71"/>
      <c r="AX203" s="10"/>
      <c r="AY203" s="11"/>
      <c r="AZ203" s="65"/>
      <c r="BA203" s="10"/>
      <c r="BB203" s="14"/>
      <c r="BC203" s="10"/>
      <c r="BD203" s="71"/>
      <c r="BF203" s="10"/>
      <c r="BG203" s="11"/>
      <c r="BH203" s="14"/>
      <c r="BI203" s="10"/>
      <c r="BJ203" s="71"/>
      <c r="BL203" s="10"/>
      <c r="BN203" s="67">
        <f>SUM(BO194:BO202)</f>
        <v>71764279</v>
      </c>
      <c r="BO203" s="10"/>
      <c r="BP203" s="71"/>
      <c r="BQ203" s="71"/>
    </row>
    <row r="204" spans="1:69" ht="18">
      <c r="A204" s="151" t="s">
        <v>234</v>
      </c>
      <c r="D204" s="49"/>
      <c r="F204" s="8"/>
      <c r="G204" s="136">
        <f>SUM(G177+SUM(G179:G200))*-0.06*G209/(1+(0.06*G209))</f>
        <v>-186492.35373422358</v>
      </c>
      <c r="H204" s="52" t="e">
        <f>+G204-#REF!</f>
        <v>#REF!</v>
      </c>
      <c r="J204" s="49"/>
      <c r="K204" s="49"/>
      <c r="L204" s="8"/>
      <c r="M204" s="49"/>
      <c r="N204" s="62"/>
      <c r="O204" s="134">
        <f>SUM(O177+SUM(O179:O200))*-0.06*O209/(1+(0.06*O209))</f>
        <v>-94695.964572199649</v>
      </c>
      <c r="Q204" s="49"/>
      <c r="R204" s="62"/>
      <c r="S204" s="134">
        <f>SUM(S177+SUM(S179:S200))*-0.06*S209/(1+(0.06*S209))</f>
        <v>-133939.3483879432</v>
      </c>
      <c r="T204" s="57">
        <f>+S204-O204</f>
        <v>-39243.383815743553</v>
      </c>
      <c r="V204" s="51"/>
      <c r="W204" s="49"/>
      <c r="X204" s="8"/>
      <c r="Y204" s="136">
        <f>SUM(Y177+SUM(Y179:Y200))*-0.06*Y209/(1+(0.06*Y209))</f>
        <v>-69062.5563294241</v>
      </c>
      <c r="AA204" s="49"/>
      <c r="AB204" s="62"/>
      <c r="AC204" s="136">
        <f>SUM(AC177+SUM(AC179:AC200))*-0.06*AC209/(1+(0.06*AC209))</f>
        <v>-105556.50117328449</v>
      </c>
      <c r="AD204" s="60">
        <f>+AC204-Y204</f>
        <v>-36493.944843860387</v>
      </c>
      <c r="AF204" s="51"/>
      <c r="AG204" s="49"/>
      <c r="AH204" s="8"/>
      <c r="AI204" s="136">
        <f>SUM(AI177+SUM(AI179:AI200))*-0.06*AI209/(1+(0.06*AI209))</f>
        <v>-87233.189050864312</v>
      </c>
      <c r="AK204" s="51"/>
      <c r="AL204" s="62"/>
      <c r="AM204" s="136">
        <f>SUM(AM177+SUM(AM179:AM200))*-0.06*AM209/(1+(0.06*AM209))</f>
        <v>-110414.22574023937</v>
      </c>
      <c r="AN204" s="60">
        <f>+AM204-AI204</f>
        <v>-23181.036689375062</v>
      </c>
      <c r="AP204" s="10"/>
      <c r="AQ204" s="11"/>
      <c r="AR204" s="65"/>
      <c r="AS204" s="10"/>
      <c r="AT204" s="62"/>
      <c r="AU204" s="136">
        <f>SUM(AU177+SUM(AU179:AU200))*-0.06*AU209/(1+(0.06*AU209))</f>
        <v>-45129.843563277609</v>
      </c>
      <c r="AV204" s="10">
        <f t="shared" ref="AV204" si="169">+AU204-AM204</f>
        <v>65284.382176961764</v>
      </c>
      <c r="AX204" s="10"/>
      <c r="AY204" s="11"/>
      <c r="AZ204" s="65"/>
      <c r="BA204" s="10"/>
      <c r="BB204" s="62"/>
      <c r="BC204" s="136">
        <f>SUM(BC177+SUM(BC179:BC200))*-0.06*BC209/(1+(0.06*BC209))</f>
        <v>-40628.761933030903</v>
      </c>
      <c r="BD204" s="10">
        <f t="shared" ref="BD204" si="170">+BC204-AU204</f>
        <v>4501.0816302467065</v>
      </c>
      <c r="BF204" s="10"/>
      <c r="BG204" s="11"/>
      <c r="BH204" s="62"/>
      <c r="BI204" s="136">
        <v>-166215</v>
      </c>
      <c r="BJ204" s="10">
        <f t="shared" ref="BJ204" si="171">+BI204-BC204</f>
        <v>-125586.23806696909</v>
      </c>
      <c r="BL204" s="10"/>
      <c r="BN204" s="14"/>
      <c r="BO204" s="136">
        <v>-108602</v>
      </c>
      <c r="BP204" s="10">
        <f t="shared" ref="BP204" si="172">+BO204-BI204</f>
        <v>57613</v>
      </c>
      <c r="BQ204" s="10"/>
    </row>
    <row r="205" spans="1:69" ht="18">
      <c r="A205" s="151"/>
      <c r="D205" s="49"/>
      <c r="F205" s="8"/>
      <c r="G205" s="51"/>
      <c r="H205" s="8"/>
      <c r="J205" s="49"/>
      <c r="K205" s="49"/>
      <c r="L205" s="8"/>
      <c r="M205" s="49"/>
      <c r="N205" s="8"/>
      <c r="O205" s="73"/>
      <c r="Q205" s="49"/>
      <c r="R205" s="8"/>
      <c r="S205" s="73"/>
      <c r="V205" s="51"/>
      <c r="W205" s="49"/>
      <c r="X205" s="8"/>
      <c r="Y205" s="10"/>
      <c r="AA205" s="49"/>
      <c r="AB205" s="8"/>
      <c r="AC205" s="10"/>
      <c r="AD205" s="9"/>
      <c r="AF205" s="51"/>
      <c r="AG205" s="49"/>
      <c r="AH205" s="8"/>
      <c r="AI205" s="10"/>
      <c r="AK205" s="51"/>
      <c r="AL205" s="8"/>
      <c r="AM205" s="10"/>
      <c r="AN205" s="9"/>
      <c r="AP205" s="10"/>
      <c r="AQ205" s="11"/>
      <c r="AR205" s="65"/>
      <c r="AS205" s="10"/>
      <c r="AT205" s="14"/>
      <c r="AU205" s="10"/>
      <c r="AV205" s="71"/>
      <c r="AX205" s="10"/>
      <c r="AY205" s="11"/>
      <c r="AZ205" s="65"/>
      <c r="BA205" s="10"/>
      <c r="BB205" s="14"/>
      <c r="BC205" s="10"/>
      <c r="BD205" s="71"/>
      <c r="BF205" s="10"/>
      <c r="BG205" s="11"/>
      <c r="BH205" s="14"/>
      <c r="BI205" s="10"/>
      <c r="BJ205" s="71"/>
      <c r="BL205" s="10"/>
      <c r="BN205" s="67"/>
      <c r="BO205" s="10"/>
      <c r="BP205" s="71"/>
      <c r="BQ205" s="71"/>
    </row>
    <row r="206" spans="1:69" ht="18">
      <c r="A206" s="151"/>
      <c r="D206" s="49"/>
      <c r="F206" s="8"/>
      <c r="G206" s="185"/>
      <c r="H206" s="18"/>
      <c r="J206" s="49"/>
      <c r="K206" s="49"/>
      <c r="L206" s="8"/>
      <c r="M206" s="49"/>
      <c r="N206" s="8"/>
      <c r="O206" s="186"/>
      <c r="Q206" s="49"/>
      <c r="R206" s="8"/>
      <c r="S206" s="186"/>
      <c r="T206" s="17"/>
      <c r="V206" s="51"/>
      <c r="W206" s="49"/>
      <c r="X206" s="8"/>
      <c r="Y206" s="185"/>
      <c r="AA206" s="49"/>
      <c r="AB206" s="8"/>
      <c r="AC206" s="185"/>
      <c r="AD206" s="19"/>
      <c r="AF206" s="51"/>
      <c r="AG206" s="49"/>
      <c r="AH206" s="8"/>
      <c r="AI206" s="185"/>
      <c r="AK206" s="51"/>
      <c r="AL206" s="8"/>
      <c r="AM206" s="185"/>
      <c r="AN206" s="19"/>
      <c r="AP206" s="10"/>
      <c r="AQ206" s="11"/>
      <c r="AR206" s="65"/>
      <c r="AS206" s="10"/>
      <c r="AT206" s="14"/>
      <c r="AU206" s="185"/>
      <c r="AV206" s="187"/>
      <c r="AX206" s="10"/>
      <c r="AY206" s="11"/>
      <c r="AZ206" s="65"/>
      <c r="BA206" s="10"/>
      <c r="BB206" s="14"/>
      <c r="BC206" s="185"/>
      <c r="BD206" s="187"/>
      <c r="BF206" s="10"/>
      <c r="BG206" s="11"/>
      <c r="BH206" s="14"/>
      <c r="BI206" s="185"/>
      <c r="BJ206" s="187"/>
      <c r="BL206" s="10"/>
      <c r="BN206" s="14"/>
      <c r="BO206" s="185"/>
      <c r="BP206" s="187"/>
      <c r="BQ206" s="173"/>
    </row>
    <row r="207" spans="1:69" ht="18">
      <c r="A207" s="151" t="s">
        <v>235</v>
      </c>
      <c r="D207" s="49"/>
      <c r="F207" s="8"/>
      <c r="G207" s="188">
        <f>SUM(G177:G206)</f>
        <v>210241199.64626577</v>
      </c>
      <c r="H207" s="189" t="e">
        <f>SUM(H177:H206)</f>
        <v>#REF!</v>
      </c>
      <c r="J207" s="49"/>
      <c r="K207" s="49"/>
      <c r="L207" s="8"/>
      <c r="M207" s="49"/>
      <c r="N207" s="8"/>
      <c r="O207" s="189">
        <f>SUM(O177:O206)</f>
        <v>101417946.03542779</v>
      </c>
      <c r="Q207" s="49"/>
      <c r="R207" s="8"/>
      <c r="S207" s="189">
        <f>SUM(S177:S206)</f>
        <v>143447016.65161204</v>
      </c>
      <c r="T207" s="189">
        <f>SUM(T177:T206)</f>
        <v>42029070.616184257</v>
      </c>
      <c r="V207" s="51"/>
      <c r="W207" s="49"/>
      <c r="X207" s="8"/>
      <c r="Y207" s="188">
        <f>SUM(Y177:Y206)</f>
        <v>73964953.443670571</v>
      </c>
      <c r="AA207" s="49"/>
      <c r="AB207" s="8"/>
      <c r="AC207" s="188">
        <f>SUM(AC177:AC206)</f>
        <v>113049416.49882671</v>
      </c>
      <c r="AD207" s="188">
        <f>SUM(AD177:AD206)</f>
        <v>39084463.055156142</v>
      </c>
      <c r="AF207" s="51"/>
      <c r="AG207" s="49"/>
      <c r="AH207" s="8"/>
      <c r="AI207" s="188">
        <f>SUM(AI177:AI206)</f>
        <v>98341888.810949132</v>
      </c>
      <c r="AK207" s="51"/>
      <c r="AL207" s="8"/>
      <c r="AM207" s="188">
        <f>SUM(AM177:AM206)</f>
        <v>124474911.77425976</v>
      </c>
      <c r="AN207" s="188">
        <f>SUM(AN177:AN206)</f>
        <v>26133022.963310625</v>
      </c>
      <c r="AP207" s="10"/>
      <c r="AQ207" s="11"/>
      <c r="AR207" s="65"/>
      <c r="AS207" s="10"/>
      <c r="AT207" s="14"/>
      <c r="AU207" s="188">
        <f>SUM(AU177:AU206)</f>
        <v>50876897.956436701</v>
      </c>
      <c r="AV207" s="188">
        <f>SUM(AV177:AV206)</f>
        <v>-73598013.817823052</v>
      </c>
      <c r="AX207" s="10"/>
      <c r="AY207" s="11"/>
      <c r="AZ207" s="65"/>
      <c r="BA207" s="10"/>
      <c r="BB207" s="14"/>
      <c r="BC207" s="188">
        <f>SUM(BC177:BC206)</f>
        <v>45802626.638066947</v>
      </c>
      <c r="BD207" s="188">
        <f>SUM(BD177:BD206)</f>
        <v>11935598.681630241</v>
      </c>
      <c r="BF207" s="10"/>
      <c r="BG207" s="11"/>
      <c r="BH207" s="14"/>
      <c r="BI207" s="188">
        <f>SUM(BI177:BI206)</f>
        <v>66385721</v>
      </c>
      <c r="BJ207" s="188">
        <f>SUM(BJ177:BJ206)</f>
        <v>20583094.361933056</v>
      </c>
      <c r="BL207" s="10"/>
      <c r="BN207" s="14"/>
      <c r="BO207" s="188">
        <f>SUM(BO177:BO206)</f>
        <v>63106847</v>
      </c>
      <c r="BP207" s="188">
        <f>SUM(BP177:BP206)</f>
        <v>-2748719</v>
      </c>
      <c r="BQ207" s="188"/>
    </row>
    <row r="208" spans="1:69" ht="18">
      <c r="A208" s="151"/>
      <c r="D208" s="49"/>
      <c r="F208" s="8"/>
      <c r="G208" s="58"/>
      <c r="H208" s="8"/>
      <c r="J208" s="49"/>
      <c r="K208" s="49"/>
      <c r="L208" s="8"/>
      <c r="M208" s="49"/>
      <c r="N208" s="8"/>
      <c r="O208" s="55"/>
      <c r="Q208" s="49"/>
      <c r="R208" s="8"/>
      <c r="S208" s="55"/>
      <c r="V208" s="51"/>
      <c r="W208" s="49"/>
      <c r="X208" s="8"/>
      <c r="Y208" s="58"/>
      <c r="AA208" s="49"/>
      <c r="AB208" s="8"/>
      <c r="AC208" s="58"/>
      <c r="AD208" s="9"/>
      <c r="AF208" s="51"/>
      <c r="AG208" s="49"/>
      <c r="AH208" s="8"/>
      <c r="AI208" s="58"/>
      <c r="AK208" s="51"/>
      <c r="AL208" s="8"/>
      <c r="AM208" s="58"/>
      <c r="AN208" s="9"/>
      <c r="AP208" s="10"/>
      <c r="AQ208" s="11"/>
      <c r="AR208" s="65"/>
      <c r="AS208" s="10"/>
      <c r="AT208" s="14"/>
      <c r="AU208" s="58"/>
      <c r="AV208" s="71"/>
      <c r="AX208" s="10"/>
      <c r="AY208" s="11"/>
      <c r="AZ208" s="65"/>
      <c r="BA208" s="10"/>
      <c r="BB208" s="14"/>
      <c r="BC208" s="58"/>
      <c r="BD208" s="71"/>
      <c r="BF208" s="10"/>
      <c r="BG208" s="11"/>
      <c r="BH208" s="14"/>
      <c r="BI208" s="58"/>
      <c r="BJ208" s="71"/>
      <c r="BL208" s="10"/>
      <c r="BN208" s="14"/>
      <c r="BO208" s="58"/>
      <c r="BP208" s="71"/>
      <c r="BQ208" s="71"/>
    </row>
    <row r="209" spans="1:70" ht="18">
      <c r="A209" s="151" t="s">
        <v>199</v>
      </c>
      <c r="D209" s="49"/>
      <c r="F209" s="8"/>
      <c r="G209" s="190">
        <v>1.4784E-2</v>
      </c>
      <c r="H209" s="191"/>
      <c r="J209" s="49"/>
      <c r="K209" s="49"/>
      <c r="L209" s="8"/>
      <c r="M209" s="49"/>
      <c r="N209" s="168" t="s">
        <v>201</v>
      </c>
      <c r="O209" s="191">
        <v>1.5561999999999999E-2</v>
      </c>
      <c r="Q209" s="49"/>
      <c r="R209" s="168" t="s">
        <v>201</v>
      </c>
      <c r="S209" s="191">
        <v>1.5561999999999999E-2</v>
      </c>
      <c r="T209" s="191">
        <v>1.5561999999999999E-2</v>
      </c>
      <c r="V209" s="51"/>
      <c r="W209" s="49"/>
      <c r="X209" s="168" t="s">
        <v>201</v>
      </c>
      <c r="Y209" s="190">
        <v>1.5561999999999999E-2</v>
      </c>
      <c r="AA209" s="49"/>
      <c r="AB209" s="168" t="s">
        <v>201</v>
      </c>
      <c r="AC209" s="190">
        <v>1.5561999999999999E-2</v>
      </c>
      <c r="AD209" s="190">
        <v>1.5561999999999999E-2</v>
      </c>
      <c r="AF209" s="51"/>
      <c r="AG209" s="49"/>
      <c r="AH209" s="168" t="s">
        <v>202</v>
      </c>
      <c r="AI209" s="190">
        <v>1.4784E-2</v>
      </c>
      <c r="AK209" s="51"/>
      <c r="AL209" s="168" t="s">
        <v>202</v>
      </c>
      <c r="AM209" s="190">
        <v>1.4784E-2</v>
      </c>
      <c r="AN209" s="190">
        <v>1.4784E-2</v>
      </c>
      <c r="AP209" s="10"/>
      <c r="AQ209" s="11"/>
      <c r="AR209" s="65"/>
      <c r="AS209" s="10"/>
      <c r="AT209" s="14" t="s">
        <v>202</v>
      </c>
      <c r="AU209" s="190">
        <v>1.4784E-2</v>
      </c>
      <c r="AV209" s="190">
        <v>1.4784E-2</v>
      </c>
      <c r="AX209" s="10"/>
      <c r="AY209" s="11"/>
      <c r="AZ209" s="65"/>
      <c r="BA209" s="10"/>
      <c r="BB209" s="14" t="s">
        <v>202</v>
      </c>
      <c r="BC209" s="190">
        <v>1.4784E-2</v>
      </c>
      <c r="BD209" s="190">
        <v>1.4784E-2</v>
      </c>
      <c r="BF209" s="10"/>
      <c r="BG209" s="11"/>
      <c r="BH209" s="14" t="s">
        <v>203</v>
      </c>
      <c r="BI209" s="190">
        <v>4.8257000000000001E-2</v>
      </c>
      <c r="BJ209" s="190"/>
      <c r="BL209" s="10"/>
      <c r="BN209" s="14"/>
      <c r="BO209" s="190">
        <v>5.3941999999999997E-2</v>
      </c>
      <c r="BP209" s="190"/>
      <c r="BQ209" s="190"/>
    </row>
    <row r="210" spans="1:70" ht="18">
      <c r="A210" s="151"/>
      <c r="D210" s="49"/>
      <c r="F210" s="8"/>
      <c r="G210" s="51"/>
      <c r="H210" s="8"/>
      <c r="J210" s="49"/>
      <c r="K210" s="49"/>
      <c r="L210" s="8"/>
      <c r="M210" s="49"/>
      <c r="N210" s="8"/>
      <c r="O210" s="49"/>
      <c r="Q210" s="49"/>
      <c r="R210" s="8"/>
      <c r="S210" s="49"/>
      <c r="T210" s="49"/>
      <c r="V210" s="51"/>
      <c r="W210" s="49"/>
      <c r="X210" s="8"/>
      <c r="Y210" s="51"/>
      <c r="AA210" s="49"/>
      <c r="AB210" s="8"/>
      <c r="AC210" s="51"/>
      <c r="AD210" s="51"/>
      <c r="AF210" s="51"/>
      <c r="AG210" s="49"/>
      <c r="AH210" s="8"/>
      <c r="AI210" s="51"/>
      <c r="AK210" s="51"/>
      <c r="AL210" s="8"/>
      <c r="AM210" s="51"/>
      <c r="AN210" s="51"/>
      <c r="AP210" s="10"/>
      <c r="AQ210" s="11"/>
      <c r="AR210" s="65"/>
      <c r="AS210" s="10"/>
      <c r="AT210" s="14"/>
      <c r="AU210" s="51"/>
      <c r="AV210" s="10"/>
      <c r="AX210" s="10"/>
      <c r="AY210" s="11"/>
      <c r="AZ210" s="65"/>
      <c r="BA210" s="10"/>
      <c r="BB210" s="14"/>
      <c r="BC210" s="51"/>
      <c r="BD210" s="10"/>
      <c r="BF210" s="10"/>
      <c r="BG210" s="11"/>
      <c r="BH210" s="192"/>
      <c r="BI210" s="51"/>
      <c r="BJ210" s="10"/>
      <c r="BL210" s="10"/>
      <c r="BN210" s="14"/>
      <c r="BO210" s="51"/>
      <c r="BP210" s="10"/>
      <c r="BQ210" s="10"/>
    </row>
    <row r="211" spans="1:70" ht="18.75" thickBot="1">
      <c r="A211" s="151" t="s">
        <v>236</v>
      </c>
      <c r="D211" s="49"/>
      <c r="F211" s="8"/>
      <c r="G211" s="193">
        <f>G207*G209</f>
        <v>3108205.8955703932</v>
      </c>
      <c r="H211" s="194" t="e">
        <f>+G211-#REF!</f>
        <v>#REF!</v>
      </c>
      <c r="J211" s="49"/>
      <c r="K211" s="49"/>
      <c r="L211" s="8"/>
      <c r="M211" s="49"/>
      <c r="N211" s="8"/>
      <c r="O211" s="195">
        <f>O207*O209</f>
        <v>1578266.0762033272</v>
      </c>
      <c r="Q211" s="49"/>
      <c r="R211" s="8"/>
      <c r="S211" s="195">
        <f>S207*S209</f>
        <v>2232322.4731323863</v>
      </c>
      <c r="T211" s="195">
        <f>T207*T209</f>
        <v>654056.39692905941</v>
      </c>
      <c r="V211" s="51"/>
      <c r="W211" s="49"/>
      <c r="X211" s="8"/>
      <c r="Y211" s="193">
        <f>Y207*Y209</f>
        <v>1151042.6054904014</v>
      </c>
      <c r="AA211" s="49"/>
      <c r="AB211" s="8"/>
      <c r="AC211" s="193">
        <f>AC207*AC209</f>
        <v>1759275.0195547412</v>
      </c>
      <c r="AD211" s="193">
        <f>AD207*AD209</f>
        <v>608232.41406433983</v>
      </c>
      <c r="AF211" s="51"/>
      <c r="AG211" s="49"/>
      <c r="AH211" s="8"/>
      <c r="AI211" s="193">
        <f>AI207*AI209</f>
        <v>1453886.4841810721</v>
      </c>
      <c r="AK211" s="51"/>
      <c r="AL211" s="8"/>
      <c r="AM211" s="193">
        <f>AM207*AM209</f>
        <v>1840237.0956706563</v>
      </c>
      <c r="AN211" s="193">
        <f>AN207*AN209</f>
        <v>386350.61148958432</v>
      </c>
      <c r="AP211" s="10"/>
      <c r="AQ211" s="11"/>
      <c r="AR211" s="65"/>
      <c r="AS211" s="10"/>
      <c r="AT211" s="14"/>
      <c r="AU211" s="193">
        <f>AU207*AU209</f>
        <v>752164.05938796024</v>
      </c>
      <c r="AV211" s="10">
        <f t="shared" ref="AV211" si="173">+AU211-AM211</f>
        <v>-1088073.0362826961</v>
      </c>
      <c r="AX211" s="10"/>
      <c r="AY211" s="11"/>
      <c r="AZ211" s="65"/>
      <c r="BA211" s="10"/>
      <c r="BB211" s="14"/>
      <c r="BC211" s="193">
        <f>BC207*BC209</f>
        <v>677146.03221718175</v>
      </c>
      <c r="BD211" s="10">
        <f t="shared" ref="BD211" si="174">+BC211-AU211</f>
        <v>-75018.027170778485</v>
      </c>
      <c r="BF211" s="10"/>
      <c r="BG211" s="11"/>
      <c r="BH211" s="59"/>
      <c r="BI211" s="193">
        <f>BI207*BI209</f>
        <v>3203575.7382970001</v>
      </c>
      <c r="BJ211" s="10">
        <f t="shared" ref="BJ211" si="175">+BI211-BC211</f>
        <v>2526429.7060798183</v>
      </c>
      <c r="BL211" s="10"/>
      <c r="BN211" s="14"/>
      <c r="BO211" s="193">
        <f>BO207*BO209</f>
        <v>3404109.5408739997</v>
      </c>
      <c r="BP211" s="10">
        <f t="shared" ref="BP211" si="176">+BO211-BI211</f>
        <v>200533.80257699965</v>
      </c>
      <c r="BQ211" s="10">
        <f>+BO211*0.06</f>
        <v>204246.57245243998</v>
      </c>
    </row>
    <row r="212" spans="1:70" ht="18">
      <c r="A212" s="151" t="s">
        <v>237</v>
      </c>
      <c r="D212" s="49"/>
      <c r="F212" s="8"/>
      <c r="G212" s="59"/>
      <c r="H212" s="55"/>
      <c r="J212" s="49"/>
      <c r="K212" s="49"/>
      <c r="L212" s="8"/>
      <c r="M212" s="49"/>
      <c r="N212" s="8"/>
      <c r="O212" s="56"/>
      <c r="Q212" s="49"/>
      <c r="R212" s="8"/>
      <c r="S212" s="56"/>
      <c r="V212" s="51"/>
      <c r="W212" s="49"/>
      <c r="X212" s="8"/>
      <c r="Y212" s="59"/>
      <c r="AA212" s="49"/>
      <c r="AB212" s="8"/>
      <c r="AC212" s="59"/>
      <c r="AD212" s="9"/>
      <c r="AF212" s="51"/>
      <c r="AG212" s="49"/>
      <c r="AH212" s="8"/>
      <c r="AI212" s="59"/>
      <c r="AK212" s="51"/>
      <c r="AL212" s="8"/>
      <c r="AM212" s="59"/>
      <c r="AN212" s="9"/>
      <c r="AP212" s="10"/>
      <c r="AQ212" s="11"/>
      <c r="AR212" s="65"/>
      <c r="AS212" s="10"/>
      <c r="AT212" s="14"/>
      <c r="AU212" s="59"/>
      <c r="AV212" s="71"/>
      <c r="AX212" s="10"/>
      <c r="AY212" s="11"/>
      <c r="AZ212" s="65"/>
      <c r="BA212" s="10"/>
      <c r="BB212" s="14"/>
      <c r="BC212" s="59"/>
      <c r="BD212" s="71"/>
      <c r="BF212" s="10"/>
      <c r="BG212" s="11"/>
      <c r="BH212" s="59"/>
      <c r="BI212" s="59"/>
      <c r="BJ212" s="71"/>
      <c r="BL212" s="10"/>
      <c r="BN212" s="14"/>
      <c r="BO212" s="59"/>
      <c r="BP212" s="71"/>
      <c r="BQ212" s="71"/>
    </row>
    <row r="213" spans="1:70" ht="18">
      <c r="A213" s="151" t="s">
        <v>234</v>
      </c>
      <c r="D213" s="49"/>
      <c r="F213" s="8"/>
      <c r="G213" s="196">
        <f>G211*0.06</f>
        <v>186492.35373422358</v>
      </c>
      <c r="H213" s="194" t="e">
        <f>+G213-#REF!</f>
        <v>#REF!</v>
      </c>
      <c r="J213" s="49"/>
      <c r="K213" s="49"/>
      <c r="L213" s="8"/>
      <c r="M213" s="49"/>
      <c r="N213" s="8"/>
      <c r="O213" s="197">
        <f>O211*0.06</f>
        <v>94695.96457219962</v>
      </c>
      <c r="Q213" s="49"/>
      <c r="R213" s="8"/>
      <c r="S213" s="197">
        <f>S211*0.06</f>
        <v>133939.34838794317</v>
      </c>
      <c r="T213" s="198">
        <f>+S213-O213</f>
        <v>39243.383815743553</v>
      </c>
      <c r="V213" s="51"/>
      <c r="W213" s="49"/>
      <c r="X213" s="8"/>
      <c r="Y213" s="196">
        <f>Y211*0.06</f>
        <v>69062.556329424086</v>
      </c>
      <c r="AA213" s="49"/>
      <c r="AB213" s="8"/>
      <c r="AC213" s="196">
        <f>AC211*0.06</f>
        <v>105556.50117328447</v>
      </c>
      <c r="AD213" s="199">
        <f>+AC213-Y213</f>
        <v>36493.944843860387</v>
      </c>
      <c r="AF213" s="51"/>
      <c r="AG213" s="49"/>
      <c r="AH213" s="8"/>
      <c r="AI213" s="196">
        <f>AI211*0.06</f>
        <v>87233.189050864326</v>
      </c>
      <c r="AK213" s="51"/>
      <c r="AL213" s="8"/>
      <c r="AM213" s="196">
        <f>AM211*0.06</f>
        <v>110414.22574023937</v>
      </c>
      <c r="AN213" s="199">
        <f>+AM213-AI213</f>
        <v>23181.036689375047</v>
      </c>
      <c r="AP213" s="10"/>
      <c r="AQ213" s="11"/>
      <c r="AR213" s="65"/>
      <c r="AS213" s="10"/>
      <c r="AT213" s="14"/>
      <c r="AU213" s="196">
        <f>AU211*0.06</f>
        <v>45129.843563277609</v>
      </c>
      <c r="AV213" s="10">
        <f t="shared" ref="AV213" si="177">+AU213-AM213</f>
        <v>-65284.382176961764</v>
      </c>
      <c r="AX213" s="10"/>
      <c r="AY213" s="11"/>
      <c r="AZ213" s="65"/>
      <c r="BA213" s="10"/>
      <c r="BB213" s="14"/>
      <c r="BC213" s="196">
        <f>BC211*0.06</f>
        <v>40628.761933030903</v>
      </c>
      <c r="BD213" s="10">
        <f t="shared" ref="BD213" si="178">+BC213-AU213</f>
        <v>-4501.0816302467065</v>
      </c>
      <c r="BF213" s="10"/>
      <c r="BG213" s="11"/>
      <c r="BH213" s="59"/>
      <c r="BI213" s="196">
        <f>BI211*0.06</f>
        <v>192214.54429781999</v>
      </c>
      <c r="BJ213" s="10">
        <f t="shared" ref="BJ213" si="179">+BI213-BC213</f>
        <v>151585.78236478908</v>
      </c>
      <c r="BL213" s="10"/>
      <c r="BN213" s="14"/>
      <c r="BO213" s="196">
        <f>BO211*0.06</f>
        <v>204246.57245243998</v>
      </c>
      <c r="BP213" s="10">
        <f t="shared" ref="BP213" si="180">+BO213-BI213</f>
        <v>12032.028154619999</v>
      </c>
      <c r="BQ213" s="10"/>
    </row>
    <row r="214" spans="1:70" ht="18">
      <c r="A214" s="8" t="s">
        <v>238</v>
      </c>
      <c r="D214" s="49"/>
      <c r="F214" s="8"/>
      <c r="G214" s="10">
        <v>0</v>
      </c>
      <c r="H214" s="52" t="e">
        <f>+G214-#REF!</f>
        <v>#REF!</v>
      </c>
      <c r="J214" s="49"/>
      <c r="K214" s="49"/>
      <c r="L214" s="8"/>
      <c r="M214" s="49"/>
      <c r="N214" s="8"/>
      <c r="O214" s="73">
        <v>0</v>
      </c>
      <c r="Q214" s="49"/>
      <c r="R214" s="8"/>
      <c r="S214" s="73">
        <v>0</v>
      </c>
      <c r="V214" s="51"/>
      <c r="W214" s="49"/>
      <c r="X214" s="8"/>
      <c r="Y214" s="10">
        <v>0</v>
      </c>
      <c r="AA214" s="49"/>
      <c r="AB214" s="8"/>
      <c r="AC214" s="10">
        <v>0</v>
      </c>
      <c r="AD214" s="9"/>
      <c r="AF214" s="51"/>
      <c r="AG214" s="49"/>
      <c r="AH214" s="8"/>
      <c r="AI214" s="10">
        <v>0</v>
      </c>
      <c r="AK214" s="51"/>
      <c r="AL214" s="8"/>
      <c r="AM214" s="10">
        <v>0</v>
      </c>
      <c r="AN214" s="9"/>
      <c r="AP214" s="10"/>
      <c r="AQ214" s="11"/>
      <c r="AR214" s="65"/>
      <c r="AS214" s="10"/>
      <c r="AT214" s="14"/>
      <c r="AU214" s="10">
        <v>0</v>
      </c>
      <c r="AV214" s="71"/>
      <c r="AX214" s="10"/>
      <c r="AY214" s="11"/>
      <c r="AZ214" s="65"/>
      <c r="BA214" s="10"/>
      <c r="BB214" s="14"/>
      <c r="BC214" s="10">
        <v>0</v>
      </c>
      <c r="BD214" s="71"/>
      <c r="BF214" s="10"/>
      <c r="BG214" s="11"/>
      <c r="BH214" s="74"/>
      <c r="BI214" s="10">
        <v>-26000</v>
      </c>
      <c r="BJ214" s="71"/>
      <c r="BL214" s="10"/>
      <c r="BN214" s="14">
        <v>20</v>
      </c>
      <c r="BO214" s="10">
        <v>-95645</v>
      </c>
      <c r="BP214" s="71"/>
      <c r="BQ214" s="71"/>
    </row>
    <row r="215" spans="1:70" ht="18.75" thickBot="1">
      <c r="A215" s="8" t="s">
        <v>239</v>
      </c>
      <c r="D215" s="49"/>
      <c r="F215" s="8"/>
      <c r="G215" s="200">
        <f>+G213+G214</f>
        <v>186492.35373422358</v>
      </c>
      <c r="H215" s="201" t="e">
        <f>+H213+H214</f>
        <v>#REF!</v>
      </c>
      <c r="J215" s="49"/>
      <c r="K215" s="49"/>
      <c r="L215" s="8"/>
      <c r="M215" s="49"/>
      <c r="N215" s="8"/>
      <c r="O215" s="201">
        <f>+O213+O214</f>
        <v>94695.96457219962</v>
      </c>
      <c r="Q215" s="49"/>
      <c r="R215" s="8"/>
      <c r="S215" s="201">
        <f>+S213+S214</f>
        <v>133939.34838794317</v>
      </c>
      <c r="T215" s="198">
        <f>+S215-O215</f>
        <v>39243.383815743553</v>
      </c>
      <c r="V215" s="51"/>
      <c r="W215" s="49"/>
      <c r="X215" s="8"/>
      <c r="Y215" s="200">
        <f>+Y213+Y214</f>
        <v>69062.556329424086</v>
      </c>
      <c r="AA215" s="49"/>
      <c r="AB215" s="8"/>
      <c r="AC215" s="200">
        <f>+AC213+AC214</f>
        <v>105556.50117328447</v>
      </c>
      <c r="AD215" s="199">
        <f>+AC215-Y215</f>
        <v>36493.944843860387</v>
      </c>
      <c r="AF215" s="51"/>
      <c r="AG215" s="49"/>
      <c r="AH215" s="8"/>
      <c r="AI215" s="200">
        <f>+AI213+AI214</f>
        <v>87233.189050864326</v>
      </c>
      <c r="AK215" s="51"/>
      <c r="AL215" s="8"/>
      <c r="AM215" s="200">
        <f>+AM213+AM214</f>
        <v>110414.22574023937</v>
      </c>
      <c r="AN215" s="199">
        <f>+AM215-AI215</f>
        <v>23181.036689375047</v>
      </c>
      <c r="AP215" s="10"/>
      <c r="AQ215" s="11"/>
      <c r="AR215" s="65"/>
      <c r="AS215" s="10"/>
      <c r="AT215" s="14"/>
      <c r="AU215" s="200">
        <f>+AU213+AU214</f>
        <v>45129.843563277609</v>
      </c>
      <c r="AV215" s="10">
        <f t="shared" ref="AV215" si="181">+AU215-AM215</f>
        <v>-65284.382176961764</v>
      </c>
      <c r="AX215" s="10"/>
      <c r="AY215" s="11"/>
      <c r="AZ215" s="65"/>
      <c r="BA215" s="10"/>
      <c r="BB215" s="14"/>
      <c r="BC215" s="200">
        <f>+BC213+BC214</f>
        <v>40628.761933030903</v>
      </c>
      <c r="BD215" s="10">
        <f t="shared" ref="BD215" si="182">+BC215-AU215</f>
        <v>-4501.0816302467065</v>
      </c>
      <c r="BF215" s="10"/>
      <c r="BG215" s="11"/>
      <c r="BH215" s="74"/>
      <c r="BI215" s="200">
        <f>+BI213+BI214</f>
        <v>166214.54429781999</v>
      </c>
      <c r="BJ215" s="10">
        <f t="shared" ref="BJ215" si="183">+BI215-BC215</f>
        <v>125585.78236478908</v>
      </c>
      <c r="BL215" s="10"/>
      <c r="BN215" s="14"/>
      <c r="BO215" s="200">
        <f>+BO213+BO214</f>
        <v>108601.57245243998</v>
      </c>
      <c r="BP215" s="10">
        <f t="shared" ref="BP215" si="184">+BO215-BI215</f>
        <v>-57612.971845380001</v>
      </c>
      <c r="BQ215" s="10"/>
    </row>
    <row r="216" spans="1:70" ht="18">
      <c r="A216" s="8"/>
      <c r="D216" s="49"/>
      <c r="F216" s="8"/>
      <c r="G216" s="10"/>
      <c r="H216" s="73"/>
      <c r="J216" s="49"/>
      <c r="K216" s="49"/>
      <c r="L216" s="8"/>
      <c r="M216" s="49"/>
      <c r="N216" s="8"/>
      <c r="O216" s="73"/>
      <c r="Q216" s="49"/>
      <c r="R216" s="8"/>
      <c r="S216" s="73"/>
      <c r="V216" s="51"/>
      <c r="W216" s="49"/>
      <c r="X216" s="8"/>
      <c r="Y216" s="10"/>
      <c r="AA216" s="49"/>
      <c r="AB216" s="8"/>
      <c r="AC216" s="10"/>
      <c r="AD216" s="9"/>
      <c r="AF216" s="51"/>
      <c r="AG216" s="49"/>
      <c r="AH216" s="8"/>
      <c r="AI216" s="10"/>
      <c r="AK216" s="51"/>
      <c r="AL216" s="8"/>
      <c r="AM216" s="10"/>
      <c r="AN216" s="9"/>
      <c r="AP216" s="10"/>
      <c r="AQ216" s="11"/>
      <c r="AR216" s="65"/>
      <c r="AS216" s="10"/>
      <c r="AT216" s="14"/>
      <c r="AU216" s="10"/>
      <c r="AV216" s="71"/>
      <c r="AX216" s="10"/>
      <c r="AY216" s="11"/>
      <c r="AZ216" s="65"/>
      <c r="BA216" s="10"/>
      <c r="BB216" s="14"/>
      <c r="BC216" s="10"/>
      <c r="BD216" s="71"/>
      <c r="BF216" s="10"/>
      <c r="BG216" s="11"/>
      <c r="BH216" s="74"/>
      <c r="BI216" s="10"/>
      <c r="BJ216" s="71"/>
      <c r="BL216" s="10"/>
      <c r="BN216" s="14"/>
      <c r="BO216" s="10"/>
      <c r="BP216" s="71"/>
      <c r="BQ216" s="71"/>
    </row>
    <row r="217" spans="1:70" ht="18.75" thickBot="1">
      <c r="A217" s="8" t="s">
        <v>240</v>
      </c>
      <c r="D217" s="49"/>
      <c r="F217" s="14">
        <v>58</v>
      </c>
      <c r="G217" s="200">
        <v>-1324253</v>
      </c>
      <c r="H217" s="52" t="e">
        <f>+G217-#REF!</f>
        <v>#REF!</v>
      </c>
      <c r="J217" s="49"/>
      <c r="K217" s="49"/>
      <c r="L217" s="8"/>
      <c r="M217" s="49"/>
      <c r="N217" s="8"/>
      <c r="O217" s="73"/>
      <c r="Q217" s="49"/>
      <c r="R217" s="8"/>
      <c r="S217" s="73"/>
      <c r="V217" s="51"/>
      <c r="W217" s="49"/>
      <c r="X217" s="8"/>
      <c r="Y217" s="10"/>
      <c r="AA217" s="49"/>
      <c r="AB217" s="8"/>
      <c r="AC217" s="10"/>
      <c r="AD217" s="9"/>
      <c r="AF217" s="51"/>
      <c r="AG217" s="49"/>
      <c r="AH217" s="14">
        <v>33</v>
      </c>
      <c r="AI217" s="10">
        <v>-1500000</v>
      </c>
      <c r="AK217" s="51"/>
      <c r="AL217" s="8"/>
      <c r="AM217" s="10">
        <v>-1500000</v>
      </c>
      <c r="AN217" s="9"/>
      <c r="AP217" s="10"/>
      <c r="AQ217" s="11"/>
      <c r="AR217" s="65"/>
      <c r="AS217" s="10"/>
      <c r="AT217" s="14"/>
      <c r="AU217" s="10">
        <v>-1500000</v>
      </c>
      <c r="AV217" s="10">
        <f t="shared" ref="AV217" si="185">+AU217-AM217</f>
        <v>0</v>
      </c>
      <c r="AX217" s="10"/>
      <c r="AY217" s="11"/>
      <c r="AZ217" s="65"/>
      <c r="BA217" s="10"/>
      <c r="BB217" s="14"/>
      <c r="BC217" s="10">
        <v>-1500000</v>
      </c>
      <c r="BD217" s="10">
        <f t="shared" ref="BD217" si="186">+BC217-AU217</f>
        <v>0</v>
      </c>
      <c r="BF217" s="10"/>
      <c r="BG217" s="11"/>
      <c r="BH217" s="74"/>
      <c r="BI217" s="10">
        <v>-1200000</v>
      </c>
      <c r="BJ217" s="10">
        <f t="shared" ref="BJ217" si="187">+BI217-BC217</f>
        <v>300000</v>
      </c>
      <c r="BL217" s="10"/>
      <c r="BN217" s="14">
        <v>20</v>
      </c>
      <c r="BO217" s="10">
        <v>-1445645</v>
      </c>
      <c r="BP217" s="10">
        <f t="shared" ref="BP217" si="188">+BO217-BI217</f>
        <v>-245645</v>
      </c>
      <c r="BQ217" s="10"/>
    </row>
    <row r="218" spans="1:70" ht="18">
      <c r="A218" s="8" t="s">
        <v>241</v>
      </c>
      <c r="D218" s="49"/>
      <c r="F218" s="8"/>
      <c r="G218" s="10">
        <v>0</v>
      </c>
      <c r="H218" s="73">
        <v>0</v>
      </c>
      <c r="J218" s="49"/>
      <c r="K218" s="49"/>
      <c r="L218" s="8"/>
      <c r="M218" s="49"/>
      <c r="N218" s="8"/>
      <c r="O218" s="73"/>
      <c r="Q218" s="49"/>
      <c r="R218" s="8"/>
      <c r="S218" s="73"/>
      <c r="V218" s="51"/>
      <c r="W218" s="49"/>
      <c r="X218" s="8"/>
      <c r="Y218" s="10"/>
      <c r="AA218" s="49"/>
      <c r="AB218" s="8"/>
      <c r="AC218" s="10"/>
      <c r="AD218" s="9"/>
      <c r="AF218" s="51"/>
      <c r="AG218" s="49"/>
      <c r="AH218" s="8"/>
      <c r="AI218" s="10"/>
      <c r="AK218" s="51"/>
      <c r="AL218" s="8"/>
      <c r="AM218" s="10"/>
      <c r="AN218" s="9"/>
      <c r="AP218" s="10"/>
      <c r="AQ218" s="11"/>
      <c r="AR218" s="65"/>
      <c r="AS218" s="10"/>
      <c r="AT218" s="14"/>
      <c r="AU218" s="10"/>
      <c r="AV218" s="71"/>
      <c r="AX218" s="10"/>
      <c r="AY218" s="11"/>
      <c r="AZ218" s="65"/>
      <c r="BA218" s="10"/>
      <c r="BB218" s="14"/>
      <c r="BC218" s="10"/>
      <c r="BD218" s="71"/>
      <c r="BF218" s="10"/>
      <c r="BG218" s="11"/>
      <c r="BH218" s="74"/>
      <c r="BI218" s="10"/>
      <c r="BJ218" s="71"/>
      <c r="BL218" s="10"/>
      <c r="BN218" s="14"/>
      <c r="BO218" s="10"/>
      <c r="BP218" s="71"/>
      <c r="BQ218" s="71"/>
    </row>
    <row r="219" spans="1:70" ht="18.75" thickBot="1">
      <c r="A219" s="8" t="s">
        <v>242</v>
      </c>
      <c r="D219" s="49"/>
      <c r="F219" s="8"/>
      <c r="G219" s="202">
        <f>+G217-G218</f>
        <v>-1324253</v>
      </c>
      <c r="H219" s="201" t="e">
        <f>+H217-H218</f>
        <v>#REF!</v>
      </c>
      <c r="J219" s="49"/>
      <c r="K219" s="49"/>
      <c r="L219" s="8"/>
      <c r="M219" s="49"/>
      <c r="N219" s="8"/>
      <c r="O219" s="73"/>
      <c r="Q219" s="49"/>
      <c r="R219" s="8"/>
      <c r="S219" s="73"/>
      <c r="V219" s="51"/>
      <c r="W219" s="49"/>
      <c r="X219" s="8"/>
      <c r="Y219" s="10"/>
      <c r="AA219" s="49"/>
      <c r="AB219" s="8"/>
      <c r="AC219" s="10"/>
      <c r="AD219" s="9"/>
      <c r="AF219" s="51"/>
      <c r="AG219" s="49"/>
      <c r="AH219" s="8"/>
      <c r="AI219" s="10">
        <v>-1500000</v>
      </c>
      <c r="AK219" s="51"/>
      <c r="AL219" s="8"/>
      <c r="AM219" s="10">
        <v>-1500000</v>
      </c>
      <c r="AN219" s="9"/>
      <c r="AP219" s="10"/>
      <c r="AQ219" s="11"/>
      <c r="AR219" s="65"/>
      <c r="AS219" s="10"/>
      <c r="AT219" s="14"/>
      <c r="AU219" s="10">
        <v>-1500000</v>
      </c>
      <c r="AV219" s="10">
        <f t="shared" ref="AV219" si="189">+AU219-AM219</f>
        <v>0</v>
      </c>
      <c r="AX219" s="10"/>
      <c r="AY219" s="11"/>
      <c r="AZ219" s="65"/>
      <c r="BA219" s="10"/>
      <c r="BB219" s="14"/>
      <c r="BC219" s="10">
        <v>-1500000</v>
      </c>
      <c r="BD219" s="10">
        <f t="shared" ref="BD219" si="190">+BC219-AU219</f>
        <v>0</v>
      </c>
      <c r="BF219" s="10"/>
      <c r="BG219" s="11"/>
      <c r="BH219" s="74"/>
      <c r="BI219" s="10">
        <f>-1200000+26000</f>
        <v>-1174000</v>
      </c>
      <c r="BJ219" s="10">
        <f t="shared" ref="BJ219" si="191">+BI219-BC219</f>
        <v>326000</v>
      </c>
      <c r="BL219" s="10"/>
      <c r="BN219" s="14">
        <v>20</v>
      </c>
      <c r="BO219" s="10">
        <v>-1350000</v>
      </c>
      <c r="BP219" s="10">
        <f t="shared" ref="BP219" si="192">+BO219-BI219</f>
        <v>-176000</v>
      </c>
      <c r="BQ219" s="10">
        <v>-1326892</v>
      </c>
      <c r="BR219" s="7" t="s">
        <v>360</v>
      </c>
    </row>
    <row r="220" spans="1:70" ht="18">
      <c r="A220" s="8"/>
      <c r="B220" s="203" t="s">
        <v>75</v>
      </c>
      <c r="D220" s="49"/>
      <c r="F220" s="8"/>
      <c r="G220" s="51"/>
      <c r="H220" s="8"/>
      <c r="J220" s="49"/>
      <c r="K220" s="49"/>
      <c r="L220" s="8"/>
      <c r="M220" s="49"/>
      <c r="N220" s="8"/>
      <c r="O220" s="73"/>
      <c r="Q220" s="49"/>
      <c r="R220" s="8"/>
      <c r="S220" s="73"/>
      <c r="V220" s="51"/>
      <c r="W220" s="49"/>
      <c r="X220" s="8"/>
      <c r="Y220" s="10"/>
      <c r="AA220" s="49"/>
      <c r="AB220" s="8"/>
      <c r="AC220" s="10"/>
      <c r="AD220" s="9"/>
      <c r="AF220" s="51"/>
      <c r="AG220" s="49"/>
      <c r="AH220" s="8"/>
      <c r="AI220" s="10"/>
      <c r="AK220" s="51"/>
      <c r="AL220" s="8"/>
      <c r="AM220" s="10"/>
      <c r="AN220" s="9"/>
      <c r="AP220" s="10"/>
      <c r="AQ220" s="11"/>
      <c r="AR220" s="65"/>
      <c r="AS220" s="10"/>
      <c r="AT220" s="14"/>
      <c r="AU220" s="10"/>
      <c r="AV220" s="71"/>
      <c r="AX220" s="10"/>
      <c r="AY220" s="11"/>
      <c r="AZ220" s="65"/>
      <c r="BA220" s="10"/>
      <c r="BB220" s="14"/>
      <c r="BC220" s="10"/>
      <c r="BD220" s="71"/>
      <c r="BF220" s="10"/>
      <c r="BG220" s="11"/>
      <c r="BH220" s="74"/>
      <c r="BI220" s="10"/>
      <c r="BJ220" s="71"/>
      <c r="BL220" s="10"/>
      <c r="BN220" s="14"/>
      <c r="BO220" s="10"/>
      <c r="BP220" s="71"/>
      <c r="BQ220" s="10">
        <f>+BO219-BQ219</f>
        <v>-23108</v>
      </c>
      <c r="BR220" s="7" t="s">
        <v>361</v>
      </c>
    </row>
    <row r="221" spans="1:70" ht="18.75" thickBot="1">
      <c r="A221" s="8" t="s">
        <v>244</v>
      </c>
      <c r="D221" s="49"/>
      <c r="F221" s="8"/>
      <c r="G221" s="159">
        <f>+G219+G215</f>
        <v>-1137760.6462657764</v>
      </c>
      <c r="H221" s="161" t="e">
        <f>+H219+H215</f>
        <v>#REF!</v>
      </c>
      <c r="J221" s="49"/>
      <c r="K221" s="49"/>
      <c r="L221" s="8"/>
      <c r="M221" s="49"/>
      <c r="N221" s="8"/>
      <c r="O221" s="73"/>
      <c r="Q221" s="49"/>
      <c r="R221" s="8"/>
      <c r="S221" s="73"/>
      <c r="V221" s="51"/>
      <c r="W221" s="49"/>
      <c r="X221" s="8"/>
      <c r="Y221" s="10"/>
      <c r="AA221" s="49"/>
      <c r="AB221" s="8"/>
      <c r="AC221" s="10"/>
      <c r="AD221" s="9"/>
      <c r="AF221" s="51"/>
      <c r="AG221" s="49"/>
      <c r="AH221" s="8"/>
      <c r="AI221" s="10">
        <f>+AI219+AI215</f>
        <v>-1412766.8109491356</v>
      </c>
      <c r="AK221" s="51"/>
      <c r="AL221" s="8"/>
      <c r="AM221" s="10">
        <f>+AM219+AM215</f>
        <v>-1389585.7742597605</v>
      </c>
      <c r="AN221" s="199">
        <f>+AM221-AI221</f>
        <v>23181.036689375062</v>
      </c>
      <c r="AP221" s="10"/>
      <c r="AQ221" s="11"/>
      <c r="AR221" s="65"/>
      <c r="AS221" s="10"/>
      <c r="AT221" s="14"/>
      <c r="AU221" s="10">
        <f>+AU219+AU215</f>
        <v>-1454870.1564367225</v>
      </c>
      <c r="AV221" s="10">
        <f t="shared" ref="AV221" si="193">+AU221-AM221</f>
        <v>-65284.382176961983</v>
      </c>
      <c r="AX221" s="10"/>
      <c r="AY221" s="11"/>
      <c r="AZ221" s="65"/>
      <c r="BA221" s="10"/>
      <c r="BB221" s="14"/>
      <c r="BC221" s="10">
        <f>+BC219+BC215</f>
        <v>-1459371.2380669692</v>
      </c>
      <c r="BD221" s="10">
        <f t="shared" ref="BD221" si="194">+BC221-AU221</f>
        <v>-4501.0816302467138</v>
      </c>
      <c r="BF221" s="10"/>
      <c r="BG221" s="11"/>
      <c r="BH221" s="74"/>
      <c r="BI221" s="10">
        <f>+BI219+BI215</f>
        <v>-1007785.45570218</v>
      </c>
      <c r="BJ221" s="10">
        <f t="shared" ref="BJ221" si="195">+BI221-BC221</f>
        <v>451585.78236478916</v>
      </c>
      <c r="BL221" s="10"/>
      <c r="BN221" s="14"/>
      <c r="BO221" s="10">
        <f>+BO219+BO215</f>
        <v>-1241398.4275475601</v>
      </c>
      <c r="BP221" s="10">
        <f t="shared" ref="BP221" si="196">+BO221-BI221</f>
        <v>-233612.97184538003</v>
      </c>
      <c r="BQ221" s="10"/>
    </row>
    <row r="222" spans="1:70" ht="18">
      <c r="A222" s="8"/>
      <c r="D222" s="49"/>
      <c r="F222" s="8"/>
      <c r="G222" s="51"/>
      <c r="H222" s="8"/>
      <c r="J222" s="49"/>
      <c r="K222" s="49"/>
      <c r="L222" s="8"/>
      <c r="M222" s="49"/>
      <c r="N222" s="8"/>
      <c r="O222" s="73"/>
      <c r="Q222" s="49"/>
      <c r="R222" s="8"/>
      <c r="S222" s="73"/>
      <c r="V222" s="51"/>
      <c r="W222" s="49"/>
      <c r="X222" s="8"/>
      <c r="Y222" s="10"/>
      <c r="AA222" s="49"/>
      <c r="AB222" s="8"/>
      <c r="AC222" s="10"/>
      <c r="AD222" s="9"/>
      <c r="AF222" s="51"/>
      <c r="AG222" s="49"/>
      <c r="AH222" s="8"/>
      <c r="AI222" s="10"/>
      <c r="AK222" s="51"/>
      <c r="AL222" s="8"/>
      <c r="AM222" s="10"/>
      <c r="AN222" s="9"/>
      <c r="AP222" s="10"/>
      <c r="AQ222" s="11"/>
      <c r="AR222" s="65"/>
      <c r="AS222" s="10"/>
      <c r="AT222" s="13"/>
      <c r="AU222" s="10"/>
      <c r="AV222" s="10"/>
      <c r="AX222" s="10"/>
      <c r="AY222" s="11"/>
      <c r="AZ222" s="65"/>
      <c r="BA222" s="10"/>
      <c r="BB222" s="13"/>
      <c r="BC222" s="10"/>
      <c r="BD222" s="10"/>
      <c r="BF222" s="10"/>
      <c r="BG222" s="11"/>
      <c r="BH222" s="65"/>
      <c r="BI222" s="10"/>
      <c r="BJ222" s="10"/>
      <c r="BL222" s="10"/>
      <c r="BN222" s="14"/>
      <c r="BO222" s="10"/>
      <c r="BP222" s="10"/>
      <c r="BQ222" s="10"/>
    </row>
    <row r="223" spans="1:70" ht="18">
      <c r="A223" s="8"/>
      <c r="D223" s="49"/>
      <c r="F223" s="8"/>
      <c r="G223" s="51"/>
      <c r="H223" s="8"/>
      <c r="J223" s="49"/>
      <c r="K223" s="49"/>
      <c r="L223" s="8"/>
      <c r="M223" s="49"/>
      <c r="N223" s="8"/>
      <c r="O223" s="73"/>
      <c r="Q223" s="49"/>
      <c r="R223" s="8"/>
      <c r="S223" s="73"/>
      <c r="V223" s="51"/>
      <c r="W223" s="49"/>
      <c r="X223" s="8"/>
      <c r="Y223" s="10"/>
      <c r="AA223" s="49"/>
      <c r="AB223" s="8"/>
      <c r="AC223" s="10"/>
      <c r="AD223" s="9"/>
      <c r="AF223" s="51"/>
      <c r="AG223" s="49"/>
      <c r="AH223" s="8"/>
      <c r="AI223" s="10"/>
      <c r="AK223" s="51"/>
      <c r="AL223" s="8"/>
      <c r="AM223" s="10"/>
      <c r="AN223" s="9"/>
      <c r="AP223" s="10"/>
      <c r="AQ223" s="11"/>
      <c r="AR223" s="65"/>
      <c r="AS223" s="10"/>
      <c r="AT223" s="13"/>
      <c r="AU223" s="10"/>
      <c r="AV223" s="10"/>
      <c r="AX223" s="10"/>
      <c r="AY223" s="11"/>
      <c r="AZ223" s="65"/>
      <c r="BA223" s="10"/>
      <c r="BB223" s="13"/>
      <c r="BC223" s="10"/>
      <c r="BD223" s="10"/>
      <c r="BF223" s="10"/>
      <c r="BG223" s="11"/>
      <c r="BH223" s="65"/>
      <c r="BI223" s="10"/>
      <c r="BJ223" s="10"/>
      <c r="BL223" s="10"/>
      <c r="BN223" s="14"/>
      <c r="BO223" s="10"/>
      <c r="BP223" s="10"/>
      <c r="BQ223" s="10"/>
    </row>
    <row r="224" spans="1:70" ht="18">
      <c r="A224" s="150" t="s">
        <v>245</v>
      </c>
      <c r="D224" s="49"/>
      <c r="F224" s="8"/>
      <c r="G224" s="51"/>
      <c r="H224" s="8"/>
      <c r="J224" s="49"/>
      <c r="K224" s="49"/>
      <c r="L224" s="8"/>
      <c r="M224" s="49"/>
      <c r="N224" s="8"/>
      <c r="O224" s="73"/>
      <c r="Q224" s="49"/>
      <c r="R224" s="8"/>
      <c r="S224" s="73"/>
      <c r="V224" s="51"/>
      <c r="W224" s="49"/>
      <c r="X224" s="8"/>
      <c r="Y224" s="10"/>
      <c r="AA224" s="49"/>
      <c r="AB224" s="8"/>
      <c r="AC224" s="10"/>
      <c r="AD224" s="9"/>
      <c r="AF224" s="51"/>
      <c r="AG224" s="49"/>
      <c r="AH224" s="8"/>
      <c r="AI224" s="10"/>
      <c r="AK224" s="51"/>
      <c r="AL224" s="8"/>
      <c r="AM224" s="10"/>
      <c r="AN224" s="9"/>
      <c r="AP224" s="10"/>
      <c r="AQ224" s="11"/>
      <c r="AR224" s="65"/>
      <c r="AS224" s="10"/>
      <c r="AT224" s="13"/>
      <c r="AU224" s="10"/>
      <c r="AV224" s="10"/>
      <c r="AX224" s="10"/>
      <c r="AY224" s="11"/>
      <c r="AZ224" s="65"/>
      <c r="BA224" s="10"/>
      <c r="BB224" s="13"/>
      <c r="BC224" s="10"/>
      <c r="BD224" s="10"/>
      <c r="BF224" s="10"/>
      <c r="BG224" s="11"/>
      <c r="BH224" s="65"/>
      <c r="BI224" s="10"/>
      <c r="BJ224" s="10"/>
      <c r="BL224" s="10"/>
      <c r="BN224" s="14"/>
      <c r="BO224" s="10"/>
      <c r="BP224" s="10"/>
      <c r="BQ224" s="10"/>
    </row>
    <row r="225" spans="1:69" ht="18">
      <c r="A225" s="151"/>
      <c r="D225" s="49"/>
      <c r="F225" s="8"/>
      <c r="G225" s="51"/>
      <c r="H225" s="8"/>
      <c r="J225" s="49"/>
      <c r="K225" s="49"/>
      <c r="L225" s="8"/>
      <c r="M225" s="49"/>
      <c r="N225" s="8"/>
      <c r="O225" s="73"/>
      <c r="Q225" s="49"/>
      <c r="R225" s="8"/>
      <c r="S225" s="73"/>
      <c r="V225" s="51"/>
      <c r="W225" s="49"/>
      <c r="X225" s="8"/>
      <c r="Y225" s="10"/>
      <c r="AA225" s="49"/>
      <c r="AB225" s="8"/>
      <c r="AC225" s="10"/>
      <c r="AD225" s="9"/>
      <c r="AF225" s="51"/>
      <c r="AG225" s="49"/>
      <c r="AH225" s="8"/>
      <c r="AI225" s="10"/>
      <c r="AK225" s="51"/>
      <c r="AL225" s="8"/>
      <c r="AM225" s="10"/>
      <c r="AN225" s="9"/>
      <c r="AP225" s="10"/>
      <c r="AQ225" s="11"/>
      <c r="AR225" s="65"/>
      <c r="AS225" s="10"/>
      <c r="AT225" s="13"/>
      <c r="AU225" s="10"/>
      <c r="AV225" s="10"/>
      <c r="AX225" s="10"/>
      <c r="AY225" s="11"/>
      <c r="AZ225" s="65"/>
      <c r="BA225" s="10"/>
      <c r="BB225" s="13"/>
      <c r="BC225" s="10"/>
      <c r="BD225" s="10"/>
      <c r="BF225" s="10"/>
      <c r="BG225" s="11"/>
      <c r="BH225" s="65"/>
      <c r="BI225" s="10"/>
      <c r="BJ225" s="10"/>
      <c r="BL225" s="10"/>
      <c r="BN225" s="14"/>
      <c r="BO225" s="10"/>
      <c r="BP225" s="10"/>
      <c r="BQ225" s="10"/>
    </row>
    <row r="226" spans="1:69" ht="18">
      <c r="A226" s="151" t="s">
        <v>246</v>
      </c>
      <c r="D226" s="49"/>
      <c r="F226" s="8"/>
      <c r="G226" s="136">
        <f>+G108</f>
        <v>154643455</v>
      </c>
      <c r="H226" s="52" t="e">
        <f>+G226-#REF!</f>
        <v>#REF!</v>
      </c>
      <c r="J226" s="49"/>
      <c r="K226" s="49"/>
      <c r="L226" s="8"/>
      <c r="M226" s="49"/>
      <c r="N226" s="8"/>
      <c r="O226" s="134">
        <f>+O113</f>
        <v>102729463</v>
      </c>
      <c r="Q226" s="49"/>
      <c r="R226" s="8"/>
      <c r="S226" s="134">
        <f>+S113</f>
        <v>144797777</v>
      </c>
      <c r="T226" s="57">
        <f>+S226-O226</f>
        <v>42068314</v>
      </c>
      <c r="V226" s="51"/>
      <c r="W226" s="49"/>
      <c r="X226" s="8"/>
      <c r="Y226" s="136">
        <f>+Y113</f>
        <v>76950837</v>
      </c>
      <c r="AA226" s="49"/>
      <c r="AB226" s="8"/>
      <c r="AC226" s="136">
        <f>+AC113</f>
        <v>116071794</v>
      </c>
      <c r="AD226" s="60">
        <f>+AC226-Y226</f>
        <v>39120957</v>
      </c>
      <c r="AF226" s="51"/>
      <c r="AG226" s="49"/>
      <c r="AH226" s="8"/>
      <c r="AI226" s="136">
        <f>+AI113</f>
        <v>102535943</v>
      </c>
      <c r="AK226" s="51"/>
      <c r="AL226" s="8"/>
      <c r="AM226" s="136">
        <f>+AM113</f>
        <v>127502147</v>
      </c>
      <c r="AN226" s="60">
        <f>+AM226-AI226</f>
        <v>24966204</v>
      </c>
      <c r="AP226" s="10"/>
      <c r="AQ226" s="11"/>
      <c r="AR226" s="65"/>
      <c r="AS226" s="10"/>
      <c r="AT226" s="14"/>
      <c r="AU226" s="136">
        <f>+AU113</f>
        <v>-33571151.200000018</v>
      </c>
      <c r="AV226" s="10">
        <f t="shared" ref="AV226" si="197">+AU226-AM226</f>
        <v>-161073298.20000002</v>
      </c>
      <c r="AX226" s="10"/>
      <c r="AY226" s="11"/>
      <c r="AZ226" s="65"/>
      <c r="BA226" s="10"/>
      <c r="BB226" s="14"/>
      <c r="BC226" s="136">
        <f>+BC113</f>
        <v>-21640053.600000024</v>
      </c>
      <c r="BD226" s="10">
        <f t="shared" ref="BD226" si="198">+BC226-AU226</f>
        <v>11931097.599999994</v>
      </c>
      <c r="BF226" s="10"/>
      <c r="BG226" s="11"/>
      <c r="BH226" s="14"/>
      <c r="BI226" s="136">
        <f>+BI113</f>
        <v>-17821243</v>
      </c>
      <c r="BJ226" s="10">
        <f t="shared" ref="BJ226" si="199">+BI226-BC226</f>
        <v>3818810.6000000238</v>
      </c>
      <c r="BL226" s="10"/>
      <c r="BN226" s="14"/>
      <c r="BO226" s="136">
        <f>+BO108</f>
        <v>-9864530</v>
      </c>
      <c r="BP226" s="10">
        <f t="shared" ref="BP226" si="200">+BO226-BI226</f>
        <v>7956713</v>
      </c>
      <c r="BQ226" s="10"/>
    </row>
    <row r="227" spans="1:69" ht="18">
      <c r="A227" s="151"/>
      <c r="D227" s="49"/>
      <c r="F227" s="8"/>
      <c r="G227" s="51"/>
      <c r="H227" s="8"/>
      <c r="J227" s="49"/>
      <c r="K227" s="49"/>
      <c r="L227" s="8"/>
      <c r="M227" s="49"/>
      <c r="N227" s="8"/>
      <c r="O227" s="73"/>
      <c r="Q227" s="49"/>
      <c r="R227" s="8"/>
      <c r="S227" s="73"/>
      <c r="V227" s="51"/>
      <c r="W227" s="49"/>
      <c r="X227" s="8"/>
      <c r="Y227" s="10"/>
      <c r="AA227" s="49"/>
      <c r="AB227" s="8"/>
      <c r="AC227" s="10"/>
      <c r="AD227" s="9"/>
      <c r="AF227" s="51"/>
      <c r="AG227" s="49"/>
      <c r="AH227" s="8"/>
      <c r="AI227" s="10"/>
      <c r="AK227" s="51"/>
      <c r="AL227" s="8"/>
      <c r="AM227" s="10"/>
      <c r="AN227" s="9"/>
      <c r="AP227" s="10"/>
      <c r="AQ227" s="11"/>
      <c r="AR227" s="65"/>
      <c r="AS227" s="10"/>
      <c r="AT227" s="14"/>
      <c r="AU227" s="10"/>
      <c r="AV227" s="71"/>
      <c r="AX227" s="10"/>
      <c r="AY227" s="11"/>
      <c r="AZ227" s="65"/>
      <c r="BA227" s="10"/>
      <c r="BB227" s="14"/>
      <c r="BC227" s="10"/>
      <c r="BD227" s="71"/>
      <c r="BF227" s="10"/>
      <c r="BG227" s="11"/>
      <c r="BH227" s="14"/>
      <c r="BI227" s="10"/>
      <c r="BJ227" s="71"/>
      <c r="BL227" s="10"/>
      <c r="BN227" s="14"/>
      <c r="BO227" s="10"/>
      <c r="BP227" s="71"/>
      <c r="BQ227" s="71"/>
    </row>
    <row r="228" spans="1:69" ht="19.5">
      <c r="A228" s="204" t="s">
        <v>182</v>
      </c>
      <c r="D228" s="49"/>
      <c r="F228" s="8"/>
      <c r="G228" s="51"/>
      <c r="H228" s="8"/>
      <c r="J228" s="49"/>
      <c r="K228" s="49"/>
      <c r="L228" s="8"/>
      <c r="M228" s="49"/>
      <c r="N228" s="8"/>
      <c r="O228" s="73"/>
      <c r="Q228" s="49"/>
      <c r="R228" s="8"/>
      <c r="S228" s="73"/>
      <c r="V228" s="51"/>
      <c r="W228" s="49"/>
      <c r="X228" s="8"/>
      <c r="Y228" s="10"/>
      <c r="AA228" s="49"/>
      <c r="AB228" s="8"/>
      <c r="AC228" s="10"/>
      <c r="AD228" s="9"/>
      <c r="AF228" s="51"/>
      <c r="AG228" s="49"/>
      <c r="AH228" s="8"/>
      <c r="AI228" s="10"/>
      <c r="AK228" s="51"/>
      <c r="AL228" s="8"/>
      <c r="AM228" s="10"/>
      <c r="AN228" s="9"/>
      <c r="AP228" s="10"/>
      <c r="AQ228" s="11"/>
      <c r="AR228" s="65"/>
      <c r="AS228" s="10"/>
      <c r="AT228" s="14"/>
      <c r="AU228" s="10"/>
      <c r="AV228" s="71"/>
      <c r="AX228" s="10"/>
      <c r="AY228" s="11"/>
      <c r="AZ228" s="65"/>
      <c r="BA228" s="10"/>
      <c r="BB228" s="14"/>
      <c r="BC228" s="10"/>
      <c r="BD228" s="71"/>
      <c r="BF228" s="10"/>
      <c r="BG228" s="11"/>
      <c r="BH228" s="14"/>
      <c r="BI228" s="10"/>
      <c r="BJ228" s="71"/>
      <c r="BL228" s="10"/>
      <c r="BN228" s="14"/>
      <c r="BO228" s="10"/>
      <c r="BP228" s="71"/>
      <c r="BQ228" s="71"/>
    </row>
    <row r="229" spans="1:69" ht="18">
      <c r="A229" s="151" t="s">
        <v>183</v>
      </c>
      <c r="D229" s="49"/>
      <c r="F229" s="8"/>
      <c r="G229" s="51"/>
      <c r="H229" s="8"/>
      <c r="J229" s="49"/>
      <c r="K229" s="49"/>
      <c r="L229" s="8"/>
      <c r="M229" s="49"/>
      <c r="N229" s="8"/>
      <c r="O229" s="73"/>
      <c r="Q229" s="49"/>
      <c r="R229" s="8"/>
      <c r="S229" s="73"/>
      <c r="V229" s="51"/>
      <c r="W229" s="49"/>
      <c r="X229" s="8"/>
      <c r="Y229" s="10"/>
      <c r="AA229" s="49"/>
      <c r="AB229" s="8"/>
      <c r="AC229" s="10"/>
      <c r="AD229" s="9"/>
      <c r="AF229" s="51"/>
      <c r="AG229" s="49"/>
      <c r="AH229" s="8"/>
      <c r="AI229" s="10"/>
      <c r="AK229" s="51"/>
      <c r="AL229" s="8"/>
      <c r="AM229" s="10"/>
      <c r="AN229" s="9"/>
      <c r="AP229" s="10"/>
      <c r="AQ229" s="11"/>
      <c r="AR229" s="65"/>
      <c r="AS229" s="10"/>
      <c r="AT229" s="14"/>
      <c r="AU229" s="10"/>
      <c r="AV229" s="71"/>
      <c r="AX229" s="10"/>
      <c r="AY229" s="11"/>
      <c r="AZ229" s="65"/>
      <c r="BA229" s="10"/>
      <c r="BB229" s="14"/>
      <c r="BC229" s="10"/>
      <c r="BD229" s="71"/>
      <c r="BF229" s="10"/>
      <c r="BG229" s="11"/>
      <c r="BH229" s="14"/>
      <c r="BI229" s="10"/>
      <c r="BJ229" s="71"/>
      <c r="BL229" s="10"/>
      <c r="BM229" s="205" t="s">
        <v>247</v>
      </c>
      <c r="BN229" s="14">
        <v>21</v>
      </c>
      <c r="BO229" s="10">
        <v>0</v>
      </c>
      <c r="BP229" s="71"/>
      <c r="BQ229" s="71"/>
    </row>
    <row r="230" spans="1:69" ht="18">
      <c r="A230" s="151" t="s">
        <v>248</v>
      </c>
      <c r="D230" s="49"/>
      <c r="F230" s="8"/>
      <c r="G230" s="51">
        <v>-8458</v>
      </c>
      <c r="H230" s="8"/>
      <c r="J230" s="49"/>
      <c r="K230" s="49"/>
      <c r="L230" s="8"/>
      <c r="M230" s="49"/>
      <c r="N230" s="8"/>
      <c r="O230" s="73"/>
      <c r="Q230" s="49"/>
      <c r="R230" s="8"/>
      <c r="S230" s="73"/>
      <c r="V230" s="51"/>
      <c r="W230" s="49"/>
      <c r="X230" s="8"/>
      <c r="Y230" s="10"/>
      <c r="AA230" s="49"/>
      <c r="AB230" s="8"/>
      <c r="AC230" s="10"/>
      <c r="AD230" s="9"/>
      <c r="AF230" s="51"/>
      <c r="AG230" s="49"/>
      <c r="AH230" s="8"/>
      <c r="AI230" s="10"/>
      <c r="AK230" s="51"/>
      <c r="AL230" s="8"/>
      <c r="AM230" s="10"/>
      <c r="AN230" s="9"/>
      <c r="AP230" s="10"/>
      <c r="AQ230" s="11"/>
      <c r="AR230" s="65"/>
      <c r="AS230" s="10"/>
      <c r="AT230" s="14"/>
      <c r="AU230" s="10"/>
      <c r="AV230" s="71"/>
      <c r="AX230" s="10"/>
      <c r="AY230" s="11"/>
      <c r="AZ230" s="65"/>
      <c r="BA230" s="10"/>
      <c r="BB230" s="14"/>
      <c r="BC230" s="10"/>
      <c r="BD230" s="71"/>
      <c r="BF230" s="10"/>
      <c r="BG230" s="11"/>
      <c r="BH230" s="14"/>
      <c r="BI230" s="10"/>
      <c r="BJ230" s="71"/>
      <c r="BL230" s="10"/>
      <c r="BN230" s="14" t="s">
        <v>220</v>
      </c>
      <c r="BO230" s="10">
        <v>-7806</v>
      </c>
      <c r="BP230" s="71"/>
      <c r="BQ230" s="71"/>
    </row>
    <row r="231" spans="1:69" ht="18">
      <c r="A231" s="151"/>
      <c r="D231" s="49"/>
      <c r="F231" s="8"/>
      <c r="G231" s="51"/>
      <c r="H231" s="8"/>
      <c r="J231" s="49"/>
      <c r="K231" s="49"/>
      <c r="L231" s="8"/>
      <c r="M231" s="49"/>
      <c r="N231" s="8"/>
      <c r="O231" s="73"/>
      <c r="Q231" s="49"/>
      <c r="R231" s="8"/>
      <c r="S231" s="73"/>
      <c r="V231" s="51"/>
      <c r="W231" s="49"/>
      <c r="X231" s="8"/>
      <c r="Y231" s="10"/>
      <c r="AA231" s="49"/>
      <c r="AB231" s="8"/>
      <c r="AC231" s="10"/>
      <c r="AD231" s="9"/>
      <c r="AF231" s="51"/>
      <c r="AG231" s="49"/>
      <c r="AH231" s="8"/>
      <c r="AI231" s="10"/>
      <c r="AK231" s="51"/>
      <c r="AL231" s="8"/>
      <c r="AM231" s="10"/>
      <c r="AN231" s="9"/>
      <c r="AP231" s="10"/>
      <c r="AQ231" s="11"/>
      <c r="AR231" s="65"/>
      <c r="AS231" s="10"/>
      <c r="AT231" s="14"/>
      <c r="AU231" s="10"/>
      <c r="AV231" s="71"/>
      <c r="AX231" s="10"/>
      <c r="AY231" s="11"/>
      <c r="AZ231" s="65"/>
      <c r="BA231" s="10"/>
      <c r="BB231" s="14"/>
      <c r="BC231" s="10"/>
      <c r="BD231" s="71"/>
      <c r="BF231" s="10"/>
      <c r="BG231" s="11"/>
      <c r="BH231" s="14"/>
      <c r="BI231" s="10"/>
      <c r="BJ231" s="71"/>
      <c r="BL231" s="10"/>
      <c r="BN231" s="14"/>
      <c r="BO231" s="10"/>
      <c r="BP231" s="71"/>
      <c r="BQ231" s="71"/>
    </row>
    <row r="232" spans="1:69" ht="18">
      <c r="A232" s="151" t="s">
        <v>249</v>
      </c>
      <c r="D232" s="49"/>
      <c r="F232" s="8" t="s">
        <v>54</v>
      </c>
      <c r="G232" s="51">
        <v>-612718</v>
      </c>
      <c r="H232" s="52" t="e">
        <f>+G232-#REF!</f>
        <v>#REF!</v>
      </c>
      <c r="J232" s="49"/>
      <c r="K232" s="49"/>
      <c r="L232" s="8"/>
      <c r="M232" s="49"/>
      <c r="N232" s="8" t="s">
        <v>250</v>
      </c>
      <c r="O232" s="73">
        <f>-O15</f>
        <v>-710700</v>
      </c>
      <c r="Q232" s="49"/>
      <c r="R232" s="8" t="s">
        <v>250</v>
      </c>
      <c r="S232" s="73">
        <f>-S15</f>
        <v>-710700</v>
      </c>
      <c r="T232" s="57">
        <f>+S232-O232</f>
        <v>0</v>
      </c>
      <c r="V232" s="51"/>
      <c r="W232" s="49"/>
      <c r="X232" s="14" t="s">
        <v>250</v>
      </c>
      <c r="Y232" s="10">
        <f>-Y15</f>
        <v>-710700</v>
      </c>
      <c r="AA232" s="49"/>
      <c r="AB232" s="14" t="s">
        <v>250</v>
      </c>
      <c r="AC232" s="10">
        <f>-AC15</f>
        <v>-710700</v>
      </c>
      <c r="AD232" s="60">
        <f>+AC232-Y232</f>
        <v>0</v>
      </c>
      <c r="AF232" s="51"/>
      <c r="AG232" s="49"/>
      <c r="AH232" s="14" t="s">
        <v>250</v>
      </c>
      <c r="AI232" s="10">
        <f>-AI15</f>
        <v>-710700</v>
      </c>
      <c r="AK232" s="51"/>
      <c r="AL232" s="14" t="s">
        <v>250</v>
      </c>
      <c r="AM232" s="10">
        <f>-AM15</f>
        <v>-710700</v>
      </c>
      <c r="AN232" s="60">
        <f>+AM232-AI232</f>
        <v>0</v>
      </c>
      <c r="AP232" s="10"/>
      <c r="AQ232" s="11"/>
      <c r="AR232" s="65"/>
      <c r="AS232" s="10"/>
      <c r="AT232" s="14" t="s">
        <v>250</v>
      </c>
      <c r="AU232" s="10">
        <f>-AU15</f>
        <v>-710700</v>
      </c>
      <c r="AV232" s="10">
        <f t="shared" ref="AV232" si="201">+AU232-AM232</f>
        <v>0</v>
      </c>
      <c r="AX232" s="10"/>
      <c r="AY232" s="11"/>
      <c r="AZ232" s="65"/>
      <c r="BA232" s="10"/>
      <c r="BB232" s="14" t="s">
        <v>250</v>
      </c>
      <c r="BC232" s="10">
        <f>-BC15</f>
        <v>-710700</v>
      </c>
      <c r="BD232" s="10">
        <f t="shared" ref="BD232" si="202">+BC232-AU232</f>
        <v>0</v>
      </c>
      <c r="BF232" s="10"/>
      <c r="BG232" s="11"/>
      <c r="BH232" s="14" t="s">
        <v>251</v>
      </c>
      <c r="BI232" s="10">
        <f>-BI15</f>
        <v>-710700</v>
      </c>
      <c r="BJ232" s="10">
        <f t="shared" ref="BJ232" si="203">+BI232-BC232</f>
        <v>0</v>
      </c>
      <c r="BL232" s="10"/>
      <c r="BN232" s="206" t="s">
        <v>252</v>
      </c>
      <c r="BO232" s="10">
        <v>-690637</v>
      </c>
      <c r="BP232" s="10">
        <f t="shared" ref="BP232" si="204">+BO232-BI232</f>
        <v>20063</v>
      </c>
      <c r="BQ232" s="10"/>
    </row>
    <row r="233" spans="1:69" ht="18">
      <c r="A233" s="151"/>
      <c r="D233" s="49"/>
      <c r="F233" s="8" t="s">
        <v>187</v>
      </c>
      <c r="G233" s="51"/>
      <c r="H233" s="8"/>
      <c r="J233" s="49"/>
      <c r="K233" s="49"/>
      <c r="L233" s="8"/>
      <c r="M233" s="49"/>
      <c r="N233" s="8"/>
      <c r="O233" s="73"/>
      <c r="Q233" s="49"/>
      <c r="R233" s="8"/>
      <c r="S233" s="73"/>
      <c r="V233" s="51"/>
      <c r="W233" s="49"/>
      <c r="X233" s="14"/>
      <c r="Y233" s="10"/>
      <c r="AA233" s="49"/>
      <c r="AB233" s="14"/>
      <c r="AC233" s="10"/>
      <c r="AD233" s="9"/>
      <c r="AF233" s="51"/>
      <c r="AG233" s="49"/>
      <c r="AH233" s="14"/>
      <c r="AI233" s="10"/>
      <c r="AK233" s="51"/>
      <c r="AL233" s="14"/>
      <c r="AM233" s="10"/>
      <c r="AN233" s="9"/>
      <c r="AP233" s="10"/>
      <c r="AQ233" s="11"/>
      <c r="AR233" s="65"/>
      <c r="AS233" s="10"/>
      <c r="AT233" s="14"/>
      <c r="AU233" s="10"/>
      <c r="AV233" s="71"/>
      <c r="AX233" s="10"/>
      <c r="AY233" s="11"/>
      <c r="AZ233" s="65"/>
      <c r="BA233" s="10"/>
      <c r="BB233" s="14"/>
      <c r="BC233" s="10"/>
      <c r="BD233" s="71"/>
      <c r="BF233" s="10"/>
      <c r="BG233" s="11"/>
      <c r="BH233" s="14"/>
      <c r="BI233" s="10"/>
      <c r="BJ233" s="71"/>
      <c r="BL233" s="10"/>
      <c r="BN233" s="14"/>
      <c r="BO233" s="10"/>
      <c r="BP233" s="71"/>
      <c r="BQ233" s="71"/>
    </row>
    <row r="234" spans="1:69" ht="18">
      <c r="A234" s="151" t="s">
        <v>120</v>
      </c>
      <c r="D234" s="49"/>
      <c r="F234" s="8" t="s">
        <v>253</v>
      </c>
      <c r="G234" s="51">
        <v>30259</v>
      </c>
      <c r="H234" s="52" t="e">
        <f>+G234-#REF!</f>
        <v>#REF!</v>
      </c>
      <c r="J234" s="49"/>
      <c r="K234" s="49"/>
      <c r="L234" s="8"/>
      <c r="M234" s="49"/>
      <c r="N234" s="8"/>
      <c r="O234" s="73">
        <v>0</v>
      </c>
      <c r="Q234" s="49"/>
      <c r="R234" s="8"/>
      <c r="S234" s="73"/>
      <c r="V234" s="51"/>
      <c r="W234" s="49"/>
      <c r="X234" s="14"/>
      <c r="Y234" s="10">
        <v>0</v>
      </c>
      <c r="AA234" s="49"/>
      <c r="AB234" s="14"/>
      <c r="AC234" s="10"/>
      <c r="AD234" s="9"/>
      <c r="AF234" s="51"/>
      <c r="AG234" s="49"/>
      <c r="AH234" s="14"/>
      <c r="AI234" s="10">
        <v>0</v>
      </c>
      <c r="AK234" s="51"/>
      <c r="AL234" s="14"/>
      <c r="AM234" s="10"/>
      <c r="AN234" s="9"/>
      <c r="AP234" s="10"/>
      <c r="AQ234" s="11"/>
      <c r="AR234" s="65"/>
      <c r="AS234" s="10"/>
      <c r="AT234" s="14"/>
      <c r="AU234" s="10"/>
      <c r="AV234" s="71"/>
      <c r="AX234" s="10"/>
      <c r="AY234" s="11"/>
      <c r="AZ234" s="65"/>
      <c r="BA234" s="10"/>
      <c r="BB234" s="14"/>
      <c r="BC234" s="10"/>
      <c r="BD234" s="71"/>
      <c r="BF234" s="10"/>
      <c r="BG234" s="11"/>
      <c r="BH234" s="14"/>
      <c r="BI234" s="10">
        <v>0</v>
      </c>
      <c r="BJ234" s="71"/>
      <c r="BL234" s="10"/>
      <c r="BN234" s="158" t="s">
        <v>186</v>
      </c>
      <c r="BO234" s="10">
        <v>0</v>
      </c>
      <c r="BP234" s="71"/>
      <c r="BQ234" s="71"/>
    </row>
    <row r="235" spans="1:69" ht="18">
      <c r="A235" s="151"/>
      <c r="D235" s="49"/>
      <c r="F235" s="8" t="s">
        <v>187</v>
      </c>
      <c r="G235" s="51"/>
      <c r="H235" s="8"/>
      <c r="J235" s="49"/>
      <c r="K235" s="49"/>
      <c r="L235" s="8"/>
      <c r="M235" s="49"/>
      <c r="N235" s="8"/>
      <c r="O235" s="73"/>
      <c r="Q235" s="49"/>
      <c r="R235" s="8"/>
      <c r="S235" s="73"/>
      <c r="V235" s="51"/>
      <c r="W235" s="49"/>
      <c r="X235" s="14"/>
      <c r="Y235" s="10"/>
      <c r="AA235" s="49"/>
      <c r="AB235" s="14"/>
      <c r="AC235" s="10"/>
      <c r="AD235" s="9"/>
      <c r="AF235" s="51"/>
      <c r="AG235" s="49"/>
      <c r="AH235" s="14"/>
      <c r="AI235" s="10"/>
      <c r="AK235" s="51"/>
      <c r="AL235" s="14"/>
      <c r="AM235" s="10"/>
      <c r="AN235" s="9"/>
      <c r="AP235" s="10"/>
      <c r="AQ235" s="11"/>
      <c r="AR235" s="65"/>
      <c r="AS235" s="10"/>
      <c r="AT235" s="14"/>
      <c r="AU235" s="10"/>
      <c r="AV235" s="71"/>
      <c r="AX235" s="10"/>
      <c r="AY235" s="11"/>
      <c r="AZ235" s="65"/>
      <c r="BA235" s="10"/>
      <c r="BB235" s="14"/>
      <c r="BC235" s="10"/>
      <c r="BD235" s="71"/>
      <c r="BF235" s="10"/>
      <c r="BG235" s="11"/>
      <c r="BH235" s="14"/>
      <c r="BI235" s="10"/>
      <c r="BJ235" s="71"/>
      <c r="BL235" s="10"/>
      <c r="BN235" s="14"/>
      <c r="BO235" s="10"/>
      <c r="BP235" s="71"/>
      <c r="BQ235" s="71"/>
    </row>
    <row r="236" spans="1:69" ht="18">
      <c r="A236" s="151" t="s">
        <v>225</v>
      </c>
      <c r="D236" s="49"/>
      <c r="F236" s="8">
        <v>5</v>
      </c>
      <c r="G236" s="51">
        <v>6480778</v>
      </c>
      <c r="H236" s="52" t="e">
        <f>+G236-#REF!</f>
        <v>#REF!</v>
      </c>
      <c r="J236" s="49"/>
      <c r="K236" s="49"/>
      <c r="L236" s="8"/>
      <c r="M236" s="49"/>
      <c r="N236" s="61">
        <v>30</v>
      </c>
      <c r="O236" s="73">
        <v>4600000</v>
      </c>
      <c r="Q236" s="49"/>
      <c r="R236" s="61">
        <v>30</v>
      </c>
      <c r="S236" s="73">
        <v>4600000</v>
      </c>
      <c r="T236" s="57">
        <f>+S236-O236</f>
        <v>0</v>
      </c>
      <c r="V236" s="51"/>
      <c r="W236" s="49"/>
      <c r="X236" s="61">
        <v>30</v>
      </c>
      <c r="Y236" s="10">
        <v>2900000</v>
      </c>
      <c r="AA236" s="49"/>
      <c r="AB236" s="61">
        <v>30</v>
      </c>
      <c r="AC236" s="10">
        <v>2900000</v>
      </c>
      <c r="AD236" s="60">
        <f>+AC236-Y236</f>
        <v>0</v>
      </c>
      <c r="AF236" s="51"/>
      <c r="AG236" s="49"/>
      <c r="AH236" s="61">
        <v>30</v>
      </c>
      <c r="AI236" s="10">
        <v>2200000</v>
      </c>
      <c r="AK236" s="51"/>
      <c r="AL236" s="61">
        <v>30</v>
      </c>
      <c r="AM236" s="10">
        <v>2200000</v>
      </c>
      <c r="AN236" s="60">
        <f>+AM236-AI236</f>
        <v>0</v>
      </c>
      <c r="AP236" s="10"/>
      <c r="AQ236" s="11"/>
      <c r="AR236" s="65"/>
      <c r="AS236" s="10"/>
      <c r="AT236" s="61">
        <v>30</v>
      </c>
      <c r="AU236" s="10">
        <v>0</v>
      </c>
      <c r="AV236" s="10">
        <f t="shared" ref="AV236" si="205">+AU236-AM236</f>
        <v>-2200000</v>
      </c>
      <c r="AX236" s="10"/>
      <c r="AY236" s="11"/>
      <c r="AZ236" s="65"/>
      <c r="BA236" s="10"/>
      <c r="BB236" s="61">
        <v>30</v>
      </c>
      <c r="BC236" s="10">
        <v>0</v>
      </c>
      <c r="BD236" s="10">
        <f t="shared" ref="BD236" si="206">+BC236-AU236</f>
        <v>0</v>
      </c>
      <c r="BF236" s="10"/>
      <c r="BG236" s="11"/>
      <c r="BH236" s="61">
        <v>80</v>
      </c>
      <c r="BI236" s="10">
        <v>0</v>
      </c>
      <c r="BJ236" s="10">
        <f t="shared" ref="BJ236" si="207">+BI236-BC236</f>
        <v>0</v>
      </c>
      <c r="BL236" s="10"/>
      <c r="BN236" s="14"/>
      <c r="BO236" s="10">
        <v>0</v>
      </c>
      <c r="BP236" s="10">
        <f t="shared" ref="BP236" si="208">+BO236-BI236</f>
        <v>0</v>
      </c>
      <c r="BQ236" s="10"/>
    </row>
    <row r="237" spans="1:69" ht="18">
      <c r="A237" s="151"/>
      <c r="D237" s="49"/>
      <c r="F237" s="8"/>
      <c r="G237" s="51"/>
      <c r="H237" s="8"/>
      <c r="J237" s="49"/>
      <c r="K237" s="49"/>
      <c r="L237" s="8"/>
      <c r="M237" s="49"/>
      <c r="N237" s="8"/>
      <c r="O237" s="73"/>
      <c r="Q237" s="49"/>
      <c r="R237" s="8"/>
      <c r="S237" s="73"/>
      <c r="V237" s="51"/>
      <c r="W237" s="49"/>
      <c r="X237" s="14"/>
      <c r="Y237" s="10"/>
      <c r="AA237" s="49"/>
      <c r="AB237" s="14"/>
      <c r="AC237" s="10"/>
      <c r="AD237" s="9"/>
      <c r="AF237" s="51"/>
      <c r="AG237" s="49"/>
      <c r="AH237" s="14"/>
      <c r="AI237" s="10"/>
      <c r="AK237" s="51"/>
      <c r="AL237" s="14"/>
      <c r="AM237" s="10"/>
      <c r="AN237" s="9"/>
      <c r="AP237" s="10"/>
      <c r="AQ237" s="11"/>
      <c r="AR237" s="65"/>
      <c r="AS237" s="10"/>
      <c r="AT237" s="14"/>
      <c r="AU237" s="10"/>
      <c r="AV237" s="71"/>
      <c r="AX237" s="10"/>
      <c r="AY237" s="11"/>
      <c r="AZ237" s="65"/>
      <c r="BA237" s="10"/>
      <c r="BB237" s="14"/>
      <c r="BC237" s="10"/>
      <c r="BD237" s="71"/>
      <c r="BF237" s="10"/>
      <c r="BG237" s="11"/>
      <c r="BH237" s="14"/>
      <c r="BI237" s="10"/>
      <c r="BJ237" s="71"/>
      <c r="BL237" s="10"/>
      <c r="BN237" s="14"/>
      <c r="BO237" s="10"/>
      <c r="BP237" s="71"/>
      <c r="BQ237" s="71"/>
    </row>
    <row r="238" spans="1:69" ht="18">
      <c r="A238" s="151" t="s">
        <v>254</v>
      </c>
      <c r="D238" s="49"/>
      <c r="F238" s="8"/>
      <c r="G238" s="51">
        <v>-203</v>
      </c>
      <c r="H238" s="8"/>
      <c r="J238" s="49"/>
      <c r="K238" s="49"/>
      <c r="L238" s="8"/>
      <c r="M238" s="49"/>
      <c r="N238" s="8"/>
      <c r="O238" s="73"/>
      <c r="Q238" s="49"/>
      <c r="R238" s="8"/>
      <c r="S238" s="73"/>
      <c r="V238" s="51"/>
      <c r="W238" s="49"/>
      <c r="X238" s="14"/>
      <c r="Y238" s="10"/>
      <c r="AA238" s="49"/>
      <c r="AB238" s="14"/>
      <c r="AC238" s="10"/>
      <c r="AD238" s="9"/>
      <c r="AF238" s="51"/>
      <c r="AG238" s="49"/>
      <c r="AH238" s="14"/>
      <c r="AI238" s="10"/>
      <c r="AK238" s="51"/>
      <c r="AL238" s="14"/>
      <c r="AM238" s="10"/>
      <c r="AN238" s="9"/>
      <c r="AP238" s="10"/>
      <c r="AQ238" s="11"/>
      <c r="AR238" s="65"/>
      <c r="AS238" s="10"/>
      <c r="AT238" s="14"/>
      <c r="AU238" s="10"/>
      <c r="AV238" s="71"/>
      <c r="AX238" s="10"/>
      <c r="AY238" s="11"/>
      <c r="AZ238" s="65"/>
      <c r="BA238" s="10"/>
      <c r="BB238" s="14"/>
      <c r="BC238" s="10"/>
      <c r="BD238" s="71"/>
      <c r="BF238" s="10"/>
      <c r="BG238" s="11"/>
      <c r="BH238" s="14"/>
      <c r="BI238" s="10"/>
      <c r="BJ238" s="71"/>
      <c r="BL238" s="10"/>
      <c r="BN238" s="14">
        <v>15</v>
      </c>
      <c r="BO238" s="10">
        <v>133</v>
      </c>
      <c r="BP238" s="71"/>
      <c r="BQ238" s="71"/>
    </row>
    <row r="239" spans="1:69" ht="18">
      <c r="A239" s="151" t="s">
        <v>255</v>
      </c>
      <c r="D239" s="49"/>
      <c r="F239" s="8"/>
      <c r="G239" s="51"/>
      <c r="H239" s="8"/>
      <c r="J239" s="49"/>
      <c r="K239" s="49"/>
      <c r="L239" s="8"/>
      <c r="M239" s="49"/>
      <c r="N239" s="8"/>
      <c r="O239" s="73"/>
      <c r="Q239" s="49"/>
      <c r="R239" s="8"/>
      <c r="S239" s="73"/>
      <c r="V239" s="51"/>
      <c r="W239" s="49"/>
      <c r="X239" s="14"/>
      <c r="Y239" s="10"/>
      <c r="AA239" s="49"/>
      <c r="AB239" s="14"/>
      <c r="AC239" s="10"/>
      <c r="AD239" s="9"/>
      <c r="AF239" s="51"/>
      <c r="AG239" s="49"/>
      <c r="AH239" s="14"/>
      <c r="AI239" s="10"/>
      <c r="AK239" s="51"/>
      <c r="AL239" s="14"/>
      <c r="AM239" s="10"/>
      <c r="AN239" s="9"/>
      <c r="AP239" s="10"/>
      <c r="AQ239" s="11"/>
      <c r="AR239" s="65"/>
      <c r="AS239" s="10"/>
      <c r="AT239" s="14"/>
      <c r="AU239" s="10"/>
      <c r="AV239" s="71"/>
      <c r="AX239" s="10"/>
      <c r="AY239" s="11"/>
      <c r="AZ239" s="65"/>
      <c r="BA239" s="10"/>
      <c r="BB239" s="14"/>
      <c r="BC239" s="10"/>
      <c r="BD239" s="71"/>
      <c r="BF239" s="10"/>
      <c r="BG239" s="11"/>
      <c r="BH239" s="14"/>
      <c r="BI239" s="10"/>
      <c r="BJ239" s="71"/>
      <c r="BL239" s="10"/>
      <c r="BN239" s="14"/>
      <c r="BO239" s="10"/>
      <c r="BP239" s="71"/>
      <c r="BQ239" s="71"/>
    </row>
    <row r="240" spans="1:69" ht="18">
      <c r="A240" s="155" t="s">
        <v>223</v>
      </c>
      <c r="D240" s="49"/>
      <c r="F240" s="8" t="s">
        <v>191</v>
      </c>
      <c r="G240" s="51">
        <v>-201969</v>
      </c>
      <c r="H240" s="52" t="e">
        <f>+G240-#REF!</f>
        <v>#REF!</v>
      </c>
      <c r="J240" s="49"/>
      <c r="K240" s="49"/>
      <c r="L240" s="8"/>
      <c r="M240" s="49"/>
      <c r="N240" s="8">
        <v>37</v>
      </c>
      <c r="O240" s="73">
        <v>-186821</v>
      </c>
      <c r="Q240" s="49"/>
      <c r="R240" s="8">
        <v>37</v>
      </c>
      <c r="S240" s="73">
        <v>-186821</v>
      </c>
      <c r="T240" s="57">
        <f>+S240-O240</f>
        <v>0</v>
      </c>
      <c r="V240" s="51"/>
      <c r="W240" s="49"/>
      <c r="X240" s="14">
        <v>37</v>
      </c>
      <c r="Y240" s="10">
        <v>-186821</v>
      </c>
      <c r="AA240" s="49"/>
      <c r="AB240" s="14">
        <v>37</v>
      </c>
      <c r="AC240" s="10">
        <v>-186821</v>
      </c>
      <c r="AD240" s="60">
        <f>+AC240-Y240</f>
        <v>0</v>
      </c>
      <c r="AF240" s="51"/>
      <c r="AG240" s="49"/>
      <c r="AH240" s="14">
        <v>37</v>
      </c>
      <c r="AI240" s="10">
        <v>-186821</v>
      </c>
      <c r="AK240" s="51"/>
      <c r="AL240" s="14">
        <v>37</v>
      </c>
      <c r="AM240" s="10">
        <v>-186821</v>
      </c>
      <c r="AN240" s="60">
        <f>+AM240-AI240</f>
        <v>0</v>
      </c>
      <c r="AP240" s="10"/>
      <c r="AQ240" s="11"/>
      <c r="AR240" s="65"/>
      <c r="AS240" s="10"/>
      <c r="AT240" s="14">
        <v>37</v>
      </c>
      <c r="AU240" s="10">
        <v>-186821</v>
      </c>
      <c r="AV240" s="10">
        <f t="shared" ref="AV240" si="209">+AU240-AM240</f>
        <v>0</v>
      </c>
      <c r="AX240" s="10"/>
      <c r="AY240" s="11"/>
      <c r="AZ240" s="65"/>
      <c r="BA240" s="10"/>
      <c r="BB240" s="14">
        <v>37</v>
      </c>
      <c r="BC240" s="10">
        <v>-186821</v>
      </c>
      <c r="BD240" s="10">
        <f t="shared" ref="BD240" si="210">+BC240-AU240</f>
        <v>0</v>
      </c>
      <c r="BF240" s="10"/>
      <c r="BG240" s="11"/>
      <c r="BH240" s="14">
        <v>81</v>
      </c>
      <c r="BI240" s="10">
        <v>-186821</v>
      </c>
      <c r="BJ240" s="10">
        <f t="shared" ref="BJ240" si="211">+BI240-BC240</f>
        <v>0</v>
      </c>
      <c r="BL240" s="10"/>
      <c r="BN240" s="14" t="s">
        <v>191</v>
      </c>
      <c r="BO240" s="10">
        <v>-186821</v>
      </c>
      <c r="BP240" s="10">
        <f t="shared" ref="BP240" si="212">+BO240-BI240</f>
        <v>0</v>
      </c>
      <c r="BQ240" s="10"/>
    </row>
    <row r="241" spans="1:69" ht="18">
      <c r="A241" s="151"/>
      <c r="D241" s="49"/>
      <c r="F241" s="8"/>
      <c r="G241" s="51"/>
      <c r="H241" s="8"/>
      <c r="J241" s="49"/>
      <c r="K241" s="49"/>
      <c r="L241" s="8"/>
      <c r="M241" s="49"/>
      <c r="N241" s="8"/>
      <c r="O241" s="73"/>
      <c r="Q241" s="49"/>
      <c r="R241" s="8"/>
      <c r="S241" s="73"/>
      <c r="V241" s="51"/>
      <c r="W241" s="49"/>
      <c r="X241" s="8"/>
      <c r="Y241" s="10"/>
      <c r="AA241" s="49"/>
      <c r="AB241" s="8"/>
      <c r="AC241" s="10"/>
      <c r="AD241" s="9"/>
      <c r="AF241" s="51"/>
      <c r="AG241" s="49"/>
      <c r="AH241" s="8"/>
      <c r="AI241" s="10"/>
      <c r="AK241" s="51"/>
      <c r="AL241" s="8"/>
      <c r="AM241" s="10"/>
      <c r="AN241" s="9"/>
      <c r="AP241" s="10"/>
      <c r="AQ241" s="11"/>
      <c r="AR241" s="65"/>
      <c r="AS241" s="10"/>
      <c r="AT241" s="14"/>
      <c r="AU241" s="10"/>
      <c r="AV241" s="71"/>
      <c r="AX241" s="10"/>
      <c r="AY241" s="11"/>
      <c r="AZ241" s="65"/>
      <c r="BA241" s="10"/>
      <c r="BB241" s="14"/>
      <c r="BC241" s="10"/>
      <c r="BD241" s="71"/>
      <c r="BF241" s="10"/>
      <c r="BG241" s="11"/>
      <c r="BH241" s="14"/>
      <c r="BI241" s="10"/>
      <c r="BJ241" s="71"/>
      <c r="BL241" s="10"/>
      <c r="BN241" s="14"/>
      <c r="BO241" s="10"/>
      <c r="BP241" s="71"/>
      <c r="BQ241" s="71"/>
    </row>
    <row r="242" spans="1:69" ht="18">
      <c r="A242" s="151" t="s">
        <v>256</v>
      </c>
      <c r="D242" s="49"/>
      <c r="F242" s="8" t="s">
        <v>194</v>
      </c>
      <c r="G242" s="51"/>
      <c r="H242" s="8"/>
      <c r="J242" s="49"/>
      <c r="K242" s="49"/>
      <c r="L242" s="8"/>
      <c r="M242" s="49"/>
      <c r="N242" s="8"/>
      <c r="O242" s="73"/>
      <c r="Q242" s="49"/>
      <c r="R242" s="8"/>
      <c r="S242" s="73"/>
      <c r="V242" s="51"/>
      <c r="W242" s="49"/>
      <c r="X242" s="8"/>
      <c r="Y242" s="10"/>
      <c r="AA242" s="49"/>
      <c r="AB242" s="8"/>
      <c r="AC242" s="10"/>
      <c r="AD242" s="9"/>
      <c r="AF242" s="51"/>
      <c r="AG242" s="49"/>
      <c r="AH242" s="8"/>
      <c r="AI242" s="10"/>
      <c r="AK242" s="51"/>
      <c r="AL242" s="8"/>
      <c r="AM242" s="10"/>
      <c r="AN242" s="9"/>
      <c r="AP242" s="10"/>
      <c r="AQ242" s="11"/>
      <c r="AR242" s="65"/>
      <c r="AS242" s="10"/>
      <c r="AT242" s="14"/>
      <c r="AU242" s="10"/>
      <c r="AV242" s="71"/>
      <c r="AX242" s="10"/>
      <c r="AY242" s="11"/>
      <c r="AZ242" s="65"/>
      <c r="BA242" s="10"/>
      <c r="BB242" s="14"/>
      <c r="BC242" s="10"/>
      <c r="BD242" s="71"/>
      <c r="BF242" s="10"/>
      <c r="BG242" s="11"/>
      <c r="BH242" s="14"/>
      <c r="BI242" s="10"/>
      <c r="BJ242" s="71"/>
      <c r="BL242" s="10"/>
      <c r="BN242" s="14" t="s">
        <v>194</v>
      </c>
      <c r="BO242" s="10">
        <v>-36623</v>
      </c>
      <c r="BP242" s="71"/>
      <c r="BQ242" s="71"/>
    </row>
    <row r="243" spans="1:69" ht="18">
      <c r="A243" s="151"/>
      <c r="D243" s="49"/>
      <c r="F243" s="8"/>
      <c r="G243" s="51"/>
      <c r="H243" s="8"/>
      <c r="J243" s="49"/>
      <c r="K243" s="49"/>
      <c r="L243" s="8"/>
      <c r="M243" s="49"/>
      <c r="N243" s="8"/>
      <c r="O243" s="73"/>
      <c r="Q243" s="49"/>
      <c r="R243" s="8"/>
      <c r="S243" s="73"/>
      <c r="V243" s="51"/>
      <c r="W243" s="49"/>
      <c r="X243" s="8"/>
      <c r="Y243" s="10"/>
      <c r="AA243" s="49"/>
      <c r="AB243" s="8"/>
      <c r="AC243" s="10"/>
      <c r="AD243" s="9"/>
      <c r="AF243" s="51"/>
      <c r="AG243" s="49"/>
      <c r="AH243" s="8"/>
      <c r="AI243" s="10"/>
      <c r="AK243" s="51"/>
      <c r="AL243" s="8"/>
      <c r="AM243" s="10"/>
      <c r="AN243" s="9"/>
      <c r="AP243" s="10"/>
      <c r="AQ243" s="11"/>
      <c r="AR243" s="65"/>
      <c r="AS243" s="10"/>
      <c r="AT243" s="14"/>
      <c r="AU243" s="10"/>
      <c r="AV243" s="71"/>
      <c r="AX243" s="10"/>
      <c r="AY243" s="11"/>
      <c r="AZ243" s="65"/>
      <c r="BA243" s="10"/>
      <c r="BB243" s="14"/>
      <c r="BC243" s="10"/>
      <c r="BD243" s="71"/>
      <c r="BF243" s="10"/>
      <c r="BG243" s="11"/>
      <c r="BH243" s="14"/>
      <c r="BI243" s="10"/>
      <c r="BJ243" s="71"/>
      <c r="BL243" s="10"/>
      <c r="BN243" s="14"/>
      <c r="BO243" s="10"/>
      <c r="BP243" s="71"/>
      <c r="BQ243" s="71"/>
    </row>
    <row r="244" spans="1:69" ht="18">
      <c r="A244" s="151" t="s">
        <v>197</v>
      </c>
      <c r="D244" s="49"/>
      <c r="F244" s="8"/>
      <c r="G244" s="51">
        <v>-1324253</v>
      </c>
      <c r="H244" s="52" t="e">
        <f>+G244-#REF!</f>
        <v>#REF!</v>
      </c>
      <c r="J244" s="49"/>
      <c r="K244" s="49"/>
      <c r="L244" s="8"/>
      <c r="M244" s="49"/>
      <c r="N244" s="8"/>
      <c r="O244" s="73"/>
      <c r="Q244" s="49"/>
      <c r="R244" s="8"/>
      <c r="S244" s="73"/>
      <c r="V244" s="51"/>
      <c r="W244" s="49"/>
      <c r="X244" s="8"/>
      <c r="Y244" s="10"/>
      <c r="AA244" s="49"/>
      <c r="AB244" s="8"/>
      <c r="AC244" s="10"/>
      <c r="AD244" s="9"/>
      <c r="AF244" s="51"/>
      <c r="AG244" s="49"/>
      <c r="AH244" s="14">
        <v>33</v>
      </c>
      <c r="AI244" s="10">
        <v>-1500000</v>
      </c>
      <c r="AK244" s="51"/>
      <c r="AL244" s="14">
        <v>33</v>
      </c>
      <c r="AM244" s="10">
        <v>-1500000</v>
      </c>
      <c r="AN244" s="9"/>
      <c r="AP244" s="10"/>
      <c r="AQ244" s="11"/>
      <c r="AR244" s="65"/>
      <c r="AS244" s="10"/>
      <c r="AT244" s="14">
        <v>33</v>
      </c>
      <c r="AU244" s="10">
        <v>-1500000</v>
      </c>
      <c r="AV244" s="10">
        <f t="shared" ref="AV244" si="213">+AU244-AM244</f>
        <v>0</v>
      </c>
      <c r="AX244" s="10"/>
      <c r="AY244" s="11"/>
      <c r="AZ244" s="65"/>
      <c r="BA244" s="10"/>
      <c r="BB244" s="14">
        <v>33</v>
      </c>
      <c r="BC244" s="10">
        <v>-1500000</v>
      </c>
      <c r="BD244" s="10">
        <f t="shared" ref="BD244" si="214">+BC244-AU244</f>
        <v>0</v>
      </c>
      <c r="BF244" s="10"/>
      <c r="BG244" s="11"/>
      <c r="BH244" s="14">
        <v>58</v>
      </c>
      <c r="BI244" s="10">
        <v>-1200000</v>
      </c>
      <c r="BJ244" s="10">
        <f t="shared" ref="BJ244" si="215">+BI244-BC244</f>
        <v>300000</v>
      </c>
      <c r="BL244" s="10"/>
      <c r="BN244" s="14">
        <v>20</v>
      </c>
      <c r="BO244" s="10">
        <v>-1350000</v>
      </c>
      <c r="BP244" s="10">
        <f t="shared" ref="BP244" si="216">+BO244-BI244</f>
        <v>-150000</v>
      </c>
      <c r="BQ244" s="10"/>
    </row>
    <row r="245" spans="1:69" ht="18">
      <c r="A245" s="151"/>
      <c r="D245" s="49"/>
      <c r="F245" s="8"/>
      <c r="G245" s="51"/>
      <c r="H245" s="8"/>
      <c r="J245" s="49"/>
      <c r="K245" s="49"/>
      <c r="L245" s="8"/>
      <c r="M245" s="49"/>
      <c r="N245" s="8"/>
      <c r="O245" s="73"/>
      <c r="Q245" s="49"/>
      <c r="R245" s="8"/>
      <c r="S245" s="73"/>
      <c r="V245" s="51"/>
      <c r="W245" s="49"/>
      <c r="X245" s="8"/>
      <c r="Y245" s="10"/>
      <c r="AA245" s="49"/>
      <c r="AB245" s="8"/>
      <c r="AC245" s="10"/>
      <c r="AD245" s="9"/>
      <c r="AF245" s="51"/>
      <c r="AG245" s="49"/>
      <c r="AH245" s="8"/>
      <c r="AI245" s="10"/>
      <c r="AK245" s="51"/>
      <c r="AL245" s="8"/>
      <c r="AM245" s="10"/>
      <c r="AN245" s="9"/>
      <c r="AP245" s="10"/>
      <c r="AQ245" s="11"/>
      <c r="AR245" s="65"/>
      <c r="AS245" s="10"/>
      <c r="AT245" s="14"/>
      <c r="AU245" s="10"/>
      <c r="AV245" s="71"/>
      <c r="AX245" s="10"/>
      <c r="AY245" s="11"/>
      <c r="AZ245" s="65"/>
      <c r="BA245" s="10"/>
      <c r="BB245" s="14"/>
      <c r="BC245" s="10"/>
      <c r="BD245" s="71"/>
      <c r="BF245" s="10"/>
      <c r="BG245" s="11"/>
      <c r="BH245" s="14"/>
      <c r="BI245" s="10"/>
      <c r="BJ245" s="71"/>
      <c r="BL245" s="10"/>
      <c r="BN245" s="14"/>
      <c r="BO245" s="10"/>
      <c r="BP245" s="71"/>
      <c r="BQ245" s="71"/>
    </row>
    <row r="246" spans="1:69" ht="19.5">
      <c r="A246" s="204" t="s">
        <v>177</v>
      </c>
      <c r="D246" s="49"/>
      <c r="F246" s="8"/>
      <c r="G246" s="51"/>
      <c r="H246" s="8"/>
      <c r="J246" s="49"/>
      <c r="K246" s="49"/>
      <c r="L246" s="8"/>
      <c r="M246" s="49"/>
      <c r="N246" s="8"/>
      <c r="O246" s="73"/>
      <c r="Q246" s="49"/>
      <c r="R246" s="8"/>
      <c r="S246" s="73"/>
      <c r="V246" s="51"/>
      <c r="W246" s="49"/>
      <c r="X246" s="8"/>
      <c r="Y246" s="10"/>
      <c r="AA246" s="49"/>
      <c r="AB246" s="8"/>
      <c r="AC246" s="10"/>
      <c r="AD246" s="9"/>
      <c r="AF246" s="51"/>
      <c r="AG246" s="49"/>
      <c r="AH246" s="8"/>
      <c r="AI246" s="10"/>
      <c r="AK246" s="51"/>
      <c r="AL246" s="8"/>
      <c r="AM246" s="10"/>
      <c r="AN246" s="9"/>
      <c r="AP246" s="10"/>
      <c r="AQ246" s="11"/>
      <c r="AR246" s="65"/>
      <c r="AS246" s="10"/>
      <c r="AT246" s="14"/>
      <c r="AU246" s="10"/>
      <c r="AV246" s="71"/>
      <c r="AX246" s="10"/>
      <c r="AY246" s="11"/>
      <c r="AZ246" s="65"/>
      <c r="BA246" s="10"/>
      <c r="BB246" s="14"/>
      <c r="BC246" s="10"/>
      <c r="BD246" s="71"/>
      <c r="BF246" s="10"/>
      <c r="BG246" s="11"/>
      <c r="BH246" s="14"/>
      <c r="BI246" s="10"/>
      <c r="BJ246" s="71"/>
      <c r="BL246" s="10"/>
      <c r="BN246" s="14"/>
      <c r="BO246" s="10"/>
      <c r="BP246" s="71"/>
      <c r="BQ246" s="71"/>
    </row>
    <row r="247" spans="1:69" ht="18">
      <c r="A247" s="151"/>
      <c r="D247" s="49"/>
      <c r="F247" s="8"/>
      <c r="G247" s="51"/>
      <c r="H247" s="8"/>
      <c r="J247" s="49"/>
      <c r="K247" s="49"/>
      <c r="L247" s="8"/>
      <c r="M247" s="49"/>
      <c r="N247" s="8"/>
      <c r="O247" s="73"/>
      <c r="Q247" s="49"/>
      <c r="R247" s="8"/>
      <c r="S247" s="73"/>
      <c r="V247" s="51"/>
      <c r="W247" s="49"/>
      <c r="X247" s="8"/>
      <c r="Y247" s="10"/>
      <c r="AA247" s="49"/>
      <c r="AB247" s="8"/>
      <c r="AC247" s="10"/>
      <c r="AD247" s="9"/>
      <c r="AF247" s="51"/>
      <c r="AG247" s="49"/>
      <c r="AH247" s="8"/>
      <c r="AI247" s="10"/>
      <c r="AK247" s="51"/>
      <c r="AL247" s="8"/>
      <c r="AM247" s="10"/>
      <c r="AN247" s="9"/>
      <c r="AP247" s="10"/>
      <c r="AQ247" s="11"/>
      <c r="AR247" s="65"/>
      <c r="AS247" s="10"/>
      <c r="AT247" s="14"/>
      <c r="AU247" s="10"/>
      <c r="AV247" s="71"/>
      <c r="AX247" s="10"/>
      <c r="AY247" s="11"/>
      <c r="AZ247" s="65"/>
      <c r="BA247" s="10"/>
      <c r="BB247" s="14"/>
      <c r="BC247" s="10"/>
      <c r="BD247" s="71"/>
      <c r="BF247" s="10"/>
      <c r="BG247" s="11"/>
      <c r="BH247" s="14"/>
      <c r="BI247" s="10"/>
      <c r="BJ247" s="71"/>
      <c r="BL247" s="10"/>
      <c r="BN247" s="14"/>
      <c r="BO247" s="10"/>
      <c r="BP247" s="71"/>
      <c r="BQ247" s="71"/>
    </row>
    <row r="248" spans="1:69" ht="18">
      <c r="A248" s="151" t="s">
        <v>255</v>
      </c>
      <c r="D248" s="49"/>
      <c r="F248" s="8">
        <v>9</v>
      </c>
      <c r="G248" s="51">
        <v>-38329</v>
      </c>
      <c r="H248" s="52" t="e">
        <f>+G248-#REF!</f>
        <v>#REF!</v>
      </c>
      <c r="J248" s="49"/>
      <c r="K248" s="49"/>
      <c r="L248" s="8"/>
      <c r="M248" s="49"/>
      <c r="N248" s="62">
        <v>33</v>
      </c>
      <c r="O248" s="73">
        <v>50000</v>
      </c>
      <c r="Q248" s="49"/>
      <c r="R248" s="62">
        <v>33</v>
      </c>
      <c r="S248" s="73">
        <v>50000</v>
      </c>
      <c r="T248" s="57">
        <f>+S248-O248</f>
        <v>0</v>
      </c>
      <c r="V248" s="51"/>
      <c r="W248" s="49"/>
      <c r="X248" s="62">
        <v>33</v>
      </c>
      <c r="Y248" s="10">
        <v>50000</v>
      </c>
      <c r="AA248" s="49"/>
      <c r="AB248" s="62">
        <v>33</v>
      </c>
      <c r="AC248" s="10">
        <v>50000</v>
      </c>
      <c r="AD248" s="60">
        <f>+AC248-Y248</f>
        <v>0</v>
      </c>
      <c r="AF248" s="51"/>
      <c r="AG248" s="49"/>
      <c r="AH248" s="62">
        <v>33</v>
      </c>
      <c r="AI248" s="10">
        <v>-40000</v>
      </c>
      <c r="AK248" s="51"/>
      <c r="AL248" s="62">
        <v>33</v>
      </c>
      <c r="AM248" s="10">
        <v>-40000</v>
      </c>
      <c r="AN248" s="60">
        <f>+AM248-AI248</f>
        <v>0</v>
      </c>
      <c r="AP248" s="10"/>
      <c r="AQ248" s="11"/>
      <c r="AR248" s="65"/>
      <c r="AS248" s="10"/>
      <c r="AT248" s="62">
        <v>33</v>
      </c>
      <c r="AU248" s="10">
        <v>-40000</v>
      </c>
      <c r="AV248" s="10">
        <f t="shared" ref="AV248" si="217">+AU248-AM248</f>
        <v>0</v>
      </c>
      <c r="AX248" s="10"/>
      <c r="AY248" s="11"/>
      <c r="AZ248" s="65"/>
      <c r="BA248" s="10"/>
      <c r="BB248" s="62">
        <v>33</v>
      </c>
      <c r="BC248" s="10">
        <v>-40000</v>
      </c>
      <c r="BD248" s="10">
        <f t="shared" ref="BD248" si="218">+BC248-AU248</f>
        <v>0</v>
      </c>
      <c r="BF248" s="10"/>
      <c r="BG248" s="11"/>
      <c r="BH248" s="62">
        <v>58</v>
      </c>
      <c r="BI248" s="10">
        <v>-40000</v>
      </c>
      <c r="BJ248" s="10">
        <f t="shared" ref="BJ248" si="219">+BI248-BC248</f>
        <v>0</v>
      </c>
      <c r="BL248" s="10"/>
      <c r="BN248" s="14">
        <v>16</v>
      </c>
      <c r="BO248" s="10">
        <v>37898</v>
      </c>
      <c r="BP248" s="10">
        <f t="shared" ref="BP248" si="220">+BO248-BI248</f>
        <v>77898</v>
      </c>
      <c r="BQ248" s="10"/>
    </row>
    <row r="249" spans="1:69" ht="18">
      <c r="A249" s="151"/>
      <c r="D249" s="49"/>
      <c r="F249" s="8"/>
      <c r="G249" s="51"/>
      <c r="H249" s="8"/>
      <c r="J249" s="49"/>
      <c r="K249" s="49"/>
      <c r="L249" s="8"/>
      <c r="M249" s="49"/>
      <c r="N249" s="8"/>
      <c r="O249" s="73"/>
      <c r="Q249" s="49"/>
      <c r="R249" s="8"/>
      <c r="S249" s="73"/>
      <c r="V249" s="51"/>
      <c r="W249" s="49"/>
      <c r="X249" s="8"/>
      <c r="Y249" s="10"/>
      <c r="AA249" s="49"/>
      <c r="AB249" s="8"/>
      <c r="AC249" s="10"/>
      <c r="AD249" s="9"/>
      <c r="AF249" s="51"/>
      <c r="AG249" s="49"/>
      <c r="AH249" s="8"/>
      <c r="AI249" s="10"/>
      <c r="AK249" s="51"/>
      <c r="AL249" s="8"/>
      <c r="AM249" s="10"/>
      <c r="AN249" s="9"/>
      <c r="AP249" s="10"/>
      <c r="AQ249" s="11"/>
      <c r="AR249" s="65"/>
      <c r="AS249" s="10"/>
      <c r="AT249" s="14"/>
      <c r="AU249" s="10"/>
      <c r="AV249" s="71"/>
      <c r="AX249" s="10"/>
      <c r="AY249" s="11"/>
      <c r="AZ249" s="65"/>
      <c r="BA249" s="10"/>
      <c r="BB249" s="14"/>
      <c r="BC249" s="10"/>
      <c r="BD249" s="71"/>
      <c r="BF249" s="10"/>
      <c r="BG249" s="11"/>
      <c r="BH249" s="14"/>
      <c r="BI249" s="10"/>
      <c r="BJ249" s="71"/>
      <c r="BL249" s="10"/>
      <c r="BN249" s="14"/>
      <c r="BO249" s="10"/>
      <c r="BP249" s="71"/>
      <c r="BQ249" s="71"/>
    </row>
    <row r="250" spans="1:69" ht="18">
      <c r="A250" s="155" t="s">
        <v>231</v>
      </c>
      <c r="D250" s="49"/>
      <c r="F250" s="8">
        <v>7</v>
      </c>
      <c r="G250" s="51">
        <v>0</v>
      </c>
      <c r="H250" s="8"/>
      <c r="J250" s="49"/>
      <c r="K250" s="49"/>
      <c r="L250" s="8"/>
      <c r="M250" s="49"/>
      <c r="N250" s="8"/>
      <c r="O250" s="73"/>
      <c r="Q250" s="49"/>
      <c r="R250" s="8"/>
      <c r="S250" s="73"/>
      <c r="V250" s="51"/>
      <c r="W250" s="49"/>
      <c r="X250" s="8"/>
      <c r="Y250" s="10"/>
      <c r="AA250" s="49"/>
      <c r="AB250" s="8"/>
      <c r="AC250" s="10"/>
      <c r="AD250" s="9"/>
      <c r="AF250" s="51"/>
      <c r="AG250" s="49"/>
      <c r="AH250" s="8"/>
      <c r="AI250" s="10"/>
      <c r="AK250" s="51"/>
      <c r="AL250" s="8"/>
      <c r="AM250" s="10"/>
      <c r="AN250" s="9"/>
      <c r="AP250" s="10"/>
      <c r="AQ250" s="11"/>
      <c r="AR250" s="65"/>
      <c r="AS250" s="10"/>
      <c r="AT250" s="14"/>
      <c r="AU250" s="10"/>
      <c r="AV250" s="71"/>
      <c r="AX250" s="10"/>
      <c r="AY250" s="11"/>
      <c r="AZ250" s="65"/>
      <c r="BA250" s="10"/>
      <c r="BB250" s="14"/>
      <c r="BC250" s="10"/>
      <c r="BD250" s="71"/>
      <c r="BF250" s="10"/>
      <c r="BG250" s="11"/>
      <c r="BH250" s="14"/>
      <c r="BI250" s="10"/>
      <c r="BJ250" s="71"/>
      <c r="BL250" s="10"/>
      <c r="BN250" s="14"/>
      <c r="BO250" s="10"/>
      <c r="BP250" s="71"/>
      <c r="BQ250" s="71"/>
    </row>
    <row r="251" spans="1:69" ht="18">
      <c r="A251" s="151"/>
      <c r="D251" s="49"/>
      <c r="F251" s="8"/>
      <c r="G251" s="51"/>
      <c r="H251" s="8"/>
      <c r="J251" s="49"/>
      <c r="K251" s="49"/>
      <c r="L251" s="8"/>
      <c r="M251" s="49"/>
      <c r="N251" s="8"/>
      <c r="O251" s="73"/>
      <c r="Q251" s="49"/>
      <c r="R251" s="8"/>
      <c r="S251" s="73"/>
      <c r="V251" s="51"/>
      <c r="W251" s="49"/>
      <c r="X251" s="8"/>
      <c r="Y251" s="10"/>
      <c r="AA251" s="49"/>
      <c r="AB251" s="8"/>
      <c r="AC251" s="10"/>
      <c r="AD251" s="9"/>
      <c r="AF251" s="51"/>
      <c r="AG251" s="49"/>
      <c r="AH251" s="8"/>
      <c r="AI251" s="10"/>
      <c r="AK251" s="51"/>
      <c r="AL251" s="8"/>
      <c r="AM251" s="10"/>
      <c r="AN251" s="9"/>
      <c r="AP251" s="10"/>
      <c r="AQ251" s="11"/>
      <c r="AR251" s="65"/>
      <c r="AS251" s="10"/>
      <c r="AT251" s="14"/>
      <c r="AU251" s="10"/>
      <c r="AV251" s="71"/>
      <c r="AX251" s="10"/>
      <c r="AY251" s="11"/>
      <c r="AZ251" s="65"/>
      <c r="BA251" s="10"/>
      <c r="BB251" s="14"/>
      <c r="BC251" s="10"/>
      <c r="BD251" s="71"/>
      <c r="BF251" s="10"/>
      <c r="BG251" s="11"/>
      <c r="BH251" s="14"/>
      <c r="BI251" s="10"/>
      <c r="BJ251" s="71"/>
      <c r="BL251" s="10"/>
      <c r="BN251" s="14"/>
      <c r="BO251" s="10"/>
      <c r="BP251" s="71"/>
      <c r="BQ251" s="71"/>
    </row>
    <row r="252" spans="1:69" ht="18">
      <c r="A252" s="151" t="s">
        <v>230</v>
      </c>
      <c r="D252" s="49"/>
      <c r="F252" s="8">
        <v>9</v>
      </c>
      <c r="G252" s="51">
        <v>51265821</v>
      </c>
      <c r="H252" s="52" t="e">
        <f>+G252-#REF!</f>
        <v>#REF!</v>
      </c>
      <c r="J252" s="49"/>
      <c r="K252" s="49"/>
      <c r="L252" s="8"/>
      <c r="M252" s="49"/>
      <c r="N252" s="62">
        <v>33</v>
      </c>
      <c r="O252" s="73">
        <v>-5100000</v>
      </c>
      <c r="Q252" s="49"/>
      <c r="R252" s="62">
        <v>33</v>
      </c>
      <c r="S252" s="73">
        <v>-5100000</v>
      </c>
      <c r="T252" s="57">
        <f>+S252-O252</f>
        <v>0</v>
      </c>
      <c r="V252" s="51"/>
      <c r="W252" s="49"/>
      <c r="X252" s="62">
        <v>33</v>
      </c>
      <c r="Y252" s="10">
        <v>-5100000</v>
      </c>
      <c r="AA252" s="49"/>
      <c r="AB252" s="62">
        <v>33</v>
      </c>
      <c r="AC252" s="10">
        <v>-5100000</v>
      </c>
      <c r="AD252" s="60">
        <f>+AC252-Y252</f>
        <v>0</v>
      </c>
      <c r="AF252" s="51"/>
      <c r="AG252" s="49"/>
      <c r="AH252" s="62">
        <v>33</v>
      </c>
      <c r="AI252" s="10">
        <v>-5500000</v>
      </c>
      <c r="AK252" s="51"/>
      <c r="AL252" s="62">
        <v>33</v>
      </c>
      <c r="AM252" s="10">
        <v>-5500000</v>
      </c>
      <c r="AN252" s="60">
        <f>+AM252-AI252</f>
        <v>0</v>
      </c>
      <c r="AP252" s="10"/>
      <c r="AQ252" s="11"/>
      <c r="AR252" s="65"/>
      <c r="AS252" s="10"/>
      <c r="AT252" s="62">
        <v>33</v>
      </c>
      <c r="AU252" s="10">
        <v>85300000</v>
      </c>
      <c r="AV252" s="10">
        <f t="shared" ref="AV252" si="221">+AU252-AM252</f>
        <v>90800000</v>
      </c>
      <c r="AX252" s="10"/>
      <c r="AY252" s="11"/>
      <c r="AZ252" s="65"/>
      <c r="BA252" s="10"/>
      <c r="BB252" s="62">
        <v>33</v>
      </c>
      <c r="BC252" s="10">
        <v>85300000</v>
      </c>
      <c r="BD252" s="10">
        <f t="shared" ref="BD252" si="222">+BC252-AU252</f>
        <v>0</v>
      </c>
      <c r="BF252" s="10"/>
      <c r="BG252" s="11"/>
      <c r="BH252" s="62">
        <v>58</v>
      </c>
      <c r="BI252" s="10">
        <v>85000000</v>
      </c>
      <c r="BJ252" s="10">
        <f t="shared" ref="BJ252:BJ254" si="223">+BI252-BC252</f>
        <v>-300000</v>
      </c>
      <c r="BL252" s="10"/>
      <c r="BN252" s="14">
        <v>16</v>
      </c>
      <c r="BO252" s="10">
        <v>74998796</v>
      </c>
      <c r="BP252" s="10">
        <f t="shared" ref="BP252:BP257" si="224">+BO252-BI252</f>
        <v>-10001204</v>
      </c>
      <c r="BQ252" s="10"/>
    </row>
    <row r="253" spans="1:69" ht="18">
      <c r="A253" s="151"/>
      <c r="D253" s="49"/>
      <c r="F253" s="8"/>
      <c r="G253" s="51"/>
      <c r="H253" s="8"/>
      <c r="J253" s="49"/>
      <c r="K253" s="49"/>
      <c r="L253" s="8"/>
      <c r="M253" s="49"/>
      <c r="N253" s="8"/>
      <c r="O253" s="73"/>
      <c r="Q253" s="49"/>
      <c r="R253" s="8"/>
      <c r="S253" s="73"/>
      <c r="V253" s="51"/>
      <c r="W253" s="49"/>
      <c r="X253" s="8"/>
      <c r="Y253" s="10"/>
      <c r="AA253" s="49"/>
      <c r="AB253" s="8"/>
      <c r="AC253" s="10"/>
      <c r="AD253" s="9"/>
      <c r="AF253" s="51"/>
      <c r="AG253" s="49"/>
      <c r="AH253" s="8"/>
      <c r="AI253" s="10"/>
      <c r="AK253" s="51"/>
      <c r="AL253" s="8"/>
      <c r="AM253" s="10"/>
      <c r="AN253" s="9"/>
      <c r="AP253" s="10"/>
      <c r="AQ253" s="11"/>
      <c r="AR253" s="65"/>
      <c r="AS253" s="10"/>
      <c r="AT253" s="14"/>
      <c r="AU253" s="10"/>
      <c r="AV253" s="71"/>
      <c r="AX253" s="10"/>
      <c r="AY253" s="11"/>
      <c r="AZ253" s="65"/>
      <c r="BA253" s="10"/>
      <c r="BB253" s="14"/>
      <c r="BC253" s="10">
        <v>-17009870</v>
      </c>
      <c r="BD253" s="71"/>
      <c r="BF253" s="10"/>
      <c r="BG253" s="11"/>
      <c r="BH253" s="14"/>
      <c r="BI253" s="10"/>
      <c r="BJ253" s="10">
        <f t="shared" si="223"/>
        <v>17009870</v>
      </c>
      <c r="BL253" s="10"/>
      <c r="BN253" s="14"/>
      <c r="BO253" s="10"/>
      <c r="BP253" s="10">
        <f t="shared" si="224"/>
        <v>0</v>
      </c>
      <c r="BQ253" s="10"/>
    </row>
    <row r="254" spans="1:69" ht="18">
      <c r="A254" s="151" t="s">
        <v>257</v>
      </c>
      <c r="D254" s="49"/>
      <c r="F254" s="8">
        <v>9</v>
      </c>
      <c r="G254" s="51">
        <v>-1742574</v>
      </c>
      <c r="H254" s="52" t="e">
        <f>+G254-#REF!</f>
        <v>#REF!</v>
      </c>
      <c r="J254" s="49"/>
      <c r="K254" s="49"/>
      <c r="L254" s="8"/>
      <c r="M254" s="49"/>
      <c r="N254" s="62">
        <v>33</v>
      </c>
      <c r="O254" s="73">
        <v>-580000</v>
      </c>
      <c r="Q254" s="49"/>
      <c r="R254" s="62">
        <v>33</v>
      </c>
      <c r="S254" s="73">
        <v>-580000</v>
      </c>
      <c r="T254" s="57">
        <f>+S254-O254</f>
        <v>0</v>
      </c>
      <c r="V254" s="51"/>
      <c r="W254" s="49"/>
      <c r="X254" s="62">
        <v>33</v>
      </c>
      <c r="Y254" s="10">
        <v>-580000</v>
      </c>
      <c r="AA254" s="49"/>
      <c r="AB254" s="62">
        <v>33</v>
      </c>
      <c r="AC254" s="10">
        <v>-580000</v>
      </c>
      <c r="AD254" s="60">
        <f>+AC254-Y254</f>
        <v>0</v>
      </c>
      <c r="AF254" s="51"/>
      <c r="AG254" s="49"/>
      <c r="AH254" s="62">
        <v>33</v>
      </c>
      <c r="AI254" s="10">
        <v>-580000</v>
      </c>
      <c r="AK254" s="51"/>
      <c r="AL254" s="62">
        <v>33</v>
      </c>
      <c r="AM254" s="10">
        <v>-580000</v>
      </c>
      <c r="AN254" s="60">
        <f>+AM254-AI254</f>
        <v>0</v>
      </c>
      <c r="AP254" s="10"/>
      <c r="AQ254" s="11"/>
      <c r="AR254" s="65"/>
      <c r="AS254" s="10"/>
      <c r="AT254" s="62">
        <v>33</v>
      </c>
      <c r="AU254" s="10">
        <v>-580000</v>
      </c>
      <c r="AV254" s="10">
        <f t="shared" ref="AV254" si="225">+AU254-AM254</f>
        <v>0</v>
      </c>
      <c r="AX254" s="10"/>
      <c r="AY254" s="11"/>
      <c r="AZ254" s="65"/>
      <c r="BA254" s="10"/>
      <c r="BB254" s="62">
        <v>33</v>
      </c>
      <c r="BC254" s="10">
        <v>-580000</v>
      </c>
      <c r="BD254" s="10">
        <f t="shared" ref="BD254" si="226">+BC254-AU254</f>
        <v>0</v>
      </c>
      <c r="BF254" s="10"/>
      <c r="BG254" s="11"/>
      <c r="BH254" s="62">
        <v>58</v>
      </c>
      <c r="BI254" s="10">
        <v>-400000</v>
      </c>
      <c r="BJ254" s="10">
        <f t="shared" si="223"/>
        <v>180000</v>
      </c>
      <c r="BL254" s="10"/>
      <c r="BN254" s="14">
        <v>16</v>
      </c>
      <c r="BO254" s="10">
        <v>-1239695</v>
      </c>
      <c r="BP254" s="10">
        <f t="shared" si="224"/>
        <v>-839695</v>
      </c>
      <c r="BQ254" s="10"/>
    </row>
    <row r="255" spans="1:69" ht="18">
      <c r="A255" s="151"/>
      <c r="D255" s="49"/>
      <c r="F255" s="8"/>
      <c r="G255" s="51"/>
      <c r="H255" s="52"/>
      <c r="J255" s="49"/>
      <c r="K255" s="49"/>
      <c r="L255" s="8"/>
      <c r="M255" s="49"/>
      <c r="N255" s="62"/>
      <c r="O255" s="73"/>
      <c r="Q255" s="49"/>
      <c r="R255" s="62"/>
      <c r="S255" s="73"/>
      <c r="T255" s="57"/>
      <c r="V255" s="51"/>
      <c r="W255" s="49"/>
      <c r="X255" s="62"/>
      <c r="Y255" s="10"/>
      <c r="AA255" s="49"/>
      <c r="AB255" s="62"/>
      <c r="AC255" s="10"/>
      <c r="AD255" s="60"/>
      <c r="AF255" s="51"/>
      <c r="AG255" s="49"/>
      <c r="AH255" s="62"/>
      <c r="AI255" s="10"/>
      <c r="AK255" s="51"/>
      <c r="AL255" s="62"/>
      <c r="AM255" s="10"/>
      <c r="AN255" s="60"/>
      <c r="AP255" s="10"/>
      <c r="AQ255" s="11"/>
      <c r="AR255" s="65"/>
      <c r="AS255" s="10"/>
      <c r="AT255" s="62"/>
      <c r="AU255" s="10"/>
      <c r="AV255" s="10"/>
      <c r="AX255" s="10"/>
      <c r="AY255" s="11"/>
      <c r="AZ255" s="65"/>
      <c r="BA255" s="10"/>
      <c r="BB255" s="62"/>
      <c r="BC255" s="10"/>
      <c r="BD255" s="10"/>
      <c r="BF255" s="10"/>
      <c r="BG255" s="11"/>
      <c r="BH255" s="62"/>
      <c r="BI255" s="10"/>
      <c r="BJ255" s="10"/>
      <c r="BL255" s="10"/>
      <c r="BN255" s="14">
        <v>16</v>
      </c>
      <c r="BO255" s="10"/>
      <c r="BP255" s="10"/>
      <c r="BQ255" s="10"/>
    </row>
    <row r="256" spans="1:69" ht="18.75" thickBot="1">
      <c r="A256" s="151" t="s">
        <v>233</v>
      </c>
      <c r="D256" s="49"/>
      <c r="F256" s="8"/>
      <c r="G256" s="126"/>
      <c r="H256" s="125"/>
      <c r="J256" s="49"/>
      <c r="K256" s="49"/>
      <c r="L256" s="8"/>
      <c r="M256" s="49"/>
      <c r="N256" s="8"/>
      <c r="O256" s="124"/>
      <c r="Q256" s="49"/>
      <c r="R256" s="8"/>
      <c r="S256" s="124"/>
      <c r="T256" s="170"/>
      <c r="V256" s="51"/>
      <c r="W256" s="49"/>
      <c r="X256" s="8"/>
      <c r="Y256" s="126"/>
      <c r="AA256" s="49"/>
      <c r="AB256" s="8"/>
      <c r="AC256" s="126"/>
      <c r="AD256" s="171"/>
      <c r="AF256" s="51"/>
      <c r="AG256" s="49"/>
      <c r="AH256" s="8"/>
      <c r="AI256" s="126"/>
      <c r="AK256" s="51"/>
      <c r="AL256" s="8"/>
      <c r="AM256" s="126"/>
      <c r="AN256" s="171"/>
      <c r="AP256" s="10"/>
      <c r="AQ256" s="11"/>
      <c r="AR256" s="65"/>
      <c r="AS256" s="10"/>
      <c r="AT256" s="14"/>
      <c r="AU256" s="126"/>
      <c r="AV256" s="172"/>
      <c r="AX256" s="10"/>
      <c r="AY256" s="11"/>
      <c r="AZ256" s="65"/>
      <c r="BA256" s="10"/>
      <c r="BB256" s="14"/>
      <c r="BC256" s="126"/>
      <c r="BD256" s="172"/>
      <c r="BF256" s="10"/>
      <c r="BG256" s="11"/>
      <c r="BH256" s="14"/>
      <c r="BI256" s="126"/>
      <c r="BJ256" s="172"/>
      <c r="BL256" s="10"/>
      <c r="BN256" s="67">
        <f>SUM(BO248:BO256)</f>
        <v>71764279</v>
      </c>
      <c r="BO256" s="126">
        <v>-2032720</v>
      </c>
      <c r="BP256" s="10">
        <f t="shared" si="224"/>
        <v>-2032720</v>
      </c>
      <c r="BQ256" s="10"/>
    </row>
    <row r="257" spans="1:69" ht="18">
      <c r="A257" s="151" t="s">
        <v>198</v>
      </c>
      <c r="D257" s="49"/>
      <c r="F257" s="8"/>
      <c r="G257" s="207">
        <f>SUM(G226:G256)</f>
        <v>208491809</v>
      </c>
      <c r="H257" s="208" t="e">
        <f>SUM(H226:H256)</f>
        <v>#REF!</v>
      </c>
      <c r="J257" s="49"/>
      <c r="K257" s="49"/>
      <c r="L257" s="8"/>
      <c r="M257" s="49"/>
      <c r="N257" s="8"/>
      <c r="O257" s="209">
        <f>SUM(O226:O256)</f>
        <v>100801942</v>
      </c>
      <c r="Q257" s="49"/>
      <c r="R257" s="8"/>
      <c r="S257" s="209">
        <f>SUM(S226:S256)</f>
        <v>142870256</v>
      </c>
      <c r="T257" s="57">
        <f>+S257-O257</f>
        <v>42068314</v>
      </c>
      <c r="V257" s="51"/>
      <c r="W257" s="49"/>
      <c r="X257" s="8"/>
      <c r="Y257" s="207">
        <f>SUM(Y226:Y256)</f>
        <v>73323316</v>
      </c>
      <c r="AA257" s="49"/>
      <c r="AB257" s="8"/>
      <c r="AC257" s="207">
        <f>SUM(AC226:AC256)</f>
        <v>112444273</v>
      </c>
      <c r="AD257" s="60">
        <f>+AC257-Y257</f>
        <v>39120957</v>
      </c>
      <c r="AF257" s="51"/>
      <c r="AG257" s="49"/>
      <c r="AH257" s="8"/>
      <c r="AI257" s="207">
        <f>SUM(AI226:AI256)</f>
        <v>96218422</v>
      </c>
      <c r="AK257" s="51"/>
      <c r="AL257" s="8"/>
      <c r="AM257" s="207">
        <f>SUM(AM226:AM256)</f>
        <v>121184626</v>
      </c>
      <c r="AN257" s="60">
        <f>+AM257-AI257</f>
        <v>24966204</v>
      </c>
      <c r="AP257" s="10"/>
      <c r="AQ257" s="11"/>
      <c r="AR257" s="65"/>
      <c r="AS257" s="10"/>
      <c r="AT257" s="14"/>
      <c r="AU257" s="207">
        <f>SUM(AU226:AU256)</f>
        <v>48711327.799999982</v>
      </c>
      <c r="AV257" s="10">
        <f t="shared" ref="AV257" si="227">+AU257-AM257</f>
        <v>-72473298.200000018</v>
      </c>
      <c r="AX257" s="10"/>
      <c r="AY257" s="11"/>
      <c r="AZ257" s="65"/>
      <c r="BA257" s="10"/>
      <c r="BB257" s="14"/>
      <c r="BC257" s="207">
        <f>SUM(BC226:BC256)</f>
        <v>43632555.399999976</v>
      </c>
      <c r="BD257" s="10">
        <f t="shared" ref="BD257" si="228">+BC257-AU257</f>
        <v>-5078772.400000006</v>
      </c>
      <c r="BF257" s="10"/>
      <c r="BG257" s="11"/>
      <c r="BH257" s="14"/>
      <c r="BI257" s="207">
        <f>SUM(BI226:BI256)</f>
        <v>64641236</v>
      </c>
      <c r="BJ257" s="10">
        <f t="shared" ref="BJ257" si="229">+BI257-BC257</f>
        <v>21008680.600000024</v>
      </c>
      <c r="BL257" s="10"/>
      <c r="BN257" s="14"/>
      <c r="BO257" s="207">
        <f>SUM(BO226:BO256)</f>
        <v>59627995</v>
      </c>
      <c r="BP257" s="10">
        <f t="shared" si="224"/>
        <v>-5013241</v>
      </c>
      <c r="BQ257" s="10"/>
    </row>
    <row r="258" spans="1:69" ht="18">
      <c r="A258" s="151"/>
      <c r="D258" s="49"/>
      <c r="F258" s="8"/>
      <c r="G258" s="59"/>
      <c r="H258" s="55"/>
      <c r="J258" s="49"/>
      <c r="K258" s="49"/>
      <c r="L258" s="8"/>
      <c r="M258" s="49"/>
      <c r="N258" s="8"/>
      <c r="O258" s="73"/>
      <c r="Q258" s="49"/>
      <c r="R258" s="8"/>
      <c r="S258" s="73"/>
      <c r="V258" s="51"/>
      <c r="W258" s="49"/>
      <c r="X258" s="8"/>
      <c r="Y258" s="10"/>
      <c r="AA258" s="49"/>
      <c r="AB258" s="8"/>
      <c r="AC258" s="10"/>
      <c r="AD258" s="9"/>
      <c r="AF258" s="51"/>
      <c r="AG258" s="49"/>
      <c r="AH258" s="8"/>
      <c r="AI258" s="10"/>
      <c r="AK258" s="51"/>
      <c r="AL258" s="8"/>
      <c r="AM258" s="10"/>
      <c r="AN258" s="9"/>
      <c r="AP258" s="10"/>
      <c r="AQ258" s="11"/>
      <c r="AR258" s="65"/>
      <c r="AS258" s="10"/>
      <c r="AT258" s="14"/>
      <c r="AU258" s="10"/>
      <c r="AV258" s="71"/>
      <c r="AX258" s="10"/>
      <c r="AY258" s="11"/>
      <c r="AZ258" s="65"/>
      <c r="BA258" s="10"/>
      <c r="BB258" s="14"/>
      <c r="BC258" s="10"/>
      <c r="BD258" s="71"/>
      <c r="BF258" s="10"/>
      <c r="BG258" s="11"/>
      <c r="BH258" s="14"/>
      <c r="BI258" s="10"/>
      <c r="BJ258" s="71"/>
      <c r="BL258" s="10"/>
      <c r="BN258" s="14"/>
      <c r="BO258" s="10"/>
      <c r="BP258" s="71"/>
      <c r="BQ258" s="71"/>
    </row>
    <row r="259" spans="1:69" ht="18">
      <c r="A259" s="151" t="s">
        <v>258</v>
      </c>
      <c r="D259" s="49"/>
      <c r="F259" s="8"/>
      <c r="G259" s="59"/>
      <c r="H259" s="55"/>
      <c r="J259" s="49"/>
      <c r="K259" s="49"/>
      <c r="L259" s="8"/>
      <c r="M259" s="49"/>
      <c r="N259" s="8"/>
      <c r="O259" s="73"/>
      <c r="Q259" s="49"/>
      <c r="R259" s="8"/>
      <c r="S259" s="73"/>
      <c r="V259" s="51"/>
      <c r="W259" s="49"/>
      <c r="X259" s="8"/>
      <c r="Y259" s="10"/>
      <c r="AA259" s="49"/>
      <c r="AB259" s="8"/>
      <c r="AC259" s="10"/>
      <c r="AD259" s="9"/>
      <c r="AF259" s="51"/>
      <c r="AG259" s="49"/>
      <c r="AH259" s="8"/>
      <c r="AI259" s="10"/>
      <c r="AK259" s="51"/>
      <c r="AL259" s="8"/>
      <c r="AM259" s="10"/>
      <c r="AN259" s="9"/>
      <c r="AP259" s="10"/>
      <c r="AQ259" s="11"/>
      <c r="AR259" s="65"/>
      <c r="AS259" s="10"/>
      <c r="AT259" s="14"/>
      <c r="AU259" s="10"/>
      <c r="AV259" s="71"/>
      <c r="AX259" s="10"/>
      <c r="AY259" s="11"/>
      <c r="AZ259" s="65"/>
      <c r="BA259" s="10"/>
      <c r="BB259" s="14"/>
      <c r="BC259" s="10"/>
      <c r="BD259" s="71"/>
      <c r="BF259" s="10"/>
      <c r="BG259" s="11"/>
      <c r="BH259" s="14"/>
      <c r="BI259" s="10"/>
      <c r="BJ259" s="71"/>
      <c r="BL259" s="10"/>
      <c r="BN259" s="14"/>
      <c r="BO259" s="10"/>
      <c r="BP259" s="71"/>
      <c r="BQ259" s="71"/>
    </row>
    <row r="260" spans="1:69" ht="18">
      <c r="A260" s="151"/>
      <c r="D260" s="49"/>
      <c r="F260" s="8"/>
      <c r="G260" s="59"/>
      <c r="H260" s="55"/>
      <c r="J260" s="49"/>
      <c r="K260" s="49"/>
      <c r="L260" s="8"/>
      <c r="M260" s="49"/>
      <c r="N260" s="8"/>
      <c r="O260" s="73"/>
      <c r="Q260" s="49"/>
      <c r="R260" s="8"/>
      <c r="S260" s="73"/>
      <c r="V260" s="51"/>
      <c r="W260" s="49"/>
      <c r="X260" s="8"/>
      <c r="Y260" s="10"/>
      <c r="AA260" s="49"/>
      <c r="AB260" s="8"/>
      <c r="AC260" s="10"/>
      <c r="AD260" s="9"/>
      <c r="AF260" s="51"/>
      <c r="AG260" s="49"/>
      <c r="AH260" s="8"/>
      <c r="AI260" s="10"/>
      <c r="AK260" s="51"/>
      <c r="AL260" s="8"/>
      <c r="AM260" s="10"/>
      <c r="AN260" s="9"/>
      <c r="AP260" s="10"/>
      <c r="AQ260" s="11"/>
      <c r="AR260" s="65"/>
      <c r="AS260" s="10"/>
      <c r="AT260" s="14"/>
      <c r="AU260" s="10"/>
      <c r="AV260" s="71"/>
      <c r="AX260" s="10"/>
      <c r="AY260" s="11"/>
      <c r="AZ260" s="65"/>
      <c r="BA260" s="10"/>
      <c r="BB260" s="14"/>
      <c r="BC260" s="10"/>
      <c r="BD260" s="71"/>
      <c r="BF260" s="10"/>
      <c r="BG260" s="11"/>
      <c r="BH260" s="14"/>
      <c r="BI260" s="10"/>
      <c r="BJ260" s="71"/>
      <c r="BL260" s="10"/>
      <c r="BN260" s="14"/>
      <c r="BO260" s="10"/>
      <c r="BP260" s="71"/>
      <c r="BQ260" s="71"/>
    </row>
    <row r="261" spans="1:69" ht="18.75" thickBot="1">
      <c r="A261" s="151" t="s">
        <v>199</v>
      </c>
      <c r="D261" s="49"/>
      <c r="F261" s="8"/>
      <c r="G261" s="210">
        <v>2.3852000000000002E-2</v>
      </c>
      <c r="H261" s="211"/>
      <c r="J261" s="49"/>
      <c r="K261" s="49"/>
      <c r="L261" s="8"/>
      <c r="M261" s="49"/>
      <c r="N261" s="168" t="s">
        <v>201</v>
      </c>
      <c r="O261" s="212">
        <v>2.3906E-2</v>
      </c>
      <c r="Q261" s="49"/>
      <c r="R261" s="168" t="s">
        <v>201</v>
      </c>
      <c r="S261" s="212">
        <v>2.3906E-2</v>
      </c>
      <c r="T261" s="212">
        <v>2.3906E-2</v>
      </c>
      <c r="V261" s="51"/>
      <c r="W261" s="49"/>
      <c r="X261" s="168" t="s">
        <v>201</v>
      </c>
      <c r="Y261" s="210">
        <v>2.3906E-2</v>
      </c>
      <c r="AA261" s="49"/>
      <c r="AB261" s="168" t="s">
        <v>201</v>
      </c>
      <c r="AC261" s="210">
        <v>2.3906E-2</v>
      </c>
      <c r="AD261" s="210">
        <v>2.3906E-2</v>
      </c>
      <c r="AF261" s="51"/>
      <c r="AG261" s="49"/>
      <c r="AH261" s="168" t="s">
        <v>202</v>
      </c>
      <c r="AI261" s="210">
        <v>2.3852000000000002E-2</v>
      </c>
      <c r="AK261" s="51"/>
      <c r="AL261" s="168" t="s">
        <v>202</v>
      </c>
      <c r="AM261" s="210">
        <v>2.3852000000000002E-2</v>
      </c>
      <c r="AN261" s="210">
        <v>2.3852000000000002E-2</v>
      </c>
      <c r="AP261" s="10"/>
      <c r="AQ261" s="11"/>
      <c r="AR261" s="65"/>
      <c r="AS261" s="10"/>
      <c r="AT261" s="14" t="s">
        <v>202</v>
      </c>
      <c r="AU261" s="210">
        <v>2.3852000000000002E-2</v>
      </c>
      <c r="AV261" s="210">
        <v>2.3852000000000002E-2</v>
      </c>
      <c r="AX261" s="10"/>
      <c r="AY261" s="11"/>
      <c r="AZ261" s="65"/>
      <c r="BA261" s="10"/>
      <c r="BB261" s="14" t="s">
        <v>202</v>
      </c>
      <c r="BC261" s="210">
        <v>2.3852000000000002E-2</v>
      </c>
      <c r="BD261" s="210">
        <v>2.3852000000000002E-2</v>
      </c>
      <c r="BF261" s="10"/>
      <c r="BG261" s="11"/>
      <c r="BH261" s="14" t="s">
        <v>203</v>
      </c>
      <c r="BI261" s="210">
        <v>2.1302000000000001E-2</v>
      </c>
      <c r="BJ261" s="210">
        <v>2.3852000000000002E-2</v>
      </c>
      <c r="BL261" s="10"/>
      <c r="BN261" s="14"/>
      <c r="BO261" s="210">
        <v>2.1368000000000002E-2</v>
      </c>
      <c r="BP261" s="210"/>
      <c r="BQ261" s="213"/>
    </row>
    <row r="262" spans="1:69" ht="18">
      <c r="A262" s="151"/>
      <c r="D262" s="49"/>
      <c r="F262" s="8"/>
      <c r="G262" s="59"/>
      <c r="H262" s="8"/>
      <c r="J262" s="49"/>
      <c r="K262" s="49"/>
      <c r="L262" s="8"/>
      <c r="M262" s="49"/>
      <c r="N262" s="8"/>
      <c r="O262" s="73"/>
      <c r="Q262" s="49"/>
      <c r="R262" s="8"/>
      <c r="S262" s="73"/>
      <c r="V262" s="51"/>
      <c r="W262" s="49"/>
      <c r="X262" s="8"/>
      <c r="Y262" s="10"/>
      <c r="AA262" s="49"/>
      <c r="AB262" s="8"/>
      <c r="AC262" s="10"/>
      <c r="AD262" s="9"/>
      <c r="AF262" s="51"/>
      <c r="AG262" s="49"/>
      <c r="AH262" s="8"/>
      <c r="AI262" s="10"/>
      <c r="AK262" s="51"/>
      <c r="AL262" s="8"/>
      <c r="AM262" s="10"/>
      <c r="AN262" s="9"/>
      <c r="AP262" s="10"/>
      <c r="AQ262" s="11"/>
      <c r="AR262" s="65"/>
      <c r="AS262" s="10"/>
      <c r="AT262" s="14"/>
      <c r="AU262" s="10"/>
      <c r="AV262" s="71"/>
      <c r="AX262" s="10"/>
      <c r="AY262" s="11"/>
      <c r="AZ262" s="65"/>
      <c r="BA262" s="10"/>
      <c r="BB262" s="14"/>
      <c r="BC262" s="10"/>
      <c r="BD262" s="71"/>
      <c r="BF262" s="10"/>
      <c r="BG262" s="11"/>
      <c r="BH262" s="14"/>
      <c r="BI262" s="10"/>
      <c r="BJ262" s="71"/>
      <c r="BL262" s="10"/>
      <c r="BN262" s="14"/>
      <c r="BO262" s="10"/>
      <c r="BP262" s="71"/>
      <c r="BQ262" s="71"/>
    </row>
    <row r="263" spans="1:69" ht="18">
      <c r="A263" s="151"/>
      <c r="D263" s="49"/>
      <c r="F263" s="8"/>
      <c r="G263" s="59"/>
      <c r="H263" s="8"/>
      <c r="J263" s="49"/>
      <c r="K263" s="49"/>
      <c r="L263" s="8"/>
      <c r="M263" s="49"/>
      <c r="N263" s="8"/>
      <c r="O263" s="73"/>
      <c r="Q263" s="49"/>
      <c r="R263" s="8"/>
      <c r="S263" s="73"/>
      <c r="V263" s="51"/>
      <c r="W263" s="49"/>
      <c r="X263" s="8"/>
      <c r="Y263" s="10"/>
      <c r="AA263" s="49"/>
      <c r="AB263" s="8"/>
      <c r="AC263" s="10"/>
      <c r="AD263" s="9"/>
      <c r="AF263" s="51"/>
      <c r="AG263" s="49"/>
      <c r="AH263" s="8"/>
      <c r="AI263" s="10"/>
      <c r="AK263" s="51"/>
      <c r="AL263" s="8"/>
      <c r="AM263" s="10"/>
      <c r="AN263" s="9"/>
      <c r="AP263" s="10"/>
      <c r="AQ263" s="11"/>
      <c r="AR263" s="65"/>
      <c r="AS263" s="10"/>
      <c r="AT263" s="14"/>
      <c r="AU263" s="10"/>
      <c r="AV263" s="71"/>
      <c r="AX263" s="10"/>
      <c r="AY263" s="11"/>
      <c r="AZ263" s="65"/>
      <c r="BA263" s="10"/>
      <c r="BB263" s="14"/>
      <c r="BC263" s="10"/>
      <c r="BD263" s="71"/>
      <c r="BF263" s="10"/>
      <c r="BG263" s="11"/>
      <c r="BH263" s="14"/>
      <c r="BI263" s="10"/>
      <c r="BJ263" s="71"/>
      <c r="BL263" s="10"/>
      <c r="BN263" s="14"/>
      <c r="BO263" s="10"/>
      <c r="BP263" s="71"/>
      <c r="BQ263" s="71"/>
    </row>
    <row r="264" spans="1:69" ht="18">
      <c r="A264" s="151" t="s">
        <v>198</v>
      </c>
      <c r="D264" s="49"/>
      <c r="F264" s="8"/>
      <c r="G264" s="207">
        <f>G257*G261-1</f>
        <v>4972945.6282680007</v>
      </c>
      <c r="H264" s="52" t="e">
        <f>+G264-#REF!</f>
        <v>#REF!</v>
      </c>
      <c r="J264" s="49"/>
      <c r="K264" s="49"/>
      <c r="L264" s="8"/>
      <c r="M264" s="49"/>
      <c r="N264" s="8"/>
      <c r="O264" s="209">
        <f>O257*O261</f>
        <v>2409771.2254519998</v>
      </c>
      <c r="Q264" s="49"/>
      <c r="R264" s="8"/>
      <c r="S264" s="209">
        <f>S257*S261</f>
        <v>3415456.3399359998</v>
      </c>
      <c r="T264" s="209">
        <f>T257*T261</f>
        <v>1005685.114484</v>
      </c>
      <c r="V264" s="51"/>
      <c r="W264" s="49"/>
      <c r="X264" s="8"/>
      <c r="Y264" s="207">
        <f>Y257*Y261</f>
        <v>1752867.192296</v>
      </c>
      <c r="AA264" s="49"/>
      <c r="AB264" s="8"/>
      <c r="AC264" s="207">
        <f>AC257*AC261</f>
        <v>2688092.7903379998</v>
      </c>
      <c r="AD264" s="207">
        <f>AD257*AD261</f>
        <v>935225.59804199997</v>
      </c>
      <c r="AF264" s="51"/>
      <c r="AG264" s="49"/>
      <c r="AH264" s="8"/>
      <c r="AI264" s="207">
        <f>AI257*AI261</f>
        <v>2295001.8015439999</v>
      </c>
      <c r="AK264" s="51"/>
      <c r="AL264" s="8"/>
      <c r="AM264" s="207">
        <f>AM257*AM261</f>
        <v>2890495.6993520004</v>
      </c>
      <c r="AN264" s="207">
        <f>AN257*AN261</f>
        <v>595493.8978080001</v>
      </c>
      <c r="AP264" s="10"/>
      <c r="AQ264" s="11"/>
      <c r="AR264" s="65"/>
      <c r="AS264" s="10"/>
      <c r="AT264" s="14"/>
      <c r="AU264" s="207">
        <f>AU257*AU261</f>
        <v>1161862.5906855997</v>
      </c>
      <c r="AV264" s="10">
        <f t="shared" ref="AV264" si="230">+AU264-AM264</f>
        <v>-1728633.1086664007</v>
      </c>
      <c r="AX264" s="10"/>
      <c r="AY264" s="11"/>
      <c r="AZ264" s="65"/>
      <c r="BA264" s="10"/>
      <c r="BB264" s="14"/>
      <c r="BC264" s="207">
        <f>BC257*BC261</f>
        <v>1040723.7114007995</v>
      </c>
      <c r="BD264" s="10">
        <f t="shared" ref="BD264" si="231">+BC264-AU264</f>
        <v>-121138.87928480026</v>
      </c>
      <c r="BF264" s="10"/>
      <c r="BG264" s="11"/>
      <c r="BH264" s="14"/>
      <c r="BI264" s="207">
        <f>BI257*BI261</f>
        <v>1376987.6092720001</v>
      </c>
      <c r="BJ264" s="10">
        <f t="shared" ref="BJ264" si="232">+BI264-BC264</f>
        <v>336263.89787120069</v>
      </c>
      <c r="BL264" s="10"/>
      <c r="BN264" s="14"/>
      <c r="BO264" s="207">
        <f>BO257*BO261</f>
        <v>1274130.99716</v>
      </c>
      <c r="BP264" s="10">
        <f t="shared" ref="BP264" si="233">+BO264-BI264</f>
        <v>-102856.61211200012</v>
      </c>
      <c r="BQ264" s="10"/>
    </row>
    <row r="265" spans="1:69" ht="18">
      <c r="A265" s="151" t="s">
        <v>259</v>
      </c>
      <c r="D265" s="49"/>
      <c r="F265" s="8"/>
      <c r="G265" s="59"/>
      <c r="H265" s="8"/>
      <c r="J265" s="49"/>
      <c r="K265" s="49"/>
      <c r="L265" s="8"/>
      <c r="M265" s="49"/>
      <c r="N265" s="8"/>
      <c r="O265" s="56"/>
      <c r="Q265" s="49"/>
      <c r="R265" s="8"/>
      <c r="S265" s="56"/>
      <c r="V265" s="51"/>
      <c r="W265" s="49"/>
      <c r="X265" s="8"/>
      <c r="Y265" s="59"/>
      <c r="AA265" s="49"/>
      <c r="AB265" s="8"/>
      <c r="AC265" s="59"/>
      <c r="AD265" s="9"/>
      <c r="AF265" s="51"/>
      <c r="AG265" s="49"/>
      <c r="AH265" s="8"/>
      <c r="AI265" s="59"/>
      <c r="AK265" s="51"/>
      <c r="AL265" s="8"/>
      <c r="AM265" s="59"/>
      <c r="AN265" s="9"/>
      <c r="AP265" s="10"/>
      <c r="AQ265" s="11"/>
      <c r="AR265" s="65"/>
      <c r="AS265" s="10"/>
      <c r="AT265" s="14"/>
      <c r="AU265" s="59"/>
      <c r="AV265" s="71"/>
      <c r="AX265" s="10"/>
      <c r="AY265" s="11"/>
      <c r="AZ265" s="65"/>
      <c r="BA265" s="10"/>
      <c r="BB265" s="14"/>
      <c r="BC265" s="59"/>
      <c r="BD265" s="71"/>
      <c r="BF265" s="10"/>
      <c r="BG265" s="11"/>
      <c r="BH265" s="14"/>
      <c r="BI265" s="59"/>
      <c r="BJ265" s="71"/>
      <c r="BL265" s="10"/>
      <c r="BN265" s="14"/>
      <c r="BO265" s="59"/>
      <c r="BP265" s="71"/>
      <c r="BQ265" s="71"/>
    </row>
    <row r="266" spans="1:69" ht="18">
      <c r="A266" s="151" t="s">
        <v>260</v>
      </c>
      <c r="D266" s="49"/>
      <c r="F266" s="8"/>
      <c r="G266" s="59"/>
      <c r="H266" s="8"/>
      <c r="J266" s="49"/>
      <c r="K266" s="49"/>
      <c r="L266" s="8"/>
      <c r="M266" s="49"/>
      <c r="N266" s="8"/>
      <c r="O266" s="56"/>
      <c r="Q266" s="49"/>
      <c r="R266" s="8"/>
      <c r="S266" s="56"/>
      <c r="V266" s="51"/>
      <c r="W266" s="49"/>
      <c r="X266" s="8"/>
      <c r="Y266" s="59"/>
      <c r="AA266" s="49"/>
      <c r="AB266" s="8"/>
      <c r="AC266" s="59"/>
      <c r="AD266" s="9"/>
      <c r="AF266" s="51"/>
      <c r="AG266" s="49"/>
      <c r="AH266" s="8"/>
      <c r="AI266" s="59"/>
      <c r="AK266" s="51"/>
      <c r="AL266" s="8"/>
      <c r="AM266" s="59"/>
      <c r="AN266" s="9"/>
      <c r="AP266" s="10"/>
      <c r="AQ266" s="11"/>
      <c r="AR266" s="65"/>
      <c r="AS266" s="10"/>
      <c r="AT266" s="14"/>
      <c r="AU266" s="59"/>
      <c r="AV266" s="71"/>
      <c r="AX266" s="10"/>
      <c r="AY266" s="11"/>
      <c r="AZ266" s="65"/>
      <c r="BA266" s="10"/>
      <c r="BB266" s="14"/>
      <c r="BC266" s="59"/>
      <c r="BD266" s="71"/>
      <c r="BF266" s="10"/>
      <c r="BG266" s="11"/>
      <c r="BH266" s="14"/>
      <c r="BI266" s="59"/>
      <c r="BJ266" s="71"/>
      <c r="BL266" s="10"/>
      <c r="BN266" s="14"/>
      <c r="BO266" s="59"/>
      <c r="BP266" s="71"/>
      <c r="BQ266" s="71"/>
    </row>
    <row r="267" spans="1:69" ht="18">
      <c r="A267" s="151" t="s">
        <v>261</v>
      </c>
      <c r="D267" s="49"/>
      <c r="F267" s="8"/>
      <c r="G267" s="59"/>
      <c r="H267" s="8"/>
      <c r="J267" s="49"/>
      <c r="K267" s="49"/>
      <c r="L267" s="8"/>
      <c r="M267" s="49"/>
      <c r="N267" s="8"/>
      <c r="O267" s="56"/>
      <c r="Q267" s="49"/>
      <c r="R267" s="8"/>
      <c r="S267" s="56"/>
      <c r="V267" s="51"/>
      <c r="W267" s="49"/>
      <c r="X267" s="8"/>
      <c r="Y267" s="59"/>
      <c r="AA267" s="49"/>
      <c r="AB267" s="8"/>
      <c r="AC267" s="59"/>
      <c r="AD267" s="9"/>
      <c r="AF267" s="51"/>
      <c r="AG267" s="49"/>
      <c r="AH267" s="8"/>
      <c r="AI267" s="59"/>
      <c r="AK267" s="51"/>
      <c r="AL267" s="8"/>
      <c r="AM267" s="59"/>
      <c r="AN267" s="9"/>
      <c r="AP267" s="10"/>
      <c r="AQ267" s="11"/>
      <c r="AR267" s="65"/>
      <c r="AS267" s="10"/>
      <c r="AT267" s="14"/>
      <c r="AU267" s="59"/>
      <c r="AV267" s="71"/>
      <c r="AX267" s="10"/>
      <c r="AY267" s="11"/>
      <c r="AZ267" s="65"/>
      <c r="BA267" s="10"/>
      <c r="BB267" s="14"/>
      <c r="BC267" s="59"/>
      <c r="BD267" s="71"/>
      <c r="BF267" s="10"/>
      <c r="BG267" s="11"/>
      <c r="BH267" s="14"/>
      <c r="BI267" s="59"/>
      <c r="BJ267" s="71"/>
      <c r="BL267" s="10"/>
      <c r="BN267" s="14"/>
      <c r="BO267" s="59"/>
      <c r="BP267" s="71"/>
      <c r="BQ267" s="71"/>
    </row>
    <row r="268" spans="1:69" ht="18.75" thickBot="1">
      <c r="A268" s="151"/>
      <c r="D268" s="49"/>
      <c r="F268" s="8"/>
      <c r="G268" s="126"/>
      <c r="H268" s="169"/>
      <c r="J268" s="49"/>
      <c r="K268" s="49"/>
      <c r="L268" s="8"/>
      <c r="M268" s="49"/>
      <c r="N268" s="8"/>
      <c r="O268" s="124"/>
      <c r="Q268" s="49"/>
      <c r="R268" s="8"/>
      <c r="S268" s="124"/>
      <c r="T268" s="170"/>
      <c r="V268" s="51"/>
      <c r="W268" s="49"/>
      <c r="X268" s="8"/>
      <c r="Y268" s="126"/>
      <c r="AA268" s="49"/>
      <c r="AB268" s="8"/>
      <c r="AC268" s="126"/>
      <c r="AD268" s="171"/>
      <c r="AF268" s="51"/>
      <c r="AG268" s="49"/>
      <c r="AH268" s="8"/>
      <c r="AI268" s="126"/>
      <c r="AK268" s="51"/>
      <c r="AL268" s="8"/>
      <c r="AM268" s="126"/>
      <c r="AN268" s="171"/>
      <c r="AP268" s="10"/>
      <c r="AQ268" s="11"/>
      <c r="AR268" s="65"/>
      <c r="AS268" s="10"/>
      <c r="AT268" s="14"/>
      <c r="AU268" s="126"/>
      <c r="AV268" s="172"/>
      <c r="AX268" s="10"/>
      <c r="AY268" s="11"/>
      <c r="AZ268" s="65"/>
      <c r="BA268" s="10"/>
      <c r="BB268" s="14"/>
      <c r="BC268" s="126"/>
      <c r="BD268" s="172"/>
      <c r="BF268" s="10"/>
      <c r="BG268" s="11"/>
      <c r="BH268" s="14"/>
      <c r="BI268" s="126"/>
      <c r="BJ268" s="172"/>
      <c r="BL268" s="10"/>
      <c r="BN268" s="14"/>
      <c r="BO268" s="126"/>
      <c r="BP268" s="172"/>
      <c r="BQ268" s="173"/>
    </row>
    <row r="269" spans="1:69" ht="18.75" thickBot="1">
      <c r="A269" s="151" t="s">
        <v>198</v>
      </c>
      <c r="D269" s="49"/>
      <c r="F269" s="8"/>
      <c r="G269" s="214">
        <f>SUM(G264:G268)</f>
        <v>4972945.6282680007</v>
      </c>
      <c r="H269" s="215" t="e">
        <f>SUM(H264:H268)</f>
        <v>#REF!</v>
      </c>
      <c r="J269" s="49"/>
      <c r="K269" s="49"/>
      <c r="L269" s="8"/>
      <c r="M269" s="49"/>
      <c r="N269" s="8"/>
      <c r="O269" s="216">
        <f>SUM(O264:O268)</f>
        <v>2409771.2254519998</v>
      </c>
      <c r="Q269" s="49"/>
      <c r="R269" s="8"/>
      <c r="S269" s="216">
        <f>SUM(S264:S268)</f>
        <v>3415456.3399359998</v>
      </c>
      <c r="T269" s="216">
        <f>SUM(T264:T268)</f>
        <v>1005685.114484</v>
      </c>
      <c r="V269" s="51"/>
      <c r="W269" s="49"/>
      <c r="X269" s="8"/>
      <c r="Y269" s="214">
        <f>SUM(Y264:Y268)</f>
        <v>1752867.192296</v>
      </c>
      <c r="AA269" s="49"/>
      <c r="AB269" s="8"/>
      <c r="AC269" s="214">
        <f>SUM(AC264:AC268)</f>
        <v>2688092.7903379998</v>
      </c>
      <c r="AD269" s="214">
        <f>SUM(AD264:AD268)</f>
        <v>935225.59804199997</v>
      </c>
      <c r="AF269" s="51"/>
      <c r="AG269" s="49"/>
      <c r="AH269" s="8"/>
      <c r="AI269" s="214">
        <f>SUM(AI264:AI268)</f>
        <v>2295001.8015439999</v>
      </c>
      <c r="AK269" s="51"/>
      <c r="AL269" s="8"/>
      <c r="AM269" s="214">
        <f>SUM(AM264:AM268)</f>
        <v>2890495.6993520004</v>
      </c>
      <c r="AN269" s="214">
        <f>SUM(AN264:AN268)</f>
        <v>595493.8978080001</v>
      </c>
      <c r="AP269" s="10"/>
      <c r="AQ269" s="11"/>
      <c r="AR269" s="65"/>
      <c r="AS269" s="10"/>
      <c r="AT269" s="14"/>
      <c r="AU269" s="214">
        <f>SUM(AU264:AU268)</f>
        <v>1161862.5906855997</v>
      </c>
      <c r="AV269" s="10">
        <f t="shared" ref="AV269" si="234">+AU269-AM269</f>
        <v>-1728633.1086664007</v>
      </c>
      <c r="AX269" s="10"/>
      <c r="AY269" s="11"/>
      <c r="AZ269" s="65"/>
      <c r="BA269" s="10"/>
      <c r="BB269" s="14"/>
      <c r="BC269" s="214">
        <f>SUM(BC264:BC268)</f>
        <v>1040723.7114007995</v>
      </c>
      <c r="BD269" s="10">
        <f t="shared" ref="BD269" si="235">+BC269-AU269</f>
        <v>-121138.87928480026</v>
      </c>
      <c r="BF269" s="10"/>
      <c r="BG269" s="11"/>
      <c r="BH269" s="14"/>
      <c r="BI269" s="214">
        <f>SUM(BI264:BI268)</f>
        <v>1376987.6092720001</v>
      </c>
      <c r="BJ269" s="10">
        <f t="shared" ref="BJ269" si="236">+BI269-BC269</f>
        <v>336263.89787120069</v>
      </c>
      <c r="BL269" s="10"/>
      <c r="BN269" s="14"/>
      <c r="BO269" s="214">
        <f>SUM(BO264:BO268)</f>
        <v>1274130.99716</v>
      </c>
      <c r="BP269" s="10">
        <f t="shared" ref="BP269" si="237">+BO269-BI269</f>
        <v>-102856.61211200012</v>
      </c>
      <c r="BQ269" s="10"/>
    </row>
    <row r="270" spans="1:69" ht="18.75" thickTop="1">
      <c r="A270" s="151"/>
      <c r="D270" s="49"/>
      <c r="F270" s="8"/>
      <c r="G270" s="59"/>
      <c r="H270" s="8"/>
      <c r="J270" s="49"/>
      <c r="K270" s="49"/>
      <c r="L270" s="8"/>
      <c r="M270" s="49"/>
      <c r="N270" s="8"/>
      <c r="O270" s="56"/>
      <c r="Q270" s="49"/>
      <c r="R270" s="8"/>
      <c r="S270" s="56"/>
      <c r="V270" s="51"/>
      <c r="W270" s="49"/>
      <c r="X270" s="8"/>
      <c r="Y270" s="59"/>
      <c r="AA270" s="49"/>
      <c r="AB270" s="8"/>
      <c r="AC270" s="59"/>
      <c r="AD270" s="9"/>
      <c r="AF270" s="51"/>
      <c r="AG270" s="49"/>
      <c r="AH270" s="8"/>
      <c r="AI270" s="59"/>
      <c r="AK270" s="51"/>
      <c r="AL270" s="8"/>
      <c r="AM270" s="59"/>
      <c r="AN270" s="9"/>
      <c r="AP270" s="10"/>
      <c r="AQ270" s="11"/>
      <c r="AR270" s="65"/>
      <c r="AS270" s="10"/>
      <c r="AT270" s="14"/>
      <c r="AU270" s="59"/>
      <c r="AV270" s="71"/>
      <c r="AX270" s="10"/>
      <c r="AY270" s="11"/>
      <c r="AZ270" s="65"/>
      <c r="BA270" s="10"/>
      <c r="BB270" s="14"/>
      <c r="BC270" s="59"/>
      <c r="BD270" s="71"/>
      <c r="BF270" s="10"/>
      <c r="BG270" s="11"/>
      <c r="BH270" s="14"/>
      <c r="BI270" s="59"/>
      <c r="BJ270" s="71"/>
      <c r="BL270" s="10"/>
      <c r="BN270" s="14"/>
      <c r="BO270" s="59"/>
      <c r="BP270" s="71"/>
      <c r="BQ270" s="71"/>
    </row>
    <row r="271" spans="1:69" ht="18">
      <c r="A271" s="217"/>
      <c r="D271" s="49"/>
      <c r="F271" s="8"/>
      <c r="G271" s="59"/>
      <c r="H271" s="8"/>
      <c r="J271" s="49"/>
      <c r="K271" s="49"/>
      <c r="L271" s="8"/>
      <c r="M271" s="49"/>
      <c r="N271" s="8"/>
      <c r="O271" s="56"/>
      <c r="Q271" s="49"/>
      <c r="R271" s="8"/>
      <c r="S271" s="56"/>
      <c r="V271" s="51"/>
      <c r="W271" s="49"/>
      <c r="X271" s="8"/>
      <c r="Y271" s="59"/>
      <c r="AA271" s="49"/>
      <c r="AB271" s="8"/>
      <c r="AC271" s="59"/>
      <c r="AD271" s="9"/>
      <c r="AF271" s="51"/>
      <c r="AG271" s="49"/>
      <c r="AH271" s="8"/>
      <c r="AI271" s="59"/>
      <c r="AK271" s="51"/>
      <c r="AL271" s="8"/>
      <c r="AM271" s="59"/>
      <c r="AN271" s="9"/>
      <c r="AP271" s="10"/>
      <c r="AQ271" s="11"/>
      <c r="AR271" s="65"/>
      <c r="AS271" s="10"/>
      <c r="AT271" s="14"/>
      <c r="AU271" s="59"/>
      <c r="AV271" s="71"/>
      <c r="AX271" s="10"/>
      <c r="AY271" s="11"/>
      <c r="AZ271" s="65"/>
      <c r="BA271" s="10"/>
      <c r="BB271" s="14"/>
      <c r="BC271" s="59"/>
      <c r="BD271" s="71"/>
      <c r="BF271" s="10"/>
      <c r="BG271" s="11"/>
      <c r="BH271" s="14"/>
      <c r="BI271" s="59"/>
      <c r="BJ271" s="71"/>
      <c r="BL271" s="10"/>
      <c r="BN271" s="14"/>
      <c r="BO271" s="59"/>
      <c r="BP271" s="71"/>
      <c r="BQ271" s="71"/>
    </row>
    <row r="272" spans="1:69" ht="18.75" thickBot="1">
      <c r="A272" s="151" t="s">
        <v>262</v>
      </c>
      <c r="D272" s="49"/>
      <c r="F272" s="8"/>
      <c r="G272" s="214">
        <f>G269*5%</f>
        <v>248647.28141340005</v>
      </c>
      <c r="H272" s="215" t="e">
        <f>+G272-#REF!</f>
        <v>#REF!</v>
      </c>
      <c r="J272" s="49"/>
      <c r="K272" s="49"/>
      <c r="L272" s="8"/>
      <c r="M272" s="49"/>
      <c r="N272" s="8"/>
      <c r="O272" s="216">
        <f>O269*5%</f>
        <v>120488.5612726</v>
      </c>
      <c r="Q272" s="49"/>
      <c r="R272" s="8"/>
      <c r="S272" s="216">
        <f>S269*5%</f>
        <v>170772.81699680001</v>
      </c>
      <c r="T272" s="216">
        <f>T269*5%</f>
        <v>50284.255724200004</v>
      </c>
      <c r="V272" s="51"/>
      <c r="W272" s="49"/>
      <c r="X272" s="8"/>
      <c r="Y272" s="214">
        <f>Y269*5%</f>
        <v>87643.359614800007</v>
      </c>
      <c r="AA272" s="49"/>
      <c r="AB272" s="8"/>
      <c r="AC272" s="214">
        <f>AC269*5%</f>
        <v>134404.6395169</v>
      </c>
      <c r="AD272" s="214">
        <f>AD269*5%</f>
        <v>46761.279902100003</v>
      </c>
      <c r="AF272" s="51"/>
      <c r="AG272" s="49"/>
      <c r="AH272" s="8"/>
      <c r="AI272" s="214">
        <f>AI269*5%</f>
        <v>114750.0900772</v>
      </c>
      <c r="AK272" s="51"/>
      <c r="AL272" s="8"/>
      <c r="AM272" s="214">
        <f>AM269*5%</f>
        <v>144524.78496760002</v>
      </c>
      <c r="AN272" s="214">
        <f>AN269*5%</f>
        <v>29774.694890400006</v>
      </c>
      <c r="AP272" s="10"/>
      <c r="AQ272" s="11"/>
      <c r="AR272" s="65"/>
      <c r="AS272" s="10"/>
      <c r="AT272" s="14"/>
      <c r="AU272" s="214">
        <f>AU269*5%</f>
        <v>58093.129534279986</v>
      </c>
      <c r="AV272" s="10">
        <f t="shared" ref="AV272" si="238">+AU272-AM272</f>
        <v>-86431.655433320033</v>
      </c>
      <c r="AX272" s="10"/>
      <c r="AY272" s="11"/>
      <c r="AZ272" s="65"/>
      <c r="BA272" s="10"/>
      <c r="BB272" s="14"/>
      <c r="BC272" s="214">
        <f>BC269*5%</f>
        <v>52036.185570039976</v>
      </c>
      <c r="BD272" s="10">
        <f t="shared" ref="BD272" si="239">+BC272-AU272</f>
        <v>-6056.9439642400102</v>
      </c>
      <c r="BF272" s="10"/>
      <c r="BG272" s="11"/>
      <c r="BH272" s="14"/>
      <c r="BI272" s="214">
        <f>BI269*5%</f>
        <v>68849.380463600013</v>
      </c>
      <c r="BJ272" s="10">
        <f t="shared" ref="BJ272" si="240">+BI272-BC272</f>
        <v>16813.194893560038</v>
      </c>
      <c r="BL272" s="10"/>
      <c r="BN272" s="14"/>
      <c r="BO272" s="214">
        <f>ROUND(BO269*5%,0)</f>
        <v>63707</v>
      </c>
      <c r="BP272" s="10">
        <f t="shared" ref="BP272" si="241">+BO272-BI272</f>
        <v>-5142.3804636000132</v>
      </c>
      <c r="BQ272" s="10"/>
    </row>
    <row r="273" spans="1:69" ht="18.75" thickTop="1">
      <c r="A273" s="8"/>
      <c r="D273" s="49"/>
      <c r="F273" s="8"/>
      <c r="G273" s="51"/>
      <c r="H273" s="8"/>
      <c r="J273" s="49"/>
      <c r="K273" s="49"/>
      <c r="M273" s="49"/>
      <c r="O273" s="73"/>
      <c r="Q273" s="49"/>
      <c r="S273" s="73"/>
      <c r="V273" s="51"/>
      <c r="W273" s="49"/>
      <c r="X273" s="8"/>
      <c r="Y273" s="10"/>
      <c r="AA273" s="49"/>
      <c r="AC273" s="10"/>
      <c r="AD273" s="9"/>
      <c r="AF273" s="9"/>
      <c r="AH273" s="8"/>
      <c r="AI273" s="9"/>
      <c r="AK273" s="9"/>
      <c r="AL273" s="8"/>
      <c r="AM273" s="9"/>
      <c r="AN273" s="9"/>
      <c r="AP273" s="10"/>
      <c r="AQ273" s="11"/>
      <c r="AR273" s="65"/>
      <c r="AS273" s="10"/>
      <c r="AT273" s="13"/>
      <c r="AU273" s="10"/>
      <c r="AV273" s="10"/>
      <c r="AX273" s="10"/>
      <c r="AY273" s="11"/>
      <c r="AZ273" s="65"/>
      <c r="BA273" s="10"/>
      <c r="BB273" s="13"/>
      <c r="BC273" s="10"/>
      <c r="BD273" s="10"/>
      <c r="BH273" s="10"/>
      <c r="BL273" s="10"/>
      <c r="BN273" s="14"/>
    </row>
    <row r="274" spans="1:69" ht="18">
      <c r="A274" s="8"/>
      <c r="D274" s="49"/>
      <c r="F274" s="8"/>
      <c r="G274" s="51"/>
      <c r="H274" s="8"/>
      <c r="J274" s="49"/>
      <c r="K274" s="49"/>
      <c r="M274" s="49"/>
      <c r="O274" s="73"/>
      <c r="Q274" s="49"/>
      <c r="S274" s="73"/>
      <c r="V274" s="9"/>
      <c r="X274" s="8"/>
      <c r="Y274" s="9"/>
      <c r="AC274" s="9"/>
      <c r="AD274" s="9"/>
      <c r="AF274" s="9"/>
      <c r="AH274" s="8"/>
      <c r="AI274" s="9"/>
      <c r="AK274" s="9"/>
      <c r="AL274" s="8"/>
      <c r="AM274" s="9"/>
      <c r="AN274" s="9"/>
      <c r="AP274" s="10"/>
      <c r="AQ274" s="11"/>
      <c r="AR274" s="65"/>
      <c r="AS274" s="10"/>
      <c r="AT274" s="13"/>
      <c r="AU274" s="10"/>
      <c r="AV274" s="10"/>
      <c r="AX274" s="10"/>
      <c r="AY274" s="11"/>
      <c r="AZ274" s="65"/>
      <c r="BA274" s="10"/>
      <c r="BB274" s="13"/>
      <c r="BC274" s="10"/>
      <c r="BD274" s="10"/>
      <c r="BL274" s="10"/>
      <c r="BN274" s="14"/>
    </row>
    <row r="275" spans="1:69" ht="18">
      <c r="A275" s="150" t="s">
        <v>263</v>
      </c>
      <c r="D275" s="49"/>
      <c r="F275" s="8"/>
      <c r="G275" s="51"/>
      <c r="H275" s="8"/>
      <c r="J275" s="49"/>
      <c r="K275" s="49"/>
      <c r="M275" s="49"/>
      <c r="O275" s="73"/>
      <c r="Q275" s="49"/>
      <c r="S275" s="73"/>
      <c r="V275" s="9"/>
      <c r="X275" s="8"/>
      <c r="Y275" s="9"/>
      <c r="AC275" s="9"/>
      <c r="AD275" s="9"/>
      <c r="AF275" s="9"/>
      <c r="AH275" s="8"/>
      <c r="AI275" s="9"/>
      <c r="AK275" s="9"/>
      <c r="AL275" s="8"/>
      <c r="AM275" s="9"/>
      <c r="AN275" s="9"/>
      <c r="AP275" s="10"/>
      <c r="AQ275" s="11"/>
      <c r="AR275" s="65"/>
      <c r="AS275" s="10"/>
      <c r="AT275" s="13"/>
      <c r="AU275" s="10"/>
      <c r="AV275" s="10"/>
      <c r="AX275" s="10"/>
      <c r="AY275" s="11"/>
      <c r="AZ275" s="65"/>
      <c r="BA275" s="10"/>
      <c r="BB275" s="13"/>
      <c r="BC275" s="10"/>
      <c r="BD275" s="10"/>
      <c r="BF275" s="10"/>
      <c r="BG275" s="11"/>
      <c r="BH275" s="65"/>
      <c r="BI275" s="10"/>
      <c r="BJ275" s="10"/>
      <c r="BL275" s="10"/>
      <c r="BN275" s="14"/>
      <c r="BO275" s="10"/>
      <c r="BP275" s="10"/>
      <c r="BQ275" s="10"/>
    </row>
    <row r="276" spans="1:69" ht="18">
      <c r="A276" s="151"/>
      <c r="D276" s="49"/>
      <c r="F276" s="8"/>
      <c r="G276" s="51"/>
      <c r="H276" s="8"/>
      <c r="J276" s="49"/>
      <c r="K276" s="49"/>
      <c r="M276" s="49"/>
      <c r="O276" s="73"/>
      <c r="Q276" s="49"/>
      <c r="S276" s="73"/>
      <c r="V276" s="9"/>
      <c r="X276" s="8"/>
      <c r="Y276" s="9"/>
      <c r="AC276" s="9"/>
      <c r="AD276" s="9"/>
      <c r="AF276" s="9"/>
      <c r="AH276" s="8"/>
      <c r="AI276" s="9"/>
      <c r="AK276" s="9"/>
      <c r="AL276" s="8"/>
      <c r="AM276" s="9"/>
      <c r="AN276" s="9"/>
      <c r="AP276" s="10"/>
      <c r="AQ276" s="11"/>
      <c r="AR276" s="65"/>
      <c r="AS276" s="10"/>
      <c r="AT276" s="13"/>
      <c r="AU276" s="10"/>
      <c r="AV276" s="10"/>
      <c r="AX276" s="10"/>
      <c r="AY276" s="11"/>
      <c r="AZ276" s="65"/>
      <c r="BA276" s="10"/>
      <c r="BB276" s="13"/>
      <c r="BC276" s="10"/>
      <c r="BD276" s="10"/>
      <c r="BF276" s="10"/>
      <c r="BG276" s="11"/>
      <c r="BH276" s="65"/>
      <c r="BI276" s="10"/>
      <c r="BJ276" s="10"/>
      <c r="BL276" s="10"/>
      <c r="BN276" s="14"/>
      <c r="BO276" s="10"/>
      <c r="BP276" s="10"/>
      <c r="BQ276" s="10"/>
    </row>
    <row r="277" spans="1:69" ht="18">
      <c r="A277" s="151" t="s">
        <v>246</v>
      </c>
      <c r="D277" s="49"/>
      <c r="F277" s="8"/>
      <c r="G277" s="51"/>
      <c r="H277" s="8"/>
      <c r="J277" s="49"/>
      <c r="K277" s="49"/>
      <c r="M277" s="49"/>
      <c r="O277" s="73"/>
      <c r="Q277" s="49"/>
      <c r="S277" s="73"/>
      <c r="V277" s="9"/>
      <c r="X277" s="8"/>
      <c r="Y277" s="9"/>
      <c r="AC277" s="9"/>
      <c r="AD277" s="9"/>
      <c r="AF277" s="9"/>
      <c r="AH277" s="8"/>
      <c r="AI277" s="9"/>
      <c r="AK277" s="9"/>
      <c r="AL277" s="8"/>
      <c r="AM277" s="9"/>
      <c r="AN277" s="9"/>
      <c r="AP277" s="74"/>
      <c r="AQ277" s="218"/>
      <c r="AR277" s="219"/>
      <c r="AS277" s="74"/>
      <c r="AT277" s="220"/>
      <c r="AU277" s="59"/>
      <c r="AV277" s="74"/>
      <c r="AW277" s="76"/>
      <c r="AX277" s="74"/>
      <c r="AY277" s="218"/>
      <c r="AZ277" s="219"/>
      <c r="BA277" s="74"/>
      <c r="BB277" s="220"/>
      <c r="BC277" s="59"/>
      <c r="BD277" s="74"/>
      <c r="BF277" s="10"/>
      <c r="BG277" s="11"/>
      <c r="BH277" s="14"/>
      <c r="BI277" s="136"/>
      <c r="BJ277" s="10">
        <f t="shared" ref="BJ277" si="242">+BI277-BC277</f>
        <v>0</v>
      </c>
      <c r="BL277" s="10"/>
      <c r="BN277" s="14"/>
      <c r="BO277" s="136">
        <f>+BO108</f>
        <v>-9864530</v>
      </c>
      <c r="BP277" s="10">
        <f t="shared" ref="BP277" si="243">+BO277-BI277</f>
        <v>-9864530</v>
      </c>
      <c r="BQ277" s="10"/>
    </row>
    <row r="278" spans="1:69" ht="18">
      <c r="A278" s="151"/>
      <c r="D278" s="49"/>
      <c r="F278" s="8"/>
      <c r="G278" s="51"/>
      <c r="H278" s="8"/>
      <c r="J278" s="49"/>
      <c r="K278" s="49"/>
      <c r="M278" s="49"/>
      <c r="O278" s="73"/>
      <c r="Q278" s="49"/>
      <c r="S278" s="73"/>
      <c r="V278" s="9"/>
      <c r="X278" s="8"/>
      <c r="Y278" s="9"/>
      <c r="AC278" s="9"/>
      <c r="AD278" s="9"/>
      <c r="AF278" s="9"/>
      <c r="AH278" s="8"/>
      <c r="AI278" s="9"/>
      <c r="AK278" s="9"/>
      <c r="AL278" s="8"/>
      <c r="AM278" s="9"/>
      <c r="AN278" s="9"/>
      <c r="AP278" s="74"/>
      <c r="AQ278" s="218"/>
      <c r="AR278" s="219"/>
      <c r="AS278" s="74"/>
      <c r="AT278" s="220"/>
      <c r="AU278" s="74"/>
      <c r="AV278" s="173"/>
      <c r="AW278" s="76"/>
      <c r="AX278" s="74"/>
      <c r="AY278" s="218"/>
      <c r="AZ278" s="219"/>
      <c r="BA278" s="74"/>
      <c r="BB278" s="220"/>
      <c r="BC278" s="74"/>
      <c r="BD278" s="173"/>
      <c r="BF278" s="10"/>
      <c r="BG278" s="11"/>
      <c r="BH278" s="14"/>
      <c r="BI278" s="10"/>
      <c r="BJ278" s="71"/>
      <c r="BL278" s="10"/>
      <c r="BN278" s="14"/>
      <c r="BO278" s="10"/>
      <c r="BP278" s="71"/>
      <c r="BQ278" s="71"/>
    </row>
    <row r="279" spans="1:69" ht="19.5">
      <c r="A279" s="204" t="s">
        <v>182</v>
      </c>
      <c r="D279" s="49"/>
      <c r="F279" s="8"/>
      <c r="G279" s="51"/>
      <c r="H279" s="8"/>
      <c r="J279" s="49"/>
      <c r="K279" s="49"/>
      <c r="M279" s="49"/>
      <c r="O279" s="73"/>
      <c r="Q279" s="49"/>
      <c r="S279" s="73"/>
      <c r="V279" s="9"/>
      <c r="X279" s="8"/>
      <c r="Y279" s="9"/>
      <c r="AC279" s="9"/>
      <c r="AD279" s="9"/>
      <c r="AF279" s="9"/>
      <c r="AH279" s="8"/>
      <c r="AI279" s="9"/>
      <c r="AK279" s="9"/>
      <c r="AL279" s="8"/>
      <c r="AM279" s="9"/>
      <c r="AN279" s="9"/>
      <c r="AP279" s="74"/>
      <c r="AQ279" s="218"/>
      <c r="AR279" s="219"/>
      <c r="AS279" s="74"/>
      <c r="AT279" s="220"/>
      <c r="AU279" s="74"/>
      <c r="AV279" s="173"/>
      <c r="AW279" s="76"/>
      <c r="AX279" s="74"/>
      <c r="AY279" s="218"/>
      <c r="AZ279" s="219"/>
      <c r="BA279" s="74"/>
      <c r="BB279" s="220"/>
      <c r="BC279" s="74"/>
      <c r="BD279" s="173"/>
      <c r="BF279" s="10"/>
      <c r="BG279" s="11"/>
      <c r="BH279" s="14"/>
      <c r="BI279" s="10"/>
      <c r="BJ279" s="71"/>
      <c r="BL279" s="10"/>
      <c r="BN279" s="14"/>
      <c r="BO279" s="10"/>
      <c r="BP279" s="71"/>
      <c r="BQ279" s="71"/>
    </row>
    <row r="280" spans="1:69" ht="18">
      <c r="A280" s="151" t="s">
        <v>183</v>
      </c>
      <c r="D280" s="49"/>
      <c r="F280" s="8"/>
      <c r="G280" s="51"/>
      <c r="H280" s="8"/>
      <c r="J280" s="49"/>
      <c r="K280" s="49"/>
      <c r="M280" s="49"/>
      <c r="O280" s="73"/>
      <c r="Q280" s="49"/>
      <c r="S280" s="73"/>
      <c r="V280" s="9"/>
      <c r="X280" s="8"/>
      <c r="Y280" s="9"/>
      <c r="AC280" s="9"/>
      <c r="AD280" s="9"/>
      <c r="AF280" s="9"/>
      <c r="AH280" s="8"/>
      <c r="AI280" s="9"/>
      <c r="AK280" s="9"/>
      <c r="AL280" s="8"/>
      <c r="AM280" s="9"/>
      <c r="AN280" s="9"/>
      <c r="AP280" s="74"/>
      <c r="AQ280" s="218"/>
      <c r="AR280" s="219"/>
      <c r="AS280" s="74"/>
      <c r="AT280" s="220"/>
      <c r="AU280" s="74"/>
      <c r="AV280" s="173"/>
      <c r="AW280" s="76"/>
      <c r="AX280" s="74"/>
      <c r="AY280" s="218"/>
      <c r="AZ280" s="219"/>
      <c r="BA280" s="74"/>
      <c r="BB280" s="220"/>
      <c r="BC280" s="74"/>
      <c r="BD280" s="173"/>
      <c r="BF280" s="10"/>
      <c r="BG280" s="11"/>
      <c r="BH280" s="14"/>
      <c r="BI280" s="10"/>
      <c r="BJ280" s="71"/>
      <c r="BL280" s="10"/>
      <c r="BN280" s="14">
        <v>21</v>
      </c>
      <c r="BO280" s="10">
        <v>1546861</v>
      </c>
      <c r="BP280" s="71"/>
      <c r="BQ280" s="71"/>
    </row>
    <row r="281" spans="1:69" ht="18">
      <c r="A281" s="151" t="s">
        <v>248</v>
      </c>
      <c r="D281" s="49"/>
      <c r="F281" s="8"/>
      <c r="G281" s="51"/>
      <c r="H281" s="8"/>
      <c r="J281" s="49"/>
      <c r="K281" s="49"/>
      <c r="M281" s="49"/>
      <c r="O281" s="73"/>
      <c r="Q281" s="49"/>
      <c r="S281" s="73"/>
      <c r="V281" s="9"/>
      <c r="X281" s="8"/>
      <c r="Y281" s="9"/>
      <c r="AC281" s="9"/>
      <c r="AD281" s="9"/>
      <c r="AF281" s="9"/>
      <c r="AH281" s="8"/>
      <c r="AI281" s="9"/>
      <c r="AK281" s="9"/>
      <c r="AL281" s="8"/>
      <c r="AM281" s="9"/>
      <c r="AN281" s="9"/>
      <c r="AP281" s="74"/>
      <c r="AQ281" s="218"/>
      <c r="AR281" s="219"/>
      <c r="AS281" s="74"/>
      <c r="AT281" s="220"/>
      <c r="AU281" s="74"/>
      <c r="AV281" s="173"/>
      <c r="AW281" s="76"/>
      <c r="AX281" s="74"/>
      <c r="AY281" s="218"/>
      <c r="AZ281" s="219"/>
      <c r="BA281" s="74"/>
      <c r="BB281" s="220"/>
      <c r="BC281" s="74"/>
      <c r="BD281" s="173"/>
      <c r="BF281" s="10"/>
      <c r="BG281" s="11"/>
      <c r="BH281" s="14" t="s">
        <v>220</v>
      </c>
      <c r="BI281" s="10"/>
      <c r="BJ281" s="71"/>
      <c r="BL281" s="10"/>
      <c r="BN281" s="14" t="s">
        <v>220</v>
      </c>
      <c r="BO281" s="10">
        <v>-7806</v>
      </c>
      <c r="BP281" s="71"/>
      <c r="BQ281" s="71"/>
    </row>
    <row r="282" spans="1:69" ht="18">
      <c r="A282" s="151"/>
      <c r="D282" s="49"/>
      <c r="F282" s="8"/>
      <c r="G282" s="51"/>
      <c r="H282" s="8"/>
      <c r="J282" s="49"/>
      <c r="K282" s="49"/>
      <c r="M282" s="49"/>
      <c r="O282" s="73"/>
      <c r="Q282" s="49"/>
      <c r="S282" s="73"/>
      <c r="V282" s="9"/>
      <c r="X282" s="8"/>
      <c r="Y282" s="9"/>
      <c r="AC282" s="9"/>
      <c r="AD282" s="9"/>
      <c r="AF282" s="9"/>
      <c r="AH282" s="8"/>
      <c r="AI282" s="9"/>
      <c r="AK282" s="9"/>
      <c r="AL282" s="8"/>
      <c r="AM282" s="9"/>
      <c r="AN282" s="9"/>
      <c r="AP282" s="74"/>
      <c r="AQ282" s="218"/>
      <c r="AR282" s="219"/>
      <c r="AS282" s="74"/>
      <c r="AT282" s="220"/>
      <c r="AU282" s="74"/>
      <c r="AV282" s="173"/>
      <c r="AW282" s="76"/>
      <c r="AX282" s="74"/>
      <c r="AY282" s="218"/>
      <c r="AZ282" s="219"/>
      <c r="BA282" s="74"/>
      <c r="BB282" s="220"/>
      <c r="BC282" s="74"/>
      <c r="BD282" s="173"/>
      <c r="BF282" s="10"/>
      <c r="BG282" s="11"/>
      <c r="BH282" s="14"/>
      <c r="BI282" s="10"/>
      <c r="BJ282" s="71"/>
      <c r="BL282" s="10"/>
      <c r="BN282" s="14"/>
      <c r="BO282" s="10"/>
      <c r="BP282" s="71"/>
      <c r="BQ282" s="71"/>
    </row>
    <row r="283" spans="1:69" ht="18">
      <c r="A283" s="151" t="s">
        <v>120</v>
      </c>
      <c r="D283" s="49"/>
      <c r="F283" s="8"/>
      <c r="G283" s="51"/>
      <c r="H283" s="8"/>
      <c r="J283" s="49"/>
      <c r="K283" s="49"/>
      <c r="M283" s="49"/>
      <c r="O283" s="73"/>
      <c r="Q283" s="49"/>
      <c r="S283" s="73"/>
      <c r="V283" s="9"/>
      <c r="X283" s="8"/>
      <c r="Y283" s="9"/>
      <c r="AC283" s="9"/>
      <c r="AD283" s="9"/>
      <c r="AF283" s="9"/>
      <c r="AH283" s="8"/>
      <c r="AI283" s="9"/>
      <c r="AK283" s="9"/>
      <c r="AL283" s="8"/>
      <c r="AM283" s="9"/>
      <c r="AN283" s="9"/>
      <c r="AP283" s="74"/>
      <c r="AQ283" s="218"/>
      <c r="AR283" s="219"/>
      <c r="AS283" s="74"/>
      <c r="AT283" s="220"/>
      <c r="AU283" s="74"/>
      <c r="AV283" s="173"/>
      <c r="AW283" s="76"/>
      <c r="AX283" s="74"/>
      <c r="AY283" s="218"/>
      <c r="AZ283" s="219"/>
      <c r="BA283" s="74"/>
      <c r="BB283" s="220"/>
      <c r="BC283" s="74"/>
      <c r="BD283" s="173"/>
      <c r="BF283" s="10"/>
      <c r="BG283" s="11"/>
      <c r="BH283" s="14"/>
      <c r="BI283" s="10">
        <v>0</v>
      </c>
      <c r="BJ283" s="71"/>
      <c r="BL283" s="10"/>
      <c r="BN283" s="158" t="s">
        <v>186</v>
      </c>
      <c r="BO283" s="10">
        <v>0</v>
      </c>
      <c r="BP283" s="71"/>
      <c r="BQ283" s="71"/>
    </row>
    <row r="284" spans="1:69" ht="18">
      <c r="A284" s="151"/>
      <c r="D284" s="49"/>
      <c r="F284" s="8"/>
      <c r="G284" s="51"/>
      <c r="H284" s="8"/>
      <c r="J284" s="49"/>
      <c r="K284" s="49"/>
      <c r="M284" s="49"/>
      <c r="O284" s="73"/>
      <c r="Q284" s="49"/>
      <c r="S284" s="73"/>
      <c r="V284" s="9"/>
      <c r="X284" s="8"/>
      <c r="Y284" s="9"/>
      <c r="AC284" s="9"/>
      <c r="AD284" s="9"/>
      <c r="AF284" s="9"/>
      <c r="AH284" s="8"/>
      <c r="AI284" s="9"/>
      <c r="AK284" s="9"/>
      <c r="AL284" s="8"/>
      <c r="AM284" s="9"/>
      <c r="AN284" s="9"/>
      <c r="AP284" s="74"/>
      <c r="AQ284" s="218"/>
      <c r="AR284" s="219"/>
      <c r="AS284" s="74"/>
      <c r="AT284" s="220"/>
      <c r="AU284" s="74"/>
      <c r="AV284" s="173"/>
      <c r="AW284" s="76"/>
      <c r="AX284" s="74"/>
      <c r="AY284" s="218"/>
      <c r="AZ284" s="219"/>
      <c r="BA284" s="74"/>
      <c r="BB284" s="220"/>
      <c r="BC284" s="74"/>
      <c r="BD284" s="173"/>
      <c r="BF284" s="10"/>
      <c r="BG284" s="11"/>
      <c r="BH284" s="14"/>
      <c r="BI284" s="10"/>
      <c r="BJ284" s="71"/>
      <c r="BL284" s="10"/>
      <c r="BN284" s="14"/>
      <c r="BO284" s="10"/>
      <c r="BP284" s="71"/>
      <c r="BQ284" s="71"/>
    </row>
    <row r="285" spans="1:69" ht="18">
      <c r="A285" s="151" t="s">
        <v>225</v>
      </c>
      <c r="D285" s="49"/>
      <c r="F285" s="8"/>
      <c r="G285" s="51"/>
      <c r="H285" s="8"/>
      <c r="J285" s="49"/>
      <c r="K285" s="49"/>
      <c r="M285" s="49"/>
      <c r="O285" s="73"/>
      <c r="Q285" s="49"/>
      <c r="S285" s="73"/>
      <c r="V285" s="9"/>
      <c r="X285" s="8"/>
      <c r="Y285" s="9"/>
      <c r="AC285" s="9"/>
      <c r="AD285" s="9"/>
      <c r="AF285" s="9"/>
      <c r="AH285" s="8"/>
      <c r="AI285" s="9"/>
      <c r="AK285" s="9"/>
      <c r="AL285" s="8"/>
      <c r="AM285" s="9"/>
      <c r="AN285" s="9"/>
      <c r="AP285" s="74"/>
      <c r="AQ285" s="218"/>
      <c r="AR285" s="219"/>
      <c r="AS285" s="74"/>
      <c r="AT285" s="50"/>
      <c r="AU285" s="74"/>
      <c r="AV285" s="74"/>
      <c r="AW285" s="76"/>
      <c r="AX285" s="74"/>
      <c r="AY285" s="218"/>
      <c r="AZ285" s="219"/>
      <c r="BA285" s="74"/>
      <c r="BB285" s="50"/>
      <c r="BC285" s="74"/>
      <c r="BD285" s="74"/>
      <c r="BF285" s="10"/>
      <c r="BG285" s="11"/>
      <c r="BH285" s="61">
        <v>80</v>
      </c>
      <c r="BI285" s="10">
        <v>0</v>
      </c>
      <c r="BJ285" s="10">
        <f t="shared" ref="BJ285" si="244">+BI285-BC285</f>
        <v>0</v>
      </c>
      <c r="BL285" s="10"/>
      <c r="BN285" s="14"/>
      <c r="BO285" s="10">
        <v>0</v>
      </c>
      <c r="BP285" s="10">
        <f t="shared" ref="BP285" si="245">+BO285-BI285</f>
        <v>0</v>
      </c>
      <c r="BQ285" s="10"/>
    </row>
    <row r="286" spans="1:69" ht="18">
      <c r="A286" s="151"/>
      <c r="D286" s="49"/>
      <c r="F286" s="8"/>
      <c r="G286" s="51"/>
      <c r="H286" s="8"/>
      <c r="J286" s="49"/>
      <c r="K286" s="49"/>
      <c r="M286" s="49"/>
      <c r="O286" s="73"/>
      <c r="Q286" s="49"/>
      <c r="S286" s="73"/>
      <c r="V286" s="9"/>
      <c r="X286" s="8"/>
      <c r="Y286" s="9"/>
      <c r="AC286" s="9"/>
      <c r="AD286" s="9"/>
      <c r="AF286" s="9"/>
      <c r="AH286" s="8"/>
      <c r="AI286" s="9"/>
      <c r="AK286" s="9"/>
      <c r="AL286" s="8"/>
      <c r="AM286" s="9"/>
      <c r="AN286" s="9"/>
      <c r="AP286" s="74"/>
      <c r="AQ286" s="218"/>
      <c r="AR286" s="219"/>
      <c r="AS286" s="74"/>
      <c r="AT286" s="220"/>
      <c r="AU286" s="74"/>
      <c r="AV286" s="173"/>
      <c r="AW286" s="76"/>
      <c r="AX286" s="74"/>
      <c r="AY286" s="218"/>
      <c r="AZ286" s="219"/>
      <c r="BA286" s="74"/>
      <c r="BB286" s="220"/>
      <c r="BC286" s="74"/>
      <c r="BD286" s="173"/>
      <c r="BF286" s="10"/>
      <c r="BG286" s="11"/>
      <c r="BH286" s="14"/>
      <c r="BI286" s="10"/>
      <c r="BJ286" s="71"/>
      <c r="BL286" s="10"/>
      <c r="BN286" s="14"/>
      <c r="BO286" s="10"/>
      <c r="BP286" s="71"/>
      <c r="BQ286" s="71"/>
    </row>
    <row r="287" spans="1:69" ht="18">
      <c r="A287" s="151" t="s">
        <v>254</v>
      </c>
      <c r="D287" s="49"/>
      <c r="F287" s="8"/>
      <c r="G287" s="51"/>
      <c r="H287" s="8"/>
      <c r="J287" s="49"/>
      <c r="K287" s="49"/>
      <c r="M287" s="49"/>
      <c r="O287" s="73"/>
      <c r="Q287" s="49"/>
      <c r="S287" s="73"/>
      <c r="V287" s="9"/>
      <c r="X287" s="8"/>
      <c r="Y287" s="9"/>
      <c r="AC287" s="9"/>
      <c r="AD287" s="9"/>
      <c r="AF287" s="9"/>
      <c r="AH287" s="8"/>
      <c r="AI287" s="9"/>
      <c r="AK287" s="9"/>
      <c r="AL287" s="8"/>
      <c r="AM287" s="9"/>
      <c r="AN287" s="9"/>
      <c r="AP287" s="74"/>
      <c r="AQ287" s="218"/>
      <c r="AR287" s="219"/>
      <c r="AS287" s="74"/>
      <c r="AT287" s="220"/>
      <c r="AU287" s="74"/>
      <c r="AV287" s="173"/>
      <c r="AW287" s="76"/>
      <c r="AX287" s="74"/>
      <c r="AY287" s="218"/>
      <c r="AZ287" s="219"/>
      <c r="BA287" s="74"/>
      <c r="BB287" s="220"/>
      <c r="BC287" s="74"/>
      <c r="BD287" s="173"/>
      <c r="BF287" s="10"/>
      <c r="BG287" s="11"/>
      <c r="BH287" s="14"/>
      <c r="BI287" s="10"/>
      <c r="BJ287" s="71"/>
      <c r="BL287" s="10"/>
      <c r="BN287" s="14">
        <v>15</v>
      </c>
      <c r="BO287" s="10">
        <v>0</v>
      </c>
      <c r="BP287" s="71"/>
      <c r="BQ287" s="71"/>
    </row>
    <row r="288" spans="1:69" ht="18">
      <c r="A288" s="151" t="s">
        <v>255</v>
      </c>
      <c r="D288" s="49"/>
      <c r="F288" s="8"/>
      <c r="G288" s="51"/>
      <c r="H288" s="8"/>
      <c r="J288" s="49"/>
      <c r="K288" s="49"/>
      <c r="M288" s="49"/>
      <c r="O288" s="73"/>
      <c r="Q288" s="49"/>
      <c r="S288" s="73"/>
      <c r="V288" s="9"/>
      <c r="X288" s="8"/>
      <c r="Y288" s="9"/>
      <c r="AC288" s="9"/>
      <c r="AD288" s="9"/>
      <c r="AF288" s="9"/>
      <c r="AH288" s="8"/>
      <c r="AI288" s="9"/>
      <c r="AK288" s="9"/>
      <c r="AL288" s="8"/>
      <c r="AM288" s="9"/>
      <c r="AN288" s="9"/>
      <c r="AP288" s="74"/>
      <c r="AQ288" s="218"/>
      <c r="AR288" s="219"/>
      <c r="AS288" s="74"/>
      <c r="AT288" s="220"/>
      <c r="AU288" s="74"/>
      <c r="AV288" s="173"/>
      <c r="AW288" s="76"/>
      <c r="AX288" s="74"/>
      <c r="AY288" s="218"/>
      <c r="AZ288" s="219"/>
      <c r="BA288" s="74"/>
      <c r="BB288" s="220"/>
      <c r="BC288" s="74"/>
      <c r="BD288" s="173"/>
      <c r="BF288" s="10"/>
      <c r="BG288" s="11"/>
      <c r="BH288" s="14"/>
      <c r="BI288" s="10"/>
      <c r="BJ288" s="71"/>
      <c r="BL288" s="10"/>
      <c r="BN288" s="14"/>
      <c r="BO288" s="10"/>
      <c r="BP288" s="71"/>
      <c r="BQ288" s="71"/>
    </row>
    <row r="289" spans="1:69" ht="18">
      <c r="A289" s="155" t="s">
        <v>223</v>
      </c>
      <c r="D289" s="49"/>
      <c r="F289" s="8"/>
      <c r="G289" s="51"/>
      <c r="H289" s="8"/>
      <c r="J289" s="49"/>
      <c r="K289" s="49"/>
      <c r="M289" s="49"/>
      <c r="O289" s="73"/>
      <c r="Q289" s="49"/>
      <c r="S289" s="73"/>
      <c r="V289" s="9"/>
      <c r="X289" s="8"/>
      <c r="Y289" s="9"/>
      <c r="AC289" s="9"/>
      <c r="AD289" s="9"/>
      <c r="AF289" s="9"/>
      <c r="AH289" s="8"/>
      <c r="AI289" s="9"/>
      <c r="AK289" s="9"/>
      <c r="AL289" s="8"/>
      <c r="AM289" s="9"/>
      <c r="AN289" s="9"/>
      <c r="AP289" s="74"/>
      <c r="AQ289" s="218"/>
      <c r="AR289" s="219"/>
      <c r="AS289" s="74"/>
      <c r="AT289" s="220"/>
      <c r="AU289" s="74"/>
      <c r="AV289" s="74"/>
      <c r="AW289" s="76"/>
      <c r="AX289" s="74"/>
      <c r="AY289" s="218"/>
      <c r="AZ289" s="219"/>
      <c r="BA289" s="74"/>
      <c r="BB289" s="220"/>
      <c r="BC289" s="74"/>
      <c r="BD289" s="74"/>
      <c r="BF289" s="10"/>
      <c r="BG289" s="11"/>
      <c r="BH289" s="14">
        <v>81</v>
      </c>
      <c r="BI289" s="10">
        <v>0</v>
      </c>
      <c r="BJ289" s="10">
        <f t="shared" ref="BJ289" si="246">+BI289-BC289</f>
        <v>0</v>
      </c>
      <c r="BL289" s="10"/>
      <c r="BN289" s="14" t="s">
        <v>191</v>
      </c>
      <c r="BO289" s="10"/>
      <c r="BP289" s="10">
        <f t="shared" ref="BP289" si="247">+BO289-BI289</f>
        <v>0</v>
      </c>
      <c r="BQ289" s="10"/>
    </row>
    <row r="290" spans="1:69" ht="18">
      <c r="A290" s="151"/>
      <c r="D290" s="49"/>
      <c r="F290" s="8"/>
      <c r="G290" s="51"/>
      <c r="H290" s="8"/>
      <c r="J290" s="49"/>
      <c r="K290" s="49"/>
      <c r="M290" s="49"/>
      <c r="O290" s="73"/>
      <c r="Q290" s="49"/>
      <c r="S290" s="73"/>
      <c r="V290" s="9"/>
      <c r="X290" s="8"/>
      <c r="Y290" s="9"/>
      <c r="AC290" s="9"/>
      <c r="AD290" s="9"/>
      <c r="AF290" s="9"/>
      <c r="AH290" s="8"/>
      <c r="AI290" s="9"/>
      <c r="AK290" s="9"/>
      <c r="AL290" s="8"/>
      <c r="AM290" s="9"/>
      <c r="AN290" s="9"/>
      <c r="AP290" s="74"/>
      <c r="AQ290" s="218"/>
      <c r="AR290" s="219"/>
      <c r="AS290" s="74"/>
      <c r="AT290" s="220"/>
      <c r="AU290" s="74"/>
      <c r="AV290" s="173"/>
      <c r="AW290" s="76"/>
      <c r="AX290" s="74"/>
      <c r="AY290" s="218"/>
      <c r="AZ290" s="219"/>
      <c r="BA290" s="74"/>
      <c r="BB290" s="220"/>
      <c r="BC290" s="74"/>
      <c r="BD290" s="173"/>
      <c r="BF290" s="10"/>
      <c r="BG290" s="11"/>
      <c r="BH290" s="14"/>
      <c r="BI290" s="10"/>
      <c r="BJ290" s="71"/>
      <c r="BL290" s="10"/>
      <c r="BN290" s="14"/>
      <c r="BO290" s="10"/>
      <c r="BP290" s="71"/>
      <c r="BQ290" s="71"/>
    </row>
    <row r="291" spans="1:69" ht="18">
      <c r="A291" s="151" t="s">
        <v>256</v>
      </c>
      <c r="D291" s="49"/>
      <c r="F291" s="8"/>
      <c r="G291" s="51"/>
      <c r="H291" s="8"/>
      <c r="J291" s="49"/>
      <c r="K291" s="49"/>
      <c r="M291" s="49"/>
      <c r="O291" s="73"/>
      <c r="Q291" s="49"/>
      <c r="S291" s="73"/>
      <c r="V291" s="9"/>
      <c r="X291" s="8"/>
      <c r="Y291" s="9"/>
      <c r="AC291" s="9"/>
      <c r="AD291" s="9"/>
      <c r="AF291" s="9"/>
      <c r="AH291" s="8"/>
      <c r="AI291" s="9"/>
      <c r="AK291" s="9"/>
      <c r="AL291" s="8"/>
      <c r="AM291" s="9"/>
      <c r="AN291" s="9"/>
      <c r="AP291" s="74"/>
      <c r="AQ291" s="218"/>
      <c r="AR291" s="219"/>
      <c r="AS291" s="74"/>
      <c r="AT291" s="220"/>
      <c r="AU291" s="74"/>
      <c r="AV291" s="173"/>
      <c r="AW291" s="76"/>
      <c r="AX291" s="74"/>
      <c r="AY291" s="218"/>
      <c r="AZ291" s="219"/>
      <c r="BA291" s="74"/>
      <c r="BB291" s="220"/>
      <c r="BC291" s="74"/>
      <c r="BD291" s="173"/>
      <c r="BF291" s="10"/>
      <c r="BG291" s="11"/>
      <c r="BH291" s="14"/>
      <c r="BI291" s="10"/>
      <c r="BJ291" s="71"/>
      <c r="BL291" s="10"/>
      <c r="BN291" s="14" t="s">
        <v>194</v>
      </c>
      <c r="BO291" s="10">
        <v>-36623</v>
      </c>
      <c r="BP291" s="71"/>
      <c r="BQ291" s="71"/>
    </row>
    <row r="292" spans="1:69" ht="18">
      <c r="A292" s="151"/>
      <c r="D292" s="49"/>
      <c r="F292" s="8"/>
      <c r="G292" s="51"/>
      <c r="H292" s="8"/>
      <c r="J292" s="49"/>
      <c r="K292" s="49"/>
      <c r="M292" s="49"/>
      <c r="O292" s="73"/>
      <c r="Q292" s="49"/>
      <c r="S292" s="73"/>
      <c r="V292" s="9"/>
      <c r="X292" s="8"/>
      <c r="Y292" s="9"/>
      <c r="AC292" s="9"/>
      <c r="AD292" s="9"/>
      <c r="AF292" s="9"/>
      <c r="AH292" s="8"/>
      <c r="AI292" s="9"/>
      <c r="AK292" s="9"/>
      <c r="AL292" s="8"/>
      <c r="AM292" s="9"/>
      <c r="AN292" s="9"/>
      <c r="AP292" s="74"/>
      <c r="AQ292" s="218"/>
      <c r="AR292" s="219"/>
      <c r="AS292" s="74"/>
      <c r="AT292" s="220"/>
      <c r="AU292" s="74"/>
      <c r="AV292" s="173"/>
      <c r="AW292" s="76"/>
      <c r="AX292" s="74"/>
      <c r="AY292" s="218"/>
      <c r="AZ292" s="219"/>
      <c r="BA292" s="74"/>
      <c r="BB292" s="220"/>
      <c r="BC292" s="74"/>
      <c r="BD292" s="173"/>
      <c r="BF292" s="10"/>
      <c r="BG292" s="11"/>
      <c r="BH292" s="14"/>
      <c r="BI292" s="10"/>
      <c r="BJ292" s="71"/>
      <c r="BL292" s="10"/>
      <c r="BN292" s="14"/>
      <c r="BO292" s="10"/>
      <c r="BP292" s="71"/>
      <c r="BQ292" s="71"/>
    </row>
    <row r="293" spans="1:69" ht="18">
      <c r="A293" s="151" t="s">
        <v>197</v>
      </c>
      <c r="D293" s="49"/>
      <c r="F293" s="8"/>
      <c r="G293" s="51"/>
      <c r="H293" s="8"/>
      <c r="J293" s="49"/>
      <c r="K293" s="49"/>
      <c r="M293" s="49"/>
      <c r="O293" s="73"/>
      <c r="Q293" s="49"/>
      <c r="S293" s="73"/>
      <c r="V293" s="9"/>
      <c r="X293" s="8"/>
      <c r="Y293" s="9"/>
      <c r="AC293" s="9"/>
      <c r="AD293" s="9"/>
      <c r="AF293" s="9"/>
      <c r="AH293" s="8"/>
      <c r="AI293" s="9"/>
      <c r="AK293" s="9"/>
      <c r="AL293" s="8"/>
      <c r="AM293" s="9"/>
      <c r="AN293" s="9"/>
      <c r="AP293" s="74"/>
      <c r="AQ293" s="218"/>
      <c r="AR293" s="219"/>
      <c r="AS293" s="74"/>
      <c r="AT293" s="220"/>
      <c r="AU293" s="74"/>
      <c r="AV293" s="74"/>
      <c r="AW293" s="76"/>
      <c r="AX293" s="74"/>
      <c r="AY293" s="218"/>
      <c r="AZ293" s="219"/>
      <c r="BA293" s="74"/>
      <c r="BB293" s="220"/>
      <c r="BC293" s="74"/>
      <c r="BD293" s="74"/>
      <c r="BF293" s="10"/>
      <c r="BG293" s="11"/>
      <c r="BH293" s="14">
        <v>58</v>
      </c>
      <c r="BI293" s="10">
        <v>0</v>
      </c>
      <c r="BJ293" s="10">
        <f t="shared" ref="BJ293" si="248">+BI293-BC293</f>
        <v>0</v>
      </c>
      <c r="BL293" s="10"/>
      <c r="BN293" s="14">
        <v>20</v>
      </c>
      <c r="BO293" s="10">
        <v>-1350000</v>
      </c>
      <c r="BP293" s="10">
        <f t="shared" ref="BP293" si="249">+BO293-BI293</f>
        <v>-1350000</v>
      </c>
      <c r="BQ293" s="10"/>
    </row>
    <row r="294" spans="1:69" ht="18">
      <c r="A294" s="151"/>
      <c r="D294" s="49"/>
      <c r="F294" s="8"/>
      <c r="G294" s="51"/>
      <c r="H294" s="8"/>
      <c r="J294" s="49"/>
      <c r="K294" s="49"/>
      <c r="M294" s="49"/>
      <c r="O294" s="73"/>
      <c r="Q294" s="49"/>
      <c r="S294" s="73"/>
      <c r="V294" s="9"/>
      <c r="X294" s="8"/>
      <c r="Y294" s="9"/>
      <c r="AC294" s="9"/>
      <c r="AD294" s="9"/>
      <c r="AF294" s="9"/>
      <c r="AH294" s="8"/>
      <c r="AI294" s="9"/>
      <c r="AK294" s="9"/>
      <c r="AL294" s="8"/>
      <c r="AM294" s="9"/>
      <c r="AN294" s="9"/>
      <c r="AP294" s="74"/>
      <c r="AQ294" s="218"/>
      <c r="AR294" s="219"/>
      <c r="AS294" s="74"/>
      <c r="AT294" s="220"/>
      <c r="AU294" s="74"/>
      <c r="AV294" s="173"/>
      <c r="AW294" s="76"/>
      <c r="AX294" s="74"/>
      <c r="AY294" s="218"/>
      <c r="AZ294" s="219"/>
      <c r="BA294" s="74"/>
      <c r="BB294" s="220"/>
      <c r="BC294" s="74"/>
      <c r="BD294" s="173"/>
      <c r="BF294" s="10"/>
      <c r="BG294" s="11"/>
      <c r="BH294" s="14"/>
      <c r="BI294" s="10"/>
      <c r="BJ294" s="71"/>
      <c r="BL294" s="10"/>
      <c r="BN294" s="14"/>
      <c r="BO294" s="10"/>
      <c r="BP294" s="71"/>
      <c r="BQ294" s="71"/>
    </row>
    <row r="295" spans="1:69" ht="19.5">
      <c r="A295" s="204" t="s">
        <v>177</v>
      </c>
      <c r="D295" s="49"/>
      <c r="F295" s="8"/>
      <c r="G295" s="51"/>
      <c r="H295" s="8"/>
      <c r="J295" s="49"/>
      <c r="K295" s="49"/>
      <c r="M295" s="49"/>
      <c r="O295" s="73"/>
      <c r="Q295" s="49"/>
      <c r="S295" s="73"/>
      <c r="V295" s="9"/>
      <c r="X295" s="8"/>
      <c r="Y295" s="9"/>
      <c r="AC295" s="9"/>
      <c r="AD295" s="9"/>
      <c r="AF295" s="9"/>
      <c r="AH295" s="8"/>
      <c r="AI295" s="9"/>
      <c r="AK295" s="9"/>
      <c r="AL295" s="8"/>
      <c r="AM295" s="9"/>
      <c r="AN295" s="9"/>
      <c r="AP295" s="74"/>
      <c r="AQ295" s="218"/>
      <c r="AR295" s="219"/>
      <c r="AS295" s="74"/>
      <c r="AT295" s="220"/>
      <c r="AU295" s="74"/>
      <c r="AV295" s="173"/>
      <c r="AW295" s="76"/>
      <c r="AX295" s="74"/>
      <c r="AY295" s="218"/>
      <c r="AZ295" s="219"/>
      <c r="BA295" s="74"/>
      <c r="BB295" s="220"/>
      <c r="BC295" s="74"/>
      <c r="BD295" s="173"/>
      <c r="BF295" s="10"/>
      <c r="BG295" s="11"/>
      <c r="BH295" s="14"/>
      <c r="BI295" s="10"/>
      <c r="BJ295" s="71"/>
      <c r="BL295" s="10"/>
      <c r="BN295" s="14"/>
      <c r="BO295" s="10"/>
      <c r="BP295" s="71"/>
      <c r="BQ295" s="71"/>
    </row>
    <row r="296" spans="1:69" ht="18">
      <c r="A296" s="151"/>
      <c r="D296" s="49"/>
      <c r="F296" s="8"/>
      <c r="G296" s="51"/>
      <c r="H296" s="8"/>
      <c r="J296" s="49"/>
      <c r="K296" s="49"/>
      <c r="M296" s="49"/>
      <c r="O296" s="73"/>
      <c r="Q296" s="49"/>
      <c r="S296" s="73"/>
      <c r="V296" s="9"/>
      <c r="X296" s="8"/>
      <c r="Y296" s="9"/>
      <c r="AC296" s="9"/>
      <c r="AD296" s="9"/>
      <c r="AF296" s="9"/>
      <c r="AH296" s="8"/>
      <c r="AI296" s="9"/>
      <c r="AK296" s="9"/>
      <c r="AL296" s="8"/>
      <c r="AM296" s="9"/>
      <c r="AN296" s="9"/>
      <c r="AP296" s="74"/>
      <c r="AQ296" s="218"/>
      <c r="AR296" s="219"/>
      <c r="AS296" s="74"/>
      <c r="AT296" s="220"/>
      <c r="AU296" s="74"/>
      <c r="AV296" s="173"/>
      <c r="AW296" s="76"/>
      <c r="AX296" s="74"/>
      <c r="AY296" s="218"/>
      <c r="AZ296" s="219"/>
      <c r="BA296" s="74"/>
      <c r="BB296" s="220"/>
      <c r="BC296" s="74"/>
      <c r="BD296" s="173"/>
      <c r="BF296" s="10"/>
      <c r="BG296" s="11"/>
      <c r="BH296" s="14"/>
      <c r="BI296" s="10"/>
      <c r="BJ296" s="71"/>
      <c r="BL296" s="10"/>
      <c r="BN296" s="14"/>
      <c r="BO296" s="10"/>
      <c r="BP296" s="71"/>
      <c r="BQ296" s="71"/>
    </row>
    <row r="297" spans="1:69" ht="18">
      <c r="A297" s="151" t="s">
        <v>255</v>
      </c>
      <c r="D297" s="49"/>
      <c r="F297" s="8"/>
      <c r="G297" s="51"/>
      <c r="H297" s="8"/>
      <c r="J297" s="49"/>
      <c r="K297" s="49"/>
      <c r="M297" s="49"/>
      <c r="O297" s="73"/>
      <c r="Q297" s="49"/>
      <c r="S297" s="73"/>
      <c r="V297" s="9"/>
      <c r="X297" s="8"/>
      <c r="Y297" s="9"/>
      <c r="AC297" s="9"/>
      <c r="AD297" s="9"/>
      <c r="AF297" s="9"/>
      <c r="AH297" s="8"/>
      <c r="AI297" s="9"/>
      <c r="AK297" s="9"/>
      <c r="AL297" s="8"/>
      <c r="AM297" s="9"/>
      <c r="AN297" s="9"/>
      <c r="AP297" s="74"/>
      <c r="AQ297" s="218"/>
      <c r="AR297" s="219"/>
      <c r="AS297" s="74"/>
      <c r="AT297" s="54"/>
      <c r="AU297" s="74"/>
      <c r="AV297" s="74"/>
      <c r="AW297" s="76"/>
      <c r="AX297" s="74"/>
      <c r="AY297" s="218"/>
      <c r="AZ297" s="219"/>
      <c r="BA297" s="74"/>
      <c r="BB297" s="54"/>
      <c r="BC297" s="74"/>
      <c r="BD297" s="74"/>
      <c r="BF297" s="10"/>
      <c r="BG297" s="11"/>
      <c r="BH297" s="62">
        <v>58</v>
      </c>
      <c r="BI297" s="10">
        <v>0</v>
      </c>
      <c r="BJ297" s="10">
        <f t="shared" ref="BJ297" si="250">+BI297-BC297</f>
        <v>0</v>
      </c>
      <c r="BL297" s="10"/>
      <c r="BN297" s="14">
        <v>16</v>
      </c>
      <c r="BO297" s="10">
        <v>37898</v>
      </c>
      <c r="BP297" s="10">
        <f t="shared" ref="BP297" si="251">+BO297-BI297</f>
        <v>37898</v>
      </c>
      <c r="BQ297" s="10"/>
    </row>
    <row r="298" spans="1:69" ht="18">
      <c r="A298" s="151"/>
      <c r="D298" s="49"/>
      <c r="F298" s="8"/>
      <c r="G298" s="51"/>
      <c r="H298" s="8"/>
      <c r="J298" s="49"/>
      <c r="K298" s="49"/>
      <c r="M298" s="49"/>
      <c r="O298" s="73"/>
      <c r="Q298" s="49"/>
      <c r="S298" s="73"/>
      <c r="V298" s="9"/>
      <c r="X298" s="8"/>
      <c r="Y298" s="9"/>
      <c r="AC298" s="9"/>
      <c r="AD298" s="9"/>
      <c r="AF298" s="9"/>
      <c r="AH298" s="8"/>
      <c r="AI298" s="9"/>
      <c r="AK298" s="9"/>
      <c r="AL298" s="8"/>
      <c r="AM298" s="9"/>
      <c r="AN298" s="9"/>
      <c r="AP298" s="74"/>
      <c r="AQ298" s="218"/>
      <c r="AR298" s="219"/>
      <c r="AS298" s="74"/>
      <c r="AT298" s="220"/>
      <c r="AU298" s="74"/>
      <c r="AV298" s="173"/>
      <c r="AW298" s="76"/>
      <c r="AX298" s="74"/>
      <c r="AY298" s="218"/>
      <c r="AZ298" s="219"/>
      <c r="BA298" s="74"/>
      <c r="BB298" s="220"/>
      <c r="BC298" s="74"/>
      <c r="BD298" s="173"/>
      <c r="BF298" s="10"/>
      <c r="BG298" s="11"/>
      <c r="BH298" s="14"/>
      <c r="BI298" s="10"/>
      <c r="BJ298" s="71"/>
      <c r="BL298" s="10"/>
      <c r="BN298" s="14"/>
      <c r="BO298" s="10"/>
      <c r="BP298" s="71"/>
      <c r="BQ298" s="71"/>
    </row>
    <row r="299" spans="1:69" ht="18">
      <c r="A299" s="155" t="s">
        <v>231</v>
      </c>
      <c r="D299" s="49"/>
      <c r="F299" s="8"/>
      <c r="G299" s="51"/>
      <c r="H299" s="8"/>
      <c r="J299" s="49"/>
      <c r="K299" s="49"/>
      <c r="M299" s="49"/>
      <c r="O299" s="73"/>
      <c r="Q299" s="49"/>
      <c r="S299" s="73"/>
      <c r="V299" s="9"/>
      <c r="X299" s="8"/>
      <c r="Y299" s="9"/>
      <c r="AC299" s="9"/>
      <c r="AD299" s="9"/>
      <c r="AF299" s="9"/>
      <c r="AH299" s="8"/>
      <c r="AI299" s="9"/>
      <c r="AK299" s="9"/>
      <c r="AL299" s="8"/>
      <c r="AM299" s="9"/>
      <c r="AN299" s="9"/>
      <c r="AP299" s="74"/>
      <c r="AQ299" s="218"/>
      <c r="AR299" s="219"/>
      <c r="AS299" s="74"/>
      <c r="AT299" s="220"/>
      <c r="AU299" s="74"/>
      <c r="AV299" s="173"/>
      <c r="AW299" s="76"/>
      <c r="AX299" s="74"/>
      <c r="AY299" s="218"/>
      <c r="AZ299" s="219"/>
      <c r="BA299" s="74"/>
      <c r="BB299" s="220"/>
      <c r="BC299" s="74"/>
      <c r="BD299" s="173"/>
      <c r="BF299" s="10"/>
      <c r="BG299" s="11"/>
      <c r="BH299" s="14"/>
      <c r="BI299" s="10"/>
      <c r="BJ299" s="71"/>
      <c r="BL299" s="10"/>
      <c r="BN299" s="14"/>
      <c r="BO299" s="10"/>
      <c r="BP299" s="71"/>
      <c r="BQ299" s="71"/>
    </row>
    <row r="300" spans="1:69" ht="18">
      <c r="A300" s="151"/>
      <c r="D300" s="49"/>
      <c r="F300" s="8"/>
      <c r="G300" s="51"/>
      <c r="H300" s="8"/>
      <c r="J300" s="49"/>
      <c r="K300" s="49"/>
      <c r="M300" s="49"/>
      <c r="O300" s="73"/>
      <c r="Q300" s="49"/>
      <c r="S300" s="73"/>
      <c r="V300" s="9"/>
      <c r="X300" s="8"/>
      <c r="Y300" s="9"/>
      <c r="AC300" s="9"/>
      <c r="AD300" s="9"/>
      <c r="AF300" s="9"/>
      <c r="AH300" s="8"/>
      <c r="AI300" s="9"/>
      <c r="AK300" s="9"/>
      <c r="AL300" s="8"/>
      <c r="AM300" s="9"/>
      <c r="AN300" s="9"/>
      <c r="AP300" s="74"/>
      <c r="AQ300" s="218"/>
      <c r="AR300" s="219"/>
      <c r="AS300" s="74"/>
      <c r="AT300" s="220"/>
      <c r="AU300" s="74"/>
      <c r="AV300" s="173"/>
      <c r="AW300" s="76"/>
      <c r="AX300" s="74"/>
      <c r="AY300" s="218"/>
      <c r="AZ300" s="219"/>
      <c r="BA300" s="74"/>
      <c r="BB300" s="220"/>
      <c r="BC300" s="74"/>
      <c r="BD300" s="173"/>
      <c r="BF300" s="10"/>
      <c r="BG300" s="11"/>
      <c r="BH300" s="14"/>
      <c r="BI300" s="10"/>
      <c r="BJ300" s="71"/>
      <c r="BL300" s="10"/>
      <c r="BN300" s="14"/>
      <c r="BO300" s="10"/>
      <c r="BP300" s="71"/>
      <c r="BQ300" s="71"/>
    </row>
    <row r="301" spans="1:69" ht="18">
      <c r="A301" s="151" t="s">
        <v>230</v>
      </c>
      <c r="D301" s="49"/>
      <c r="F301" s="8"/>
      <c r="G301" s="51"/>
      <c r="H301" s="8"/>
      <c r="J301" s="49"/>
      <c r="K301" s="49"/>
      <c r="M301" s="49"/>
      <c r="O301" s="73"/>
      <c r="Q301" s="49"/>
      <c r="S301" s="73"/>
      <c r="V301" s="9"/>
      <c r="X301" s="8"/>
      <c r="Y301" s="9"/>
      <c r="AC301" s="9"/>
      <c r="AD301" s="9"/>
      <c r="AF301" s="9"/>
      <c r="AH301" s="8"/>
      <c r="AI301" s="9"/>
      <c r="AK301" s="9"/>
      <c r="AL301" s="8"/>
      <c r="AM301" s="9"/>
      <c r="AN301" s="9"/>
      <c r="AP301" s="74"/>
      <c r="AQ301" s="218"/>
      <c r="AR301" s="219"/>
      <c r="AS301" s="74"/>
      <c r="AT301" s="54"/>
      <c r="AU301" s="74"/>
      <c r="AV301" s="74"/>
      <c r="AW301" s="76"/>
      <c r="AX301" s="74"/>
      <c r="AY301" s="218"/>
      <c r="AZ301" s="219"/>
      <c r="BA301" s="74"/>
      <c r="BB301" s="54"/>
      <c r="BC301" s="74"/>
      <c r="BD301" s="74"/>
      <c r="BF301" s="10"/>
      <c r="BG301" s="11"/>
      <c r="BH301" s="62">
        <v>58</v>
      </c>
      <c r="BI301" s="10">
        <v>0</v>
      </c>
      <c r="BJ301" s="10">
        <f t="shared" ref="BJ301:BJ303" si="252">+BI301-BC301</f>
        <v>0</v>
      </c>
      <c r="BL301" s="10"/>
      <c r="BN301" s="14">
        <v>16</v>
      </c>
      <c r="BO301" s="10">
        <v>-3036567</v>
      </c>
      <c r="BP301" s="10">
        <f t="shared" ref="BP301:BP303" si="253">+BO301-BI301</f>
        <v>-3036567</v>
      </c>
      <c r="BQ301" s="10"/>
    </row>
    <row r="302" spans="1:69" ht="18">
      <c r="A302" s="151"/>
      <c r="D302" s="49"/>
      <c r="F302" s="8"/>
      <c r="G302" s="51"/>
      <c r="H302" s="8"/>
      <c r="J302" s="49"/>
      <c r="K302" s="49"/>
      <c r="M302" s="49"/>
      <c r="O302" s="73"/>
      <c r="Q302" s="49"/>
      <c r="S302" s="73"/>
      <c r="V302" s="9"/>
      <c r="X302" s="8"/>
      <c r="Y302" s="9"/>
      <c r="AC302" s="9"/>
      <c r="AD302" s="9"/>
      <c r="AF302" s="9"/>
      <c r="AH302" s="8"/>
      <c r="AI302" s="9"/>
      <c r="AK302" s="9"/>
      <c r="AL302" s="8"/>
      <c r="AM302" s="9"/>
      <c r="AN302" s="9"/>
      <c r="AP302" s="74"/>
      <c r="AQ302" s="218"/>
      <c r="AR302" s="219"/>
      <c r="AS302" s="74"/>
      <c r="AT302" s="220"/>
      <c r="AU302" s="74"/>
      <c r="AV302" s="173"/>
      <c r="AW302" s="76"/>
      <c r="AX302" s="74"/>
      <c r="AY302" s="218"/>
      <c r="AZ302" s="219"/>
      <c r="BA302" s="74"/>
      <c r="BB302" s="220"/>
      <c r="BC302" s="74"/>
      <c r="BD302" s="173"/>
      <c r="BF302" s="10"/>
      <c r="BG302" s="11"/>
      <c r="BH302" s="14"/>
      <c r="BI302" s="10"/>
      <c r="BJ302" s="10">
        <f t="shared" si="252"/>
        <v>0</v>
      </c>
      <c r="BL302" s="10"/>
      <c r="BN302" s="14"/>
      <c r="BO302" s="10"/>
      <c r="BP302" s="10">
        <f t="shared" si="253"/>
        <v>0</v>
      </c>
      <c r="BQ302" s="10"/>
    </row>
    <row r="303" spans="1:69" ht="18">
      <c r="A303" s="151" t="s">
        <v>257</v>
      </c>
      <c r="D303" s="49"/>
      <c r="F303" s="8"/>
      <c r="G303" s="51"/>
      <c r="H303" s="8"/>
      <c r="J303" s="49"/>
      <c r="K303" s="49"/>
      <c r="M303" s="49"/>
      <c r="O303" s="73"/>
      <c r="Q303" s="49"/>
      <c r="S303" s="73"/>
      <c r="V303" s="9"/>
      <c r="X303" s="8"/>
      <c r="Y303" s="9"/>
      <c r="AC303" s="9"/>
      <c r="AD303" s="9"/>
      <c r="AF303" s="9"/>
      <c r="AH303" s="8"/>
      <c r="AI303" s="9"/>
      <c r="AK303" s="9"/>
      <c r="AL303" s="8"/>
      <c r="AM303" s="9"/>
      <c r="AN303" s="9"/>
      <c r="AP303" s="74"/>
      <c r="AQ303" s="218"/>
      <c r="AR303" s="219"/>
      <c r="AS303" s="74"/>
      <c r="AT303" s="54"/>
      <c r="AU303" s="74"/>
      <c r="AV303" s="74"/>
      <c r="AW303" s="76"/>
      <c r="AX303" s="74"/>
      <c r="AY303" s="218"/>
      <c r="AZ303" s="219"/>
      <c r="BA303" s="74"/>
      <c r="BB303" s="54"/>
      <c r="BC303" s="74"/>
      <c r="BD303" s="74"/>
      <c r="BF303" s="10"/>
      <c r="BG303" s="11"/>
      <c r="BH303" s="62">
        <v>58</v>
      </c>
      <c r="BI303" s="10">
        <v>0</v>
      </c>
      <c r="BJ303" s="10">
        <f t="shared" si="252"/>
        <v>0</v>
      </c>
      <c r="BL303" s="10"/>
      <c r="BN303" s="14">
        <v>16</v>
      </c>
      <c r="BO303" s="10">
        <v>-36713</v>
      </c>
      <c r="BP303" s="10">
        <f t="shared" si="253"/>
        <v>-36713</v>
      </c>
      <c r="BQ303" s="10"/>
    </row>
    <row r="304" spans="1:69" ht="18">
      <c r="A304" s="151"/>
      <c r="D304" s="49"/>
      <c r="F304" s="8"/>
      <c r="G304" s="51"/>
      <c r="H304" s="8"/>
      <c r="J304" s="49"/>
      <c r="K304" s="49"/>
      <c r="M304" s="49"/>
      <c r="O304" s="73"/>
      <c r="Q304" s="49"/>
      <c r="S304" s="73"/>
      <c r="V304" s="9"/>
      <c r="X304" s="8"/>
      <c r="Y304" s="9"/>
      <c r="AC304" s="9"/>
      <c r="AD304" s="9"/>
      <c r="AF304" s="9"/>
      <c r="AH304" s="8"/>
      <c r="AI304" s="9"/>
      <c r="AK304" s="9"/>
      <c r="AL304" s="8"/>
      <c r="AM304" s="9"/>
      <c r="AN304" s="9"/>
      <c r="AP304" s="74"/>
      <c r="AQ304" s="218"/>
      <c r="AR304" s="219"/>
      <c r="AS304" s="74"/>
      <c r="AT304" s="54"/>
      <c r="AU304" s="74"/>
      <c r="AV304" s="74"/>
      <c r="AW304" s="76"/>
      <c r="AX304" s="74"/>
      <c r="AY304" s="218"/>
      <c r="AZ304" s="219"/>
      <c r="BA304" s="74"/>
      <c r="BB304" s="54"/>
      <c r="BC304" s="74"/>
      <c r="BD304" s="74"/>
      <c r="BF304" s="10"/>
      <c r="BG304" s="11"/>
      <c r="BH304" s="62"/>
      <c r="BI304" s="10"/>
      <c r="BJ304" s="10"/>
      <c r="BL304" s="10"/>
      <c r="BN304" s="14"/>
      <c r="BO304" s="10"/>
      <c r="BP304" s="10"/>
      <c r="BQ304" s="10"/>
    </row>
    <row r="305" spans="1:69" ht="18.75" thickBot="1">
      <c r="A305" s="151" t="s">
        <v>233</v>
      </c>
      <c r="D305" s="49"/>
      <c r="F305" s="8"/>
      <c r="G305" s="51"/>
      <c r="H305" s="8"/>
      <c r="J305" s="49"/>
      <c r="K305" s="49"/>
      <c r="M305" s="49"/>
      <c r="O305" s="73"/>
      <c r="Q305" s="49"/>
      <c r="S305" s="73"/>
      <c r="V305" s="9"/>
      <c r="X305" s="8"/>
      <c r="Y305" s="9"/>
      <c r="AC305" s="9"/>
      <c r="AD305" s="9"/>
      <c r="AF305" s="9"/>
      <c r="AH305" s="8"/>
      <c r="AI305" s="9"/>
      <c r="AK305" s="9"/>
      <c r="AL305" s="8"/>
      <c r="AM305" s="9"/>
      <c r="AN305" s="9"/>
      <c r="AP305" s="74"/>
      <c r="AQ305" s="218"/>
      <c r="AR305" s="219"/>
      <c r="AS305" s="74"/>
      <c r="AT305" s="220"/>
      <c r="AU305" s="59"/>
      <c r="AV305" s="173"/>
      <c r="AW305" s="76"/>
      <c r="AX305" s="74"/>
      <c r="AY305" s="218"/>
      <c r="AZ305" s="219"/>
      <c r="BA305" s="74"/>
      <c r="BB305" s="220"/>
      <c r="BC305" s="59"/>
      <c r="BD305" s="173"/>
      <c r="BF305" s="10"/>
      <c r="BG305" s="11"/>
      <c r="BH305" s="14"/>
      <c r="BI305" s="126"/>
      <c r="BJ305" s="172"/>
      <c r="BL305" s="10"/>
      <c r="BN305" s="67">
        <f>SUM(BO297:BO305)</f>
        <v>-5068102</v>
      </c>
      <c r="BO305" s="126">
        <v>-2032720</v>
      </c>
      <c r="BP305" s="172"/>
      <c r="BQ305" s="173"/>
    </row>
    <row r="306" spans="1:69" ht="18">
      <c r="A306" s="151" t="s">
        <v>198</v>
      </c>
      <c r="D306" s="49"/>
      <c r="F306" s="8"/>
      <c r="G306" s="51"/>
      <c r="H306" s="8"/>
      <c r="J306" s="49"/>
      <c r="K306" s="49"/>
      <c r="M306" s="49"/>
      <c r="O306" s="73"/>
      <c r="Q306" s="49"/>
      <c r="S306" s="73"/>
      <c r="V306" s="9"/>
      <c r="X306" s="8"/>
      <c r="Y306" s="9"/>
      <c r="AC306" s="9"/>
      <c r="AD306" s="9"/>
      <c r="AF306" s="9"/>
      <c r="AH306" s="8"/>
      <c r="AI306" s="9"/>
      <c r="AK306" s="9"/>
      <c r="AL306" s="8"/>
      <c r="AM306" s="9"/>
      <c r="AN306" s="9"/>
      <c r="AP306" s="74"/>
      <c r="AQ306" s="218"/>
      <c r="AR306" s="219"/>
      <c r="AS306" s="74"/>
      <c r="AT306" s="220"/>
      <c r="AU306" s="221"/>
      <c r="AV306" s="74"/>
      <c r="AW306" s="76"/>
      <c r="AX306" s="74"/>
      <c r="AY306" s="218"/>
      <c r="AZ306" s="219"/>
      <c r="BA306" s="74"/>
      <c r="BB306" s="220"/>
      <c r="BC306" s="221"/>
      <c r="BD306" s="74"/>
      <c r="BF306" s="10"/>
      <c r="BG306" s="11"/>
      <c r="BH306" s="14"/>
      <c r="BI306" s="207">
        <f>SUM(BI277:BI305)</f>
        <v>0</v>
      </c>
      <c r="BJ306" s="10">
        <f t="shared" ref="BJ306" si="254">+BI306-BC306</f>
        <v>0</v>
      </c>
      <c r="BL306" s="10"/>
      <c r="BN306" s="14"/>
      <c r="BO306" s="207">
        <f>SUM(BO277:BO305)</f>
        <v>-14780200</v>
      </c>
      <c r="BP306" s="10">
        <f t="shared" ref="BP306" si="255">+BO306-BI306</f>
        <v>-14780200</v>
      </c>
      <c r="BQ306" s="10"/>
    </row>
    <row r="307" spans="1:69" ht="18">
      <c r="A307" s="151"/>
      <c r="D307" s="49"/>
      <c r="F307" s="8"/>
      <c r="G307" s="51"/>
      <c r="H307" s="8"/>
      <c r="J307" s="49"/>
      <c r="K307" s="49"/>
      <c r="M307" s="49"/>
      <c r="O307" s="73"/>
      <c r="Q307" s="49"/>
      <c r="S307" s="73"/>
      <c r="V307" s="9"/>
      <c r="X307" s="8"/>
      <c r="Y307" s="9"/>
      <c r="AC307" s="9"/>
      <c r="AD307" s="9"/>
      <c r="AF307" s="9"/>
      <c r="AH307" s="8"/>
      <c r="AI307" s="9"/>
      <c r="AK307" s="9"/>
      <c r="AL307" s="8"/>
      <c r="AM307" s="9"/>
      <c r="AN307" s="9"/>
      <c r="AP307" s="74"/>
      <c r="AQ307" s="218"/>
      <c r="AR307" s="219"/>
      <c r="AS307" s="74"/>
      <c r="AT307" s="220"/>
      <c r="AU307" s="74"/>
      <c r="AV307" s="173"/>
      <c r="AW307" s="76"/>
      <c r="AX307" s="74"/>
      <c r="AY307" s="218"/>
      <c r="AZ307" s="219"/>
      <c r="BA307" s="74"/>
      <c r="BB307" s="220"/>
      <c r="BC307" s="74"/>
      <c r="BD307" s="173"/>
      <c r="BF307" s="10"/>
      <c r="BG307" s="11"/>
      <c r="BH307" s="14"/>
      <c r="BI307" s="10"/>
      <c r="BJ307" s="71"/>
      <c r="BL307" s="10"/>
      <c r="BN307" s="14"/>
      <c r="BO307" s="10"/>
      <c r="BP307" s="71"/>
      <c r="BQ307" s="71"/>
    </row>
    <row r="308" spans="1:69" ht="18">
      <c r="A308" s="151" t="s">
        <v>258</v>
      </c>
      <c r="D308" s="49"/>
      <c r="F308" s="8"/>
      <c r="G308" s="51"/>
      <c r="H308" s="8"/>
      <c r="J308" s="49"/>
      <c r="K308" s="49"/>
      <c r="M308" s="49"/>
      <c r="O308" s="73"/>
      <c r="Q308" s="49"/>
      <c r="S308" s="73"/>
      <c r="V308" s="9"/>
      <c r="X308" s="8"/>
      <c r="Y308" s="9"/>
      <c r="AC308" s="9"/>
      <c r="AD308" s="9"/>
      <c r="AF308" s="9"/>
      <c r="AH308" s="8"/>
      <c r="AI308" s="9"/>
      <c r="AK308" s="9"/>
      <c r="AL308" s="8"/>
      <c r="AM308" s="9"/>
      <c r="AN308" s="9"/>
      <c r="AP308" s="74"/>
      <c r="AQ308" s="218"/>
      <c r="AR308" s="219"/>
      <c r="AS308" s="74"/>
      <c r="AT308" s="220"/>
      <c r="AU308" s="74"/>
      <c r="AV308" s="173"/>
      <c r="AW308" s="76"/>
      <c r="AX308" s="74"/>
      <c r="AY308" s="218"/>
      <c r="AZ308" s="219"/>
      <c r="BA308" s="74"/>
      <c r="BB308" s="220"/>
      <c r="BC308" s="74"/>
      <c r="BD308" s="173"/>
      <c r="BF308" s="10"/>
      <c r="BG308" s="11"/>
      <c r="BH308" s="14"/>
      <c r="BI308" s="10"/>
      <c r="BJ308" s="71"/>
      <c r="BL308" s="10"/>
      <c r="BN308" s="14"/>
      <c r="BO308" s="10"/>
      <c r="BP308" s="71"/>
      <c r="BQ308" s="71"/>
    </row>
    <row r="309" spans="1:69" ht="18">
      <c r="A309" s="151"/>
      <c r="D309" s="49"/>
      <c r="F309" s="8"/>
      <c r="G309" s="51"/>
      <c r="H309" s="8"/>
      <c r="J309" s="49"/>
      <c r="K309" s="49"/>
      <c r="M309" s="49"/>
      <c r="O309" s="73"/>
      <c r="Q309" s="49"/>
      <c r="S309" s="73"/>
      <c r="V309" s="9"/>
      <c r="X309" s="8"/>
      <c r="Y309" s="9"/>
      <c r="AC309" s="9"/>
      <c r="AD309" s="9"/>
      <c r="AF309" s="9"/>
      <c r="AH309" s="8"/>
      <c r="AI309" s="9"/>
      <c r="AK309" s="9"/>
      <c r="AL309" s="8"/>
      <c r="AM309" s="9"/>
      <c r="AN309" s="9"/>
      <c r="AP309" s="74"/>
      <c r="AQ309" s="218"/>
      <c r="AR309" s="219"/>
      <c r="AS309" s="74"/>
      <c r="AT309" s="220"/>
      <c r="AU309" s="74"/>
      <c r="AV309" s="173"/>
      <c r="AW309" s="76"/>
      <c r="AX309" s="74"/>
      <c r="AY309" s="218"/>
      <c r="AZ309" s="219"/>
      <c r="BA309" s="74"/>
      <c r="BB309" s="220"/>
      <c r="BC309" s="74"/>
      <c r="BD309" s="173"/>
      <c r="BF309" s="10"/>
      <c r="BG309" s="11"/>
      <c r="BH309" s="14"/>
      <c r="BI309" s="10"/>
      <c r="BJ309" s="71"/>
      <c r="BL309" s="10"/>
      <c r="BN309" s="14"/>
      <c r="BO309" s="10"/>
      <c r="BP309" s="71"/>
      <c r="BQ309" s="71"/>
    </row>
    <row r="310" spans="1:69" ht="18.75" thickBot="1">
      <c r="A310" s="151" t="s">
        <v>199</v>
      </c>
      <c r="D310" s="49"/>
      <c r="F310" s="8"/>
      <c r="G310" s="51"/>
      <c r="H310" s="8"/>
      <c r="J310" s="49"/>
      <c r="K310" s="49"/>
      <c r="M310" s="49"/>
      <c r="O310" s="73"/>
      <c r="Q310" s="49"/>
      <c r="S310" s="73"/>
      <c r="V310" s="9"/>
      <c r="X310" s="8"/>
      <c r="Y310" s="9"/>
      <c r="AC310" s="9"/>
      <c r="AD310" s="9"/>
      <c r="AF310" s="9"/>
      <c r="AH310" s="8"/>
      <c r="AI310" s="9"/>
      <c r="AK310" s="9"/>
      <c r="AL310" s="8"/>
      <c r="AM310" s="9"/>
      <c r="AN310" s="9"/>
      <c r="AP310" s="74"/>
      <c r="AQ310" s="218"/>
      <c r="AR310" s="219"/>
      <c r="AS310" s="74"/>
      <c r="AT310" s="220"/>
      <c r="AU310" s="213"/>
      <c r="AV310" s="213"/>
      <c r="AW310" s="76"/>
      <c r="AX310" s="74"/>
      <c r="AY310" s="218"/>
      <c r="AZ310" s="219"/>
      <c r="BA310" s="74"/>
      <c r="BB310" s="220"/>
      <c r="BC310" s="213"/>
      <c r="BD310" s="213"/>
      <c r="BF310" s="10"/>
      <c r="BG310" s="11"/>
      <c r="BH310" s="14" t="s">
        <v>203</v>
      </c>
      <c r="BI310" s="210">
        <v>5.0280000000000004E-3</v>
      </c>
      <c r="BJ310" s="210">
        <v>2.3852000000000002E-2</v>
      </c>
      <c r="BL310" s="10"/>
      <c r="BN310" s="14"/>
      <c r="BO310" s="210">
        <v>5.0369999999999998E-3</v>
      </c>
      <c r="BP310" s="210"/>
      <c r="BQ310" s="213"/>
    </row>
    <row r="311" spans="1:69" ht="18">
      <c r="A311" s="151"/>
      <c r="D311" s="49"/>
      <c r="F311" s="8"/>
      <c r="G311" s="51"/>
      <c r="H311" s="8"/>
      <c r="J311" s="49"/>
      <c r="K311" s="49"/>
      <c r="M311" s="49"/>
      <c r="O311" s="73"/>
      <c r="Q311" s="49"/>
      <c r="S311" s="73"/>
      <c r="V311" s="9"/>
      <c r="X311" s="8"/>
      <c r="Y311" s="9"/>
      <c r="AC311" s="9"/>
      <c r="AD311" s="9"/>
      <c r="AF311" s="9"/>
      <c r="AH311" s="8"/>
      <c r="AI311" s="9"/>
      <c r="AK311" s="9"/>
      <c r="AL311" s="8"/>
      <c r="AM311" s="9"/>
      <c r="AN311" s="9"/>
      <c r="AP311" s="74"/>
      <c r="AQ311" s="218"/>
      <c r="AR311" s="219"/>
      <c r="AS311" s="74"/>
      <c r="AT311" s="220"/>
      <c r="AU311" s="74"/>
      <c r="AV311" s="173"/>
      <c r="AW311" s="76"/>
      <c r="AX311" s="74"/>
      <c r="AY311" s="218"/>
      <c r="AZ311" s="219"/>
      <c r="BA311" s="74"/>
      <c r="BB311" s="220"/>
      <c r="BC311" s="74"/>
      <c r="BD311" s="173"/>
      <c r="BF311" s="10"/>
      <c r="BG311" s="11"/>
      <c r="BH311" s="14"/>
      <c r="BI311" s="10"/>
      <c r="BJ311" s="71"/>
      <c r="BL311" s="10"/>
      <c r="BN311" s="14"/>
      <c r="BO311" s="10"/>
      <c r="BP311" s="71"/>
      <c r="BQ311" s="71"/>
    </row>
    <row r="312" spans="1:69" ht="18">
      <c r="A312" s="151"/>
      <c r="D312" s="49"/>
      <c r="F312" s="8"/>
      <c r="G312" s="51"/>
      <c r="H312" s="8"/>
      <c r="J312" s="49"/>
      <c r="K312" s="49"/>
      <c r="M312" s="49"/>
      <c r="O312" s="73"/>
      <c r="Q312" s="49"/>
      <c r="S312" s="73"/>
      <c r="V312" s="9"/>
      <c r="X312" s="8"/>
      <c r="Y312" s="9"/>
      <c r="AC312" s="9"/>
      <c r="AD312" s="9"/>
      <c r="AF312" s="9"/>
      <c r="AH312" s="8"/>
      <c r="AI312" s="9"/>
      <c r="AK312" s="9"/>
      <c r="AL312" s="8"/>
      <c r="AM312" s="9"/>
      <c r="AN312" s="9"/>
      <c r="AP312" s="74"/>
      <c r="AQ312" s="218"/>
      <c r="AR312" s="219"/>
      <c r="AS312" s="74"/>
      <c r="AT312" s="220"/>
      <c r="AU312" s="74"/>
      <c r="AV312" s="173"/>
      <c r="AW312" s="76"/>
      <c r="AX312" s="74"/>
      <c r="AY312" s="218"/>
      <c r="AZ312" s="219"/>
      <c r="BA312" s="74"/>
      <c r="BB312" s="220"/>
      <c r="BC312" s="74"/>
      <c r="BD312" s="173"/>
      <c r="BF312" s="10"/>
      <c r="BG312" s="11"/>
      <c r="BH312" s="14"/>
      <c r="BI312" s="10"/>
      <c r="BJ312" s="71"/>
      <c r="BL312" s="10"/>
      <c r="BN312" s="14"/>
      <c r="BO312" s="10"/>
      <c r="BP312" s="71"/>
      <c r="BQ312" s="71"/>
    </row>
    <row r="313" spans="1:69" ht="18">
      <c r="A313" s="151" t="s">
        <v>198</v>
      </c>
      <c r="D313" s="49"/>
      <c r="F313" s="8"/>
      <c r="G313" s="51"/>
      <c r="J313" s="49"/>
      <c r="K313" s="49"/>
      <c r="M313" s="49"/>
      <c r="O313" s="73"/>
      <c r="Q313" s="49"/>
      <c r="S313" s="73"/>
      <c r="V313" s="9"/>
      <c r="X313" s="8"/>
      <c r="Y313" s="9"/>
      <c r="AC313" s="9"/>
      <c r="AD313" s="9"/>
      <c r="AF313" s="9"/>
      <c r="AH313" s="8"/>
      <c r="AI313" s="9"/>
      <c r="AK313" s="9"/>
      <c r="AL313" s="8"/>
      <c r="AM313" s="9"/>
      <c r="AN313" s="9"/>
      <c r="AP313" s="74"/>
      <c r="AQ313" s="218"/>
      <c r="AR313" s="219"/>
      <c r="AS313" s="74"/>
      <c r="AT313" s="220"/>
      <c r="AU313" s="221"/>
      <c r="AV313" s="74"/>
      <c r="AW313" s="76"/>
      <c r="AX313" s="74"/>
      <c r="AY313" s="218"/>
      <c r="AZ313" s="219"/>
      <c r="BA313" s="74"/>
      <c r="BB313" s="220"/>
      <c r="BC313" s="221"/>
      <c r="BD313" s="74"/>
      <c r="BF313" s="10"/>
      <c r="BG313" s="11"/>
      <c r="BH313" s="14"/>
      <c r="BI313" s="207">
        <f>BI306*BI310</f>
        <v>0</v>
      </c>
      <c r="BJ313" s="10">
        <f t="shared" ref="BJ313" si="256">+BI313-BC313</f>
        <v>0</v>
      </c>
      <c r="BL313" s="10"/>
      <c r="BN313" s="14"/>
      <c r="BO313" s="207">
        <f>BO306*BO310</f>
        <v>-74447.867400000003</v>
      </c>
      <c r="BP313" s="10">
        <f t="shared" ref="BP313" si="257">+BO313-BI313</f>
        <v>-74447.867400000003</v>
      </c>
      <c r="BQ313" s="10"/>
    </row>
    <row r="314" spans="1:69" ht="18">
      <c r="A314" s="151" t="s">
        <v>259</v>
      </c>
      <c r="D314" s="49"/>
      <c r="F314" s="8"/>
      <c r="G314" s="51"/>
      <c r="J314" s="49"/>
      <c r="K314" s="49"/>
      <c r="M314" s="49"/>
      <c r="O314" s="73"/>
      <c r="Q314" s="49"/>
      <c r="S314" s="73"/>
      <c r="V314" s="9"/>
      <c r="X314" s="8"/>
      <c r="Y314" s="9"/>
      <c r="AC314" s="9"/>
      <c r="AD314" s="9"/>
      <c r="AF314" s="9"/>
      <c r="AH314" s="8"/>
      <c r="AI314" s="9"/>
      <c r="AK314" s="9"/>
      <c r="AL314" s="8"/>
      <c r="AM314" s="9"/>
      <c r="AN314" s="9"/>
      <c r="AP314" s="74"/>
      <c r="AQ314" s="218"/>
      <c r="AR314" s="219"/>
      <c r="AS314" s="74"/>
      <c r="AT314" s="220"/>
      <c r="AU314" s="59"/>
      <c r="AV314" s="173"/>
      <c r="AW314" s="76"/>
      <c r="AX314" s="74"/>
      <c r="AY314" s="218"/>
      <c r="AZ314" s="219"/>
      <c r="BA314" s="74"/>
      <c r="BB314" s="220"/>
      <c r="BC314" s="59"/>
      <c r="BD314" s="173"/>
      <c r="BF314" s="10"/>
      <c r="BG314" s="11"/>
      <c r="BH314" s="14"/>
      <c r="BI314" s="59"/>
      <c r="BJ314" s="71"/>
      <c r="BL314" s="10"/>
      <c r="BN314" s="14"/>
      <c r="BO314" s="59"/>
      <c r="BP314" s="71"/>
      <c r="BQ314" s="71"/>
    </row>
    <row r="315" spans="1:69" ht="18">
      <c r="A315" s="151" t="s">
        <v>260</v>
      </c>
      <c r="D315" s="49"/>
      <c r="F315" s="8"/>
      <c r="G315" s="51"/>
      <c r="J315" s="49"/>
      <c r="K315" s="49"/>
      <c r="M315" s="49"/>
      <c r="O315" s="73"/>
      <c r="Q315" s="49"/>
      <c r="S315" s="73"/>
      <c r="V315" s="9"/>
      <c r="X315" s="8"/>
      <c r="Y315" s="9"/>
      <c r="AC315" s="9"/>
      <c r="AD315" s="9"/>
      <c r="AF315" s="9"/>
      <c r="AH315" s="8"/>
      <c r="AI315" s="9"/>
      <c r="AK315" s="9"/>
      <c r="AL315" s="8"/>
      <c r="AM315" s="9"/>
      <c r="AN315" s="9"/>
      <c r="AP315" s="74"/>
      <c r="AQ315" s="218"/>
      <c r="AR315" s="219"/>
      <c r="AS315" s="74"/>
      <c r="AT315" s="220"/>
      <c r="AU315" s="59"/>
      <c r="AV315" s="173"/>
      <c r="AW315" s="76"/>
      <c r="AX315" s="74"/>
      <c r="AY315" s="218"/>
      <c r="AZ315" s="219"/>
      <c r="BA315" s="74"/>
      <c r="BB315" s="220"/>
      <c r="BC315" s="59"/>
      <c r="BD315" s="173"/>
      <c r="BF315" s="10"/>
      <c r="BG315" s="11"/>
      <c r="BH315" s="14"/>
      <c r="BI315" s="59"/>
      <c r="BJ315" s="71"/>
      <c r="BL315" s="10"/>
      <c r="BN315" s="14"/>
      <c r="BO315" s="59"/>
      <c r="BP315" s="71"/>
      <c r="BQ315" s="71"/>
    </row>
    <row r="316" spans="1:69" ht="18">
      <c r="A316" s="151" t="s">
        <v>261</v>
      </c>
      <c r="D316" s="49"/>
      <c r="F316" s="8"/>
      <c r="G316" s="51"/>
      <c r="J316" s="49"/>
      <c r="K316" s="49"/>
      <c r="M316" s="49"/>
      <c r="O316" s="73"/>
      <c r="Q316" s="49"/>
      <c r="S316" s="73"/>
      <c r="V316" s="9"/>
      <c r="X316" s="8"/>
      <c r="Y316" s="9"/>
      <c r="AC316" s="9"/>
      <c r="AD316" s="9"/>
      <c r="AF316" s="9"/>
      <c r="AH316" s="8"/>
      <c r="AI316" s="9"/>
      <c r="AK316" s="9"/>
      <c r="AL316" s="8"/>
      <c r="AM316" s="9"/>
      <c r="AN316" s="9"/>
      <c r="AP316" s="74"/>
      <c r="AQ316" s="218"/>
      <c r="AR316" s="219"/>
      <c r="AS316" s="74"/>
      <c r="AT316" s="220"/>
      <c r="AU316" s="59"/>
      <c r="AV316" s="173"/>
      <c r="AW316" s="76"/>
      <c r="AX316" s="74"/>
      <c r="AY316" s="218"/>
      <c r="AZ316" s="219"/>
      <c r="BA316" s="74"/>
      <c r="BB316" s="220"/>
      <c r="BC316" s="59"/>
      <c r="BD316" s="173"/>
      <c r="BF316" s="10"/>
      <c r="BG316" s="11"/>
      <c r="BH316" s="14"/>
      <c r="BI316" s="59"/>
      <c r="BJ316" s="71"/>
      <c r="BL316" s="10"/>
      <c r="BN316" s="14"/>
      <c r="BO316" s="59"/>
      <c r="BP316" s="71"/>
      <c r="BQ316" s="71"/>
    </row>
    <row r="317" spans="1:69" ht="18.75" thickBot="1">
      <c r="A317" s="151"/>
      <c r="D317" s="49"/>
      <c r="F317" s="8"/>
      <c r="G317" s="51"/>
      <c r="J317" s="49"/>
      <c r="K317" s="49"/>
      <c r="M317" s="49"/>
      <c r="O317" s="73"/>
      <c r="Q317" s="49"/>
      <c r="S317" s="73"/>
      <c r="V317" s="9"/>
      <c r="X317" s="8"/>
      <c r="Y317" s="9"/>
      <c r="AC317" s="9"/>
      <c r="AD317" s="9"/>
      <c r="AF317" s="9"/>
      <c r="AH317" s="8"/>
      <c r="AI317" s="9"/>
      <c r="AK317" s="9"/>
      <c r="AL317" s="8"/>
      <c r="AM317" s="9"/>
      <c r="AN317" s="9"/>
      <c r="AP317" s="74"/>
      <c r="AQ317" s="218"/>
      <c r="AR317" s="219"/>
      <c r="AS317" s="74"/>
      <c r="AT317" s="220"/>
      <c r="AU317" s="59"/>
      <c r="AV317" s="173"/>
      <c r="AW317" s="76"/>
      <c r="AX317" s="74"/>
      <c r="AY317" s="218"/>
      <c r="AZ317" s="219"/>
      <c r="BA317" s="74"/>
      <c r="BB317" s="220"/>
      <c r="BC317" s="59"/>
      <c r="BD317" s="173"/>
      <c r="BF317" s="10"/>
      <c r="BG317" s="11"/>
      <c r="BH317" s="14"/>
      <c r="BI317" s="126"/>
      <c r="BJ317" s="172"/>
      <c r="BL317" s="10"/>
      <c r="BN317" s="14"/>
      <c r="BO317" s="126"/>
      <c r="BP317" s="172"/>
      <c r="BQ317" s="173"/>
    </row>
    <row r="318" spans="1:69" ht="18.75" thickBot="1">
      <c r="A318" s="151" t="s">
        <v>198</v>
      </c>
      <c r="D318" s="49"/>
      <c r="F318" s="8"/>
      <c r="G318" s="51"/>
      <c r="J318" s="49"/>
      <c r="K318" s="49"/>
      <c r="M318" s="49"/>
      <c r="O318" s="49"/>
      <c r="Q318" s="49"/>
      <c r="S318" s="73"/>
      <c r="V318" s="9"/>
      <c r="X318" s="8"/>
      <c r="Y318" s="9"/>
      <c r="AC318" s="9"/>
      <c r="AD318" s="9"/>
      <c r="AF318" s="9"/>
      <c r="AH318" s="8"/>
      <c r="AI318" s="9"/>
      <c r="AK318" s="9"/>
      <c r="AL318" s="8"/>
      <c r="AM318" s="9"/>
      <c r="AN318" s="9"/>
      <c r="AP318" s="74"/>
      <c r="AQ318" s="218"/>
      <c r="AR318" s="219"/>
      <c r="AS318" s="74"/>
      <c r="AT318" s="220"/>
      <c r="AU318" s="221"/>
      <c r="AV318" s="74"/>
      <c r="AW318" s="76"/>
      <c r="AX318" s="74"/>
      <c r="AY318" s="218"/>
      <c r="AZ318" s="219"/>
      <c r="BA318" s="74"/>
      <c r="BB318" s="220"/>
      <c r="BC318" s="221"/>
      <c r="BD318" s="74"/>
      <c r="BF318" s="10"/>
      <c r="BG318" s="11"/>
      <c r="BH318" s="14"/>
      <c r="BI318" s="214">
        <f>SUM(BI313:BI317)</f>
        <v>0</v>
      </c>
      <c r="BJ318" s="222">
        <f t="shared" ref="BJ318" si="258">+BI318-BC318</f>
        <v>0</v>
      </c>
      <c r="BL318" s="10"/>
      <c r="BN318" s="14"/>
      <c r="BO318" s="214">
        <f>SUM(BO313:BO317)</f>
        <v>-74447.867400000003</v>
      </c>
      <c r="BP318" s="222">
        <f t="shared" ref="BP318" si="259">+BO318-BI318</f>
        <v>-74447.867400000003</v>
      </c>
      <c r="BQ318" s="74"/>
    </row>
    <row r="319" spans="1:69" ht="18.75" thickTop="1">
      <c r="A319" s="151"/>
      <c r="D319" s="49"/>
      <c r="F319" s="8"/>
      <c r="G319" s="51"/>
      <c r="J319" s="49"/>
      <c r="K319" s="49"/>
      <c r="M319" s="49"/>
      <c r="O319" s="49"/>
      <c r="Q319" s="49"/>
      <c r="S319" s="73"/>
      <c r="V319" s="9"/>
      <c r="X319" s="8"/>
      <c r="Y319" s="9"/>
      <c r="AC319" s="9"/>
      <c r="AD319" s="9"/>
      <c r="AF319" s="9"/>
      <c r="AH319" s="8"/>
      <c r="AI319" s="9"/>
      <c r="AK319" s="9"/>
      <c r="AL319" s="8"/>
      <c r="AM319" s="9"/>
      <c r="AN319" s="9"/>
      <c r="AP319" s="74"/>
      <c r="AQ319" s="218"/>
      <c r="AR319" s="219"/>
      <c r="AS319" s="74"/>
      <c r="AT319" s="220"/>
      <c r="AU319" s="59"/>
      <c r="AV319" s="173"/>
      <c r="AW319" s="76"/>
      <c r="AX319" s="74"/>
      <c r="AY319" s="218"/>
      <c r="AZ319" s="219"/>
      <c r="BA319" s="74"/>
      <c r="BB319" s="220"/>
      <c r="BC319" s="59"/>
      <c r="BD319" s="173"/>
      <c r="BF319" s="10"/>
      <c r="BG319" s="11"/>
      <c r="BH319" s="14"/>
      <c r="BI319" s="59"/>
      <c r="BJ319" s="71"/>
      <c r="BL319" s="10"/>
      <c r="BN319" s="14"/>
      <c r="BO319" s="59"/>
      <c r="BP319" s="71"/>
      <c r="BQ319" s="71"/>
    </row>
    <row r="320" spans="1:69" ht="18">
      <c r="A320" s="217"/>
      <c r="D320" s="49"/>
      <c r="F320" s="8"/>
      <c r="G320" s="51"/>
      <c r="J320" s="49"/>
      <c r="K320" s="49"/>
      <c r="O320" s="49"/>
      <c r="Q320" s="49"/>
      <c r="S320" s="73"/>
      <c r="V320" s="9"/>
      <c r="X320" s="8"/>
      <c r="Y320" s="9"/>
      <c r="AC320" s="9"/>
      <c r="AD320" s="9"/>
      <c r="AF320" s="9"/>
      <c r="AH320" s="8"/>
      <c r="AI320" s="9"/>
      <c r="AK320" s="9"/>
      <c r="AL320" s="8"/>
      <c r="AM320" s="9"/>
      <c r="AN320" s="9"/>
      <c r="AP320" s="74"/>
      <c r="AQ320" s="218"/>
      <c r="AR320" s="219"/>
      <c r="AS320" s="74"/>
      <c r="AT320" s="220"/>
      <c r="AU320" s="59"/>
      <c r="AV320" s="173"/>
      <c r="AW320" s="76"/>
      <c r="AX320" s="74"/>
      <c r="AY320" s="218"/>
      <c r="AZ320" s="219"/>
      <c r="BA320" s="74"/>
      <c r="BB320" s="220"/>
      <c r="BC320" s="59"/>
      <c r="BD320" s="173"/>
      <c r="BF320" s="10"/>
      <c r="BG320" s="11"/>
      <c r="BH320" s="14"/>
      <c r="BI320" s="59"/>
      <c r="BJ320" s="71"/>
      <c r="BL320" s="10"/>
      <c r="BN320" s="14"/>
      <c r="BO320" s="59"/>
      <c r="BP320" s="71"/>
      <c r="BQ320" s="71"/>
    </row>
    <row r="321" spans="1:69" ht="18.75" thickBot="1">
      <c r="A321" s="151" t="s">
        <v>264</v>
      </c>
      <c r="D321" s="49"/>
      <c r="F321" s="8"/>
      <c r="G321" s="51"/>
      <c r="J321" s="49"/>
      <c r="K321" s="49"/>
      <c r="O321" s="49"/>
      <c r="Q321" s="49"/>
      <c r="S321" s="73"/>
      <c r="V321" s="9"/>
      <c r="X321" s="8"/>
      <c r="Y321" s="9"/>
      <c r="AC321" s="9"/>
      <c r="AD321" s="9"/>
      <c r="AF321" s="9"/>
      <c r="AH321" s="8"/>
      <c r="AI321" s="9"/>
      <c r="AK321" s="9"/>
      <c r="AL321" s="8"/>
      <c r="AM321" s="9"/>
      <c r="AN321" s="9"/>
      <c r="AP321" s="74"/>
      <c r="AQ321" s="218"/>
      <c r="AR321" s="219"/>
      <c r="AS321" s="74"/>
      <c r="AT321" s="220"/>
      <c r="AU321" s="221"/>
      <c r="AV321" s="74"/>
      <c r="AW321" s="76"/>
      <c r="AX321" s="74"/>
      <c r="AY321" s="218"/>
      <c r="AZ321" s="219"/>
      <c r="BA321" s="74"/>
      <c r="BB321" s="220"/>
      <c r="BC321" s="221"/>
      <c r="BD321" s="74"/>
      <c r="BF321" s="10"/>
      <c r="BG321" s="11"/>
      <c r="BH321" s="14"/>
      <c r="BI321" s="214">
        <f>BI318*6.5%</f>
        <v>0</v>
      </c>
      <c r="BJ321" s="179">
        <f t="shared" ref="BJ321" si="260">+BI321-BC321</f>
        <v>0</v>
      </c>
      <c r="BL321" s="10"/>
      <c r="BN321" s="14"/>
      <c r="BO321" s="214">
        <f>ROUND(BO318*6.5%,0)</f>
        <v>-4839</v>
      </c>
      <c r="BP321" s="179">
        <f t="shared" ref="BP321" si="261">+BO321-BI321</f>
        <v>-4839</v>
      </c>
      <c r="BQ321" s="74"/>
    </row>
    <row r="322" spans="1:69" ht="18.75" thickTop="1">
      <c r="A322" s="8"/>
      <c r="D322" s="49"/>
      <c r="F322" s="8"/>
      <c r="G322" s="51"/>
      <c r="J322" s="49"/>
      <c r="K322" s="49"/>
      <c r="O322" s="49"/>
      <c r="Q322" s="49"/>
      <c r="S322" s="73"/>
      <c r="V322" s="9"/>
      <c r="X322" s="8"/>
      <c r="Y322" s="9"/>
      <c r="AC322" s="9"/>
      <c r="AD322" s="9"/>
      <c r="AF322" s="9"/>
      <c r="AH322" s="8"/>
      <c r="AI322" s="9"/>
      <c r="AK322" s="9"/>
      <c r="AL322" s="8"/>
      <c r="AM322" s="9"/>
      <c r="AN322" s="9"/>
      <c r="AP322" s="10"/>
      <c r="AQ322" s="11"/>
      <c r="AR322" s="65"/>
      <c r="AS322" s="10"/>
      <c r="AT322" s="13"/>
      <c r="AU322" s="10"/>
      <c r="AV322" s="10"/>
      <c r="AX322" s="10"/>
      <c r="AY322" s="11"/>
      <c r="AZ322" s="65"/>
      <c r="BA322" s="10"/>
      <c r="BB322" s="13"/>
      <c r="BC322" s="10"/>
      <c r="BD322" s="10"/>
      <c r="BL322" s="10"/>
      <c r="BN322" s="14"/>
      <c r="BP322" s="9"/>
      <c r="BQ322" s="9"/>
    </row>
  </sheetData>
  <mergeCells count="10">
    <mergeCell ref="J7:O7"/>
    <mergeCell ref="Q7:T7"/>
    <mergeCell ref="V7:Y7"/>
    <mergeCell ref="BL7:BP7"/>
    <mergeCell ref="AA7:AD7"/>
    <mergeCell ref="AF7:AI7"/>
    <mergeCell ref="AK7:AN7"/>
    <mergeCell ref="AP7:AV7"/>
    <mergeCell ref="AX7:BD7"/>
    <mergeCell ref="BF7:BJ7"/>
  </mergeCells>
  <hyperlinks>
    <hyperlink ref="BO168" r:id="rId1" display="=@round(FN162*0.055,0)"/>
  </hyperlinks>
  <pageMargins left="0.7" right="0.7" top="0.75" bottom="0.75" header="0.3" footer="0.3"/>
  <pageSetup scale="43" fitToHeight="20" orientation="landscape" r:id="rId2"/>
  <headerFooter>
    <oddFooter>&amp;L&amp;F\&amp;A&amp;CPage &amp;P of &amp;N</oddFooter>
  </headerFooter>
  <rowBreaks count="2" manualBreakCount="2">
    <brk id="123" max="16383" man="1"/>
    <brk id="254" max="7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zoomScaleNormal="100" workbookViewId="0"/>
  </sheetViews>
  <sheetFormatPr defaultRowHeight="15"/>
  <cols>
    <col min="1" max="6" width="9.140625" style="7"/>
    <col min="7" max="7" width="14.28515625" style="7" customWidth="1"/>
    <col min="8" max="8" width="12.85546875" style="7" customWidth="1"/>
    <col min="9" max="9" width="13.140625" style="7" customWidth="1"/>
    <col min="10" max="16384" width="9.140625" style="7"/>
  </cols>
  <sheetData>
    <row r="1" spans="2:10">
      <c r="B1" s="223" t="s">
        <v>265</v>
      </c>
      <c r="G1" s="93"/>
      <c r="H1" s="224" t="s">
        <v>266</v>
      </c>
    </row>
    <row r="2" spans="2:10">
      <c r="B2" s="225" t="s">
        <v>267</v>
      </c>
      <c r="C2" s="17"/>
      <c r="D2" s="17"/>
      <c r="E2" s="17"/>
      <c r="F2" s="17"/>
      <c r="G2" s="226"/>
      <c r="H2" s="226"/>
    </row>
    <row r="3" spans="2:10">
      <c r="G3" s="93"/>
      <c r="H3" s="93"/>
    </row>
    <row r="4" spans="2:10">
      <c r="G4" s="93"/>
      <c r="H4" s="93"/>
    </row>
    <row r="5" spans="2:10">
      <c r="C5" s="227" t="s">
        <v>268</v>
      </c>
      <c r="D5" s="228" t="s">
        <v>269</v>
      </c>
      <c r="E5" s="228"/>
      <c r="F5" s="228"/>
      <c r="G5" s="229" t="s">
        <v>270</v>
      </c>
      <c r="H5" s="229" t="s">
        <v>271</v>
      </c>
      <c r="I5" s="227" t="s">
        <v>268</v>
      </c>
    </row>
    <row r="6" spans="2:10">
      <c r="G6" s="93"/>
      <c r="H6" s="93"/>
    </row>
    <row r="7" spans="2:10">
      <c r="C7" s="230" t="s">
        <v>272</v>
      </c>
      <c r="D7" s="7" t="s">
        <v>273</v>
      </c>
      <c r="F7" s="203" t="s">
        <v>274</v>
      </c>
      <c r="G7" s="95">
        <v>416453</v>
      </c>
      <c r="H7" s="95">
        <v>27710900</v>
      </c>
      <c r="I7" s="7" t="s">
        <v>275</v>
      </c>
      <c r="J7" s="7" t="s">
        <v>276</v>
      </c>
    </row>
    <row r="8" spans="2:10">
      <c r="C8" s="230" t="s">
        <v>277</v>
      </c>
      <c r="D8" s="7" t="s">
        <v>278</v>
      </c>
      <c r="G8" s="95">
        <v>0</v>
      </c>
      <c r="H8" s="95">
        <v>0</v>
      </c>
    </row>
    <row r="9" spans="2:10">
      <c r="C9" s="230" t="s">
        <v>279</v>
      </c>
      <c r="D9" s="7" t="s">
        <v>280</v>
      </c>
      <c r="G9" s="95">
        <v>0</v>
      </c>
      <c r="H9" s="95">
        <f>G9</f>
        <v>0</v>
      </c>
    </row>
    <row r="10" spans="2:10" ht="15.75" thickBot="1">
      <c r="C10" s="7" t="s">
        <v>281</v>
      </c>
      <c r="D10" s="7" t="s">
        <v>282</v>
      </c>
      <c r="G10" s="231">
        <v>0</v>
      </c>
      <c r="H10" s="231">
        <f>G10</f>
        <v>0</v>
      </c>
    </row>
    <row r="11" spans="2:10">
      <c r="G11" s="95">
        <f>SUM(G7:G10)</f>
        <v>416453</v>
      </c>
      <c r="H11" s="95">
        <f>SUM(H7:H10)</f>
        <v>27710900</v>
      </c>
    </row>
    <row r="12" spans="2:10">
      <c r="G12" s="95"/>
      <c r="H12" s="95"/>
    </row>
    <row r="13" spans="2:10" ht="15.75" thickBot="1">
      <c r="D13" s="7" t="s">
        <v>283</v>
      </c>
      <c r="G13" s="1"/>
      <c r="H13" s="1">
        <f>+H24</f>
        <v>0.17423801333680769</v>
      </c>
    </row>
    <row r="14" spans="2:10">
      <c r="G14" s="95"/>
      <c r="H14" s="95"/>
    </row>
    <row r="15" spans="2:10" ht="15.75" thickBot="1">
      <c r="D15" s="7" t="s">
        <v>284</v>
      </c>
      <c r="G15" s="231">
        <f>+H33</f>
        <v>80815</v>
      </c>
      <c r="H15" s="231">
        <f>ROUND(H11*H13,0)</f>
        <v>4828292</v>
      </c>
      <c r="I15" s="231">
        <f>+H15-G15</f>
        <v>4747477</v>
      </c>
      <c r="J15" s="7" t="s">
        <v>285</v>
      </c>
    </row>
    <row r="16" spans="2:10">
      <c r="G16" s="95"/>
      <c r="H16" s="95"/>
    </row>
    <row r="17" spans="1:9">
      <c r="D17" s="7" t="s">
        <v>286</v>
      </c>
      <c r="G17" s="95">
        <f>G11-G15</f>
        <v>335638</v>
      </c>
      <c r="H17" s="95">
        <f>H11-H15</f>
        <v>22882608</v>
      </c>
    </row>
    <row r="18" spans="1:9">
      <c r="G18" s="95"/>
      <c r="H18" s="95"/>
    </row>
    <row r="19" spans="1:9" ht="15.75" thickBot="1">
      <c r="D19" s="232" t="s">
        <v>287</v>
      </c>
      <c r="E19" s="232"/>
      <c r="F19" s="232"/>
      <c r="G19" s="233">
        <f>+G17-H17</f>
        <v>-22546970</v>
      </c>
      <c r="H19" s="95"/>
    </row>
    <row r="20" spans="1:9">
      <c r="G20" s="95"/>
      <c r="H20" s="95"/>
    </row>
    <row r="21" spans="1:9">
      <c r="G21" s="95"/>
      <c r="H21" s="95"/>
    </row>
    <row r="22" spans="1:9">
      <c r="G22" s="95"/>
      <c r="H22" s="95"/>
    </row>
    <row r="23" spans="1:9">
      <c r="A23" s="7">
        <v>1</v>
      </c>
      <c r="B23" s="232" t="s">
        <v>288</v>
      </c>
      <c r="G23" s="95"/>
      <c r="H23" s="95"/>
    </row>
    <row r="24" spans="1:9" ht="15.75" thickBot="1">
      <c r="D24" s="234" t="s">
        <v>289</v>
      </c>
      <c r="G24" s="95">
        <v>19159194</v>
      </c>
      <c r="H24" s="235">
        <f>+G24/G25</f>
        <v>0.17423801333680769</v>
      </c>
      <c r="I24" s="232" t="s">
        <v>290</v>
      </c>
    </row>
    <row r="25" spans="1:9" ht="15.75" thickBot="1">
      <c r="D25" s="234" t="s">
        <v>291</v>
      </c>
      <c r="G25" s="236">
        <v>109959897</v>
      </c>
      <c r="H25" s="95"/>
    </row>
    <row r="26" spans="1:9">
      <c r="G26" s="95"/>
      <c r="H26" s="95"/>
    </row>
    <row r="27" spans="1:9">
      <c r="G27" s="95"/>
      <c r="H27" s="95"/>
    </row>
    <row r="28" spans="1:9">
      <c r="G28" s="95"/>
      <c r="H28" s="95"/>
    </row>
    <row r="29" spans="1:9">
      <c r="G29" s="95"/>
      <c r="H29" s="95"/>
    </row>
    <row r="30" spans="1:9">
      <c r="A30" s="7">
        <v>2</v>
      </c>
      <c r="B30" s="232" t="s">
        <v>292</v>
      </c>
      <c r="G30" s="93"/>
      <c r="H30" s="237"/>
      <c r="I30" s="237" t="s">
        <v>293</v>
      </c>
    </row>
    <row r="31" spans="1:9">
      <c r="G31" s="95"/>
      <c r="H31" s="95"/>
    </row>
    <row r="32" spans="1:9">
      <c r="G32" s="95"/>
      <c r="H32" s="95"/>
    </row>
    <row r="33" spans="2:8">
      <c r="C33" s="238" t="s">
        <v>294</v>
      </c>
      <c r="D33" s="7" t="s">
        <v>295</v>
      </c>
      <c r="G33" s="95"/>
      <c r="H33" s="95">
        <v>80815</v>
      </c>
    </row>
    <row r="34" spans="2:8">
      <c r="G34" s="95"/>
      <c r="H34" s="95"/>
    </row>
    <row r="35" spans="2:8">
      <c r="C35" s="230" t="s">
        <v>272</v>
      </c>
      <c r="D35" s="7" t="s">
        <v>296</v>
      </c>
      <c r="G35" s="95">
        <v>416453</v>
      </c>
      <c r="H35" s="95"/>
    </row>
    <row r="36" spans="2:8">
      <c r="G36" s="93"/>
      <c r="H36" s="95"/>
    </row>
    <row r="37" spans="2:8">
      <c r="C37" s="7" t="s">
        <v>277</v>
      </c>
      <c r="D37" s="7" t="s">
        <v>297</v>
      </c>
      <c r="G37" s="95">
        <f>G8</f>
        <v>0</v>
      </c>
      <c r="H37" s="95"/>
    </row>
    <row r="38" spans="2:8">
      <c r="C38" s="230"/>
      <c r="G38" s="95"/>
      <c r="H38" s="95"/>
    </row>
    <row r="39" spans="2:8">
      <c r="C39" s="230" t="s">
        <v>298</v>
      </c>
      <c r="D39" s="7" t="s">
        <v>299</v>
      </c>
      <c r="G39" s="95">
        <v>0</v>
      </c>
      <c r="H39" s="95" t="s">
        <v>243</v>
      </c>
    </row>
    <row r="40" spans="2:8">
      <c r="G40" s="95" t="s">
        <v>140</v>
      </c>
      <c r="H40" s="95"/>
    </row>
    <row r="41" spans="2:8" ht="15.75" thickBot="1">
      <c r="C41" s="7" t="s">
        <v>300</v>
      </c>
      <c r="D41" s="7" t="s">
        <v>301</v>
      </c>
      <c r="G41" s="231">
        <v>0</v>
      </c>
      <c r="H41" s="95" t="s">
        <v>243</v>
      </c>
    </row>
    <row r="42" spans="2:8" ht="15.75" thickBot="1">
      <c r="G42" s="95"/>
      <c r="H42" s="231">
        <f>SUM(G35:G41)</f>
        <v>416453</v>
      </c>
    </row>
    <row r="43" spans="2:8">
      <c r="G43" s="95"/>
      <c r="H43" s="95"/>
    </row>
    <row r="44" spans="2:8" ht="15.75" thickBot="1">
      <c r="E44" s="232" t="s">
        <v>290</v>
      </c>
      <c r="G44" s="95"/>
      <c r="H44" s="1">
        <f>ROUND(H33/H42,5)</f>
        <v>0.19406000000000001</v>
      </c>
    </row>
    <row r="45" spans="2:8">
      <c r="G45" s="93"/>
      <c r="H45" s="93"/>
    </row>
    <row r="46" spans="2:8">
      <c r="G46" s="93"/>
      <c r="H46" s="93"/>
    </row>
    <row r="47" spans="2:8">
      <c r="B47" s="7" t="s">
        <v>302</v>
      </c>
      <c r="G47" s="93"/>
      <c r="H47" s="93"/>
    </row>
  </sheetData>
  <mergeCells count="1">
    <mergeCell ref="D5:F5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5"/>
  <sheetViews>
    <sheetView zoomScaleNormal="100" workbookViewId="0"/>
  </sheetViews>
  <sheetFormatPr defaultRowHeight="15"/>
  <cols>
    <col min="1" max="5" width="9.140625" style="7"/>
    <col min="6" max="6" width="14" style="7" customWidth="1"/>
    <col min="7" max="7" width="9.85546875" style="7" bestFit="1" customWidth="1"/>
    <col min="8" max="8" width="11.85546875" style="7" customWidth="1"/>
    <col min="9" max="10" width="9.140625" style="7"/>
    <col min="11" max="11" width="13.140625" style="7" customWidth="1"/>
    <col min="12" max="12" width="13" style="7" customWidth="1"/>
    <col min="13" max="13" width="10.5703125" style="7" bestFit="1" customWidth="1"/>
    <col min="14" max="16384" width="9.140625" style="7"/>
  </cols>
  <sheetData>
    <row r="1" spans="1:14">
      <c r="A1" s="232" t="s">
        <v>0</v>
      </c>
      <c r="F1" s="93"/>
      <c r="G1" s="93"/>
      <c r="H1" s="93"/>
      <c r="I1" s="93"/>
      <c r="J1" s="93"/>
      <c r="K1" s="93"/>
      <c r="L1" s="93"/>
      <c r="M1" s="93"/>
      <c r="N1" s="93"/>
    </row>
    <row r="2" spans="1:14">
      <c r="A2" s="223" t="s">
        <v>265</v>
      </c>
      <c r="F2" s="93"/>
      <c r="G2" s="93"/>
      <c r="H2" s="93"/>
      <c r="I2" s="93"/>
      <c r="J2" s="93"/>
      <c r="K2" s="247" t="s">
        <v>303</v>
      </c>
      <c r="L2" s="247"/>
      <c r="M2" s="247"/>
      <c r="N2" s="247"/>
    </row>
    <row r="3" spans="1:14">
      <c r="A3" s="225" t="s">
        <v>304</v>
      </c>
      <c r="B3" s="17"/>
      <c r="C3" s="17"/>
      <c r="D3" s="17"/>
      <c r="E3" s="17"/>
      <c r="F3" s="226"/>
      <c r="G3" s="226"/>
      <c r="H3" s="226"/>
      <c r="I3" s="226"/>
      <c r="J3" s="248"/>
      <c r="K3" s="249" t="s">
        <v>305</v>
      </c>
      <c r="L3" s="248"/>
      <c r="M3" s="248"/>
      <c r="N3" s="248"/>
    </row>
    <row r="4" spans="1:14">
      <c r="A4" s="232"/>
      <c r="F4" s="93"/>
      <c r="G4" s="93"/>
      <c r="H4" s="93"/>
      <c r="I4" s="93"/>
      <c r="J4" s="93"/>
      <c r="K4" s="93"/>
      <c r="L4" s="93"/>
      <c r="M4" s="93"/>
      <c r="N4" s="93"/>
    </row>
    <row r="5" spans="1:14">
      <c r="A5" s="232"/>
      <c r="F5" s="229" t="s">
        <v>271</v>
      </c>
      <c r="G5" s="229" t="s">
        <v>270</v>
      </c>
      <c r="H5" s="93"/>
      <c r="I5" s="93"/>
      <c r="J5" s="93"/>
      <c r="K5" s="229" t="s">
        <v>271</v>
      </c>
      <c r="L5" s="229" t="s">
        <v>270</v>
      </c>
      <c r="M5" s="93"/>
      <c r="N5" s="93"/>
    </row>
    <row r="6" spans="1:14">
      <c r="E6" s="203" t="s">
        <v>306</v>
      </c>
      <c r="F6" s="239" t="s">
        <v>307</v>
      </c>
      <c r="G6" s="239"/>
      <c r="H6" s="239"/>
      <c r="I6" s="239"/>
      <c r="J6" s="250" t="s">
        <v>306</v>
      </c>
      <c r="K6" s="239" t="s">
        <v>308</v>
      </c>
      <c r="L6" s="239"/>
      <c r="M6" s="239"/>
      <c r="N6" s="239"/>
    </row>
    <row r="7" spans="1:14">
      <c r="E7" s="203" t="s">
        <v>309</v>
      </c>
      <c r="F7" s="239">
        <v>22830030</v>
      </c>
      <c r="G7" s="239"/>
      <c r="H7" s="239"/>
      <c r="I7" s="239"/>
      <c r="J7" s="250" t="s">
        <v>309</v>
      </c>
      <c r="K7" s="239">
        <v>22830050</v>
      </c>
      <c r="L7" s="239"/>
      <c r="M7" s="239"/>
      <c r="N7" s="239"/>
    </row>
    <row r="8" spans="1:14">
      <c r="F8" s="240" t="s">
        <v>310</v>
      </c>
      <c r="G8" s="240"/>
      <c r="H8" s="240"/>
      <c r="I8" s="240"/>
      <c r="J8" s="93"/>
      <c r="K8" s="240" t="s">
        <v>311</v>
      </c>
      <c r="L8" s="240"/>
      <c r="M8" s="240"/>
      <c r="N8" s="240"/>
    </row>
    <row r="9" spans="1:14">
      <c r="D9" s="7" t="s">
        <v>312</v>
      </c>
      <c r="F9" s="241">
        <v>-17124648</v>
      </c>
      <c r="G9" s="241"/>
      <c r="H9" s="241"/>
      <c r="I9" s="241"/>
      <c r="J9" s="242"/>
      <c r="K9" s="241">
        <v>-41168980</v>
      </c>
      <c r="L9" s="241"/>
      <c r="M9" s="241"/>
      <c r="N9" s="241"/>
    </row>
    <row r="10" spans="1:14">
      <c r="D10" s="7" t="s">
        <v>313</v>
      </c>
      <c r="F10" s="251">
        <v>-17725659</v>
      </c>
      <c r="G10" s="241"/>
      <c r="H10" s="241"/>
      <c r="I10" s="241"/>
      <c r="J10" s="93"/>
      <c r="K10" s="251">
        <v>-43193193</v>
      </c>
      <c r="L10" s="241"/>
      <c r="M10" s="241"/>
      <c r="N10" s="241"/>
    </row>
    <row r="11" spans="1:14" ht="15.75" thickBot="1">
      <c r="A11" s="7" t="s">
        <v>314</v>
      </c>
      <c r="E11" s="203" t="s">
        <v>75</v>
      </c>
      <c r="F11" s="231">
        <f>F9-F10</f>
        <v>601011</v>
      </c>
      <c r="G11" s="241"/>
      <c r="H11" s="241"/>
      <c r="I11" s="241"/>
      <c r="J11" s="203" t="s">
        <v>75</v>
      </c>
      <c r="K11" s="231">
        <f>K9-K10</f>
        <v>2024213</v>
      </c>
      <c r="L11" s="241"/>
      <c r="M11" s="241"/>
      <c r="N11" s="241"/>
    </row>
    <row r="12" spans="1:14">
      <c r="E12" s="224" t="s">
        <v>315</v>
      </c>
      <c r="F12" s="95"/>
      <c r="G12" s="95"/>
      <c r="H12" s="95"/>
      <c r="I12" s="95"/>
      <c r="J12" s="224" t="s">
        <v>315</v>
      </c>
      <c r="K12" s="95"/>
      <c r="L12" s="95"/>
      <c r="M12" s="95"/>
      <c r="N12" s="95"/>
    </row>
    <row r="13" spans="1:14">
      <c r="A13" s="234" t="s">
        <v>316</v>
      </c>
      <c r="C13" s="7" t="s">
        <v>317</v>
      </c>
      <c r="E13" s="7" t="s">
        <v>318</v>
      </c>
      <c r="F13" s="241">
        <v>879965</v>
      </c>
      <c r="G13" s="241">
        <v>879965</v>
      </c>
      <c r="H13" s="241"/>
      <c r="I13" s="241"/>
      <c r="J13" s="243" t="s">
        <v>319</v>
      </c>
      <c r="K13" s="241">
        <v>4473835</v>
      </c>
      <c r="L13" s="241">
        <f>+K13</f>
        <v>4473835</v>
      </c>
      <c r="M13" s="241"/>
      <c r="N13" s="241"/>
    </row>
    <row r="14" spans="1:14">
      <c r="E14" s="252" t="s">
        <v>320</v>
      </c>
      <c r="F14" s="95">
        <v>-211060</v>
      </c>
      <c r="G14" s="95"/>
      <c r="H14" s="95"/>
      <c r="I14" s="95"/>
      <c r="J14" s="243"/>
      <c r="K14" s="95"/>
      <c r="L14" s="95"/>
      <c r="M14" s="95"/>
      <c r="N14" s="95"/>
    </row>
    <row r="15" spans="1:14">
      <c r="D15" s="253" t="s">
        <v>321</v>
      </c>
      <c r="E15" s="243"/>
      <c r="F15" s="95">
        <v>0</v>
      </c>
      <c r="G15" s="95"/>
      <c r="H15" s="95"/>
      <c r="I15" s="95"/>
      <c r="J15" s="243" t="s">
        <v>321</v>
      </c>
      <c r="K15" s="95">
        <v>925776</v>
      </c>
      <c r="L15" s="95"/>
      <c r="M15" s="95"/>
      <c r="N15" s="95"/>
    </row>
    <row r="16" spans="1:14">
      <c r="E16" s="7" t="s">
        <v>322</v>
      </c>
      <c r="F16" s="251">
        <f>+F11-F13-F14-F15</f>
        <v>-67894</v>
      </c>
      <c r="G16" s="241"/>
      <c r="H16" s="241"/>
      <c r="I16" s="241"/>
      <c r="J16" s="224" t="s">
        <v>323</v>
      </c>
      <c r="K16" s="251">
        <f>+K11-K13-K14-K15</f>
        <v>-3375398</v>
      </c>
      <c r="L16" s="241"/>
      <c r="M16" s="241"/>
      <c r="N16" s="241"/>
    </row>
    <row r="17" spans="1:14" ht="15.75" thickBot="1">
      <c r="E17" s="7" t="s">
        <v>324</v>
      </c>
      <c r="F17" s="231">
        <f>SUM(F13:F16)</f>
        <v>601011</v>
      </c>
      <c r="G17" s="241"/>
      <c r="H17" s="241"/>
      <c r="I17" s="241"/>
      <c r="J17" s="7" t="s">
        <v>324</v>
      </c>
      <c r="K17" s="236">
        <f>SUM(K13:K16)</f>
        <v>2024213</v>
      </c>
      <c r="L17" s="241"/>
      <c r="M17" s="241"/>
      <c r="N17" s="241"/>
    </row>
    <row r="18" spans="1:14">
      <c r="F18" s="95"/>
      <c r="G18" s="95"/>
      <c r="H18" s="95"/>
      <c r="I18" s="95"/>
      <c r="J18" s="93"/>
      <c r="K18" s="95"/>
      <c r="L18" s="95"/>
      <c r="M18" s="95"/>
      <c r="N18" s="95"/>
    </row>
    <row r="19" spans="1:14">
      <c r="E19" s="7" t="s">
        <v>325</v>
      </c>
      <c r="F19" s="95">
        <f>-F16</f>
        <v>67894</v>
      </c>
      <c r="G19" s="95">
        <f>+G13</f>
        <v>879965</v>
      </c>
      <c r="H19" s="95" t="s">
        <v>326</v>
      </c>
      <c r="I19" s="95"/>
      <c r="J19" s="7" t="s">
        <v>325</v>
      </c>
      <c r="K19" s="95">
        <f>-K16</f>
        <v>3375398</v>
      </c>
      <c r="L19" s="95">
        <f>+L13</f>
        <v>4473835</v>
      </c>
      <c r="M19" s="95" t="s">
        <v>326</v>
      </c>
      <c r="N19" s="95"/>
    </row>
    <row r="20" spans="1:14">
      <c r="F20" s="95"/>
      <c r="G20" s="95"/>
      <c r="H20" s="95"/>
      <c r="I20" s="95"/>
      <c r="K20" s="95"/>
      <c r="L20" s="95"/>
      <c r="M20" s="95"/>
      <c r="N20" s="95"/>
    </row>
    <row r="21" spans="1:14">
      <c r="E21" s="7" t="s">
        <v>327</v>
      </c>
      <c r="F21" s="2">
        <f>+H51</f>
        <v>0.21666766595447282</v>
      </c>
      <c r="G21" s="2">
        <f>+F21</f>
        <v>0.21666766595447282</v>
      </c>
      <c r="H21" s="95"/>
      <c r="I21" s="95"/>
      <c r="J21" s="7" t="s">
        <v>327</v>
      </c>
      <c r="K21" s="2">
        <f>+H51</f>
        <v>0.21666766595447282</v>
      </c>
      <c r="L21" s="2">
        <f>+K21</f>
        <v>0.21666766595447282</v>
      </c>
      <c r="M21" s="95"/>
      <c r="N21" s="95"/>
    </row>
    <row r="22" spans="1:14" ht="15.75" thickBot="1">
      <c r="E22" s="7" t="s">
        <v>328</v>
      </c>
      <c r="F22" s="254">
        <f>+F19*F21</f>
        <v>14710.434512312977</v>
      </c>
      <c r="G22" s="254">
        <f>+G19*G21</f>
        <v>190659.96267162767</v>
      </c>
      <c r="H22" s="244">
        <f>+F22-G22</f>
        <v>-175949.52815931468</v>
      </c>
      <c r="I22" s="245" t="s">
        <v>329</v>
      </c>
      <c r="J22" s="7" t="s">
        <v>328</v>
      </c>
      <c r="K22" s="254">
        <f>+K19*K21</f>
        <v>731339.60632739565</v>
      </c>
      <c r="L22" s="254">
        <f>+L19*L21</f>
        <v>969335.38731542893</v>
      </c>
      <c r="M22" s="244">
        <f>+K22-L22</f>
        <v>-237995.78098803328</v>
      </c>
      <c r="N22" s="245" t="s">
        <v>329</v>
      </c>
    </row>
    <row r="23" spans="1:14">
      <c r="F23" s="241"/>
      <c r="G23" s="95"/>
      <c r="H23" s="95"/>
      <c r="I23" s="95"/>
      <c r="K23" s="241"/>
      <c r="L23" s="95"/>
      <c r="M23" s="95"/>
      <c r="N23" s="95"/>
    </row>
    <row r="24" spans="1:14" ht="15.75" thickBot="1">
      <c r="E24" s="7" t="s">
        <v>330</v>
      </c>
      <c r="F24" s="255">
        <f>+F19-F22</f>
        <v>53183.565487687025</v>
      </c>
      <c r="G24" s="255">
        <f>+G19-G22</f>
        <v>689305.03732837236</v>
      </c>
      <c r="H24" s="234" t="s">
        <v>331</v>
      </c>
      <c r="I24" s="241"/>
      <c r="J24" s="7" t="s">
        <v>330</v>
      </c>
      <c r="K24" s="255">
        <f>+K19-K22</f>
        <v>2644058.3936726041</v>
      </c>
      <c r="L24" s="255">
        <f>+L19-L22</f>
        <v>3504499.6126845712</v>
      </c>
      <c r="M24" s="234" t="s">
        <v>331</v>
      </c>
      <c r="N24" s="241"/>
    </row>
    <row r="25" spans="1:14">
      <c r="F25" s="93"/>
      <c r="G25" s="95"/>
      <c r="H25" s="95"/>
      <c r="I25" s="95"/>
      <c r="K25" s="93"/>
      <c r="L25" s="95"/>
      <c r="M25" s="95"/>
      <c r="N25" s="95"/>
    </row>
    <row r="26" spans="1:14" ht="15.75" thickBot="1">
      <c r="E26" s="7" t="s">
        <v>332</v>
      </c>
      <c r="F26" s="256">
        <f>+G24-F24</f>
        <v>636121.47184068535</v>
      </c>
      <c r="G26" s="257">
        <f>1-H51</f>
        <v>0.78333233404552716</v>
      </c>
      <c r="H26" s="95"/>
      <c r="I26" s="95"/>
      <c r="J26" s="7" t="s">
        <v>332</v>
      </c>
      <c r="K26" s="256">
        <f>+L24-K24</f>
        <v>860441.21901196707</v>
      </c>
      <c r="L26" s="257">
        <f>1-P51</f>
        <v>1</v>
      </c>
      <c r="M26" s="95"/>
      <c r="N26" s="95"/>
    </row>
    <row r="27" spans="1:14" ht="15.75" thickTop="1">
      <c r="F27" s="93"/>
      <c r="G27" s="2"/>
      <c r="H27" s="2"/>
      <c r="I27" s="2"/>
      <c r="J27" s="76"/>
      <c r="K27" s="246"/>
      <c r="L27" s="246"/>
      <c r="M27" s="246"/>
      <c r="N27" s="246"/>
    </row>
    <row r="28" spans="1:14">
      <c r="F28" s="93"/>
      <c r="G28" s="242"/>
      <c r="H28" s="242"/>
      <c r="I28" s="242"/>
      <c r="J28" s="76"/>
      <c r="K28" s="242"/>
      <c r="L28" s="242"/>
      <c r="M28" s="242"/>
      <c r="N28" s="242"/>
    </row>
    <row r="29" spans="1:14">
      <c r="F29" s="93"/>
      <c r="G29" s="93"/>
      <c r="H29" s="93"/>
      <c r="I29" s="93"/>
      <c r="J29" s="93"/>
      <c r="K29" s="93"/>
      <c r="L29" s="93"/>
      <c r="M29" s="93"/>
      <c r="N29" s="93"/>
    </row>
    <row r="30" spans="1:14">
      <c r="F30" s="93"/>
      <c r="G30" s="93"/>
      <c r="H30" s="93"/>
      <c r="I30" s="93"/>
      <c r="J30" s="93"/>
      <c r="K30" s="93"/>
      <c r="L30" s="93"/>
      <c r="M30" s="93"/>
      <c r="N30" s="93"/>
    </row>
    <row r="31" spans="1:14">
      <c r="A31" s="232" t="s">
        <v>333</v>
      </c>
      <c r="F31" s="95"/>
      <c r="G31" s="95"/>
      <c r="H31" s="95"/>
      <c r="I31" s="95"/>
      <c r="J31" s="95"/>
    </row>
    <row r="32" spans="1:14">
      <c r="A32" s="258" t="s">
        <v>315</v>
      </c>
      <c r="F32" s="95"/>
      <c r="G32" s="95"/>
      <c r="H32" s="95"/>
      <c r="I32" s="95"/>
      <c r="J32" s="95"/>
    </row>
    <row r="33" spans="1:14">
      <c r="A33" s="7" t="s">
        <v>334</v>
      </c>
      <c r="B33" s="7" t="s">
        <v>335</v>
      </c>
      <c r="F33" s="95"/>
      <c r="G33" s="95"/>
      <c r="H33" s="95"/>
      <c r="I33" s="95"/>
      <c r="J33" s="95"/>
    </row>
    <row r="34" spans="1:14">
      <c r="A34" s="258" t="s">
        <v>336</v>
      </c>
      <c r="B34" s="7" t="s">
        <v>337</v>
      </c>
      <c r="C34" s="7" t="s">
        <v>338</v>
      </c>
      <c r="F34" s="95">
        <v>9931871</v>
      </c>
      <c r="G34" s="95"/>
      <c r="H34" s="95"/>
      <c r="I34" s="95"/>
      <c r="J34" s="95"/>
    </row>
    <row r="35" spans="1:14">
      <c r="F35" s="95"/>
      <c r="G35" s="95"/>
      <c r="H35" s="95"/>
      <c r="I35" s="95"/>
      <c r="J35" s="95"/>
    </row>
    <row r="36" spans="1:14">
      <c r="A36" s="230" t="s">
        <v>298</v>
      </c>
      <c r="B36" s="7" t="s">
        <v>339</v>
      </c>
      <c r="C36" s="7" t="s">
        <v>299</v>
      </c>
      <c r="F36" s="95">
        <v>4473835</v>
      </c>
      <c r="G36" s="95"/>
      <c r="H36" s="95"/>
      <c r="I36" s="95"/>
      <c r="J36" s="95"/>
    </row>
    <row r="37" spans="1:14">
      <c r="F37" s="93"/>
      <c r="G37" s="93"/>
      <c r="H37" s="93"/>
      <c r="I37" s="93"/>
      <c r="J37" s="95"/>
    </row>
    <row r="38" spans="1:14">
      <c r="A38" s="7" t="s">
        <v>300</v>
      </c>
      <c r="B38" s="7" t="s">
        <v>340</v>
      </c>
      <c r="C38" s="7" t="s">
        <v>301</v>
      </c>
      <c r="F38" s="241">
        <v>879965</v>
      </c>
      <c r="G38" s="241"/>
      <c r="H38" s="241"/>
      <c r="I38" s="241"/>
      <c r="J38" s="95"/>
    </row>
    <row r="39" spans="1:14">
      <c r="B39" s="230"/>
      <c r="F39" s="95"/>
      <c r="G39" s="95"/>
      <c r="H39" s="95"/>
      <c r="I39" s="95"/>
      <c r="J39" s="95"/>
    </row>
    <row r="40" spans="1:14">
      <c r="B40" s="7" t="s">
        <v>336</v>
      </c>
      <c r="C40" s="7" t="s">
        <v>341</v>
      </c>
      <c r="F40" s="95">
        <v>0</v>
      </c>
      <c r="G40" s="95"/>
      <c r="H40" s="95"/>
      <c r="I40" s="95"/>
      <c r="J40" s="95"/>
    </row>
    <row r="41" spans="1:14">
      <c r="B41" s="230"/>
      <c r="F41" s="95"/>
      <c r="G41" s="95"/>
      <c r="H41" s="95"/>
      <c r="I41" s="95"/>
      <c r="J41" s="95"/>
    </row>
    <row r="42" spans="1:14">
      <c r="B42" s="7" t="s">
        <v>342</v>
      </c>
      <c r="C42" s="7" t="s">
        <v>343</v>
      </c>
      <c r="F42" s="241">
        <v>-205301</v>
      </c>
      <c r="G42" s="241"/>
      <c r="H42" s="241"/>
      <c r="I42" s="241"/>
      <c r="J42" s="95"/>
      <c r="K42" s="93"/>
      <c r="L42" s="241"/>
      <c r="M42" s="241"/>
      <c r="N42" s="241"/>
    </row>
    <row r="43" spans="1:14">
      <c r="F43" s="241"/>
      <c r="G43" s="241"/>
      <c r="H43" s="241"/>
      <c r="I43" s="241"/>
      <c r="J43" s="95"/>
      <c r="K43" s="93"/>
      <c r="L43" s="241"/>
      <c r="M43" s="241"/>
      <c r="N43" s="241"/>
    </row>
    <row r="44" spans="1:14">
      <c r="B44" s="7" t="s">
        <v>344</v>
      </c>
      <c r="C44" s="7" t="s">
        <v>345</v>
      </c>
      <c r="F44" s="241">
        <v>-485268</v>
      </c>
      <c r="G44" s="241"/>
      <c r="H44" s="241"/>
      <c r="I44" s="241"/>
      <c r="J44" s="95"/>
      <c r="K44" s="93"/>
      <c r="L44" s="241"/>
      <c r="M44" s="241"/>
      <c r="N44" s="241"/>
    </row>
    <row r="45" spans="1:14">
      <c r="F45" s="241"/>
      <c r="G45" s="241"/>
      <c r="H45" s="241"/>
      <c r="I45" s="241"/>
      <c r="J45" s="95"/>
      <c r="K45" s="93"/>
      <c r="L45" s="241"/>
      <c r="M45" s="241"/>
      <c r="N45" s="241"/>
    </row>
    <row r="46" spans="1:14">
      <c r="B46" s="7" t="s">
        <v>346</v>
      </c>
      <c r="C46" s="7" t="s">
        <v>345</v>
      </c>
      <c r="F46" s="241">
        <v>-518410</v>
      </c>
      <c r="G46" s="241"/>
      <c r="H46" s="241"/>
      <c r="I46" s="241"/>
      <c r="J46" s="95"/>
      <c r="K46" s="93"/>
      <c r="L46" s="241"/>
      <c r="M46" s="241"/>
      <c r="N46" s="241"/>
    </row>
    <row r="47" spans="1:14">
      <c r="F47" s="241"/>
      <c r="G47" s="241"/>
      <c r="H47" s="241"/>
      <c r="I47" s="241"/>
      <c r="J47" s="95"/>
      <c r="K47" s="241"/>
      <c r="L47" s="241"/>
      <c r="M47" s="241"/>
      <c r="N47" s="241"/>
    </row>
    <row r="48" spans="1:14">
      <c r="F48" s="95" t="s">
        <v>140</v>
      </c>
      <c r="G48" s="95"/>
      <c r="H48" s="95"/>
      <c r="I48" s="241"/>
      <c r="J48" s="95"/>
    </row>
    <row r="49" spans="2:14">
      <c r="B49" s="7" t="s">
        <v>347</v>
      </c>
      <c r="C49" s="7" t="s">
        <v>348</v>
      </c>
      <c r="F49" s="241"/>
      <c r="G49" s="241"/>
      <c r="H49" s="241">
        <v>3049964</v>
      </c>
      <c r="I49" s="241"/>
      <c r="J49" s="93"/>
    </row>
    <row r="50" spans="2:14" ht="15.75" thickBot="1">
      <c r="C50" s="203" t="s">
        <v>243</v>
      </c>
      <c r="D50" s="232" t="s">
        <v>349</v>
      </c>
      <c r="F50" s="236">
        <f>SUM(F34:F49)</f>
        <v>14076692</v>
      </c>
      <c r="G50" s="259"/>
      <c r="H50" s="259">
        <f>+H49</f>
        <v>3049964</v>
      </c>
      <c r="I50" s="241"/>
      <c r="J50" s="93"/>
    </row>
    <row r="51" spans="2:14" ht="15.75" thickBot="1">
      <c r="D51" s="232" t="s">
        <v>290</v>
      </c>
      <c r="F51" s="95"/>
      <c r="G51" s="95"/>
      <c r="H51" s="260">
        <f>+H50/F50</f>
        <v>0.21666766595447282</v>
      </c>
      <c r="I51" s="241"/>
      <c r="J51" s="93"/>
      <c r="K51" s="243"/>
      <c r="L51" s="243"/>
      <c r="M51" s="243"/>
      <c r="N51" s="243"/>
    </row>
    <row r="52" spans="2:14">
      <c r="F52" s="93"/>
      <c r="G52" s="93"/>
      <c r="H52" s="93"/>
      <c r="I52" s="242"/>
      <c r="J52" s="261"/>
      <c r="K52" s="93"/>
      <c r="L52" s="93"/>
      <c r="M52" s="93"/>
      <c r="N52" s="93"/>
    </row>
    <row r="53" spans="2:14">
      <c r="C53" s="203" t="s">
        <v>243</v>
      </c>
      <c r="D53" s="7" t="s">
        <v>350</v>
      </c>
      <c r="F53" s="93"/>
      <c r="G53" s="93"/>
      <c r="H53" s="93"/>
      <c r="I53" s="93"/>
      <c r="J53" s="93"/>
      <c r="K53" s="93"/>
      <c r="L53" s="93"/>
      <c r="M53" s="93"/>
      <c r="N53" s="93"/>
    </row>
    <row r="54" spans="2:14">
      <c r="D54" s="7" t="s">
        <v>351</v>
      </c>
      <c r="F54" s="93"/>
      <c r="G54" s="93"/>
      <c r="H54" s="93"/>
      <c r="I54" s="93"/>
      <c r="J54" s="93"/>
      <c r="K54" s="93"/>
      <c r="L54" s="93"/>
      <c r="M54" s="93"/>
      <c r="N54" s="93"/>
    </row>
    <row r="55" spans="2:14">
      <c r="F55" s="93"/>
      <c r="G55" s="93"/>
      <c r="H55" s="93"/>
      <c r="I55" s="93"/>
      <c r="J55" s="93"/>
      <c r="K55" s="93"/>
      <c r="L55" s="93"/>
      <c r="M55" s="93"/>
      <c r="N55" s="93"/>
    </row>
  </sheetData>
  <pageMargins left="0.7" right="0.7" top="0.5" bottom="0.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2010 Ms</vt:lpstr>
      <vt:lpstr>Pension</vt:lpstr>
      <vt:lpstr>OPRB</vt:lpstr>
    </vt:vector>
  </TitlesOfParts>
  <Company>Information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jwcartee</dc:creator>
  <cp:lastModifiedBy>sajordan</cp:lastModifiedBy>
  <cp:lastPrinted>2011-10-20T19:19:01Z</cp:lastPrinted>
  <dcterms:created xsi:type="dcterms:W3CDTF">2011-09-19T20:26:01Z</dcterms:created>
  <dcterms:modified xsi:type="dcterms:W3CDTF">2011-10-20T19:19:04Z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1276501308</vt:i4>
  </property>
  <property fmtid="{D5CDD505-2E9C-101B-9397-08002B2CF9AE}" pid="3" name="_NewReviewCycle">
    <vt:lpwstr/>
  </property>
  <property fmtid="{D5CDD505-2E9C-101B-9397-08002B2CF9AE}" pid="4" name="_EmailSubject">
    <vt:lpwstr>Gulf Power Company 2010  M Control Worksheet</vt:lpwstr>
  </property>
  <property fmtid="{D5CDD505-2E9C-101B-9397-08002B2CF9AE}" pid="5" name="_AuthorEmail">
    <vt:lpwstr>JWCARTEE@southernco.com</vt:lpwstr>
  </property>
  <property fmtid="{D5CDD505-2E9C-101B-9397-08002B2CF9AE}" pid="6" name="_AuthorEmailDisplayName">
    <vt:lpwstr>Cartee, Jim W.</vt:lpwstr>
  </property>
  <property fmtid="{D5CDD505-2E9C-101B-9397-08002B2CF9AE}" pid="7" name="_ReviewingToolsShownOnce">
    <vt:lpwstr/>
  </property>
</Properties>
</file>