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0" windowWidth="25365" windowHeight="12420"/>
  </bookViews>
  <sheets>
    <sheet name="Exhibit___ (JP-5)" sheetId="6" r:id="rId1"/>
    <sheet name="KAT's calculations" sheetId="7" r:id="rId2"/>
    <sheet name="Sheet1" sheetId="1" r:id="rId3"/>
    <sheet name="GPC 2011" sheetId="9" r:id="rId4"/>
    <sheet name="APC" sheetId="5" r:id="rId5"/>
    <sheet name="Gulf STUDY" sheetId="8" r:id="rId6"/>
    <sheet name="MPC" sheetId="32" r:id="rId7"/>
    <sheet name="GPC" sheetId="4" state="hidden" r:id="rId8"/>
    <sheet name="MN Power" sheetId="33" r:id="rId9"/>
    <sheet name="Progress" sheetId="36" r:id="rId10"/>
    <sheet name="NiMO" sheetId="10" r:id="rId11"/>
    <sheet name="NSP" sheetId="38" r:id="rId12"/>
    <sheet name="South Carolina" sheetId="34" r:id="rId13"/>
    <sheet name="UE" sheetId="35" r:id="rId14"/>
    <sheet name="CenHud" sheetId="37" r:id="rId15"/>
  </sheets>
  <externalReferences>
    <externalReference r:id="rId16"/>
  </externalReferences>
  <definedNames>
    <definedName name="\0" localSheetId="9">[1]MAC!#REF!</definedName>
    <definedName name="\0">[1]MAC!#REF!</definedName>
    <definedName name="\A" localSheetId="9">[1]MAC!#REF!</definedName>
    <definedName name="\A">[1]MAC!#REF!</definedName>
    <definedName name="\B" localSheetId="9">[1]MAC!#REF!</definedName>
    <definedName name="\B">[1]MAC!#REF!</definedName>
    <definedName name="\C" localSheetId="9">[1]MAC!#REF!</definedName>
    <definedName name="\C">[1]MAC!#REF!</definedName>
    <definedName name="\D" localSheetId="9">[1]MAC!#REF!</definedName>
    <definedName name="\D">[1]MAC!#REF!</definedName>
    <definedName name="\E" localSheetId="9">[1]MAC!#REF!</definedName>
    <definedName name="\E">[1]MAC!#REF!</definedName>
    <definedName name="\F" localSheetId="9">[1]MAC!#REF!</definedName>
    <definedName name="\F">[1]MAC!#REF!</definedName>
    <definedName name="\G" localSheetId="9">[1]MAC!#REF!</definedName>
    <definedName name="\G">[1]MAC!#REF!</definedName>
    <definedName name="\H" localSheetId="9">[1]MAC!#REF!</definedName>
    <definedName name="\H">[1]MAC!#REF!</definedName>
    <definedName name="_">'Gulf STUDY'!$C$1384:$S$1414</definedName>
    <definedName name="_adr_all_rates1">'Gulf STUDY'!$C$220:$K$258</definedName>
    <definedName name="_adr_all_rates2">'Gulf STUDY'!$L$220:$S$258</definedName>
    <definedName name="_adr_all_rates3">'Gulf STUDY'!$C$268:$K$307</definedName>
    <definedName name="_adr_all_rates4">'Gulf STUDY'!$L$268:$S$307</definedName>
    <definedName name="_ADR1">'Gulf STUDY'!$C$220:$S$258</definedName>
    <definedName name="_ADR2">'Gulf STUDY'!$C$268:$S$307</definedName>
    <definedName name="_ADR3" localSheetId="9">'Gulf STUDY'!#REF!</definedName>
    <definedName name="_ADR3">'Gulf STUDY'!#REF!</definedName>
    <definedName name="_ADR4">'Gulf STUDY'!$V$259:$AE$303</definedName>
    <definedName name="_adr5" localSheetId="9">'Gulf STUDY'!#REF!</definedName>
    <definedName name="_adr5">'Gulf STUDY'!#REF!</definedName>
    <definedName name="_adr6" localSheetId="9">'Gulf STUDY'!#REF!</definedName>
    <definedName name="_adr6">'Gulf STUDY'!#REF!</definedName>
    <definedName name="_dep_all_rates1">'Gulf STUDY'!$C$1135:$K$1175</definedName>
    <definedName name="_dep_all_rates2">'Gulf STUDY'!$L$1135:$S$1175</definedName>
    <definedName name="_dep_all_rates3">'Gulf STUDY'!$C$1185:$K$1224</definedName>
    <definedName name="_dep_all_rates4">'Gulf STUDY'!$L$1185:$S$1224</definedName>
    <definedName name="_DEP1">'Gulf STUDY'!$C$1135:$S$1175</definedName>
    <definedName name="_DEP2">'Gulf STUDY'!$C$1185:$S$1224</definedName>
    <definedName name="_DEP3">'Gulf STUDY'!$A$1176:$M$1224</definedName>
    <definedName name="_DEP4">'Gulf STUDY'!$V$1176:$AE$1224</definedName>
    <definedName name="_orb_all_rates1">'Gulf STUDY'!$C$495:$K$561</definedName>
    <definedName name="_orb_all_rates2">'Gulf STUDY'!$L$495:$S$561</definedName>
    <definedName name="_orb_all_rates3">'Gulf STUDY'!$C$571:$K$609</definedName>
    <definedName name="_orb_all_rates4">'Gulf STUDY'!$L$571:$S$609</definedName>
    <definedName name="_ORB1">'Gulf STUDY'!$C$495:$S$561</definedName>
    <definedName name="_ORB2">'Gulf STUDY'!$C$571:$S$609</definedName>
    <definedName name="_ORB3">'Gulf STUDY'!$A$562:$S$609</definedName>
    <definedName name="_ORB4">'Gulf STUDY'!$V$544:$AE$567</definedName>
    <definedName name="_ORB5">'Gulf STUDY'!$A$562:$M$609</definedName>
    <definedName name="_ORB6">'Gulf STUDY'!$V$572:$AE$609</definedName>
    <definedName name="_owc_all_rates1">'Gulf STUDY'!$C$366:$K$413</definedName>
    <definedName name="_owc_all_rates2">'Gulf STUDY'!$L$366:$S$413</definedName>
    <definedName name="_owc_all_rates3">'Gulf STUDY'!$C$423:$K$485</definedName>
    <definedName name="_owc_all_rates4">'Gulf STUDY'!$L$423:$S$485</definedName>
    <definedName name="_OWC1">'Gulf STUDY'!$C$366:$S$413</definedName>
    <definedName name="_OWC2">'Gulf STUDY'!$C$423:$S$485</definedName>
    <definedName name="_OWC3">'Gulf STUDY'!$A$414:$S$485</definedName>
    <definedName name="_OWC4">'Gulf STUDY'!$V$400:$AE$456</definedName>
    <definedName name="_OWC5">'Gulf STUDY'!$A$414:$M$485</definedName>
    <definedName name="_OWC6">'Gulf STUDY'!$V$471:$AE$485</definedName>
    <definedName name="_PRS1">'Gulf STUDY'!$A$1319:$M$1362</definedName>
    <definedName name="_PRS2">'Gulf STUDY'!$V$1319:$AE$1362</definedName>
    <definedName name="_PRS3">'Gulf STUDY'!$A$1364:$M$1374</definedName>
    <definedName name="_PRS4">'Gulf STUDY'!$V$1364:$AE$1374</definedName>
    <definedName name="_rev_all_rates1">'Gulf STUDY'!$C$619:$K$685</definedName>
    <definedName name="_rev_all_rates2">'Gulf STUDY'!$L$619:$S$685</definedName>
    <definedName name="_REV1">'Gulf STUDY'!$C$619:$S$685</definedName>
    <definedName name="_REV2">'Gulf STUDY'!$V$610:$AE$658</definedName>
    <definedName name="_REV3">'Gulf STUDY'!$A$660:$M$685</definedName>
    <definedName name="_REV4">'Gulf STUDY'!$V$660:$AE$685</definedName>
    <definedName name="adbrdcol">'Gulf STUDY'!$A$211:$B$211</definedName>
    <definedName name="adbrdrow">'Gulf STUDY'!$A$211:$S$219</definedName>
    <definedName name="albrdcol">'Gulf STUDY'!$A$1483:$B$1483</definedName>
    <definedName name="albrdrow">'Gulf STUDY'!$A$1483:$S$1490</definedName>
    <definedName name="BIG" localSheetId="9">#REF!</definedName>
    <definedName name="BIG">#REF!</definedName>
    <definedName name="CDEP_EXPENSE">'Gulf STUDY'!$A$1126:$B$1126</definedName>
    <definedName name="CDEP_RESERVE">'Gulf STUDY'!$A$211:$B$211</definedName>
    <definedName name="CE_3A" localSheetId="9">#REF!</definedName>
    <definedName name="CE_3A">#REF!</definedName>
    <definedName name="CE_3B" localSheetId="9">#REF!</definedName>
    <definedName name="CE_3B">#REF!</definedName>
    <definedName name="CGROSS_PLANT">'Gulf STUDY'!$A$19:$B$19</definedName>
    <definedName name="CM_S">'Gulf STUDY'!$A$308:$B$308</definedName>
    <definedName name="CMNRATIO" localSheetId="9">#REF!</definedName>
    <definedName name="CMNRATIO">#REF!</definedName>
    <definedName name="CO_M">'Gulf STUDY'!$A$686:$B$686</definedName>
    <definedName name="COMPON" localSheetId="9">[1]Compon_Anal!#REF!</definedName>
    <definedName name="COMPON">[1]Compon_Anal!#REF!</definedName>
    <definedName name="COTHER_RB">'Gulf STUDY'!$A$486:$B$486</definedName>
    <definedName name="COTHER_WC">'Gulf STUDY'!$A$357:$B$357</definedName>
    <definedName name="CPRES_SUMMARY">'Gulf STUDY'!$A$1319:$B$1319</definedName>
    <definedName name="CREVENUES">'Gulf STUDY'!$A$610:$B$610</definedName>
    <definedName name="CTAXES">'Gulf STUDY'!$A$1225:$B$1225</definedName>
    <definedName name="DATA2">'Gulf STUDY'!$A$24</definedName>
    <definedName name="debrdcol">'Gulf STUDY'!$A$1126:$B$1126</definedName>
    <definedName name="debrdrow">'Gulf STUDY'!$A$1126:$S$1134</definedName>
    <definedName name="DEP_EXPENSE1">'Gulf STUDY'!$C$1135:$V$1189</definedName>
    <definedName name="DEP_EXPENSE2">'Gulf STUDY'!$U$1135:$AD$1189</definedName>
    <definedName name="DEP_EXPENSE2F">'Gulf STUDY'!$U$1135:$AG$1189</definedName>
    <definedName name="DEP_EXPENSE3">'Gulf STUDY'!$C$1190:$V$1224</definedName>
    <definedName name="DEP_EXPENSE4">'Gulf STUDY'!$Z$1190:$AE$1224</definedName>
    <definedName name="DEP_EXPENSE4F">'Gulf STUDY'!$W$1190:$AG$1224</definedName>
    <definedName name="DEP_RESERVE1">'Gulf STUDY'!$C$220:$V$273</definedName>
    <definedName name="DEP_RESERVE2">'Gulf STUDY'!$Z$220:$AD$273</definedName>
    <definedName name="DEP_RESERVE2F">'Gulf STUDY'!$W$220:$AG$273</definedName>
    <definedName name="DEP_RESERVE3">'Gulf STUDY'!$C$259:$V$307</definedName>
    <definedName name="DEP_RESERVE4">'Gulf STUDY'!$Z$259:$AE$307</definedName>
    <definedName name="DEP_RESERVE4F">'Gulf STUDY'!$W$259:$AG$307</definedName>
    <definedName name="DETFACT" localSheetId="9">#REF!</definedName>
    <definedName name="DETFACT">#REF!</definedName>
    <definedName name="DETRATIO" localSheetId="9">#REF!</definedName>
    <definedName name="DETRATIO">#REF!</definedName>
    <definedName name="E_10p16" localSheetId="9">'[1]E-10'!#REF!</definedName>
    <definedName name="E_10p16">'[1]E-10'!#REF!</definedName>
    <definedName name="equal_summary_pres_brdrow">'Gulf STUDY'!$A$1417:$O$1425</definedName>
    <definedName name="equal_summary_present">'Gulf STUDY'!$A$1426:$N$1449</definedName>
    <definedName name="equal_summary_prop_brdrow">'Gulf STUDY'!$A$1450:$O$1458</definedName>
    <definedName name="equal_summary_proposed">'Gulf STUDY'!$A$1459:$N$1482</definedName>
    <definedName name="Extern" localSheetId="9">#REF!</definedName>
    <definedName name="Extern">#REF!</definedName>
    <definedName name="F" localSheetId="9">'[1]E-3'!#REF!</definedName>
    <definedName name="F">'[1]E-3'!#REF!</definedName>
    <definedName name="FE06PG1" localSheetId="9">#REF!</definedName>
    <definedName name="FE06PG1">#REF!</definedName>
    <definedName name="FE06PG2" localSheetId="9">#REF!</definedName>
    <definedName name="FE06PG2">#REF!</definedName>
    <definedName name="FE06PG3" localSheetId="9">#REF!</definedName>
    <definedName name="FE06PG3">#REF!</definedName>
    <definedName name="FE06PG4" localSheetId="9">#REF!</definedName>
    <definedName name="FE06PG4">#REF!</definedName>
    <definedName name="FEDRATE" localSheetId="9">#REF!</definedName>
    <definedName name="FEDRATE">#REF!</definedName>
    <definedName name="FI_13">'Gulf STUDY'!$A$2279:$G$2290</definedName>
    <definedName name="FI15FI17">'Gulf STUDY'!$A$2215:$G$2257</definedName>
    <definedName name="FX_06">'Gulf STUDY'!$A$2261:$J$2277</definedName>
    <definedName name="gpbrdcol">'Gulf STUDY'!$A$19:$B$19</definedName>
    <definedName name="gpbrdrow">'Gulf STUDY'!$A$23:$S$31</definedName>
    <definedName name="GROSSHDR1">'Gulf STUDY'!$A$23:$S$33</definedName>
    <definedName name="GROSSHDR2">'Gulf STUDY'!$A$24:$A$33,'Gulf STUDY'!$B$19:XES$33,'Gulf STUDY'!$Y$23:$AK$33</definedName>
    <definedName name="GROSSPLT1">'Gulf STUDY'!$A$23:$S$71</definedName>
    <definedName name="grsplnt_all_rates1">'Gulf STUDY'!$C$32:$K$79</definedName>
    <definedName name="grsplnt_all_rates2">'Gulf STUDY'!$L$32:$S$79</definedName>
    <definedName name="grsplnt_all_rates3">'Gulf STUDY'!$C$89:$K$136</definedName>
    <definedName name="grsplnt_all_rates4">'Gulf STUDY'!$L$89:$S$136</definedName>
    <definedName name="grsplnt_all_rates5">'Gulf STUDY'!$C$146:$K$210</definedName>
    <definedName name="grsplnt_all_rates6">'Gulf STUDY'!$L$146:$S$210</definedName>
    <definedName name="GRSPLNT1">'Gulf STUDY'!$C$32:$S$79</definedName>
    <definedName name="GRSPLNT2">'Gulf STUDY'!$C$89:$S$136</definedName>
    <definedName name="GRSPLNT3">'Gulf STUDY'!$C$146:$S$210</definedName>
    <definedName name="GRSPLNT4">'Gulf STUDY'!$A$137:$S$210</definedName>
    <definedName name="GRSPLNT5">'Gulf STUDY'!$A$80:$N$158</definedName>
    <definedName name="GRSPLNT6">'Gulf STUDY'!$V$121:$AE$157</definedName>
    <definedName name="grsplnt7">'Gulf STUDY'!$A$137:$N$210</definedName>
    <definedName name="grsplnt8" localSheetId="9">'Gulf STUDY'!#REF!</definedName>
    <definedName name="grsplnt8">'Gulf STUDY'!#REF!</definedName>
    <definedName name="H" localSheetId="9">'[1]E-6'!#REF!</definedName>
    <definedName name="H">'[1]E-6'!#REF!</definedName>
    <definedName name="HDEP_EXPENSE">'Gulf STUDY'!$A$1126:$Z$1135</definedName>
    <definedName name="HDEP_RESERVE">'Gulf STUDY'!$A$211:$Z$220</definedName>
    <definedName name="HE_3A" localSheetId="9">#REF!</definedName>
    <definedName name="HE_3A">#REF!</definedName>
    <definedName name="HE_3B" localSheetId="9">#REF!</definedName>
    <definedName name="HE_3B">#REF!</definedName>
    <definedName name="HGROSS_PLANT">'Gulf STUDY'!$A$23:$AE$32</definedName>
    <definedName name="HM_S">'Gulf STUDY'!$A$308:$Z$317</definedName>
    <definedName name="HO_M">'Gulf STUDY'!$A$686:$Z$695</definedName>
    <definedName name="HOTHER_RB">'Gulf STUDY'!$A$486:$Z$495</definedName>
    <definedName name="HOTHER_WC">'Gulf STUDY'!$A$357:$Z$366</definedName>
    <definedName name="HPRES_SUMMARY">'Gulf STUDY'!$A$1319:$Z$1328</definedName>
    <definedName name="HREVENUES">'Gulf STUDY'!$A$610:$Z$619</definedName>
    <definedName name="HTAXES">'Gulf STUDY'!$A$1225:$Z$1234</definedName>
    <definedName name="I" localSheetId="9">#REF!</definedName>
    <definedName name="I">#REF!</definedName>
    <definedName name="Intern" localSheetId="9">#REF!</definedName>
    <definedName name="Intern">#REF!</definedName>
    <definedName name="K" localSheetId="9">#REF!</definedName>
    <definedName name="K">#REF!</definedName>
    <definedName name="lnal_all_rates1">'Gulf STUDY'!$C$1491:$K$1527</definedName>
    <definedName name="lnal_all_rates2">'Gulf STUDY'!$L$1491:$S$1527</definedName>
    <definedName name="lnal_all_rates3">'Gulf STUDY'!$C$1536:$K$1576</definedName>
    <definedName name="lnal_all_rates4">'Gulf STUDY'!$L$1536:$S$1576</definedName>
    <definedName name="LNALC1">'Gulf STUDY'!$C$1491:$S$1527</definedName>
    <definedName name="LNALC2">'Gulf STUDY'!$C$1536:$S$1576</definedName>
    <definedName name="LTDCOST" localSheetId="9">#REF!</definedName>
    <definedName name="LTDCOST">#REF!</definedName>
    <definedName name="LTDRATIO" localSheetId="9">#REF!</definedName>
    <definedName name="LTDRATIO">#REF!</definedName>
    <definedName name="M_S1">'Gulf STUDY'!$A$308:$S$356</definedName>
    <definedName name="M_S2">'Gulf STUDY'!$Z$317:$AD$356</definedName>
    <definedName name="M_S2F">'Gulf STUDY'!$W$317:$AG$356</definedName>
    <definedName name="M_SWKRPT">'Gulf STUDY'!$A$2010:$S$2061</definedName>
    <definedName name="MACROS" localSheetId="9">[1]MAC!#REF!</definedName>
    <definedName name="MACROS">[1]MAC!#REF!</definedName>
    <definedName name="mands_all_rates1">'Gulf STUDY'!$C$317:$K$356</definedName>
    <definedName name="mands_all_rates2">'Gulf STUDY'!$L$317:$S$356</definedName>
    <definedName name="MANDS1">'Gulf STUDY'!$C$317:$S$356</definedName>
    <definedName name="MANDS2">'Gulf STUDY'!$V$308:$AE$356</definedName>
    <definedName name="METERAL" localSheetId="9">[1]meter!#REF!</definedName>
    <definedName name="METERAL">[1]meter!#REF!</definedName>
    <definedName name="msbrdcol">'Gulf STUDY'!$A$308:$B$308</definedName>
    <definedName name="msbrdrow">'Gulf STUDY'!$A$308:$S$316</definedName>
    <definedName name="NEW" localSheetId="9">#REF!</definedName>
    <definedName name="NEW">#REF!</definedName>
    <definedName name="oandm_all_rates1">'Gulf STUDY'!$C$695:$K$742</definedName>
    <definedName name="oandm_all_rates10">'Gulf STUDY'!$L$918:$S$965</definedName>
    <definedName name="oandm_all_rates11">'Gulf STUDY'!$C$975:$K$1021</definedName>
    <definedName name="oandm_all_rates12">'Gulf STUDY'!$L$975:$S$1021</definedName>
    <definedName name="oandm_all_rates13">'Gulf STUDY'!$C$1031:$K$1093</definedName>
    <definedName name="oandm_all_rates14">'Gulf STUDY'!$L$1031:$S$1093</definedName>
    <definedName name="oandm_all_rates15">'Gulf STUDY'!$C$1103:$K$1125</definedName>
    <definedName name="oandm_all_rates16">'Gulf STUDY'!$L$1103:$S$1125</definedName>
    <definedName name="oandm_all_rates2">'Gulf STUDY'!$L$695:$S$742</definedName>
    <definedName name="oandm_all_rates3">'Gulf STUDY'!$C$752:$K$794</definedName>
    <definedName name="oandm_all_rates4">'Gulf STUDY'!$L$752:$S$794</definedName>
    <definedName name="oandm_all_rates5">'Gulf STUDY'!$C$804:$K$851</definedName>
    <definedName name="oandm_all_rates6">'Gulf STUDY'!$L$804:$S$851</definedName>
    <definedName name="oandm_all_rates7">'Gulf STUDY'!$C$861:$K$908</definedName>
    <definedName name="oandm_all_rates8">'Gulf STUDY'!$L$861:$S$908</definedName>
    <definedName name="oandm_all_rates9">'Gulf STUDY'!$C$918:$K$965</definedName>
    <definedName name="OANDM1">'Gulf STUDY'!$C$695:$S$742</definedName>
    <definedName name="OANDM10">'Gulf STUDY'!$V$909:$AE$932</definedName>
    <definedName name="OANDM11">'Gulf STUDY'!$A$909:$M$965</definedName>
    <definedName name="OANDM12">'Gulf STUDY'!$V$934:$AE$965</definedName>
    <definedName name="OANDM13">'Gulf STUDY'!$A$966:$M$1013</definedName>
    <definedName name="OANDM14">'Gulf STUDY'!$V$966:$AE$1013</definedName>
    <definedName name="OANDM15">'Gulf STUDY'!$A$1022:$M$1056</definedName>
    <definedName name="OANDM16">'Gulf STUDY'!$V$1022:$AE$1056</definedName>
    <definedName name="OANDM17">'Gulf STUDY'!$A$1067:$M$1113</definedName>
    <definedName name="OANDM18">'Gulf STUDY'!$V$1067:$AE$1093</definedName>
    <definedName name="oandm19" localSheetId="9">'Gulf STUDY'!#REF!</definedName>
    <definedName name="oandm19">'Gulf STUDY'!#REF!</definedName>
    <definedName name="OANDM2">'Gulf STUDY'!$C$752:$S$794</definedName>
    <definedName name="oandm20" localSheetId="9">'Gulf STUDY'!#REF!</definedName>
    <definedName name="oandm20">'Gulf STUDY'!#REF!</definedName>
    <definedName name="OANDM3">'Gulf STUDY'!$C$804:$S$851</definedName>
    <definedName name="OANDM4">'Gulf STUDY'!$C$861:$S$908</definedName>
    <definedName name="OANDM5">'Gulf STUDY'!$C$918:$S$965</definedName>
    <definedName name="OANDM6">'Gulf STUDY'!$C$975:$S$1021</definedName>
    <definedName name="OANDM7">'Gulf STUDY'!$C$1031:$S$1093</definedName>
    <definedName name="OANDM8">'Gulf STUDY'!$C$1103:$S$1125</definedName>
    <definedName name="OANDM9">'Gulf STUDY'!$A$909:$M$927</definedName>
    <definedName name="ombrdcol">'Gulf STUDY'!$A$686:$B$686</definedName>
    <definedName name="ombrdrow">'Gulf STUDY'!$A$686:$S$694</definedName>
    <definedName name="orbrdcol">'Gulf STUDY'!$A$486:$B$486</definedName>
    <definedName name="orbrdrow">'Gulf STUDY'!$A$486:$S$494</definedName>
    <definedName name="OTHER_RB1">'Gulf STUDY'!$C$495:$V$530</definedName>
    <definedName name="OTHER_RB2">'Gulf STUDY'!$Z$495:$AD$530</definedName>
    <definedName name="OTHER_RB2F">'Gulf STUDY'!$W$495:$AG$530</definedName>
    <definedName name="OTHER_RB3">'Gulf STUDY'!$C$562:$V$588</definedName>
    <definedName name="OTHER_RB4">'Gulf STUDY'!$Z$555:$AE$595</definedName>
    <definedName name="OTHER_RB4F">'Gulf STUDY'!$W$555:$AG$602</definedName>
    <definedName name="OTHER_RB5">'Gulf STUDY'!$C$589:$V$609</definedName>
    <definedName name="OTHER_RB6">'Gulf STUDY'!$U$596:$AD$609</definedName>
    <definedName name="OTHER_RB6F">'Gulf STUDY'!$U$603:$AG$609</definedName>
    <definedName name="OTHER_WC1">'Gulf STUDY'!$C$366:$V$413</definedName>
    <definedName name="OTHER_WC2">'Gulf STUDY'!$Z$366:$AD$414</definedName>
    <definedName name="OTHER_WC2F">'Gulf STUDY'!$W$366:$AG$414</definedName>
    <definedName name="OTHER_WC3">'Gulf STUDY'!$C$400:$V$460</definedName>
    <definedName name="OTHER_WC4">'Gulf STUDY'!$Z$400:$AE$460</definedName>
    <definedName name="OTHER_WC4F">'Gulf STUDY'!$W$400:$AG$460</definedName>
    <definedName name="OTHER_WC5">'Gulf STUDY'!$C$414:$V$485</definedName>
    <definedName name="OTHER_WC6">'Gulf STUDY'!$Z$471:$AE$485</definedName>
    <definedName name="OTHER_WC6F">'Gulf STUDY'!$W$471:$AG$485</definedName>
    <definedName name="othertax_all_rates1">'Gulf STUDY'!$C$1234:$K$1280</definedName>
    <definedName name="othertax_all_rates2">'Gulf STUDY'!$L$1234:$S$1280</definedName>
    <definedName name="othertax_all_rates3">'Gulf STUDY'!$C$1290:$K$1318</definedName>
    <definedName name="othertax_all_rates4">'Gulf STUDY'!$L$1290:$S$1318</definedName>
    <definedName name="OTHERTAX1">'Gulf STUDY'!$C$1234:$S$1280</definedName>
    <definedName name="OTHERTAX2">'Gulf STUDY'!$C$1290:$S$1318</definedName>
    <definedName name="OTHERTAX3">'Gulf STUDY'!$A$1281:$M$1318</definedName>
    <definedName name="OTHERTAX4">'Gulf STUDY'!$V$1281:$AE$1318</definedName>
    <definedName name="owbrdcol">'Gulf STUDY'!$A$357:$B$357</definedName>
    <definedName name="owbrdrow">'Gulf STUDY'!$A$357:$S$365</definedName>
    <definedName name="PAYROLLWKRPT">'Gulf STUDY'!$A$2132:$J$2162</definedName>
    <definedName name="Peak" localSheetId="9">#REF!</definedName>
    <definedName name="Peak">#REF!</definedName>
    <definedName name="PFDCOST" localSheetId="9">#REF!</definedName>
    <definedName name="PFDCOST">#REF!</definedName>
    <definedName name="PFDRATIO" localSheetId="9">#REF!</definedName>
    <definedName name="PFDRATIO">#REF!</definedName>
    <definedName name="POLAPL" localSheetId="9">#REF!</definedName>
    <definedName name="POLAPL">#REF!</definedName>
    <definedName name="pres_summary_all_rates1">'Gulf STUDY'!$C$1328:$K$1374</definedName>
    <definedName name="pres_summary_all_rates2">'Gulf STUDY'!$L$1328:$T$1374</definedName>
    <definedName name="PRES_SUMMARY1">'Gulf STUDY'!$C$1328:$S$1374</definedName>
    <definedName name="PRES_SUMMARY2">'Gulf STUDY'!$A$1364:$S$1374</definedName>
    <definedName name="PRES_SUMMARYF">'Gulf STUDY'!$W$1328:$AG$1372</definedName>
    <definedName name="_xlnm.Print_Area" localSheetId="0">'Exhibit___ (JP-5)'!$A$1:$Q$25</definedName>
    <definedName name="_xlnm.Print_Area" localSheetId="5">'Gulf STUDY'!$A$23:$S$1576</definedName>
    <definedName name="Prop_Summary_All_Rates1">'Gulf STUDY'!$C$1384:$K$1416</definedName>
    <definedName name="Prop_Summary_All_Rates2">'Gulf STUDY'!$L$1384:$S$1416</definedName>
    <definedName name="prop_summary_brdrow">'Gulf STUDY'!$A$1375:$S$1383</definedName>
    <definedName name="PROP_SUMMARY1">'Gulf STUDY'!$A$1384:$S$1416</definedName>
    <definedName name="PROP_SUMMARY2">'Gulf STUDY'!$L$1384:$S$1414</definedName>
    <definedName name="PROPINSWKRPT">'Gulf STUDY'!$A$2066:$J$2094</definedName>
    <definedName name="QQ69C" localSheetId="9">#REF!</definedName>
    <definedName name="QQ69C">#REF!</definedName>
    <definedName name="QQ69D" localSheetId="9">#REF!</definedName>
    <definedName name="QQ69D">#REF!</definedName>
    <definedName name="REVENUES">'Gulf STUDY'!$A$610:$Z$685</definedName>
    <definedName name="REVENUES1">'Gulf STUDY'!$C$619:$V$685</definedName>
    <definedName name="REVENUES2">'Gulf STUDY'!$Z$619:$AE$685</definedName>
    <definedName name="REVENUES2F">'Gulf STUDY'!$W$619:$AG$685</definedName>
    <definedName name="REVENUES3">'Gulf STUDY'!$C$676:$V$685</definedName>
    <definedName name="REVENUES4">'Gulf STUDY'!$U$676:$AD$685</definedName>
    <definedName name="RPPROPTX">'Gulf STUDY'!$A$2098:$M$2127</definedName>
    <definedName name="rvbrdcol">'Gulf STUDY'!$A$610:$B$610</definedName>
    <definedName name="rvbrdrow">'Gulf STUDY'!$A$610:$S$618</definedName>
    <definedName name="smbrdcol">'Gulf STUDY'!$A$1319:$B$1319</definedName>
    <definedName name="smbrdrow">'Gulf STUDY'!$A$1319:$S$1327</definedName>
    <definedName name="STATERATE" localSheetId="9">#REF!</definedName>
    <definedName name="STATERATE">#REF!</definedName>
    <definedName name="STDCOST" localSheetId="9">#REF!</definedName>
    <definedName name="STDCOST">#REF!</definedName>
    <definedName name="STDRATIO" localSheetId="9">#REF!</definedName>
    <definedName name="STDRATIO">#REF!</definedName>
    <definedName name="TAXES1">'Gulf STUDY'!$C$1234:$V$1290</definedName>
    <definedName name="TAXES2">'Gulf STUDY'!$Z$1234:$AD$1290</definedName>
    <definedName name="TAXES2F">'Gulf STUDY'!$W$1234:$AG$1290</definedName>
    <definedName name="TAXES3">'Gulf STUDY'!$C$1290:$V$1318</definedName>
    <definedName name="TAXES4">'Gulf STUDY'!$Z$1290:$AD$1318</definedName>
    <definedName name="TAXES4F">'Gulf STUDY'!$W$1290:$AG$1318</definedName>
    <definedName name="TAXRATE" localSheetId="9">#REF!</definedName>
    <definedName name="TAXRATE">#REF!</definedName>
    <definedName name="txbrdcol">'Gulf STUDY'!$A$1225:$B$1225</definedName>
    <definedName name="txbrdrow">'Gulf STUDY'!$A$1225:$S$1233</definedName>
    <definedName name="viewaccumdep">'Gulf STUDY'!$A$211</definedName>
    <definedName name="viewdeprexp">'Gulf STUDY'!$A$1127</definedName>
    <definedName name="viewgrsplnt">'Gulf STUDY'!$A$24</definedName>
    <definedName name="viewms">'Gulf STUDY'!$A$308</definedName>
    <definedName name="viewom">'Gulf STUDY'!$A$686</definedName>
    <definedName name="vieworb">'Gulf STUDY'!$A$486</definedName>
    <definedName name="viewowc">'Gulf STUDY'!$A$357</definedName>
    <definedName name="viewproposedsummary">'Gulf STUDY'!$A$1375</definedName>
    <definedName name="viewrev">'Gulf STUDY'!$A$610</definedName>
    <definedName name="viewsummary">'Gulf STUDY'!$A$1319</definedName>
    <definedName name="viewtotit">'Gulf STUDY'!$A$1225</definedName>
    <definedName name="WKSHT_FI15_FI17">'Gulf STUDY'!$B$2215:$G$2257</definedName>
  </definedNames>
  <calcPr calcId="125725"/>
</workbook>
</file>

<file path=xl/calcChain.xml><?xml version="1.0" encoding="utf-8"?>
<calcChain xmlns="http://schemas.openxmlformats.org/spreadsheetml/2006/main">
  <c r="AM31" i="38"/>
  <c r="Q16" i="6" s="1"/>
  <c r="AM30" i="38" l="1"/>
  <c r="O16" i="6" s="1"/>
  <c r="AL30" i="38"/>
  <c r="AM28"/>
  <c r="K16" i="6" s="1"/>
  <c r="M16" s="1"/>
  <c r="AL28" i="38"/>
  <c r="AL29" s="1"/>
  <c r="AM26"/>
  <c r="AM27" s="1"/>
  <c r="AL26"/>
  <c r="AL27" s="1"/>
  <c r="Q10" i="6"/>
  <c r="O10"/>
  <c r="M10"/>
  <c r="K10"/>
  <c r="I10"/>
  <c r="G10"/>
  <c r="E15" i="37"/>
  <c r="D15"/>
  <c r="D8"/>
  <c r="E11"/>
  <c r="E12"/>
  <c r="E13"/>
  <c r="E14"/>
  <c r="E10"/>
  <c r="D11"/>
  <c r="D12"/>
  <c r="D13"/>
  <c r="D14"/>
  <c r="D10"/>
  <c r="D4"/>
  <c r="D5"/>
  <c r="D6"/>
  <c r="D7"/>
  <c r="D3"/>
  <c r="I34" i="36"/>
  <c r="H34"/>
  <c r="I31"/>
  <c r="H31"/>
  <c r="I27"/>
  <c r="H27"/>
  <c r="I24"/>
  <c r="H24"/>
  <c r="I21"/>
  <c r="H21"/>
  <c r="Q8" i="6"/>
  <c r="B33" i="5"/>
  <c r="B32"/>
  <c r="C32"/>
  <c r="C7" i="36"/>
  <c r="K17" i="6"/>
  <c r="M17"/>
  <c r="B3" i="36"/>
  <c r="C4"/>
  <c r="G17" i="6"/>
  <c r="I17"/>
  <c r="B13" i="36"/>
  <c r="B14"/>
  <c r="C14"/>
  <c r="Q17" i="6"/>
  <c r="C11" i="36"/>
  <c r="O17" i="6"/>
  <c r="K29" i="10"/>
  <c r="B3"/>
  <c r="K30"/>
  <c r="B6"/>
  <c r="K31"/>
  <c r="B9"/>
  <c r="K32"/>
  <c r="B12"/>
  <c r="K33"/>
  <c r="B15"/>
  <c r="B18"/>
  <c r="B4"/>
  <c r="B7"/>
  <c r="B10"/>
  <c r="B13"/>
  <c r="B16"/>
  <c r="B19"/>
  <c r="C19"/>
  <c r="Q15" i="6"/>
  <c r="C16" i="10"/>
  <c r="O15" i="6"/>
  <c r="C13" i="10"/>
  <c r="M15" i="6"/>
  <c r="C10" i="10"/>
  <c r="K15" i="6"/>
  <c r="C7" i="10"/>
  <c r="I15" i="6"/>
  <c r="C4" i="10"/>
  <c r="G15" i="6"/>
  <c r="J30" i="10"/>
  <c r="J31"/>
  <c r="J32"/>
  <c r="J33"/>
  <c r="J29"/>
  <c r="A9" i="6"/>
  <c r="A10"/>
  <c r="A11"/>
  <c r="A12"/>
  <c r="A13"/>
  <c r="A14"/>
  <c r="A15"/>
  <c r="A16"/>
  <c r="A17"/>
  <c r="Q9"/>
  <c r="D17" i="35"/>
  <c r="C17"/>
  <c r="B17"/>
  <c r="O9" i="6"/>
  <c r="M9"/>
  <c r="K9"/>
  <c r="I9"/>
  <c r="G9"/>
  <c r="A18"/>
  <c r="A19"/>
  <c r="A20"/>
  <c r="A21"/>
  <c r="A22"/>
  <c r="C39" i="34"/>
  <c r="D28"/>
  <c r="K18" i="6" s="1"/>
  <c r="M18" s="1"/>
  <c r="C40" i="34"/>
  <c r="D36"/>
  <c r="O18" i="6" s="1"/>
  <c r="D23" i="34"/>
  <c r="G18" i="6" s="1"/>
  <c r="I18" s="1"/>
  <c r="Q21"/>
  <c r="I73" i="7"/>
  <c r="H73"/>
  <c r="G73"/>
  <c r="Q22" i="6"/>
  <c r="I15" i="7"/>
  <c r="H15"/>
  <c r="G15"/>
  <c r="Q20" i="6"/>
  <c r="I56" i="7"/>
  <c r="H56"/>
  <c r="G56"/>
  <c r="Q19" i="6"/>
  <c r="I45" i="7"/>
  <c r="H45"/>
  <c r="G45"/>
  <c r="F8" i="33"/>
  <c r="F9"/>
  <c r="F10"/>
  <c r="F11"/>
  <c r="F14"/>
  <c r="F15"/>
  <c r="F16"/>
  <c r="F17"/>
  <c r="F18"/>
  <c r="F19"/>
  <c r="F20"/>
  <c r="F21"/>
  <c r="F22"/>
  <c r="F23"/>
  <c r="F24"/>
  <c r="F25"/>
  <c r="F27"/>
  <c r="F28"/>
  <c r="E37"/>
  <c r="F37"/>
  <c r="E39"/>
  <c r="F39"/>
  <c r="E40"/>
  <c r="F40"/>
  <c r="E41"/>
  <c r="F41"/>
  <c r="E42"/>
  <c r="F42"/>
  <c r="E45"/>
  <c r="F45"/>
  <c r="E46"/>
  <c r="F46"/>
  <c r="E47"/>
  <c r="F47"/>
  <c r="E48"/>
  <c r="F48"/>
  <c r="E50"/>
  <c r="F50"/>
  <c r="E51"/>
  <c r="F51"/>
  <c r="E52"/>
  <c r="F52"/>
  <c r="E53"/>
  <c r="F53"/>
  <c r="Q13" i="6"/>
  <c r="Q12"/>
  <c r="Q11"/>
  <c r="D185" i="9"/>
  <c r="C186"/>
  <c r="C185"/>
  <c r="Q14" i="6"/>
  <c r="C42" i="32"/>
  <c r="B43"/>
  <c r="B42"/>
  <c r="I7" i="6"/>
  <c r="K7"/>
  <c r="M7"/>
  <c r="O7"/>
  <c r="Q7"/>
  <c r="G2316" i="8"/>
  <c r="C2316"/>
  <c r="C2315"/>
  <c r="O13" i="6"/>
  <c r="K13"/>
  <c r="M13"/>
  <c r="G13"/>
  <c r="I13"/>
  <c r="O14"/>
  <c r="M14"/>
  <c r="K14"/>
  <c r="I14"/>
  <c r="G14"/>
  <c r="C39" i="32"/>
  <c r="C25"/>
  <c r="C19"/>
  <c r="C12"/>
  <c r="C6"/>
  <c r="O19" i="6"/>
  <c r="O20"/>
  <c r="O21"/>
  <c r="O22"/>
  <c r="M12"/>
  <c r="K12"/>
  <c r="I12"/>
  <c r="G12"/>
  <c r="O12"/>
  <c r="O11"/>
  <c r="O8"/>
  <c r="M22"/>
  <c r="I22"/>
  <c r="G22"/>
  <c r="G12" i="7"/>
  <c r="H12"/>
  <c r="I12"/>
  <c r="G9"/>
  <c r="H9"/>
  <c r="I9"/>
  <c r="G6"/>
  <c r="H6"/>
  <c r="I6"/>
  <c r="M21" i="6"/>
  <c r="K21"/>
  <c r="I21"/>
  <c r="G21"/>
  <c r="M20"/>
  <c r="K20"/>
  <c r="I20"/>
  <c r="G20"/>
  <c r="M19"/>
  <c r="K19"/>
  <c r="I19"/>
  <c r="G19"/>
  <c r="G65" i="7"/>
  <c r="G62"/>
  <c r="G54"/>
  <c r="G51"/>
  <c r="G43"/>
  <c r="G40"/>
  <c r="H65"/>
  <c r="I65"/>
  <c r="H62"/>
  <c r="I62"/>
  <c r="H54"/>
  <c r="I54"/>
  <c r="H51"/>
  <c r="I51"/>
  <c r="H43"/>
  <c r="I43"/>
  <c r="I40"/>
  <c r="H40"/>
  <c r="G196" i="8"/>
  <c r="G189"/>
  <c r="G181"/>
  <c r="G174"/>
  <c r="F196"/>
  <c r="F189"/>
  <c r="F181"/>
  <c r="F174"/>
  <c r="M8" i="6"/>
  <c r="K8"/>
  <c r="I8"/>
  <c r="G8"/>
  <c r="C28" i="5"/>
  <c r="C25"/>
  <c r="C20"/>
  <c r="M11" i="6"/>
  <c r="K11"/>
  <c r="I11"/>
  <c r="G11"/>
  <c r="E13" i="4"/>
  <c r="C197" i="8"/>
  <c r="C194"/>
  <c r="C192"/>
  <c r="C190"/>
  <c r="C182"/>
  <c r="C175"/>
  <c r="C187"/>
  <c r="C185"/>
  <c r="C179"/>
  <c r="C177"/>
  <c r="C172"/>
  <c r="C170"/>
  <c r="C196"/>
  <c r="C195"/>
  <c r="C193"/>
  <c r="C189"/>
  <c r="C188"/>
  <c r="C186"/>
  <c r="C180"/>
  <c r="C178"/>
  <c r="C181"/>
  <c r="C174"/>
  <c r="C173"/>
  <c r="C171"/>
  <c r="G2309"/>
  <c r="G2308"/>
  <c r="G2307"/>
  <c r="G2306"/>
  <c r="G2305"/>
  <c r="C2285"/>
  <c r="C2266"/>
  <c r="G2266"/>
  <c r="C2267"/>
  <c r="G2267"/>
  <c r="G2268"/>
  <c r="H2269"/>
  <c r="H2266"/>
  <c r="E2285"/>
  <c r="F2285"/>
  <c r="G2285"/>
  <c r="H2267"/>
  <c r="E2286"/>
  <c r="G2286"/>
  <c r="H2268"/>
  <c r="E2287"/>
  <c r="G2287"/>
  <c r="G2289"/>
  <c r="G2291"/>
  <c r="C2289"/>
  <c r="C2291"/>
  <c r="F2289"/>
  <c r="E2289"/>
  <c r="G2269"/>
  <c r="C2270"/>
  <c r="G2270"/>
  <c r="C2271"/>
  <c r="G2271"/>
  <c r="G2272"/>
  <c r="G2273"/>
  <c r="G2274"/>
  <c r="G2276"/>
  <c r="E2276"/>
  <c r="C2276"/>
  <c r="H2110"/>
  <c r="D2221"/>
  <c r="H2112"/>
  <c r="D2222"/>
  <c r="D2226"/>
  <c r="D2251"/>
  <c r="C2225"/>
  <c r="E2225"/>
  <c r="C2221"/>
  <c r="E2221"/>
  <c r="C2222"/>
  <c r="E2222"/>
  <c r="C2223"/>
  <c r="E2223"/>
  <c r="C2224"/>
  <c r="E2224"/>
  <c r="E2226"/>
  <c r="C2251"/>
  <c r="D2250"/>
  <c r="C2250"/>
  <c r="D2249"/>
  <c r="C2249"/>
  <c r="D2248"/>
  <c r="C2248"/>
  <c r="C2247"/>
  <c r="C2243"/>
  <c r="C2242"/>
  <c r="C2241"/>
  <c r="C2240"/>
  <c r="D2239"/>
  <c r="C2239"/>
  <c r="C2226"/>
  <c r="D2235"/>
  <c r="C2234"/>
  <c r="C2233"/>
  <c r="C2232"/>
  <c r="D2231"/>
  <c r="C2231"/>
  <c r="D2230"/>
  <c r="C2230"/>
  <c r="A2180"/>
  <c r="A2182"/>
  <c r="A2184"/>
  <c r="A2186"/>
  <c r="A2188"/>
  <c r="A2190"/>
  <c r="A2192"/>
  <c r="A2194"/>
  <c r="A2196"/>
  <c r="A2198"/>
  <c r="A2200"/>
  <c r="A2202"/>
  <c r="A2204"/>
  <c r="A2206"/>
  <c r="A2208"/>
  <c r="A2210"/>
  <c r="A2212"/>
  <c r="A2214"/>
  <c r="D2178"/>
  <c r="D2180"/>
  <c r="D2188"/>
  <c r="C2184"/>
  <c r="C2186"/>
  <c r="C2188"/>
  <c r="C2190"/>
  <c r="D2190"/>
  <c r="D2192"/>
  <c r="D2196"/>
  <c r="D2200"/>
  <c r="D2204"/>
  <c r="C2204"/>
  <c r="D2206"/>
  <c r="C2208"/>
  <c r="D2208"/>
  <c r="D2210"/>
  <c r="D2212"/>
  <c r="E2178"/>
  <c r="F2178"/>
  <c r="F2180"/>
  <c r="F2182"/>
  <c r="F2184"/>
  <c r="F2186"/>
  <c r="F2188"/>
  <c r="F2190"/>
  <c r="F2192"/>
  <c r="F2196"/>
  <c r="C2210"/>
  <c r="F2210"/>
  <c r="F2212"/>
  <c r="G2178"/>
  <c r="I2178"/>
  <c r="E2180"/>
  <c r="G2180"/>
  <c r="I2180"/>
  <c r="E2182"/>
  <c r="G2182"/>
  <c r="I2182"/>
  <c r="E2184"/>
  <c r="G2184"/>
  <c r="I2184"/>
  <c r="E2186"/>
  <c r="G2186"/>
  <c r="I2186"/>
  <c r="I2188"/>
  <c r="E2190"/>
  <c r="G2190"/>
  <c r="I2190"/>
  <c r="E2192"/>
  <c r="G2192"/>
  <c r="I2192"/>
  <c r="E2194"/>
  <c r="G2194"/>
  <c r="I2194"/>
  <c r="I2196"/>
  <c r="E2198"/>
  <c r="F2198"/>
  <c r="G2198"/>
  <c r="I2198"/>
  <c r="E2200"/>
  <c r="F2200"/>
  <c r="G2200"/>
  <c r="I2200"/>
  <c r="E2202"/>
  <c r="F2202"/>
  <c r="G2202"/>
  <c r="I2202"/>
  <c r="I2204"/>
  <c r="E2206"/>
  <c r="F2206"/>
  <c r="G2206"/>
  <c r="I2206"/>
  <c r="E2208"/>
  <c r="F2208"/>
  <c r="G2208"/>
  <c r="I2208"/>
  <c r="I2210"/>
  <c r="I2212"/>
  <c r="K2212"/>
  <c r="H2188"/>
  <c r="H2196"/>
  <c r="H2204"/>
  <c r="H2210"/>
  <c r="H2212"/>
  <c r="C2194"/>
  <c r="C2196"/>
  <c r="C2212"/>
  <c r="L2198"/>
  <c r="L2200"/>
  <c r="L2202"/>
  <c r="L2204"/>
  <c r="L2206"/>
  <c r="L2208"/>
  <c r="L2210"/>
  <c r="J2198"/>
  <c r="J2200"/>
  <c r="J2202"/>
  <c r="J2204"/>
  <c r="J2206"/>
  <c r="J2208"/>
  <c r="J2210"/>
  <c r="K2210"/>
  <c r="G2204"/>
  <c r="G2210"/>
  <c r="E2204"/>
  <c r="E2210"/>
  <c r="K2208"/>
  <c r="K2206"/>
  <c r="K2204"/>
  <c r="F2204"/>
  <c r="K2202"/>
  <c r="K2200"/>
  <c r="K2198"/>
  <c r="L2178"/>
  <c r="L2180"/>
  <c r="L2182"/>
  <c r="L2184"/>
  <c r="L2186"/>
  <c r="L2188"/>
  <c r="L2190"/>
  <c r="L2192"/>
  <c r="L2194"/>
  <c r="L2196"/>
  <c r="J2178"/>
  <c r="J2180"/>
  <c r="J2182"/>
  <c r="J2184"/>
  <c r="J2186"/>
  <c r="J2188"/>
  <c r="J2190"/>
  <c r="J2192"/>
  <c r="J2194"/>
  <c r="J2196"/>
  <c r="K2196"/>
  <c r="G2188"/>
  <c r="G2196"/>
  <c r="E2188"/>
  <c r="E2196"/>
  <c r="K2194"/>
  <c r="K2192"/>
  <c r="K2190"/>
  <c r="K2178"/>
  <c r="K2180"/>
  <c r="K2182"/>
  <c r="K2184"/>
  <c r="K2186"/>
  <c r="K2188"/>
  <c r="F2167"/>
  <c r="F2166"/>
  <c r="A2146"/>
  <c r="A2148"/>
  <c r="A2150"/>
  <c r="A2152"/>
  <c r="A2154"/>
  <c r="A2156"/>
  <c r="A2158"/>
  <c r="A2160"/>
  <c r="D2144"/>
  <c r="D2146"/>
  <c r="D2158"/>
  <c r="G2144"/>
  <c r="C2158"/>
  <c r="E2158"/>
  <c r="E2144"/>
  <c r="I2144"/>
  <c r="J2144"/>
  <c r="G2146"/>
  <c r="E2146"/>
  <c r="I2146"/>
  <c r="J2146"/>
  <c r="E2148"/>
  <c r="I2148"/>
  <c r="J2148"/>
  <c r="E2150"/>
  <c r="I2150"/>
  <c r="J2150"/>
  <c r="E2152"/>
  <c r="I2152"/>
  <c r="J2152"/>
  <c r="E2154"/>
  <c r="I2154"/>
  <c r="J2154"/>
  <c r="E2156"/>
  <c r="I2156"/>
  <c r="J2156"/>
  <c r="J2158"/>
  <c r="I2158"/>
  <c r="H2158"/>
  <c r="G2158"/>
  <c r="F2158"/>
  <c r="F2134"/>
  <c r="F2133"/>
  <c r="A2112"/>
  <c r="A2114"/>
  <c r="A2116"/>
  <c r="A2118"/>
  <c r="A2120"/>
  <c r="A2122"/>
  <c r="A2126"/>
  <c r="G2124"/>
  <c r="E2120"/>
  <c r="C2048"/>
  <c r="F2110"/>
  <c r="D2048"/>
  <c r="F2112"/>
  <c r="G2048"/>
  <c r="F2114"/>
  <c r="H2048"/>
  <c r="F2116"/>
  <c r="I2048"/>
  <c r="F2118"/>
  <c r="F2124"/>
  <c r="E2122"/>
  <c r="C2110"/>
  <c r="E2110"/>
  <c r="I2110"/>
  <c r="H2124"/>
  <c r="J2110"/>
  <c r="L2110"/>
  <c r="E2112"/>
  <c r="I2112"/>
  <c r="J2112"/>
  <c r="L2112"/>
  <c r="C2114"/>
  <c r="E2114"/>
  <c r="I2114"/>
  <c r="J2114"/>
  <c r="L2114"/>
  <c r="E2116"/>
  <c r="I2116"/>
  <c r="J2116"/>
  <c r="L2116"/>
  <c r="E2118"/>
  <c r="I2118"/>
  <c r="J2118"/>
  <c r="L2118"/>
  <c r="L2120"/>
  <c r="L2122"/>
  <c r="L2124"/>
  <c r="K2124"/>
  <c r="J2124"/>
  <c r="I2124"/>
  <c r="E2124"/>
  <c r="D2124"/>
  <c r="C2124"/>
  <c r="A2124"/>
  <c r="F2100"/>
  <c r="F2099"/>
  <c r="A2080"/>
  <c r="A2082"/>
  <c r="A2084"/>
  <c r="A2086"/>
  <c r="A2088"/>
  <c r="A2090"/>
  <c r="A2092"/>
  <c r="F2090"/>
  <c r="C2088"/>
  <c r="E2088"/>
  <c r="C2078"/>
  <c r="E2078"/>
  <c r="H2078"/>
  <c r="C2080"/>
  <c r="E2080"/>
  <c r="H2080"/>
  <c r="C2082"/>
  <c r="E2082"/>
  <c r="H2082"/>
  <c r="E2084"/>
  <c r="H2084"/>
  <c r="E2086"/>
  <c r="H2086"/>
  <c r="H2090"/>
  <c r="G2078"/>
  <c r="G2080"/>
  <c r="G2090"/>
  <c r="I2078"/>
  <c r="I2080"/>
  <c r="I2082"/>
  <c r="I2084"/>
  <c r="I2086"/>
  <c r="I2090"/>
  <c r="J2090"/>
  <c r="E2090"/>
  <c r="D2090"/>
  <c r="C2090"/>
  <c r="J2088"/>
  <c r="J2086"/>
  <c r="J2084"/>
  <c r="J2082"/>
  <c r="J2080"/>
  <c r="J2078"/>
  <c r="F2068"/>
  <c r="F2067"/>
  <c r="C2058"/>
  <c r="C2059"/>
  <c r="C2060"/>
  <c r="C2061"/>
  <c r="C2050"/>
  <c r="C2051"/>
  <c r="C2052"/>
  <c r="C2053"/>
  <c r="C2054"/>
  <c r="C2055"/>
  <c r="C2056"/>
  <c r="A2024"/>
  <c r="A2026"/>
  <c r="A2028"/>
  <c r="A2030"/>
  <c r="A2032"/>
  <c r="A2034"/>
  <c r="A2036"/>
  <c r="A2038"/>
  <c r="A2040"/>
  <c r="A2042"/>
  <c r="A2044"/>
  <c r="A2046"/>
  <c r="A2048"/>
  <c r="A2050"/>
  <c r="K2022"/>
  <c r="K2024"/>
  <c r="K2026"/>
  <c r="K2028"/>
  <c r="K2030"/>
  <c r="K2032"/>
  <c r="K2034"/>
  <c r="K2036"/>
  <c r="K2038"/>
  <c r="K2040"/>
  <c r="K2042"/>
  <c r="K2044"/>
  <c r="K2046"/>
  <c r="K2048"/>
  <c r="J2048"/>
  <c r="E2024"/>
  <c r="F2024"/>
  <c r="F2026"/>
  <c r="F2028"/>
  <c r="F2030"/>
  <c r="F2032"/>
  <c r="F2034"/>
  <c r="F2038"/>
  <c r="F2040"/>
  <c r="E2026"/>
  <c r="E2030"/>
  <c r="E2032"/>
  <c r="E2034"/>
  <c r="E2040"/>
  <c r="E2044"/>
  <c r="F2044"/>
  <c r="E2028"/>
  <c r="E2046"/>
  <c r="F2046"/>
  <c r="F2048"/>
  <c r="E2038"/>
  <c r="E2048"/>
  <c r="F2012"/>
  <c r="O2011"/>
  <c r="F2011"/>
  <c r="A1940"/>
  <c r="A1941"/>
  <c r="A1942"/>
  <c r="A1943"/>
  <c r="A1945"/>
  <c r="A1950"/>
  <c r="A1951"/>
  <c r="A1952"/>
  <c r="A1953"/>
  <c r="A1978"/>
  <c r="A1979"/>
  <c r="A1980"/>
  <c r="A1981"/>
  <c r="A1983"/>
  <c r="A1984"/>
  <c r="A1986"/>
  <c r="A1991"/>
  <c r="A1992"/>
  <c r="A1993"/>
  <c r="A1996"/>
  <c r="A1997"/>
  <c r="A1999"/>
  <c r="A2001"/>
  <c r="H1976"/>
  <c r="H1977"/>
  <c r="H1978"/>
  <c r="O2000"/>
  <c r="O1998"/>
  <c r="O1996"/>
  <c r="F1951"/>
  <c r="M1951"/>
  <c r="H1990"/>
  <c r="O1992"/>
  <c r="H1989"/>
  <c r="O1987"/>
  <c r="O1986"/>
  <c r="O1985"/>
  <c r="O1981"/>
  <c r="O1983"/>
  <c r="H1979"/>
  <c r="H1958"/>
  <c r="H1957"/>
  <c r="M1950"/>
  <c r="F1950"/>
  <c r="M1949"/>
  <c r="M1948"/>
  <c r="F1943"/>
  <c r="M1943"/>
  <c r="O1943"/>
  <c r="D1941"/>
  <c r="E1941"/>
  <c r="F1941"/>
  <c r="G1941"/>
  <c r="H1941"/>
  <c r="I1941"/>
  <c r="J1941"/>
  <c r="K1941"/>
  <c r="L1941"/>
  <c r="M1941"/>
  <c r="N1941"/>
  <c r="O1941"/>
  <c r="C1941"/>
  <c r="F1940"/>
  <c r="M1940"/>
  <c r="O1940"/>
  <c r="F1939"/>
  <c r="M1939"/>
  <c r="O1939"/>
  <c r="F1938"/>
  <c r="M1938"/>
  <c r="O1938"/>
  <c r="Q1922"/>
  <c r="H1922"/>
  <c r="Q24"/>
  <c r="Q1921"/>
  <c r="H1921"/>
  <c r="A1885"/>
  <c r="A1887"/>
  <c r="A1889"/>
  <c r="A1891"/>
  <c r="A1892"/>
  <c r="A1893"/>
  <c r="A1895"/>
  <c r="A1896"/>
  <c r="A1897"/>
  <c r="A1899"/>
  <c r="A1901"/>
  <c r="A1902"/>
  <c r="A1903"/>
  <c r="A1904"/>
  <c r="A1905"/>
  <c r="A1907"/>
  <c r="A1909"/>
  <c r="A1910"/>
  <c r="A1911"/>
  <c r="A1912"/>
  <c r="A1913"/>
  <c r="E637"/>
  <c r="F637"/>
  <c r="M637"/>
  <c r="O637"/>
  <c r="R637"/>
  <c r="C637"/>
  <c r="C1765"/>
  <c r="C1763"/>
  <c r="C1893"/>
  <c r="C1894"/>
  <c r="E634"/>
  <c r="F634"/>
  <c r="M634"/>
  <c r="O634"/>
  <c r="R634"/>
  <c r="C634"/>
  <c r="C1769"/>
  <c r="C1767"/>
  <c r="C1889"/>
  <c r="C1890"/>
  <c r="F639"/>
  <c r="M639"/>
  <c r="O639"/>
  <c r="R639"/>
  <c r="C639"/>
  <c r="C1783"/>
  <c r="C1779"/>
  <c r="C1899"/>
  <c r="C1780"/>
  <c r="C1900"/>
  <c r="C1781"/>
  <c r="C1901"/>
  <c r="C1902"/>
  <c r="C1911"/>
  <c r="Y1911"/>
  <c r="X1911"/>
  <c r="D1765"/>
  <c r="D1763"/>
  <c r="D1893"/>
  <c r="D1894"/>
  <c r="E1769"/>
  <c r="E1767"/>
  <c r="G1769"/>
  <c r="G1767"/>
  <c r="H1769"/>
  <c r="H1767"/>
  <c r="I1769"/>
  <c r="I1767"/>
  <c r="J1769"/>
  <c r="J1767"/>
  <c r="K1769"/>
  <c r="K1767"/>
  <c r="L1769"/>
  <c r="L1767"/>
  <c r="M1767"/>
  <c r="N1769"/>
  <c r="N1767"/>
  <c r="P1769"/>
  <c r="P1767"/>
  <c r="Q1769"/>
  <c r="Q1767"/>
  <c r="R1767"/>
  <c r="S1769"/>
  <c r="S1767"/>
  <c r="D1767"/>
  <c r="D1769"/>
  <c r="D1889"/>
  <c r="D1890"/>
  <c r="D1783"/>
  <c r="D1779"/>
  <c r="D1899"/>
  <c r="E1783"/>
  <c r="E1780"/>
  <c r="G1783"/>
  <c r="G1780"/>
  <c r="H1783"/>
  <c r="H1780"/>
  <c r="I1783"/>
  <c r="I1780"/>
  <c r="J1783"/>
  <c r="J1780"/>
  <c r="K1783"/>
  <c r="K1780"/>
  <c r="L1783"/>
  <c r="L1780"/>
  <c r="M1780"/>
  <c r="N1783"/>
  <c r="N1780"/>
  <c r="P1783"/>
  <c r="P1780"/>
  <c r="Q1783"/>
  <c r="Q1780"/>
  <c r="R1780"/>
  <c r="S1783"/>
  <c r="S1780"/>
  <c r="D1780"/>
  <c r="D1900"/>
  <c r="E1781"/>
  <c r="G1781"/>
  <c r="H1781"/>
  <c r="I1781"/>
  <c r="J1781"/>
  <c r="K1781"/>
  <c r="L1781"/>
  <c r="M1781"/>
  <c r="N1781"/>
  <c r="P1781"/>
  <c r="Q1781"/>
  <c r="R1781"/>
  <c r="S1781"/>
  <c r="D1781"/>
  <c r="D1901"/>
  <c r="D1902"/>
  <c r="D1911"/>
  <c r="E1765"/>
  <c r="E1763"/>
  <c r="E1893"/>
  <c r="E1894"/>
  <c r="E1889"/>
  <c r="E1890"/>
  <c r="E1779"/>
  <c r="E1899"/>
  <c r="E1900"/>
  <c r="E1901"/>
  <c r="E1902"/>
  <c r="E1911"/>
  <c r="F1911"/>
  <c r="G1765"/>
  <c r="G1763"/>
  <c r="G1893"/>
  <c r="G1894"/>
  <c r="G1889"/>
  <c r="G1890"/>
  <c r="G1779"/>
  <c r="G1899"/>
  <c r="G1900"/>
  <c r="G1901"/>
  <c r="G1902"/>
  <c r="G1911"/>
  <c r="H1765"/>
  <c r="H1763"/>
  <c r="H1893"/>
  <c r="H1894"/>
  <c r="H1889"/>
  <c r="H1890"/>
  <c r="H1779"/>
  <c r="H1899"/>
  <c r="H1900"/>
  <c r="H1901"/>
  <c r="H1902"/>
  <c r="H1911"/>
  <c r="I1765"/>
  <c r="I1763"/>
  <c r="I1893"/>
  <c r="I1894"/>
  <c r="I1889"/>
  <c r="I1890"/>
  <c r="I1779"/>
  <c r="I1899"/>
  <c r="I1900"/>
  <c r="I1901"/>
  <c r="I1902"/>
  <c r="I1911"/>
  <c r="J1765"/>
  <c r="J1763"/>
  <c r="J1893"/>
  <c r="J1894"/>
  <c r="J1889"/>
  <c r="J1890"/>
  <c r="J1779"/>
  <c r="J1899"/>
  <c r="J1900"/>
  <c r="J1901"/>
  <c r="J1902"/>
  <c r="J1911"/>
  <c r="K1765"/>
  <c r="K1763"/>
  <c r="K1893"/>
  <c r="K1894"/>
  <c r="K1889"/>
  <c r="K1890"/>
  <c r="K1779"/>
  <c r="K1899"/>
  <c r="K1900"/>
  <c r="K1901"/>
  <c r="K1902"/>
  <c r="K1911"/>
  <c r="L1765"/>
  <c r="L1763"/>
  <c r="L1893"/>
  <c r="L1894"/>
  <c r="L1889"/>
  <c r="L1890"/>
  <c r="L1779"/>
  <c r="L1899"/>
  <c r="L1900"/>
  <c r="L1901"/>
  <c r="L1902"/>
  <c r="L1911"/>
  <c r="M1911"/>
  <c r="N1765"/>
  <c r="N1763"/>
  <c r="N1893"/>
  <c r="N1894"/>
  <c r="N1889"/>
  <c r="N1890"/>
  <c r="N1779"/>
  <c r="N1899"/>
  <c r="N1900"/>
  <c r="N1901"/>
  <c r="N1902"/>
  <c r="N1911"/>
  <c r="O1911"/>
  <c r="P1765"/>
  <c r="P1763"/>
  <c r="P1893"/>
  <c r="P1894"/>
  <c r="P1889"/>
  <c r="P1890"/>
  <c r="P1779"/>
  <c r="P1899"/>
  <c r="P1900"/>
  <c r="P1901"/>
  <c r="P1902"/>
  <c r="P1911"/>
  <c r="Q1765"/>
  <c r="Q1763"/>
  <c r="Q1893"/>
  <c r="Q1894"/>
  <c r="Q1889"/>
  <c r="Q1890"/>
  <c r="Q1779"/>
  <c r="Q1899"/>
  <c r="Q1900"/>
  <c r="Q1901"/>
  <c r="Q1902"/>
  <c r="Q1911"/>
  <c r="R1911"/>
  <c r="W1911"/>
  <c r="S1894"/>
  <c r="S1890"/>
  <c r="S1902"/>
  <c r="S1911"/>
  <c r="U1911"/>
  <c r="C1910"/>
  <c r="Y1910"/>
  <c r="X1910"/>
  <c r="D1910"/>
  <c r="E1910"/>
  <c r="F1910"/>
  <c r="G1910"/>
  <c r="H1910"/>
  <c r="I1910"/>
  <c r="J1910"/>
  <c r="K1910"/>
  <c r="L1910"/>
  <c r="M1910"/>
  <c r="N1910"/>
  <c r="O1910"/>
  <c r="P1910"/>
  <c r="Q1910"/>
  <c r="R1910"/>
  <c r="W1910"/>
  <c r="S1910"/>
  <c r="U1910"/>
  <c r="C1909"/>
  <c r="Y1909"/>
  <c r="X1909"/>
  <c r="D1909"/>
  <c r="E1909"/>
  <c r="F1909"/>
  <c r="G1909"/>
  <c r="H1909"/>
  <c r="I1909"/>
  <c r="J1909"/>
  <c r="K1909"/>
  <c r="L1909"/>
  <c r="M1909"/>
  <c r="N1909"/>
  <c r="O1909"/>
  <c r="P1909"/>
  <c r="Q1909"/>
  <c r="R1909"/>
  <c r="W1909"/>
  <c r="S1909"/>
  <c r="U1909"/>
  <c r="C1908"/>
  <c r="Y1908"/>
  <c r="X1908"/>
  <c r="D1908"/>
  <c r="E1908"/>
  <c r="F1908"/>
  <c r="G1908"/>
  <c r="H1908"/>
  <c r="I1908"/>
  <c r="J1908"/>
  <c r="K1908"/>
  <c r="L1908"/>
  <c r="M1908"/>
  <c r="N1908"/>
  <c r="O1908"/>
  <c r="P1908"/>
  <c r="Q1908"/>
  <c r="R1908"/>
  <c r="W1908"/>
  <c r="S1908"/>
  <c r="U1908"/>
  <c r="C1907"/>
  <c r="Y1907"/>
  <c r="X1907"/>
  <c r="D1907"/>
  <c r="E1907"/>
  <c r="F1907"/>
  <c r="G1907"/>
  <c r="H1907"/>
  <c r="I1907"/>
  <c r="J1907"/>
  <c r="K1907"/>
  <c r="L1907"/>
  <c r="M1907"/>
  <c r="N1907"/>
  <c r="O1907"/>
  <c r="P1907"/>
  <c r="Q1907"/>
  <c r="R1907"/>
  <c r="W1907"/>
  <c r="S1907"/>
  <c r="U1907"/>
  <c r="Y1906"/>
  <c r="X1906"/>
  <c r="W1906"/>
  <c r="Y1905"/>
  <c r="X1905"/>
  <c r="F1905"/>
  <c r="M1905"/>
  <c r="O1905"/>
  <c r="R1905"/>
  <c r="W1905"/>
  <c r="U1905"/>
  <c r="Y1904"/>
  <c r="X1904"/>
  <c r="W1904"/>
  <c r="Y1903"/>
  <c r="X1903"/>
  <c r="F1903"/>
  <c r="M1903"/>
  <c r="O1903"/>
  <c r="R1903"/>
  <c r="W1903"/>
  <c r="U1903"/>
  <c r="Y1902"/>
  <c r="X1902"/>
  <c r="F1902"/>
  <c r="M1902"/>
  <c r="O1902"/>
  <c r="R1902"/>
  <c r="W1902"/>
  <c r="U1902"/>
  <c r="Y1901"/>
  <c r="X1901"/>
  <c r="F1901"/>
  <c r="M1901"/>
  <c r="O1901"/>
  <c r="R1901"/>
  <c r="W1901"/>
  <c r="U1901"/>
  <c r="Y1900"/>
  <c r="X1900"/>
  <c r="F1900"/>
  <c r="M1900"/>
  <c r="O1900"/>
  <c r="R1900"/>
  <c r="W1900"/>
  <c r="U1900"/>
  <c r="Y1899"/>
  <c r="X1899"/>
  <c r="F1899"/>
  <c r="M1899"/>
  <c r="O1899"/>
  <c r="R1899"/>
  <c r="W1899"/>
  <c r="U1899"/>
  <c r="Y1898"/>
  <c r="X1898"/>
  <c r="W1898"/>
  <c r="Y1897"/>
  <c r="X1897"/>
  <c r="F1897"/>
  <c r="M1897"/>
  <c r="O1897"/>
  <c r="R1897"/>
  <c r="W1897"/>
  <c r="U1897"/>
  <c r="Y1896"/>
  <c r="X1896"/>
  <c r="W1896"/>
  <c r="Y1895"/>
  <c r="X1895"/>
  <c r="F1895"/>
  <c r="M1895"/>
  <c r="O1895"/>
  <c r="R1895"/>
  <c r="W1895"/>
  <c r="U1895"/>
  <c r="Y1894"/>
  <c r="X1894"/>
  <c r="F1894"/>
  <c r="M1894"/>
  <c r="O1894"/>
  <c r="R1894"/>
  <c r="W1894"/>
  <c r="U1894"/>
  <c r="Y1893"/>
  <c r="X1893"/>
  <c r="F1893"/>
  <c r="M1893"/>
  <c r="O1893"/>
  <c r="R1893"/>
  <c r="W1893"/>
  <c r="U1893"/>
  <c r="Y1892"/>
  <c r="X1892"/>
  <c r="W1892"/>
  <c r="Y1891"/>
  <c r="X1891"/>
  <c r="F1891"/>
  <c r="M1891"/>
  <c r="O1891"/>
  <c r="R1891"/>
  <c r="W1891"/>
  <c r="U1891"/>
  <c r="Y1890"/>
  <c r="X1890"/>
  <c r="F1890"/>
  <c r="M1890"/>
  <c r="O1890"/>
  <c r="R1890"/>
  <c r="W1890"/>
  <c r="U1890"/>
  <c r="Y1889"/>
  <c r="X1889"/>
  <c r="F1889"/>
  <c r="M1889"/>
  <c r="O1889"/>
  <c r="R1889"/>
  <c r="W1889"/>
  <c r="U1889"/>
  <c r="Y1888"/>
  <c r="X1888"/>
  <c r="W1888"/>
  <c r="Y1887"/>
  <c r="X1887"/>
  <c r="F1887"/>
  <c r="M1887"/>
  <c r="O1887"/>
  <c r="R1887"/>
  <c r="W1887"/>
  <c r="U1887"/>
  <c r="Y1886"/>
  <c r="X1886"/>
  <c r="W1886"/>
  <c r="Y1885"/>
  <c r="X1885"/>
  <c r="F1885"/>
  <c r="M1885"/>
  <c r="O1885"/>
  <c r="R1885"/>
  <c r="W1885"/>
  <c r="U1885"/>
  <c r="Y1884"/>
  <c r="X1884"/>
  <c r="W1884"/>
  <c r="Y1883"/>
  <c r="X1883"/>
  <c r="F1883"/>
  <c r="M1883"/>
  <c r="O1883"/>
  <c r="R1883"/>
  <c r="W1883"/>
  <c r="U1883"/>
  <c r="Y1882"/>
  <c r="X1882"/>
  <c r="W1882"/>
  <c r="Y1881"/>
  <c r="X1881"/>
  <c r="W1881"/>
  <c r="Q1872"/>
  <c r="H1872"/>
  <c r="Q1871"/>
  <c r="H1871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3"/>
  <c r="A1855"/>
  <c r="A1856"/>
  <c r="A1857"/>
  <c r="A1858"/>
  <c r="A1859"/>
  <c r="A1860"/>
  <c r="A1861"/>
  <c r="A1862"/>
  <c r="A1863"/>
  <c r="A1864"/>
  <c r="A1865"/>
  <c r="A1866"/>
  <c r="C1864"/>
  <c r="Y1864"/>
  <c r="X1864"/>
  <c r="D1864"/>
  <c r="E1864"/>
  <c r="F1864"/>
  <c r="G1864"/>
  <c r="H1864"/>
  <c r="I1864"/>
  <c r="J1864"/>
  <c r="K1864"/>
  <c r="L1864"/>
  <c r="M1864"/>
  <c r="N1864"/>
  <c r="O1864"/>
  <c r="P1864"/>
  <c r="Q1864"/>
  <c r="R1864"/>
  <c r="W1864"/>
  <c r="S1864"/>
  <c r="U1864"/>
  <c r="C1863"/>
  <c r="Y1863"/>
  <c r="X1863"/>
  <c r="D1863"/>
  <c r="E1863"/>
  <c r="F1863"/>
  <c r="G1863"/>
  <c r="H1863"/>
  <c r="I1863"/>
  <c r="J1863"/>
  <c r="K1863"/>
  <c r="L1863"/>
  <c r="M1863"/>
  <c r="N1863"/>
  <c r="O1863"/>
  <c r="P1863"/>
  <c r="Q1863"/>
  <c r="R1863"/>
  <c r="W1863"/>
  <c r="S1863"/>
  <c r="U1863"/>
  <c r="C1817"/>
  <c r="C1818"/>
  <c r="C1819"/>
  <c r="C1820"/>
  <c r="C1821"/>
  <c r="C1822"/>
  <c r="C1823"/>
  <c r="C1824"/>
  <c r="C1825"/>
  <c r="C1826"/>
  <c r="C1828"/>
  <c r="C1829"/>
  <c r="C1830"/>
  <c r="C1831"/>
  <c r="C1834"/>
  <c r="C1845"/>
  <c r="C1862"/>
  <c r="Y1862"/>
  <c r="X1862"/>
  <c r="D1817"/>
  <c r="D1818"/>
  <c r="D1819"/>
  <c r="D1820"/>
  <c r="D1821"/>
  <c r="D1822"/>
  <c r="D1823"/>
  <c r="D1824"/>
  <c r="D1825"/>
  <c r="D1826"/>
  <c r="D1828"/>
  <c r="D1829"/>
  <c r="D1830"/>
  <c r="D1831"/>
  <c r="D1834"/>
  <c r="D1845"/>
  <c r="D1862"/>
  <c r="E1817"/>
  <c r="E1818"/>
  <c r="E1819"/>
  <c r="E1820"/>
  <c r="E1821"/>
  <c r="E1822"/>
  <c r="E1823"/>
  <c r="E1824"/>
  <c r="E1825"/>
  <c r="E1826"/>
  <c r="E1828"/>
  <c r="E1829"/>
  <c r="E1830"/>
  <c r="E1831"/>
  <c r="E1834"/>
  <c r="E1845"/>
  <c r="E1862"/>
  <c r="F1862"/>
  <c r="G1817"/>
  <c r="G1818"/>
  <c r="G1819"/>
  <c r="G1820"/>
  <c r="G1821"/>
  <c r="G1822"/>
  <c r="G1823"/>
  <c r="G1824"/>
  <c r="G1825"/>
  <c r="G1826"/>
  <c r="G1828"/>
  <c r="G1829"/>
  <c r="G1830"/>
  <c r="G1831"/>
  <c r="G1834"/>
  <c r="G1845"/>
  <c r="G1862"/>
  <c r="H1817"/>
  <c r="H1818"/>
  <c r="H1819"/>
  <c r="H1820"/>
  <c r="H1821"/>
  <c r="H1822"/>
  <c r="H1823"/>
  <c r="H1824"/>
  <c r="H1825"/>
  <c r="H1826"/>
  <c r="H1828"/>
  <c r="H1829"/>
  <c r="H1830"/>
  <c r="H1831"/>
  <c r="H1834"/>
  <c r="H1845"/>
  <c r="H1862"/>
  <c r="I1817"/>
  <c r="I1818"/>
  <c r="I1819"/>
  <c r="I1820"/>
  <c r="I1821"/>
  <c r="I1822"/>
  <c r="I1823"/>
  <c r="I1824"/>
  <c r="I1825"/>
  <c r="I1826"/>
  <c r="I1828"/>
  <c r="I1829"/>
  <c r="I1830"/>
  <c r="I1831"/>
  <c r="I1834"/>
  <c r="I1845"/>
  <c r="I1862"/>
  <c r="J1817"/>
  <c r="J1818"/>
  <c r="J1819"/>
  <c r="J1820"/>
  <c r="J1821"/>
  <c r="J1822"/>
  <c r="J1823"/>
  <c r="J1824"/>
  <c r="J1825"/>
  <c r="J1826"/>
  <c r="J1828"/>
  <c r="J1829"/>
  <c r="J1830"/>
  <c r="J1831"/>
  <c r="J1834"/>
  <c r="J1845"/>
  <c r="J1862"/>
  <c r="K1817"/>
  <c r="K1818"/>
  <c r="K1819"/>
  <c r="K1820"/>
  <c r="K1821"/>
  <c r="K1822"/>
  <c r="K1823"/>
  <c r="K1824"/>
  <c r="K1825"/>
  <c r="K1826"/>
  <c r="K1828"/>
  <c r="K1829"/>
  <c r="K1830"/>
  <c r="K1831"/>
  <c r="K1834"/>
  <c r="K1845"/>
  <c r="K1862"/>
  <c r="L1817"/>
  <c r="L1818"/>
  <c r="L1819"/>
  <c r="L1820"/>
  <c r="L1821"/>
  <c r="L1822"/>
  <c r="L1823"/>
  <c r="L1824"/>
  <c r="L1825"/>
  <c r="L1826"/>
  <c r="L1828"/>
  <c r="L1829"/>
  <c r="L1830"/>
  <c r="L1831"/>
  <c r="L1834"/>
  <c r="L1845"/>
  <c r="L1862"/>
  <c r="M1862"/>
  <c r="N1817"/>
  <c r="N1818"/>
  <c r="N1819"/>
  <c r="N1820"/>
  <c r="N1821"/>
  <c r="N1822"/>
  <c r="N1823"/>
  <c r="N1824"/>
  <c r="N1825"/>
  <c r="N1826"/>
  <c r="N1828"/>
  <c r="N1829"/>
  <c r="N1830"/>
  <c r="N1831"/>
  <c r="N1834"/>
  <c r="N1845"/>
  <c r="N1862"/>
  <c r="O1862"/>
  <c r="P1817"/>
  <c r="P1818"/>
  <c r="P1819"/>
  <c r="P1820"/>
  <c r="P1821"/>
  <c r="P1822"/>
  <c r="P1823"/>
  <c r="P1824"/>
  <c r="P1825"/>
  <c r="P1826"/>
  <c r="P1828"/>
  <c r="P1829"/>
  <c r="P1830"/>
  <c r="P1831"/>
  <c r="P1834"/>
  <c r="P1845"/>
  <c r="P1862"/>
  <c r="Q1817"/>
  <c r="Q1818"/>
  <c r="Q1819"/>
  <c r="Q1820"/>
  <c r="Q1821"/>
  <c r="Q1822"/>
  <c r="Q1823"/>
  <c r="Q1824"/>
  <c r="Q1825"/>
  <c r="Q1826"/>
  <c r="Q1828"/>
  <c r="Q1829"/>
  <c r="Q1830"/>
  <c r="Q1831"/>
  <c r="Q1834"/>
  <c r="Q1845"/>
  <c r="Q1862"/>
  <c r="R1862"/>
  <c r="W1862"/>
  <c r="S1817"/>
  <c r="S1818"/>
  <c r="S1819"/>
  <c r="S1820"/>
  <c r="S1821"/>
  <c r="S1822"/>
  <c r="S1823"/>
  <c r="S1824"/>
  <c r="S1825"/>
  <c r="S1826"/>
  <c r="S1828"/>
  <c r="S1829"/>
  <c r="S1830"/>
  <c r="S1831"/>
  <c r="S1834"/>
  <c r="S1845"/>
  <c r="S1862"/>
  <c r="U1862"/>
  <c r="C1833"/>
  <c r="C1844"/>
  <c r="C1861"/>
  <c r="Y1861"/>
  <c r="X1861"/>
  <c r="D1833"/>
  <c r="D1844"/>
  <c r="D1861"/>
  <c r="E1833"/>
  <c r="E1844"/>
  <c r="E1861"/>
  <c r="F1861"/>
  <c r="G1833"/>
  <c r="G1844"/>
  <c r="G1861"/>
  <c r="H1833"/>
  <c r="H1844"/>
  <c r="H1861"/>
  <c r="I1833"/>
  <c r="I1844"/>
  <c r="I1861"/>
  <c r="J1833"/>
  <c r="J1844"/>
  <c r="J1861"/>
  <c r="K1833"/>
  <c r="K1844"/>
  <c r="K1861"/>
  <c r="L1833"/>
  <c r="L1844"/>
  <c r="L1861"/>
  <c r="M1861"/>
  <c r="N1833"/>
  <c r="N1844"/>
  <c r="N1861"/>
  <c r="O1861"/>
  <c r="P1833"/>
  <c r="P1844"/>
  <c r="P1861"/>
  <c r="Q1833"/>
  <c r="Q1844"/>
  <c r="Q1861"/>
  <c r="R1861"/>
  <c r="W1861"/>
  <c r="S1833"/>
  <c r="S1844"/>
  <c r="S1861"/>
  <c r="U1861"/>
  <c r="C1860"/>
  <c r="Y1860"/>
  <c r="X1860"/>
  <c r="D1860"/>
  <c r="E1860"/>
  <c r="F1860"/>
  <c r="G1860"/>
  <c r="H1860"/>
  <c r="I1860"/>
  <c r="J1860"/>
  <c r="K1860"/>
  <c r="L1860"/>
  <c r="M1860"/>
  <c r="N1860"/>
  <c r="O1860"/>
  <c r="P1860"/>
  <c r="Q1860"/>
  <c r="R1860"/>
  <c r="W1860"/>
  <c r="S1860"/>
  <c r="U1860"/>
  <c r="C1859"/>
  <c r="Y1859"/>
  <c r="X1859"/>
  <c r="D1859"/>
  <c r="E1859"/>
  <c r="F1859"/>
  <c r="G1859"/>
  <c r="H1859"/>
  <c r="I1859"/>
  <c r="J1859"/>
  <c r="K1859"/>
  <c r="L1859"/>
  <c r="M1859"/>
  <c r="N1859"/>
  <c r="O1859"/>
  <c r="P1859"/>
  <c r="Q1859"/>
  <c r="R1859"/>
  <c r="W1859"/>
  <c r="S1859"/>
  <c r="U1859"/>
  <c r="C1858"/>
  <c r="Y1858"/>
  <c r="X1858"/>
  <c r="D1858"/>
  <c r="E1858"/>
  <c r="F1858"/>
  <c r="G1858"/>
  <c r="H1858"/>
  <c r="I1858"/>
  <c r="J1858"/>
  <c r="K1858"/>
  <c r="L1858"/>
  <c r="M1858"/>
  <c r="N1858"/>
  <c r="O1858"/>
  <c r="P1858"/>
  <c r="Q1858"/>
  <c r="R1858"/>
  <c r="W1858"/>
  <c r="S1858"/>
  <c r="U1858"/>
  <c r="C1857"/>
  <c r="Y1857"/>
  <c r="X1857"/>
  <c r="D1857"/>
  <c r="E1857"/>
  <c r="F1857"/>
  <c r="G1857"/>
  <c r="H1857"/>
  <c r="I1857"/>
  <c r="J1857"/>
  <c r="K1857"/>
  <c r="L1857"/>
  <c r="M1857"/>
  <c r="N1857"/>
  <c r="O1857"/>
  <c r="P1857"/>
  <c r="Q1857"/>
  <c r="R1857"/>
  <c r="W1857"/>
  <c r="S1857"/>
  <c r="U1857"/>
  <c r="C1856"/>
  <c r="Y1856"/>
  <c r="X1856"/>
  <c r="D1856"/>
  <c r="E1856"/>
  <c r="F1856"/>
  <c r="G1856"/>
  <c r="H1856"/>
  <c r="I1856"/>
  <c r="J1856"/>
  <c r="K1856"/>
  <c r="L1856"/>
  <c r="M1856"/>
  <c r="N1856"/>
  <c r="O1856"/>
  <c r="P1856"/>
  <c r="Q1856"/>
  <c r="R1856"/>
  <c r="W1856"/>
  <c r="S1856"/>
  <c r="U1856"/>
  <c r="C1855"/>
  <c r="Y1855"/>
  <c r="X1855"/>
  <c r="D1855"/>
  <c r="E1855"/>
  <c r="F1855"/>
  <c r="G1855"/>
  <c r="H1855"/>
  <c r="I1855"/>
  <c r="J1855"/>
  <c r="K1855"/>
  <c r="L1855"/>
  <c r="M1855"/>
  <c r="N1855"/>
  <c r="O1855"/>
  <c r="P1855"/>
  <c r="Q1855"/>
  <c r="R1855"/>
  <c r="W1855"/>
  <c r="S1855"/>
  <c r="U1855"/>
  <c r="C1854"/>
  <c r="Y1854"/>
  <c r="X1854"/>
  <c r="D1854"/>
  <c r="E1854"/>
  <c r="F1854"/>
  <c r="G1854"/>
  <c r="H1854"/>
  <c r="I1854"/>
  <c r="J1854"/>
  <c r="K1854"/>
  <c r="L1854"/>
  <c r="M1854"/>
  <c r="N1854"/>
  <c r="O1854"/>
  <c r="P1854"/>
  <c r="Q1854"/>
  <c r="R1854"/>
  <c r="W1854"/>
  <c r="S1854"/>
  <c r="U1854"/>
  <c r="C635"/>
  <c r="C1827"/>
  <c r="C1835"/>
  <c r="C1848"/>
  <c r="C1836"/>
  <c r="C1851"/>
  <c r="C1853"/>
  <c r="Y1853"/>
  <c r="X1853"/>
  <c r="E623"/>
  <c r="D623"/>
  <c r="F623"/>
  <c r="G623"/>
  <c r="H623"/>
  <c r="I623"/>
  <c r="J623"/>
  <c r="K623"/>
  <c r="L623"/>
  <c r="M623"/>
  <c r="N623"/>
  <c r="O623"/>
  <c r="P623"/>
  <c r="Q623"/>
  <c r="R623"/>
  <c r="C623"/>
  <c r="E635"/>
  <c r="G635"/>
  <c r="H635"/>
  <c r="I635"/>
  <c r="J635"/>
  <c r="K635"/>
  <c r="L635"/>
  <c r="M635"/>
  <c r="N635"/>
  <c r="R635"/>
  <c r="D635"/>
  <c r="D1827"/>
  <c r="D1835"/>
  <c r="D1848"/>
  <c r="D1836"/>
  <c r="D1851"/>
  <c r="D1853"/>
  <c r="E1827"/>
  <c r="E1835"/>
  <c r="E1848"/>
  <c r="E1836"/>
  <c r="E1851"/>
  <c r="E1853"/>
  <c r="F1853"/>
  <c r="G1827"/>
  <c r="G1835"/>
  <c r="G1848"/>
  <c r="G1836"/>
  <c r="G1851"/>
  <c r="G1853"/>
  <c r="H1827"/>
  <c r="H1835"/>
  <c r="H1848"/>
  <c r="H1836"/>
  <c r="H1851"/>
  <c r="H1853"/>
  <c r="I1827"/>
  <c r="I1835"/>
  <c r="I1848"/>
  <c r="I1836"/>
  <c r="I1851"/>
  <c r="I1853"/>
  <c r="J1827"/>
  <c r="J1835"/>
  <c r="J1848"/>
  <c r="J1836"/>
  <c r="J1851"/>
  <c r="J1853"/>
  <c r="K1827"/>
  <c r="K1835"/>
  <c r="K1848"/>
  <c r="K1836"/>
  <c r="K1851"/>
  <c r="K1853"/>
  <c r="L1827"/>
  <c r="L1835"/>
  <c r="L1848"/>
  <c r="L1836"/>
  <c r="L1851"/>
  <c r="L1853"/>
  <c r="M1853"/>
  <c r="N1827"/>
  <c r="N1835"/>
  <c r="N1848"/>
  <c r="N1836"/>
  <c r="N1851"/>
  <c r="N1853"/>
  <c r="O1853"/>
  <c r="P1827"/>
  <c r="P1835"/>
  <c r="P1848"/>
  <c r="P1836"/>
  <c r="P1851"/>
  <c r="P1853"/>
  <c r="Q1827"/>
  <c r="Q1835"/>
  <c r="Q1848"/>
  <c r="Q1836"/>
  <c r="Q1851"/>
  <c r="Q1853"/>
  <c r="R1853"/>
  <c r="W1853"/>
  <c r="S1827"/>
  <c r="S1835"/>
  <c r="S1848"/>
  <c r="S1836"/>
  <c r="S1851"/>
  <c r="S1853"/>
  <c r="U1853"/>
  <c r="Y1852"/>
  <c r="X1852"/>
  <c r="W1852"/>
  <c r="Y1851"/>
  <c r="F1851"/>
  <c r="M1851"/>
  <c r="O1851"/>
  <c r="X1851"/>
  <c r="R1851"/>
  <c r="W1851"/>
  <c r="U1851"/>
  <c r="Y1850"/>
  <c r="X1850"/>
  <c r="W1850"/>
  <c r="Y1849"/>
  <c r="X1849"/>
  <c r="W1849"/>
  <c r="Y1848"/>
  <c r="F1848"/>
  <c r="M1848"/>
  <c r="O1848"/>
  <c r="X1848"/>
  <c r="R1848"/>
  <c r="W1848"/>
  <c r="U1848"/>
  <c r="Y1847"/>
  <c r="X1847"/>
  <c r="F1847"/>
  <c r="M1847"/>
  <c r="O1847"/>
  <c r="R1847"/>
  <c r="W1847"/>
  <c r="U1847"/>
  <c r="Y1846"/>
  <c r="X1846"/>
  <c r="F1846"/>
  <c r="M1846"/>
  <c r="O1846"/>
  <c r="R1846"/>
  <c r="W1846"/>
  <c r="U1846"/>
  <c r="Y1845"/>
  <c r="X1845"/>
  <c r="F1845"/>
  <c r="M1845"/>
  <c r="O1845"/>
  <c r="R1845"/>
  <c r="W1845"/>
  <c r="U1845"/>
  <c r="Y1844"/>
  <c r="X1844"/>
  <c r="F1844"/>
  <c r="M1844"/>
  <c r="O1844"/>
  <c r="R1844"/>
  <c r="W1844"/>
  <c r="U1844"/>
  <c r="Y1843"/>
  <c r="X1843"/>
  <c r="F1843"/>
  <c r="M1843"/>
  <c r="O1843"/>
  <c r="R1843"/>
  <c r="W1843"/>
  <c r="U1843"/>
  <c r="Y1842"/>
  <c r="X1842"/>
  <c r="F1842"/>
  <c r="M1842"/>
  <c r="O1842"/>
  <c r="R1842"/>
  <c r="W1842"/>
  <c r="U1842"/>
  <c r="Y1841"/>
  <c r="X1841"/>
  <c r="F1841"/>
  <c r="M1841"/>
  <c r="O1841"/>
  <c r="R1841"/>
  <c r="W1841"/>
  <c r="U1841"/>
  <c r="Y1840"/>
  <c r="X1840"/>
  <c r="F1840"/>
  <c r="M1840"/>
  <c r="O1840"/>
  <c r="R1840"/>
  <c r="W1840"/>
  <c r="U1840"/>
  <c r="Y1839"/>
  <c r="X1839"/>
  <c r="F1839"/>
  <c r="M1839"/>
  <c r="O1839"/>
  <c r="R1839"/>
  <c r="W1839"/>
  <c r="U1839"/>
  <c r="Y1838"/>
  <c r="X1838"/>
  <c r="F1838"/>
  <c r="M1838"/>
  <c r="O1838"/>
  <c r="R1838"/>
  <c r="W1838"/>
  <c r="U1838"/>
  <c r="Y1837"/>
  <c r="X1837"/>
  <c r="F1837"/>
  <c r="M1837"/>
  <c r="O1837"/>
  <c r="R1837"/>
  <c r="W1837"/>
  <c r="U1837"/>
  <c r="Y1836"/>
  <c r="F1836"/>
  <c r="M1836"/>
  <c r="O1836"/>
  <c r="X1836"/>
  <c r="R1836"/>
  <c r="W1836"/>
  <c r="U1836"/>
  <c r="Y1835"/>
  <c r="F1835"/>
  <c r="M1835"/>
  <c r="O1835"/>
  <c r="X1835"/>
  <c r="R1835"/>
  <c r="W1835"/>
  <c r="U1835"/>
  <c r="Y1834"/>
  <c r="X1834"/>
  <c r="F1834"/>
  <c r="M1834"/>
  <c r="O1834"/>
  <c r="R1834"/>
  <c r="W1834"/>
  <c r="U1834"/>
  <c r="Y1833"/>
  <c r="X1833"/>
  <c r="F1833"/>
  <c r="M1833"/>
  <c r="O1833"/>
  <c r="R1833"/>
  <c r="W1833"/>
  <c r="U1833"/>
  <c r="C1832"/>
  <c r="S1832"/>
  <c r="Y1832"/>
  <c r="D1832"/>
  <c r="E1832"/>
  <c r="F1832"/>
  <c r="G1832"/>
  <c r="H1832"/>
  <c r="I1832"/>
  <c r="J1832"/>
  <c r="K1832"/>
  <c r="L1832"/>
  <c r="M1832"/>
  <c r="N1832"/>
  <c r="O1832"/>
  <c r="X1832"/>
  <c r="P1832"/>
  <c r="Q1832"/>
  <c r="R1832"/>
  <c r="W1832"/>
  <c r="U1832"/>
  <c r="Y1831"/>
  <c r="X1831"/>
  <c r="F1831"/>
  <c r="M1831"/>
  <c r="O1831"/>
  <c r="R1831"/>
  <c r="W1831"/>
  <c r="U1831"/>
  <c r="Y1830"/>
  <c r="X1830"/>
  <c r="F1830"/>
  <c r="M1830"/>
  <c r="O1830"/>
  <c r="R1830"/>
  <c r="W1830"/>
  <c r="U1830"/>
  <c r="Y1829"/>
  <c r="X1829"/>
  <c r="F1829"/>
  <c r="M1829"/>
  <c r="O1829"/>
  <c r="R1829"/>
  <c r="W1829"/>
  <c r="U1829"/>
  <c r="Y1828"/>
  <c r="X1828"/>
  <c r="F1828"/>
  <c r="M1828"/>
  <c r="O1828"/>
  <c r="R1828"/>
  <c r="W1828"/>
  <c r="U1828"/>
  <c r="Y1827"/>
  <c r="F1827"/>
  <c r="M1827"/>
  <c r="O1827"/>
  <c r="X1827"/>
  <c r="R1827"/>
  <c r="W1827"/>
  <c r="U1827"/>
  <c r="Y1826"/>
  <c r="X1826"/>
  <c r="F1826"/>
  <c r="M1826"/>
  <c r="O1826"/>
  <c r="R1826"/>
  <c r="W1826"/>
  <c r="U1826"/>
  <c r="Y1825"/>
  <c r="X1825"/>
  <c r="F1825"/>
  <c r="M1825"/>
  <c r="O1825"/>
  <c r="R1825"/>
  <c r="W1825"/>
  <c r="U1825"/>
  <c r="Y1824"/>
  <c r="X1824"/>
  <c r="F1824"/>
  <c r="M1824"/>
  <c r="O1824"/>
  <c r="R1824"/>
  <c r="W1824"/>
  <c r="U1824"/>
  <c r="Y1823"/>
  <c r="X1823"/>
  <c r="F1823"/>
  <c r="M1823"/>
  <c r="O1823"/>
  <c r="R1823"/>
  <c r="W1823"/>
  <c r="U1823"/>
  <c r="Y1822"/>
  <c r="X1822"/>
  <c r="F1822"/>
  <c r="M1822"/>
  <c r="O1822"/>
  <c r="R1822"/>
  <c r="W1822"/>
  <c r="U1822"/>
  <c r="Y1821"/>
  <c r="X1821"/>
  <c r="F1821"/>
  <c r="M1821"/>
  <c r="O1821"/>
  <c r="R1821"/>
  <c r="W1821"/>
  <c r="U1821"/>
  <c r="Y1820"/>
  <c r="X1820"/>
  <c r="F1820"/>
  <c r="M1820"/>
  <c r="O1820"/>
  <c r="R1820"/>
  <c r="W1820"/>
  <c r="U1820"/>
  <c r="Y1819"/>
  <c r="X1819"/>
  <c r="F1819"/>
  <c r="M1819"/>
  <c r="O1819"/>
  <c r="R1819"/>
  <c r="W1819"/>
  <c r="U1819"/>
  <c r="Y1818"/>
  <c r="X1818"/>
  <c r="F1818"/>
  <c r="M1818"/>
  <c r="O1818"/>
  <c r="R1818"/>
  <c r="W1818"/>
  <c r="U1818"/>
  <c r="Y1817"/>
  <c r="X1817"/>
  <c r="F1817"/>
  <c r="M1817"/>
  <c r="O1817"/>
  <c r="R1817"/>
  <c r="W1817"/>
  <c r="U1817"/>
  <c r="Y1816"/>
  <c r="X1816"/>
  <c r="W1816"/>
  <c r="Y1815"/>
  <c r="X1815"/>
  <c r="W1815"/>
  <c r="Y1814"/>
  <c r="X1814"/>
  <c r="W1814"/>
  <c r="Y1813"/>
  <c r="X1813"/>
  <c r="W1813"/>
  <c r="Y1812"/>
  <c r="X1812"/>
  <c r="W1812"/>
  <c r="Q1803"/>
  <c r="H1803"/>
  <c r="Q1802"/>
  <c r="H1802"/>
  <c r="A1765"/>
  <c r="A1766"/>
  <c r="A1767"/>
  <c r="A1769"/>
  <c r="A1770"/>
  <c r="A1771"/>
  <c r="A1773"/>
  <c r="A1775"/>
  <c r="A1777"/>
  <c r="A1778"/>
  <c r="A1779"/>
  <c r="A1781"/>
  <c r="A1782"/>
  <c r="A1783"/>
  <c r="A1784"/>
  <c r="A1785"/>
  <c r="A1787"/>
  <c r="A1789"/>
  <c r="A1791"/>
  <c r="A1793"/>
  <c r="A1794"/>
  <c r="A1795"/>
  <c r="A1796"/>
  <c r="A1797"/>
  <c r="A1798"/>
  <c r="C1764"/>
  <c r="C1768"/>
  <c r="D631"/>
  <c r="F631"/>
  <c r="G631"/>
  <c r="H631"/>
  <c r="M631"/>
  <c r="O631"/>
  <c r="R631"/>
  <c r="C631"/>
  <c r="C1771"/>
  <c r="F640"/>
  <c r="M640"/>
  <c r="O640"/>
  <c r="R640"/>
  <c r="C640"/>
  <c r="C1773"/>
  <c r="C1782"/>
  <c r="D638"/>
  <c r="F638"/>
  <c r="G638"/>
  <c r="H638"/>
  <c r="M638"/>
  <c r="O638"/>
  <c r="R638"/>
  <c r="C638"/>
  <c r="C1785"/>
  <c r="F632"/>
  <c r="M632"/>
  <c r="O632"/>
  <c r="R632"/>
  <c r="C632"/>
  <c r="C1787"/>
  <c r="F633"/>
  <c r="M633"/>
  <c r="O633"/>
  <c r="R633"/>
  <c r="C633"/>
  <c r="C1789"/>
  <c r="F636"/>
  <c r="M636"/>
  <c r="O636"/>
  <c r="R636"/>
  <c r="C636"/>
  <c r="C1777"/>
  <c r="C1775"/>
  <c r="C1776"/>
  <c r="C1796"/>
  <c r="S1765"/>
  <c r="S1763"/>
  <c r="S1764"/>
  <c r="S1768"/>
  <c r="S1771"/>
  <c r="S1773"/>
  <c r="S1779"/>
  <c r="S1782"/>
  <c r="S1785"/>
  <c r="S1787"/>
  <c r="S1789"/>
  <c r="S1777"/>
  <c r="S1775"/>
  <c r="S1776"/>
  <c r="S1796"/>
  <c r="Y1796"/>
  <c r="E1764"/>
  <c r="G1764"/>
  <c r="H1764"/>
  <c r="I1764"/>
  <c r="J1764"/>
  <c r="K1764"/>
  <c r="L1764"/>
  <c r="M1764"/>
  <c r="N1764"/>
  <c r="P1764"/>
  <c r="Q1764"/>
  <c r="R1764"/>
  <c r="D1764"/>
  <c r="E1768"/>
  <c r="G1768"/>
  <c r="H1768"/>
  <c r="I1768"/>
  <c r="J1768"/>
  <c r="K1768"/>
  <c r="L1768"/>
  <c r="M1768"/>
  <c r="N1768"/>
  <c r="P1768"/>
  <c r="Q1768"/>
  <c r="R1768"/>
  <c r="D1768"/>
  <c r="D1771"/>
  <c r="D1773"/>
  <c r="E1782"/>
  <c r="G1782"/>
  <c r="H1782"/>
  <c r="I1782"/>
  <c r="J1782"/>
  <c r="K1782"/>
  <c r="L1782"/>
  <c r="M1782"/>
  <c r="N1782"/>
  <c r="P1782"/>
  <c r="Q1782"/>
  <c r="R1782"/>
  <c r="D1782"/>
  <c r="D1785"/>
  <c r="D1787"/>
  <c r="D1789"/>
  <c r="E1777"/>
  <c r="E1775"/>
  <c r="E1776"/>
  <c r="G1777"/>
  <c r="G1775"/>
  <c r="G1776"/>
  <c r="H1777"/>
  <c r="H1775"/>
  <c r="H1776"/>
  <c r="I1777"/>
  <c r="I1775"/>
  <c r="I1776"/>
  <c r="J1777"/>
  <c r="J1775"/>
  <c r="J1776"/>
  <c r="K1777"/>
  <c r="K1775"/>
  <c r="K1776"/>
  <c r="L1777"/>
  <c r="L1775"/>
  <c r="L1776"/>
  <c r="M1776"/>
  <c r="N1777"/>
  <c r="N1775"/>
  <c r="N1776"/>
  <c r="P1777"/>
  <c r="P1775"/>
  <c r="P1776"/>
  <c r="Q1777"/>
  <c r="Q1775"/>
  <c r="Q1776"/>
  <c r="R1776"/>
  <c r="D1776"/>
  <c r="D1796"/>
  <c r="E1771"/>
  <c r="E1773"/>
  <c r="E1785"/>
  <c r="E1787"/>
  <c r="E1789"/>
  <c r="E1796"/>
  <c r="F1796"/>
  <c r="G1771"/>
  <c r="G1773"/>
  <c r="G1785"/>
  <c r="G1787"/>
  <c r="G1789"/>
  <c r="G1796"/>
  <c r="H1771"/>
  <c r="H1773"/>
  <c r="H1785"/>
  <c r="H1787"/>
  <c r="H1789"/>
  <c r="H1796"/>
  <c r="I1771"/>
  <c r="I1773"/>
  <c r="I1785"/>
  <c r="I1787"/>
  <c r="I1789"/>
  <c r="I1796"/>
  <c r="J1771"/>
  <c r="J1773"/>
  <c r="J1785"/>
  <c r="J1787"/>
  <c r="J1789"/>
  <c r="J1796"/>
  <c r="K1771"/>
  <c r="K1773"/>
  <c r="K1785"/>
  <c r="K1787"/>
  <c r="K1789"/>
  <c r="K1796"/>
  <c r="L1771"/>
  <c r="L1773"/>
  <c r="L1785"/>
  <c r="L1787"/>
  <c r="L1789"/>
  <c r="L1796"/>
  <c r="M1796"/>
  <c r="N1771"/>
  <c r="N1773"/>
  <c r="N1785"/>
  <c r="N1787"/>
  <c r="N1789"/>
  <c r="N1796"/>
  <c r="O1796"/>
  <c r="X1796"/>
  <c r="P1771"/>
  <c r="P1773"/>
  <c r="P1785"/>
  <c r="P1787"/>
  <c r="P1789"/>
  <c r="P1796"/>
  <c r="Q1771"/>
  <c r="Q1773"/>
  <c r="Q1785"/>
  <c r="Q1787"/>
  <c r="Q1789"/>
  <c r="Q1796"/>
  <c r="R1796"/>
  <c r="W1796"/>
  <c r="U1796"/>
  <c r="C1795"/>
  <c r="S1795"/>
  <c r="Y1795"/>
  <c r="M1775"/>
  <c r="R1775"/>
  <c r="D1775"/>
  <c r="F1775"/>
  <c r="O1775"/>
  <c r="O1795"/>
  <c r="X1795"/>
  <c r="R1795"/>
  <c r="W1795"/>
  <c r="Q1795"/>
  <c r="P1795"/>
  <c r="N1795"/>
  <c r="M1795"/>
  <c r="L1795"/>
  <c r="K1795"/>
  <c r="J1795"/>
  <c r="I1795"/>
  <c r="H1795"/>
  <c r="G1795"/>
  <c r="F1795"/>
  <c r="E1795"/>
  <c r="D1795"/>
  <c r="C1794"/>
  <c r="S1794"/>
  <c r="Y1794"/>
  <c r="D1794"/>
  <c r="E1794"/>
  <c r="F1794"/>
  <c r="G1794"/>
  <c r="H1794"/>
  <c r="I1794"/>
  <c r="J1794"/>
  <c r="K1794"/>
  <c r="L1794"/>
  <c r="M1794"/>
  <c r="N1794"/>
  <c r="O1794"/>
  <c r="X1794"/>
  <c r="P1794"/>
  <c r="Q1794"/>
  <c r="R1794"/>
  <c r="W1794"/>
  <c r="U1794"/>
  <c r="C1793"/>
  <c r="S1793"/>
  <c r="Y1793"/>
  <c r="D1793"/>
  <c r="E1793"/>
  <c r="F1793"/>
  <c r="G1793"/>
  <c r="H1793"/>
  <c r="I1793"/>
  <c r="J1793"/>
  <c r="K1793"/>
  <c r="L1793"/>
  <c r="M1793"/>
  <c r="N1793"/>
  <c r="O1793"/>
  <c r="X1793"/>
  <c r="P1793"/>
  <c r="Q1793"/>
  <c r="R1793"/>
  <c r="W1793"/>
  <c r="U1793"/>
  <c r="C1792"/>
  <c r="S1792"/>
  <c r="Y1792"/>
  <c r="D1792"/>
  <c r="E1792"/>
  <c r="F1792"/>
  <c r="G1792"/>
  <c r="H1792"/>
  <c r="I1792"/>
  <c r="J1792"/>
  <c r="K1792"/>
  <c r="L1792"/>
  <c r="M1792"/>
  <c r="N1792"/>
  <c r="O1792"/>
  <c r="X1792"/>
  <c r="P1792"/>
  <c r="Q1792"/>
  <c r="R1792"/>
  <c r="W1792"/>
  <c r="U1792"/>
  <c r="C1791"/>
  <c r="S1791"/>
  <c r="Y1791"/>
  <c r="M1777"/>
  <c r="R1777"/>
  <c r="D1777"/>
  <c r="D1791"/>
  <c r="E1791"/>
  <c r="F1791"/>
  <c r="G1791"/>
  <c r="H1791"/>
  <c r="I1791"/>
  <c r="J1791"/>
  <c r="K1791"/>
  <c r="L1791"/>
  <c r="M1791"/>
  <c r="N1791"/>
  <c r="O1791"/>
  <c r="X1791"/>
  <c r="P1791"/>
  <c r="Q1791"/>
  <c r="R1791"/>
  <c r="W1791"/>
  <c r="U1791"/>
  <c r="Y1790"/>
  <c r="X1790"/>
  <c r="W1790"/>
  <c r="Y1789"/>
  <c r="F1789"/>
  <c r="M1789"/>
  <c r="O1789"/>
  <c r="X1789"/>
  <c r="R1789"/>
  <c r="W1789"/>
  <c r="U1789"/>
  <c r="Y1788"/>
  <c r="X1788"/>
  <c r="W1788"/>
  <c r="Y1787"/>
  <c r="F1787"/>
  <c r="M1787"/>
  <c r="O1787"/>
  <c r="X1787"/>
  <c r="R1787"/>
  <c r="W1787"/>
  <c r="U1787"/>
  <c r="Y1786"/>
  <c r="X1786"/>
  <c r="W1786"/>
  <c r="Y1785"/>
  <c r="F1785"/>
  <c r="M1785"/>
  <c r="O1785"/>
  <c r="X1785"/>
  <c r="R1785"/>
  <c r="W1785"/>
  <c r="U1785"/>
  <c r="Y1784"/>
  <c r="X1784"/>
  <c r="W1784"/>
  <c r="Y1783"/>
  <c r="F1783"/>
  <c r="M1783"/>
  <c r="O1783"/>
  <c r="X1783"/>
  <c r="R1783"/>
  <c r="W1783"/>
  <c r="U1783"/>
  <c r="Y1782"/>
  <c r="F1782"/>
  <c r="O1782"/>
  <c r="X1782"/>
  <c r="W1782"/>
  <c r="U1782"/>
  <c r="Y1781"/>
  <c r="F1781"/>
  <c r="O1781"/>
  <c r="X1781"/>
  <c r="W1781"/>
  <c r="U1781"/>
  <c r="Y1780"/>
  <c r="F1780"/>
  <c r="O1780"/>
  <c r="X1780"/>
  <c r="W1780"/>
  <c r="U1780"/>
  <c r="Y1779"/>
  <c r="F1779"/>
  <c r="M1779"/>
  <c r="O1779"/>
  <c r="X1779"/>
  <c r="R1779"/>
  <c r="W1779"/>
  <c r="U1779"/>
  <c r="Y1778"/>
  <c r="X1778"/>
  <c r="W1778"/>
  <c r="Y1777"/>
  <c r="F1777"/>
  <c r="O1777"/>
  <c r="X1777"/>
  <c r="W1777"/>
  <c r="Y1776"/>
  <c r="F1776"/>
  <c r="O1776"/>
  <c r="X1776"/>
  <c r="W1776"/>
  <c r="Y1775"/>
  <c r="X1775"/>
  <c r="W1775"/>
  <c r="Y1774"/>
  <c r="X1774"/>
  <c r="W1774"/>
  <c r="Y1773"/>
  <c r="F1773"/>
  <c r="M1773"/>
  <c r="O1773"/>
  <c r="X1773"/>
  <c r="R1773"/>
  <c r="W1773"/>
  <c r="U1773"/>
  <c r="Y1772"/>
  <c r="X1772"/>
  <c r="W1772"/>
  <c r="Y1771"/>
  <c r="F1771"/>
  <c r="M1771"/>
  <c r="O1771"/>
  <c r="X1771"/>
  <c r="R1771"/>
  <c r="W1771"/>
  <c r="U1771"/>
  <c r="Y1770"/>
  <c r="X1770"/>
  <c r="W1770"/>
  <c r="Y1769"/>
  <c r="F1769"/>
  <c r="M1769"/>
  <c r="O1769"/>
  <c r="X1769"/>
  <c r="R1769"/>
  <c r="W1769"/>
  <c r="U1769"/>
  <c r="Y1768"/>
  <c r="F1768"/>
  <c r="O1768"/>
  <c r="X1768"/>
  <c r="W1768"/>
  <c r="U1768"/>
  <c r="Y1767"/>
  <c r="F1767"/>
  <c r="O1767"/>
  <c r="X1767"/>
  <c r="W1767"/>
  <c r="U1767"/>
  <c r="Y1766"/>
  <c r="X1766"/>
  <c r="W1766"/>
  <c r="Y1765"/>
  <c r="F1765"/>
  <c r="M1765"/>
  <c r="O1765"/>
  <c r="X1765"/>
  <c r="R1765"/>
  <c r="W1765"/>
  <c r="U1765"/>
  <c r="Y1764"/>
  <c r="F1764"/>
  <c r="O1764"/>
  <c r="X1764"/>
  <c r="W1764"/>
  <c r="U1764"/>
  <c r="Y1763"/>
  <c r="F1763"/>
  <c r="M1763"/>
  <c r="O1763"/>
  <c r="X1763"/>
  <c r="R1763"/>
  <c r="W1763"/>
  <c r="U1763"/>
  <c r="Y1762"/>
  <c r="X1762"/>
  <c r="W1762"/>
  <c r="Y1761"/>
  <c r="X1761"/>
  <c r="W1761"/>
  <c r="Q1752"/>
  <c r="H1752"/>
  <c r="Q1751"/>
  <c r="H1751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4"/>
  <c r="A1626"/>
  <c r="A1627"/>
  <c r="A1628"/>
  <c r="A1630"/>
  <c r="A1632"/>
  <c r="A1634"/>
  <c r="A1635"/>
  <c r="A1656"/>
  <c r="A1657"/>
  <c r="A1659"/>
  <c r="A1660"/>
  <c r="A1662"/>
  <c r="A1663"/>
  <c r="A1665"/>
  <c r="A1666"/>
  <c r="A1668"/>
  <c r="A1669"/>
  <c r="A1670"/>
  <c r="A1671"/>
  <c r="A1672"/>
  <c r="A1673"/>
  <c r="A1674"/>
  <c r="A1675"/>
  <c r="A1676"/>
  <c r="A1677"/>
  <c r="A1678"/>
  <c r="A1679"/>
  <c r="A1681"/>
  <c r="A1682"/>
  <c r="A1683"/>
  <c r="A1684"/>
  <c r="A1685"/>
  <c r="A1686"/>
  <c r="A1687"/>
  <c r="A1688"/>
  <c r="A1689"/>
  <c r="A1690"/>
  <c r="A1691"/>
  <c r="A1694"/>
  <c r="A1697"/>
  <c r="A1700"/>
  <c r="A1703"/>
  <c r="A1704"/>
  <c r="A1721"/>
  <c r="A1722"/>
  <c r="A1723"/>
  <c r="A1724"/>
  <c r="A1725"/>
  <c r="A1726"/>
  <c r="A1727"/>
  <c r="A1728"/>
  <c r="A1729"/>
  <c r="A1730"/>
  <c r="A1731"/>
  <c r="A1732"/>
  <c r="A1735"/>
  <c r="A1737"/>
  <c r="A1738"/>
  <c r="A1739"/>
  <c r="A1740"/>
  <c r="A1741"/>
  <c r="A1742"/>
  <c r="A1743"/>
  <c r="A1744"/>
  <c r="A1745"/>
  <c r="A1746"/>
  <c r="A1747"/>
  <c r="C34"/>
  <c r="R34"/>
  <c r="O34"/>
  <c r="O38"/>
  <c r="M38"/>
  <c r="D38"/>
  <c r="M37"/>
  <c r="D37"/>
  <c r="D34"/>
  <c r="M649"/>
  <c r="R649"/>
  <c r="D649"/>
  <c r="D1660"/>
  <c r="D1661"/>
  <c r="D1664"/>
  <c r="E34"/>
  <c r="E1660"/>
  <c r="E1661"/>
  <c r="E1664"/>
  <c r="F1664"/>
  <c r="G34"/>
  <c r="G1660"/>
  <c r="G1661"/>
  <c r="G1664"/>
  <c r="H34"/>
  <c r="H1660"/>
  <c r="H1661"/>
  <c r="H1664"/>
  <c r="I34"/>
  <c r="I1660"/>
  <c r="I1661"/>
  <c r="I1664"/>
  <c r="J34"/>
  <c r="J1660"/>
  <c r="J1661"/>
  <c r="J1664"/>
  <c r="K34"/>
  <c r="K1660"/>
  <c r="K1661"/>
  <c r="K1664"/>
  <c r="L34"/>
  <c r="L1660"/>
  <c r="L1661"/>
  <c r="L1664"/>
  <c r="N34"/>
  <c r="N1660"/>
  <c r="N1661"/>
  <c r="N1664"/>
  <c r="O1664"/>
  <c r="M647"/>
  <c r="R647"/>
  <c r="D647"/>
  <c r="D1654"/>
  <c r="D1655"/>
  <c r="D1658"/>
  <c r="E1654"/>
  <c r="E1655"/>
  <c r="E1658"/>
  <c r="F1658"/>
  <c r="G1654"/>
  <c r="G1655"/>
  <c r="G1658"/>
  <c r="H1654"/>
  <c r="H1655"/>
  <c r="H1658"/>
  <c r="I1654"/>
  <c r="I1655"/>
  <c r="I1658"/>
  <c r="J1654"/>
  <c r="J1655"/>
  <c r="J1658"/>
  <c r="K1654"/>
  <c r="K1655"/>
  <c r="K1658"/>
  <c r="L1654"/>
  <c r="L1655"/>
  <c r="L1658"/>
  <c r="N1654"/>
  <c r="N1655"/>
  <c r="N1658"/>
  <c r="O1658"/>
  <c r="M648"/>
  <c r="R648"/>
  <c r="D648"/>
  <c r="D1630"/>
  <c r="D1633"/>
  <c r="E1630"/>
  <c r="E1633"/>
  <c r="F1633"/>
  <c r="G1630"/>
  <c r="G1633"/>
  <c r="H1630"/>
  <c r="H1633"/>
  <c r="I1630"/>
  <c r="I1633"/>
  <c r="J1630"/>
  <c r="J1633"/>
  <c r="K1630"/>
  <c r="K1633"/>
  <c r="L1630"/>
  <c r="L1633"/>
  <c r="N1630"/>
  <c r="N1633"/>
  <c r="O1633"/>
  <c r="O1677"/>
  <c r="R1677"/>
  <c r="C1677"/>
  <c r="C652"/>
  <c r="C1679"/>
  <c r="C661"/>
  <c r="C1702"/>
  <c r="C1729"/>
  <c r="C1745"/>
  <c r="S661"/>
  <c r="S1702"/>
  <c r="S1729"/>
  <c r="S1745"/>
  <c r="Y1745"/>
  <c r="M652"/>
  <c r="R652"/>
  <c r="D652"/>
  <c r="D1679"/>
  <c r="E1679"/>
  <c r="F1689"/>
  <c r="G1679"/>
  <c r="H1679"/>
  <c r="I1679"/>
  <c r="J1679"/>
  <c r="K1679"/>
  <c r="L1679"/>
  <c r="M1689"/>
  <c r="N1679"/>
  <c r="O1689"/>
  <c r="M661"/>
  <c r="R661"/>
  <c r="D661"/>
  <c r="F661"/>
  <c r="O661"/>
  <c r="O1702"/>
  <c r="O1729"/>
  <c r="O1745"/>
  <c r="X1745"/>
  <c r="P1702"/>
  <c r="P1729"/>
  <c r="P1745"/>
  <c r="Q1702"/>
  <c r="Q1729"/>
  <c r="Q1745"/>
  <c r="R1745"/>
  <c r="W1745"/>
  <c r="U1745"/>
  <c r="N1677"/>
  <c r="N1702"/>
  <c r="N1729"/>
  <c r="N1745"/>
  <c r="J1677"/>
  <c r="J1702"/>
  <c r="J1729"/>
  <c r="J1745"/>
  <c r="K1677"/>
  <c r="K1702"/>
  <c r="K1729"/>
  <c r="K1745"/>
  <c r="L1677"/>
  <c r="L1702"/>
  <c r="L1729"/>
  <c r="L1745"/>
  <c r="M1745"/>
  <c r="I1677"/>
  <c r="I1702"/>
  <c r="I1729"/>
  <c r="I1745"/>
  <c r="H1677"/>
  <c r="H1702"/>
  <c r="H1729"/>
  <c r="H1745"/>
  <c r="G1677"/>
  <c r="G1702"/>
  <c r="G1729"/>
  <c r="G1745"/>
  <c r="D1677"/>
  <c r="D1702"/>
  <c r="D1729"/>
  <c r="D1745"/>
  <c r="E1677"/>
  <c r="E1702"/>
  <c r="E1729"/>
  <c r="E1745"/>
  <c r="F1745"/>
  <c r="R1676"/>
  <c r="C1676"/>
  <c r="C655"/>
  <c r="C1698"/>
  <c r="C1728"/>
  <c r="C1744"/>
  <c r="S1698"/>
  <c r="S1728"/>
  <c r="S1744"/>
  <c r="Y1744"/>
  <c r="F1688"/>
  <c r="M1688"/>
  <c r="O1688"/>
  <c r="F655"/>
  <c r="I655"/>
  <c r="M655"/>
  <c r="O655"/>
  <c r="O1698"/>
  <c r="O1728"/>
  <c r="O1744"/>
  <c r="X1744"/>
  <c r="P1698"/>
  <c r="P1728"/>
  <c r="P1744"/>
  <c r="Q1698"/>
  <c r="Q1728"/>
  <c r="Q1744"/>
  <c r="R1744"/>
  <c r="W1744"/>
  <c r="U1744"/>
  <c r="N1698"/>
  <c r="N1728"/>
  <c r="N1744"/>
  <c r="J1698"/>
  <c r="J1728"/>
  <c r="J1744"/>
  <c r="K1698"/>
  <c r="K1728"/>
  <c r="K1744"/>
  <c r="L1698"/>
  <c r="L1728"/>
  <c r="L1744"/>
  <c r="M1744"/>
  <c r="I1698"/>
  <c r="I1728"/>
  <c r="I1744"/>
  <c r="H1698"/>
  <c r="H1728"/>
  <c r="H1744"/>
  <c r="G1698"/>
  <c r="G1728"/>
  <c r="G1744"/>
  <c r="D1698"/>
  <c r="D1728"/>
  <c r="D1744"/>
  <c r="E1698"/>
  <c r="E1728"/>
  <c r="E1744"/>
  <c r="F1744"/>
  <c r="C1596"/>
  <c r="C1597"/>
  <c r="C1598"/>
  <c r="C1599"/>
  <c r="C1600"/>
  <c r="C1601"/>
  <c r="C1606"/>
  <c r="C1607"/>
  <c r="C1608"/>
  <c r="C1609"/>
  <c r="C1610"/>
  <c r="C1611"/>
  <c r="C1612"/>
  <c r="C1613"/>
  <c r="C1603"/>
  <c r="C1604"/>
  <c r="C1605"/>
  <c r="C1616"/>
  <c r="R1675"/>
  <c r="C1675"/>
  <c r="C1687"/>
  <c r="C1727"/>
  <c r="C1743"/>
  <c r="S1598"/>
  <c r="S1601"/>
  <c r="S1608"/>
  <c r="S1612"/>
  <c r="S1603"/>
  <c r="S1604"/>
  <c r="S1605"/>
  <c r="S1616"/>
  <c r="S1727"/>
  <c r="S1743"/>
  <c r="Y1743"/>
  <c r="D1596"/>
  <c r="D1597"/>
  <c r="D1598"/>
  <c r="D1599"/>
  <c r="D1600"/>
  <c r="D1601"/>
  <c r="D1606"/>
  <c r="D1607"/>
  <c r="D1608"/>
  <c r="D1609"/>
  <c r="D1610"/>
  <c r="D1611"/>
  <c r="D1612"/>
  <c r="D1613"/>
  <c r="D1603"/>
  <c r="D1604"/>
  <c r="D1605"/>
  <c r="D1616"/>
  <c r="E1596"/>
  <c r="E1597"/>
  <c r="E1598"/>
  <c r="E1599"/>
  <c r="E1600"/>
  <c r="E1601"/>
  <c r="E1606"/>
  <c r="E1607"/>
  <c r="E1608"/>
  <c r="E1609"/>
  <c r="E1610"/>
  <c r="E1611"/>
  <c r="E1612"/>
  <c r="E1613"/>
  <c r="E1603"/>
  <c r="E1604"/>
  <c r="E1605"/>
  <c r="E1616"/>
  <c r="F1616"/>
  <c r="G1596"/>
  <c r="G1597"/>
  <c r="G1598"/>
  <c r="G1599"/>
  <c r="G1600"/>
  <c r="G1601"/>
  <c r="G1606"/>
  <c r="G1607"/>
  <c r="G1608"/>
  <c r="G1609"/>
  <c r="G1610"/>
  <c r="G1611"/>
  <c r="G1612"/>
  <c r="G1613"/>
  <c r="G1603"/>
  <c r="G1604"/>
  <c r="G1605"/>
  <c r="G1616"/>
  <c r="H1596"/>
  <c r="H1597"/>
  <c r="H1598"/>
  <c r="H1599"/>
  <c r="H1600"/>
  <c r="H1601"/>
  <c r="H1606"/>
  <c r="H1607"/>
  <c r="H1608"/>
  <c r="H1609"/>
  <c r="H1610"/>
  <c r="H1611"/>
  <c r="H1612"/>
  <c r="H1613"/>
  <c r="H1603"/>
  <c r="H1604"/>
  <c r="H1605"/>
  <c r="H1616"/>
  <c r="I1596"/>
  <c r="I1597"/>
  <c r="I1598"/>
  <c r="I1599"/>
  <c r="I1600"/>
  <c r="I1601"/>
  <c r="I1606"/>
  <c r="I1607"/>
  <c r="I1608"/>
  <c r="I1609"/>
  <c r="I1610"/>
  <c r="I1611"/>
  <c r="I1612"/>
  <c r="I1613"/>
  <c r="I1603"/>
  <c r="I1604"/>
  <c r="I1605"/>
  <c r="I1616"/>
  <c r="J1596"/>
  <c r="J1597"/>
  <c r="J1598"/>
  <c r="J1599"/>
  <c r="J1600"/>
  <c r="J1601"/>
  <c r="J1606"/>
  <c r="J1607"/>
  <c r="J1608"/>
  <c r="J1609"/>
  <c r="J1610"/>
  <c r="J1611"/>
  <c r="J1612"/>
  <c r="J1613"/>
  <c r="J1603"/>
  <c r="J1604"/>
  <c r="J1605"/>
  <c r="J1616"/>
  <c r="K1596"/>
  <c r="K1597"/>
  <c r="K1598"/>
  <c r="K1599"/>
  <c r="K1600"/>
  <c r="K1601"/>
  <c r="K1606"/>
  <c r="K1607"/>
  <c r="K1608"/>
  <c r="K1609"/>
  <c r="K1610"/>
  <c r="K1611"/>
  <c r="K1612"/>
  <c r="K1613"/>
  <c r="K1603"/>
  <c r="K1604"/>
  <c r="K1605"/>
  <c r="K1616"/>
  <c r="L1596"/>
  <c r="L1597"/>
  <c r="L1598"/>
  <c r="L1599"/>
  <c r="L1600"/>
  <c r="L1601"/>
  <c r="L1606"/>
  <c r="L1607"/>
  <c r="L1608"/>
  <c r="L1609"/>
  <c r="L1610"/>
  <c r="L1611"/>
  <c r="L1612"/>
  <c r="L1613"/>
  <c r="L1603"/>
  <c r="L1604"/>
  <c r="L1605"/>
  <c r="L1616"/>
  <c r="M1616"/>
  <c r="N1596"/>
  <c r="N1597"/>
  <c r="N1598"/>
  <c r="N1599"/>
  <c r="N1600"/>
  <c r="N1601"/>
  <c r="N1606"/>
  <c r="N1607"/>
  <c r="N1608"/>
  <c r="N1609"/>
  <c r="N1610"/>
  <c r="N1611"/>
  <c r="N1612"/>
  <c r="N1613"/>
  <c r="N1603"/>
  <c r="N1604"/>
  <c r="N1605"/>
  <c r="N1616"/>
  <c r="O1616"/>
  <c r="E1687"/>
  <c r="F1687"/>
  <c r="G1687"/>
  <c r="H1687"/>
  <c r="I1687"/>
  <c r="J1687"/>
  <c r="K1687"/>
  <c r="L1687"/>
  <c r="M1687"/>
  <c r="N1687"/>
  <c r="O1687"/>
  <c r="O1727"/>
  <c r="O1743"/>
  <c r="X1743"/>
  <c r="P1596"/>
  <c r="P1597"/>
  <c r="P1598"/>
  <c r="P1599"/>
  <c r="P1600"/>
  <c r="P1601"/>
  <c r="P1606"/>
  <c r="P1607"/>
  <c r="P1608"/>
  <c r="P1609"/>
  <c r="P1610"/>
  <c r="P1611"/>
  <c r="P1612"/>
  <c r="P1613"/>
  <c r="P1603"/>
  <c r="P1604"/>
  <c r="P1605"/>
  <c r="P1616"/>
  <c r="P1727"/>
  <c r="P1743"/>
  <c r="Q1596"/>
  <c r="Q1597"/>
  <c r="Q1598"/>
  <c r="Q1599"/>
  <c r="Q1600"/>
  <c r="Q1601"/>
  <c r="Q1606"/>
  <c r="Q1607"/>
  <c r="Q1608"/>
  <c r="Q1609"/>
  <c r="Q1610"/>
  <c r="Q1611"/>
  <c r="Q1612"/>
  <c r="Q1613"/>
  <c r="Q1603"/>
  <c r="Q1604"/>
  <c r="Q1605"/>
  <c r="Q1616"/>
  <c r="Q1727"/>
  <c r="Q1743"/>
  <c r="R1743"/>
  <c r="W1743"/>
  <c r="U1743"/>
  <c r="N1727"/>
  <c r="N1743"/>
  <c r="J1727"/>
  <c r="J1743"/>
  <c r="K1727"/>
  <c r="K1743"/>
  <c r="L1727"/>
  <c r="L1743"/>
  <c r="M1743"/>
  <c r="I1727"/>
  <c r="I1743"/>
  <c r="H1727"/>
  <c r="H1743"/>
  <c r="G1727"/>
  <c r="G1743"/>
  <c r="D1727"/>
  <c r="D1743"/>
  <c r="E1727"/>
  <c r="E1743"/>
  <c r="F1743"/>
  <c r="C1615"/>
  <c r="C111"/>
  <c r="C112"/>
  <c r="C113"/>
  <c r="C114"/>
  <c r="E115"/>
  <c r="E646"/>
  <c r="G115"/>
  <c r="G646"/>
  <c r="H115"/>
  <c r="H646"/>
  <c r="I115"/>
  <c r="I646"/>
  <c r="J115"/>
  <c r="J646"/>
  <c r="K115"/>
  <c r="K646"/>
  <c r="L115"/>
  <c r="L646"/>
  <c r="M646"/>
  <c r="N115"/>
  <c r="N646"/>
  <c r="P115"/>
  <c r="P646"/>
  <c r="Q115"/>
  <c r="Q646"/>
  <c r="R646"/>
  <c r="D646"/>
  <c r="D1624"/>
  <c r="M111"/>
  <c r="R111"/>
  <c r="D111"/>
  <c r="M112"/>
  <c r="R112"/>
  <c r="D112"/>
  <c r="M113"/>
  <c r="R113"/>
  <c r="D113"/>
  <c r="M114"/>
  <c r="R114"/>
  <c r="D114"/>
  <c r="D115"/>
  <c r="D1625"/>
  <c r="D1626"/>
  <c r="E1624"/>
  <c r="E1625"/>
  <c r="E1626"/>
  <c r="F1626"/>
  <c r="G1624"/>
  <c r="G1625"/>
  <c r="G1626"/>
  <c r="H1624"/>
  <c r="H1625"/>
  <c r="H1626"/>
  <c r="I1624"/>
  <c r="I1625"/>
  <c r="I1626"/>
  <c r="J1624"/>
  <c r="J1625"/>
  <c r="J1626"/>
  <c r="K1624"/>
  <c r="K1625"/>
  <c r="K1626"/>
  <c r="L1624"/>
  <c r="L1625"/>
  <c r="L1626"/>
  <c r="M1626"/>
  <c r="N1624"/>
  <c r="N1625"/>
  <c r="N1626"/>
  <c r="O1626"/>
  <c r="M645"/>
  <c r="R645"/>
  <c r="D645"/>
  <c r="F645"/>
  <c r="O645"/>
  <c r="O1628"/>
  <c r="O1674"/>
  <c r="P1628"/>
  <c r="P1674"/>
  <c r="Q1628"/>
  <c r="Q1674"/>
  <c r="R1674"/>
  <c r="S1628"/>
  <c r="S1674"/>
  <c r="C1674"/>
  <c r="C1726"/>
  <c r="C1742"/>
  <c r="S1615"/>
  <c r="S1726"/>
  <c r="S1742"/>
  <c r="Y1742"/>
  <c r="D1615"/>
  <c r="E1615"/>
  <c r="F1615"/>
  <c r="G1615"/>
  <c r="H1615"/>
  <c r="I1615"/>
  <c r="J1615"/>
  <c r="K1615"/>
  <c r="L1615"/>
  <c r="M1615"/>
  <c r="N1615"/>
  <c r="O1615"/>
  <c r="F1686"/>
  <c r="M1686"/>
  <c r="O1686"/>
  <c r="O1726"/>
  <c r="O1742"/>
  <c r="X1742"/>
  <c r="P1615"/>
  <c r="P1726"/>
  <c r="P1742"/>
  <c r="Q1615"/>
  <c r="Q1726"/>
  <c r="Q1742"/>
  <c r="R1742"/>
  <c r="W1742"/>
  <c r="U1742"/>
  <c r="N1628"/>
  <c r="N1674"/>
  <c r="N1726"/>
  <c r="N1742"/>
  <c r="J1628"/>
  <c r="J1674"/>
  <c r="J1726"/>
  <c r="J1742"/>
  <c r="K1628"/>
  <c r="K1674"/>
  <c r="K1726"/>
  <c r="K1742"/>
  <c r="L1628"/>
  <c r="L1674"/>
  <c r="L1726"/>
  <c r="L1742"/>
  <c r="M1742"/>
  <c r="I1628"/>
  <c r="I1674"/>
  <c r="I1726"/>
  <c r="I1742"/>
  <c r="H1628"/>
  <c r="H1674"/>
  <c r="H1726"/>
  <c r="H1742"/>
  <c r="G1628"/>
  <c r="G1674"/>
  <c r="G1726"/>
  <c r="G1742"/>
  <c r="D1628"/>
  <c r="D1674"/>
  <c r="D1726"/>
  <c r="D1742"/>
  <c r="E1628"/>
  <c r="E1674"/>
  <c r="E1726"/>
  <c r="E1742"/>
  <c r="F1742"/>
  <c r="R1673"/>
  <c r="C1673"/>
  <c r="C1725"/>
  <c r="C1741"/>
  <c r="Y1741"/>
  <c r="X1741"/>
  <c r="F1685"/>
  <c r="M1685"/>
  <c r="O1685"/>
  <c r="O1725"/>
  <c r="O1741"/>
  <c r="P1725"/>
  <c r="P1741"/>
  <c r="Q1725"/>
  <c r="Q1741"/>
  <c r="R1741"/>
  <c r="W1741"/>
  <c r="S1725"/>
  <c r="S1741"/>
  <c r="U1741"/>
  <c r="N1725"/>
  <c r="N1741"/>
  <c r="J1725"/>
  <c r="J1741"/>
  <c r="K1725"/>
  <c r="K1741"/>
  <c r="L1725"/>
  <c r="L1741"/>
  <c r="M1741"/>
  <c r="I1725"/>
  <c r="I1741"/>
  <c r="H1725"/>
  <c r="H1741"/>
  <c r="G1725"/>
  <c r="G1741"/>
  <c r="D1725"/>
  <c r="D1741"/>
  <c r="E1725"/>
  <c r="E1741"/>
  <c r="F1741"/>
  <c r="F1625"/>
  <c r="M1625"/>
  <c r="O1625"/>
  <c r="O1672"/>
  <c r="P1672"/>
  <c r="Q1672"/>
  <c r="R1672"/>
  <c r="S1672"/>
  <c r="C1672"/>
  <c r="C1724"/>
  <c r="C1740"/>
  <c r="S1724"/>
  <c r="S1740"/>
  <c r="Y1740"/>
  <c r="F1684"/>
  <c r="M1684"/>
  <c r="O1684"/>
  <c r="O1724"/>
  <c r="O1740"/>
  <c r="X1740"/>
  <c r="P1724"/>
  <c r="P1740"/>
  <c r="Q1724"/>
  <c r="Q1740"/>
  <c r="R1740"/>
  <c r="W1740"/>
  <c r="U1740"/>
  <c r="N1672"/>
  <c r="N1724"/>
  <c r="N1740"/>
  <c r="J1672"/>
  <c r="J1724"/>
  <c r="J1740"/>
  <c r="K1672"/>
  <c r="K1724"/>
  <c r="K1740"/>
  <c r="L1672"/>
  <c r="L1724"/>
  <c r="L1740"/>
  <c r="M1740"/>
  <c r="I1672"/>
  <c r="I1724"/>
  <c r="I1740"/>
  <c r="H1672"/>
  <c r="H1724"/>
  <c r="H1740"/>
  <c r="G1672"/>
  <c r="G1724"/>
  <c r="G1740"/>
  <c r="D1672"/>
  <c r="D1724"/>
  <c r="D1740"/>
  <c r="E1672"/>
  <c r="E1724"/>
  <c r="E1740"/>
  <c r="F1740"/>
  <c r="M644"/>
  <c r="R644"/>
  <c r="D644"/>
  <c r="D1622"/>
  <c r="E1622"/>
  <c r="F1622"/>
  <c r="G1622"/>
  <c r="H1622"/>
  <c r="I1622"/>
  <c r="J1622"/>
  <c r="K1622"/>
  <c r="L1622"/>
  <c r="M1622"/>
  <c r="N1622"/>
  <c r="O1622"/>
  <c r="O1671"/>
  <c r="P1622"/>
  <c r="P1671"/>
  <c r="Q1622"/>
  <c r="Q1671"/>
  <c r="R1671"/>
  <c r="S1622"/>
  <c r="S1671"/>
  <c r="C1671"/>
  <c r="C1723"/>
  <c r="C1739"/>
  <c r="S1723"/>
  <c r="S1739"/>
  <c r="Y1739"/>
  <c r="F1683"/>
  <c r="M1683"/>
  <c r="O1683"/>
  <c r="O1723"/>
  <c r="O1739"/>
  <c r="X1739"/>
  <c r="P1723"/>
  <c r="P1739"/>
  <c r="Q1723"/>
  <c r="Q1739"/>
  <c r="R1739"/>
  <c r="W1739"/>
  <c r="U1739"/>
  <c r="N1671"/>
  <c r="N1723"/>
  <c r="N1739"/>
  <c r="J1671"/>
  <c r="J1723"/>
  <c r="J1739"/>
  <c r="K1671"/>
  <c r="K1723"/>
  <c r="K1739"/>
  <c r="L1671"/>
  <c r="L1723"/>
  <c r="L1739"/>
  <c r="M1739"/>
  <c r="I1671"/>
  <c r="I1723"/>
  <c r="I1739"/>
  <c r="H1671"/>
  <c r="H1723"/>
  <c r="H1739"/>
  <c r="G1671"/>
  <c r="G1723"/>
  <c r="G1739"/>
  <c r="D1671"/>
  <c r="D1723"/>
  <c r="D1739"/>
  <c r="E1671"/>
  <c r="E1723"/>
  <c r="E1739"/>
  <c r="F1739"/>
  <c r="R1669"/>
  <c r="C1669"/>
  <c r="C1722"/>
  <c r="C1738"/>
  <c r="Y1738"/>
  <c r="X1738"/>
  <c r="F1682"/>
  <c r="M1682"/>
  <c r="O1682"/>
  <c r="O1722"/>
  <c r="O1738"/>
  <c r="P1722"/>
  <c r="P1738"/>
  <c r="Q1722"/>
  <c r="Q1738"/>
  <c r="R1738"/>
  <c r="W1738"/>
  <c r="S1722"/>
  <c r="S1738"/>
  <c r="U1738"/>
  <c r="N1722"/>
  <c r="N1738"/>
  <c r="J1722"/>
  <c r="J1738"/>
  <c r="K1722"/>
  <c r="K1738"/>
  <c r="L1722"/>
  <c r="L1738"/>
  <c r="M1738"/>
  <c r="I1722"/>
  <c r="I1738"/>
  <c r="H1722"/>
  <c r="H1738"/>
  <c r="G1722"/>
  <c r="G1738"/>
  <c r="D1722"/>
  <c r="D1738"/>
  <c r="E1722"/>
  <c r="E1738"/>
  <c r="F1738"/>
  <c r="R1668"/>
  <c r="C1668"/>
  <c r="C654"/>
  <c r="C1692"/>
  <c r="C656"/>
  <c r="C1695"/>
  <c r="C1721"/>
  <c r="C1737"/>
  <c r="S1692"/>
  <c r="S1695"/>
  <c r="S1721"/>
  <c r="S1737"/>
  <c r="Y1737"/>
  <c r="F1681"/>
  <c r="M1681"/>
  <c r="O1681"/>
  <c r="M654"/>
  <c r="R654"/>
  <c r="D654"/>
  <c r="F654"/>
  <c r="O654"/>
  <c r="O1692"/>
  <c r="M656"/>
  <c r="P656"/>
  <c r="R656"/>
  <c r="D656"/>
  <c r="F656"/>
  <c r="O656"/>
  <c r="O1695"/>
  <c r="O1721"/>
  <c r="O1737"/>
  <c r="X1737"/>
  <c r="P1692"/>
  <c r="P1695"/>
  <c r="P1721"/>
  <c r="P1737"/>
  <c r="Q1692"/>
  <c r="Q1695"/>
  <c r="Q1721"/>
  <c r="Q1737"/>
  <c r="R1737"/>
  <c r="W1737"/>
  <c r="U1737"/>
  <c r="N1692"/>
  <c r="N1695"/>
  <c r="N1721"/>
  <c r="N1737"/>
  <c r="J1692"/>
  <c r="J1695"/>
  <c r="J1721"/>
  <c r="J1737"/>
  <c r="K1692"/>
  <c r="K1695"/>
  <c r="K1721"/>
  <c r="K1737"/>
  <c r="L1692"/>
  <c r="L1695"/>
  <c r="L1721"/>
  <c r="L1737"/>
  <c r="M1737"/>
  <c r="I1692"/>
  <c r="I1695"/>
  <c r="I1721"/>
  <c r="I1737"/>
  <c r="H1692"/>
  <c r="H1695"/>
  <c r="H1721"/>
  <c r="H1737"/>
  <c r="G1692"/>
  <c r="G1695"/>
  <c r="G1721"/>
  <c r="G1737"/>
  <c r="D1692"/>
  <c r="D1695"/>
  <c r="D1721"/>
  <c r="D1737"/>
  <c r="E1692"/>
  <c r="E1695"/>
  <c r="E1721"/>
  <c r="E1737"/>
  <c r="F1737"/>
  <c r="D1663"/>
  <c r="E1663"/>
  <c r="F1663"/>
  <c r="G1663"/>
  <c r="H1663"/>
  <c r="I1663"/>
  <c r="J1663"/>
  <c r="K1663"/>
  <c r="L1663"/>
  <c r="N1663"/>
  <c r="O1663"/>
  <c r="D1657"/>
  <c r="E1657"/>
  <c r="F1657"/>
  <c r="G1657"/>
  <c r="H1657"/>
  <c r="I1657"/>
  <c r="J1657"/>
  <c r="K1657"/>
  <c r="L1657"/>
  <c r="N1657"/>
  <c r="O1657"/>
  <c r="D1632"/>
  <c r="E1632"/>
  <c r="F1632"/>
  <c r="G1632"/>
  <c r="H1632"/>
  <c r="I1632"/>
  <c r="J1632"/>
  <c r="K1632"/>
  <c r="L1632"/>
  <c r="N1632"/>
  <c r="O1632"/>
  <c r="O1667"/>
  <c r="P1660"/>
  <c r="P1661"/>
  <c r="P1654"/>
  <c r="P1655"/>
  <c r="P1630"/>
  <c r="P1667"/>
  <c r="Q1660"/>
  <c r="Q1661"/>
  <c r="Q1654"/>
  <c r="Q1655"/>
  <c r="Q1630"/>
  <c r="Q1667"/>
  <c r="R1667"/>
  <c r="S1660"/>
  <c r="S1661"/>
  <c r="S1654"/>
  <c r="S1655"/>
  <c r="S1630"/>
  <c r="S1667"/>
  <c r="C1667"/>
  <c r="C660"/>
  <c r="C1701"/>
  <c r="C1720"/>
  <c r="C1736"/>
  <c r="S1701"/>
  <c r="S1720"/>
  <c r="S1736"/>
  <c r="Y1736"/>
  <c r="D1680"/>
  <c r="F1680"/>
  <c r="M1680"/>
  <c r="O1680"/>
  <c r="M660"/>
  <c r="R660"/>
  <c r="D660"/>
  <c r="F660"/>
  <c r="O660"/>
  <c r="O1701"/>
  <c r="O1720"/>
  <c r="O1736"/>
  <c r="X1736"/>
  <c r="P1701"/>
  <c r="P1720"/>
  <c r="P1736"/>
  <c r="Q1701"/>
  <c r="Q1720"/>
  <c r="Q1736"/>
  <c r="R1736"/>
  <c r="W1736"/>
  <c r="U1736"/>
  <c r="N1667"/>
  <c r="N1701"/>
  <c r="N1720"/>
  <c r="N1736"/>
  <c r="J1667"/>
  <c r="J1701"/>
  <c r="J1720"/>
  <c r="J1736"/>
  <c r="K1667"/>
  <c r="K1701"/>
  <c r="K1720"/>
  <c r="K1736"/>
  <c r="L1667"/>
  <c r="L1701"/>
  <c r="L1720"/>
  <c r="L1736"/>
  <c r="M1736"/>
  <c r="I1667"/>
  <c r="I1701"/>
  <c r="I1720"/>
  <c r="I1736"/>
  <c r="H1667"/>
  <c r="H1701"/>
  <c r="H1720"/>
  <c r="H1736"/>
  <c r="G1667"/>
  <c r="G1701"/>
  <c r="G1720"/>
  <c r="G1736"/>
  <c r="D1667"/>
  <c r="D1701"/>
  <c r="D1720"/>
  <c r="D1736"/>
  <c r="E1667"/>
  <c r="E1701"/>
  <c r="E1720"/>
  <c r="E1736"/>
  <c r="F1736"/>
  <c r="C1602"/>
  <c r="C1614"/>
  <c r="F646"/>
  <c r="O646"/>
  <c r="O1624"/>
  <c r="F649"/>
  <c r="O649"/>
  <c r="O1660"/>
  <c r="F647"/>
  <c r="O647"/>
  <c r="O1654"/>
  <c r="F648"/>
  <c r="O648"/>
  <c r="O1630"/>
  <c r="O1666"/>
  <c r="P1624"/>
  <c r="P1666"/>
  <c r="Q1624"/>
  <c r="Q1666"/>
  <c r="R1666"/>
  <c r="S1624"/>
  <c r="S1666"/>
  <c r="C1666"/>
  <c r="C1719"/>
  <c r="C1733"/>
  <c r="C1735"/>
  <c r="S1602"/>
  <c r="S1614"/>
  <c r="S1679"/>
  <c r="S1719"/>
  <c r="S1733"/>
  <c r="S1735"/>
  <c r="Y1735"/>
  <c r="D1602"/>
  <c r="D1614"/>
  <c r="E1602"/>
  <c r="E1614"/>
  <c r="F1614"/>
  <c r="G1602"/>
  <c r="G1614"/>
  <c r="H1602"/>
  <c r="H1614"/>
  <c r="I1602"/>
  <c r="I1614"/>
  <c r="J1602"/>
  <c r="J1614"/>
  <c r="K1602"/>
  <c r="K1614"/>
  <c r="L1602"/>
  <c r="L1614"/>
  <c r="M1614"/>
  <c r="N1602"/>
  <c r="N1614"/>
  <c r="O1614"/>
  <c r="F652"/>
  <c r="O652"/>
  <c r="O1679"/>
  <c r="O1719"/>
  <c r="F1602"/>
  <c r="M1602"/>
  <c r="O1602"/>
  <c r="O1733"/>
  <c r="O1735"/>
  <c r="X1735"/>
  <c r="P1602"/>
  <c r="P1614"/>
  <c r="P1679"/>
  <c r="P1719"/>
  <c r="P1733"/>
  <c r="P1735"/>
  <c r="Q1602"/>
  <c r="Q1614"/>
  <c r="Q1679"/>
  <c r="Q1719"/>
  <c r="Q1733"/>
  <c r="Q1735"/>
  <c r="R1735"/>
  <c r="W1735"/>
  <c r="U1735"/>
  <c r="N1666"/>
  <c r="N1719"/>
  <c r="N1733"/>
  <c r="N1735"/>
  <c r="J1666"/>
  <c r="J1719"/>
  <c r="J1733"/>
  <c r="J1735"/>
  <c r="K1666"/>
  <c r="K1719"/>
  <c r="K1733"/>
  <c r="K1735"/>
  <c r="L1666"/>
  <c r="L1719"/>
  <c r="L1733"/>
  <c r="L1735"/>
  <c r="M1735"/>
  <c r="I1666"/>
  <c r="I1719"/>
  <c r="I1733"/>
  <c r="I1735"/>
  <c r="H1666"/>
  <c r="H1719"/>
  <c r="H1733"/>
  <c r="H1735"/>
  <c r="G1666"/>
  <c r="G1719"/>
  <c r="G1733"/>
  <c r="G1735"/>
  <c r="D1666"/>
  <c r="D1719"/>
  <c r="D1733"/>
  <c r="D1735"/>
  <c r="E1666"/>
  <c r="E1719"/>
  <c r="E1733"/>
  <c r="E1735"/>
  <c r="F1735"/>
  <c r="Y1734"/>
  <c r="X1734"/>
  <c r="W1734"/>
  <c r="Y1733"/>
  <c r="X1733"/>
  <c r="R1733"/>
  <c r="W1733"/>
  <c r="U1733"/>
  <c r="M1733"/>
  <c r="F1733"/>
  <c r="Y1732"/>
  <c r="X1732"/>
  <c r="W1732"/>
  <c r="Y1731"/>
  <c r="X1731"/>
  <c r="W1731"/>
  <c r="C1617"/>
  <c r="C1730"/>
  <c r="S1617"/>
  <c r="S1730"/>
  <c r="Y1730"/>
  <c r="D1617"/>
  <c r="E1617"/>
  <c r="F1617"/>
  <c r="G1617"/>
  <c r="H1617"/>
  <c r="I1617"/>
  <c r="J1617"/>
  <c r="K1617"/>
  <c r="L1617"/>
  <c r="M1617"/>
  <c r="N1617"/>
  <c r="O1617"/>
  <c r="O1730"/>
  <c r="X1730"/>
  <c r="P1617"/>
  <c r="P1730"/>
  <c r="Q1617"/>
  <c r="Q1730"/>
  <c r="R1730"/>
  <c r="W1730"/>
  <c r="U1730"/>
  <c r="N1730"/>
  <c r="J1730"/>
  <c r="K1730"/>
  <c r="L1730"/>
  <c r="M1730"/>
  <c r="I1730"/>
  <c r="H1730"/>
  <c r="G1730"/>
  <c r="D1730"/>
  <c r="E1730"/>
  <c r="F1730"/>
  <c r="Y1729"/>
  <c r="X1729"/>
  <c r="R1729"/>
  <c r="W1729"/>
  <c r="U1729"/>
  <c r="M1729"/>
  <c r="F1729"/>
  <c r="Y1728"/>
  <c r="X1728"/>
  <c r="R1728"/>
  <c r="W1728"/>
  <c r="U1728"/>
  <c r="M1728"/>
  <c r="F1728"/>
  <c r="Y1727"/>
  <c r="X1727"/>
  <c r="R1727"/>
  <c r="W1727"/>
  <c r="U1727"/>
  <c r="M1727"/>
  <c r="F1727"/>
  <c r="Y1726"/>
  <c r="X1726"/>
  <c r="R1726"/>
  <c r="W1726"/>
  <c r="U1726"/>
  <c r="M1726"/>
  <c r="F1726"/>
  <c r="Y1725"/>
  <c r="X1725"/>
  <c r="R1725"/>
  <c r="W1725"/>
  <c r="U1725"/>
  <c r="M1725"/>
  <c r="F1725"/>
  <c r="Y1724"/>
  <c r="X1724"/>
  <c r="R1724"/>
  <c r="W1724"/>
  <c r="U1724"/>
  <c r="M1724"/>
  <c r="F1724"/>
  <c r="Y1723"/>
  <c r="X1723"/>
  <c r="R1723"/>
  <c r="W1723"/>
  <c r="U1723"/>
  <c r="M1723"/>
  <c r="F1723"/>
  <c r="Y1722"/>
  <c r="X1722"/>
  <c r="R1722"/>
  <c r="W1722"/>
  <c r="U1722"/>
  <c r="M1722"/>
  <c r="F1722"/>
  <c r="Y1721"/>
  <c r="X1721"/>
  <c r="R1721"/>
  <c r="W1721"/>
  <c r="U1721"/>
  <c r="M1721"/>
  <c r="F1721"/>
  <c r="Y1720"/>
  <c r="X1720"/>
  <c r="R1720"/>
  <c r="W1720"/>
  <c r="U1720"/>
  <c r="M1720"/>
  <c r="F1720"/>
  <c r="Y1719"/>
  <c r="X1719"/>
  <c r="R1719"/>
  <c r="W1719"/>
  <c r="U1719"/>
  <c r="M1719"/>
  <c r="F1719"/>
  <c r="Q1709"/>
  <c r="H1709"/>
  <c r="Q1708"/>
  <c r="H1708"/>
  <c r="Y1705"/>
  <c r="X1705"/>
  <c r="Y1702"/>
  <c r="X1702"/>
  <c r="R1702"/>
  <c r="W1702"/>
  <c r="U1702"/>
  <c r="M1702"/>
  <c r="F1702"/>
  <c r="Y1701"/>
  <c r="X1701"/>
  <c r="R1701"/>
  <c r="W1701"/>
  <c r="U1701"/>
  <c r="M1701"/>
  <c r="F1701"/>
  <c r="Y1700"/>
  <c r="X1700"/>
  <c r="W1700"/>
  <c r="Y1699"/>
  <c r="X1699"/>
  <c r="W1699"/>
  <c r="R655"/>
  <c r="R1698"/>
  <c r="M1698"/>
  <c r="F1698"/>
  <c r="Y1695"/>
  <c r="X1695"/>
  <c r="R1695"/>
  <c r="W1695"/>
  <c r="U1695"/>
  <c r="M1695"/>
  <c r="F1695"/>
  <c r="Y1694"/>
  <c r="X1694"/>
  <c r="W1694"/>
  <c r="Y1693"/>
  <c r="X1693"/>
  <c r="W1693"/>
  <c r="Y1692"/>
  <c r="X1692"/>
  <c r="R1692"/>
  <c r="W1692"/>
  <c r="U1692"/>
  <c r="M1692"/>
  <c r="F1692"/>
  <c r="Y1691"/>
  <c r="X1691"/>
  <c r="W1691"/>
  <c r="Y1690"/>
  <c r="X1690"/>
  <c r="W1690"/>
  <c r="Y1689"/>
  <c r="X1689"/>
  <c r="R1689"/>
  <c r="W1689"/>
  <c r="U1689"/>
  <c r="Y1688"/>
  <c r="X1688"/>
  <c r="R1688"/>
  <c r="W1688"/>
  <c r="U1688"/>
  <c r="Y1687"/>
  <c r="X1687"/>
  <c r="R1687"/>
  <c r="W1687"/>
  <c r="U1687"/>
  <c r="Y1686"/>
  <c r="X1686"/>
  <c r="R1686"/>
  <c r="W1686"/>
  <c r="U1686"/>
  <c r="Y1685"/>
  <c r="X1685"/>
  <c r="R1685"/>
  <c r="W1685"/>
  <c r="U1685"/>
  <c r="Y1684"/>
  <c r="X1684"/>
  <c r="R1684"/>
  <c r="W1684"/>
  <c r="U1684"/>
  <c r="Y1683"/>
  <c r="X1683"/>
  <c r="R1683"/>
  <c r="W1683"/>
  <c r="U1683"/>
  <c r="Y1682"/>
  <c r="X1682"/>
  <c r="R1682"/>
  <c r="W1682"/>
  <c r="U1682"/>
  <c r="Y1681"/>
  <c r="X1681"/>
  <c r="R1681"/>
  <c r="W1681"/>
  <c r="U1681"/>
  <c r="Y1680"/>
  <c r="X1680"/>
  <c r="R1680"/>
  <c r="W1680"/>
  <c r="U1680"/>
  <c r="Y1679"/>
  <c r="X1679"/>
  <c r="R1679"/>
  <c r="W1679"/>
  <c r="U1679"/>
  <c r="M1679"/>
  <c r="F1679"/>
  <c r="Y1678"/>
  <c r="X1678"/>
  <c r="W1678"/>
  <c r="Y1677"/>
  <c r="X1677"/>
  <c r="W1677"/>
  <c r="U1677"/>
  <c r="M1677"/>
  <c r="F1677"/>
  <c r="Y1676"/>
  <c r="X1676"/>
  <c r="W1676"/>
  <c r="U1676"/>
  <c r="M1676"/>
  <c r="F1676"/>
  <c r="Y1675"/>
  <c r="X1675"/>
  <c r="W1675"/>
  <c r="U1675"/>
  <c r="M1675"/>
  <c r="F1675"/>
  <c r="Y1674"/>
  <c r="X1674"/>
  <c r="W1674"/>
  <c r="U1674"/>
  <c r="M1674"/>
  <c r="F1674"/>
  <c r="Y1673"/>
  <c r="X1673"/>
  <c r="W1673"/>
  <c r="U1673"/>
  <c r="M1673"/>
  <c r="F1673"/>
  <c r="Y1672"/>
  <c r="X1672"/>
  <c r="W1672"/>
  <c r="U1672"/>
  <c r="M1672"/>
  <c r="F1672"/>
  <c r="Y1671"/>
  <c r="X1671"/>
  <c r="W1671"/>
  <c r="U1671"/>
  <c r="M1671"/>
  <c r="F1671"/>
  <c r="R1670"/>
  <c r="C1670"/>
  <c r="Y1670"/>
  <c r="X1670"/>
  <c r="W1670"/>
  <c r="U1670"/>
  <c r="M1670"/>
  <c r="F1670"/>
  <c r="Y1669"/>
  <c r="X1669"/>
  <c r="W1669"/>
  <c r="U1669"/>
  <c r="M1669"/>
  <c r="F1669"/>
  <c r="Y1668"/>
  <c r="X1668"/>
  <c r="W1668"/>
  <c r="U1668"/>
  <c r="M1668"/>
  <c r="F1668"/>
  <c r="Y1667"/>
  <c r="X1667"/>
  <c r="W1667"/>
  <c r="U1667"/>
  <c r="M1667"/>
  <c r="F1667"/>
  <c r="Y1666"/>
  <c r="X1666"/>
  <c r="W1666"/>
  <c r="U1666"/>
  <c r="M1666"/>
  <c r="F1666"/>
  <c r="Y1665"/>
  <c r="X1665"/>
  <c r="W1665"/>
  <c r="Y1664"/>
  <c r="X1664"/>
  <c r="W1664"/>
  <c r="M1664"/>
  <c r="Y1663"/>
  <c r="X1663"/>
  <c r="W1663"/>
  <c r="M1663"/>
  <c r="Y1662"/>
  <c r="X1662"/>
  <c r="W1662"/>
  <c r="C1660"/>
  <c r="C1661"/>
  <c r="Y1661"/>
  <c r="O1661"/>
  <c r="X1661"/>
  <c r="R1661"/>
  <c r="W1661"/>
  <c r="U1661"/>
  <c r="M1661"/>
  <c r="F1661"/>
  <c r="Y1660"/>
  <c r="X1660"/>
  <c r="R1660"/>
  <c r="W1660"/>
  <c r="U1660"/>
  <c r="M1660"/>
  <c r="F1660"/>
  <c r="Y1659"/>
  <c r="X1659"/>
  <c r="W1659"/>
  <c r="Y1658"/>
  <c r="X1658"/>
  <c r="W1658"/>
  <c r="M1658"/>
  <c r="Y1657"/>
  <c r="X1657"/>
  <c r="W1657"/>
  <c r="M1657"/>
  <c r="Y1656"/>
  <c r="X1656"/>
  <c r="W1656"/>
  <c r="C1654"/>
  <c r="C1655"/>
  <c r="Y1655"/>
  <c r="O1655"/>
  <c r="X1655"/>
  <c r="R1655"/>
  <c r="W1655"/>
  <c r="U1655"/>
  <c r="M1655"/>
  <c r="F1655"/>
  <c r="Y1654"/>
  <c r="X1654"/>
  <c r="R1654"/>
  <c r="W1654"/>
  <c r="U1654"/>
  <c r="M1654"/>
  <c r="F1654"/>
  <c r="Y1653"/>
  <c r="X1653"/>
  <c r="W1653"/>
  <c r="Q1644"/>
  <c r="H1644"/>
  <c r="Q1643"/>
  <c r="H1643"/>
  <c r="C1639"/>
  <c r="C1638"/>
  <c r="C1345"/>
  <c r="D641"/>
  <c r="D650"/>
  <c r="D658"/>
  <c r="D662"/>
  <c r="D664"/>
  <c r="E641"/>
  <c r="E650"/>
  <c r="E658"/>
  <c r="E662"/>
  <c r="E664"/>
  <c r="F664"/>
  <c r="G641"/>
  <c r="G650"/>
  <c r="G658"/>
  <c r="G662"/>
  <c r="G664"/>
  <c r="H641"/>
  <c r="H650"/>
  <c r="H658"/>
  <c r="H662"/>
  <c r="H664"/>
  <c r="I641"/>
  <c r="I650"/>
  <c r="I658"/>
  <c r="I662"/>
  <c r="I664"/>
  <c r="J641"/>
  <c r="J650"/>
  <c r="J658"/>
  <c r="J662"/>
  <c r="J664"/>
  <c r="K641"/>
  <c r="K650"/>
  <c r="K658"/>
  <c r="K662"/>
  <c r="K664"/>
  <c r="L641"/>
  <c r="L650"/>
  <c r="L658"/>
  <c r="L662"/>
  <c r="L664"/>
  <c r="M664"/>
  <c r="N641"/>
  <c r="N650"/>
  <c r="N658"/>
  <c r="N662"/>
  <c r="N664"/>
  <c r="O664"/>
  <c r="P641"/>
  <c r="P650"/>
  <c r="P658"/>
  <c r="P662"/>
  <c r="P664"/>
  <c r="Q641"/>
  <c r="Q650"/>
  <c r="C657"/>
  <c r="Q657"/>
  <c r="Q658"/>
  <c r="Q662"/>
  <c r="Q664"/>
  <c r="R664"/>
  <c r="S641"/>
  <c r="S650"/>
  <c r="S658"/>
  <c r="S662"/>
  <c r="S664"/>
  <c r="C664"/>
  <c r="F662"/>
  <c r="M662"/>
  <c r="O662"/>
  <c r="R662"/>
  <c r="C662"/>
  <c r="C1346"/>
  <c r="C1347"/>
  <c r="D680"/>
  <c r="D681"/>
  <c r="D683"/>
  <c r="E680"/>
  <c r="E683"/>
  <c r="F683"/>
  <c r="G680"/>
  <c r="G683"/>
  <c r="H680"/>
  <c r="H683"/>
  <c r="I680"/>
  <c r="I683"/>
  <c r="J680"/>
  <c r="J683"/>
  <c r="K680"/>
  <c r="K683"/>
  <c r="L680"/>
  <c r="L683"/>
  <c r="M683"/>
  <c r="N680"/>
  <c r="N683"/>
  <c r="O683"/>
  <c r="P680"/>
  <c r="P683"/>
  <c r="Q680"/>
  <c r="Q683"/>
  <c r="R683"/>
  <c r="S683"/>
  <c r="C683"/>
  <c r="C1348"/>
  <c r="C1349"/>
  <c r="C709"/>
  <c r="C719"/>
  <c r="C732"/>
  <c r="C735"/>
  <c r="C740"/>
  <c r="C755"/>
  <c r="C782"/>
  <c r="C812"/>
  <c r="C822"/>
  <c r="C829"/>
  <c r="S822"/>
  <c r="C836"/>
  <c r="C843"/>
  <c r="C841"/>
  <c r="C846"/>
  <c r="C850"/>
  <c r="E822"/>
  <c r="E836"/>
  <c r="E846"/>
  <c r="E850"/>
  <c r="G822"/>
  <c r="G836"/>
  <c r="G846"/>
  <c r="G850"/>
  <c r="H822"/>
  <c r="H836"/>
  <c r="H846"/>
  <c r="H850"/>
  <c r="I822"/>
  <c r="I836"/>
  <c r="I846"/>
  <c r="I850"/>
  <c r="J822"/>
  <c r="J836"/>
  <c r="J846"/>
  <c r="J850"/>
  <c r="K822"/>
  <c r="K836"/>
  <c r="K846"/>
  <c r="K850"/>
  <c r="L822"/>
  <c r="L836"/>
  <c r="L846"/>
  <c r="L850"/>
  <c r="M850"/>
  <c r="N822"/>
  <c r="N836"/>
  <c r="N846"/>
  <c r="N850"/>
  <c r="P822"/>
  <c r="P836"/>
  <c r="P846"/>
  <c r="P850"/>
  <c r="Q822"/>
  <c r="Q836"/>
  <c r="Q846"/>
  <c r="Q850"/>
  <c r="R850"/>
  <c r="S846"/>
  <c r="S850"/>
  <c r="D850"/>
  <c r="C866"/>
  <c r="S866"/>
  <c r="M866"/>
  <c r="R866"/>
  <c r="D866"/>
  <c r="C868"/>
  <c r="C50"/>
  <c r="E47"/>
  <c r="C56"/>
  <c r="F53"/>
  <c r="M53"/>
  <c r="O53"/>
  <c r="R53"/>
  <c r="C53"/>
  <c r="E56"/>
  <c r="C62"/>
  <c r="F59"/>
  <c r="M59"/>
  <c r="O59"/>
  <c r="R59"/>
  <c r="C59"/>
  <c r="E62"/>
  <c r="M45"/>
  <c r="R45"/>
  <c r="D45"/>
  <c r="F45"/>
  <c r="O45"/>
  <c r="M46"/>
  <c r="R46"/>
  <c r="D46"/>
  <c r="F46"/>
  <c r="O46"/>
  <c r="O47"/>
  <c r="R47"/>
  <c r="S47"/>
  <c r="C47"/>
  <c r="S56"/>
  <c r="S62"/>
  <c r="S868"/>
  <c r="E868"/>
  <c r="G47"/>
  <c r="G56"/>
  <c r="G62"/>
  <c r="G868"/>
  <c r="H47"/>
  <c r="H56"/>
  <c r="H62"/>
  <c r="H868"/>
  <c r="I47"/>
  <c r="I56"/>
  <c r="I62"/>
  <c r="I868"/>
  <c r="J47"/>
  <c r="J56"/>
  <c r="J62"/>
  <c r="J868"/>
  <c r="K47"/>
  <c r="K56"/>
  <c r="K62"/>
  <c r="K868"/>
  <c r="L47"/>
  <c r="L56"/>
  <c r="L62"/>
  <c r="L868"/>
  <c r="M868"/>
  <c r="N47"/>
  <c r="N56"/>
  <c r="N62"/>
  <c r="N868"/>
  <c r="P47"/>
  <c r="P56"/>
  <c r="P62"/>
  <c r="P868"/>
  <c r="Q47"/>
  <c r="Q56"/>
  <c r="Q62"/>
  <c r="Q868"/>
  <c r="R868"/>
  <c r="D868"/>
  <c r="C870"/>
  <c r="C65"/>
  <c r="C68"/>
  <c r="C71"/>
  <c r="C77"/>
  <c r="S870"/>
  <c r="E870"/>
  <c r="G870"/>
  <c r="H870"/>
  <c r="I870"/>
  <c r="J870"/>
  <c r="K870"/>
  <c r="L870"/>
  <c r="M870"/>
  <c r="N870"/>
  <c r="P870"/>
  <c r="Q870"/>
  <c r="R870"/>
  <c r="D870"/>
  <c r="C872"/>
  <c r="S872"/>
  <c r="E872"/>
  <c r="G872"/>
  <c r="H872"/>
  <c r="I872"/>
  <c r="J872"/>
  <c r="K872"/>
  <c r="L872"/>
  <c r="M872"/>
  <c r="N872"/>
  <c r="P872"/>
  <c r="Q872"/>
  <c r="R872"/>
  <c r="D872"/>
  <c r="C874"/>
  <c r="S874"/>
  <c r="M874"/>
  <c r="R874"/>
  <c r="D874"/>
  <c r="D876"/>
  <c r="C878"/>
  <c r="E876"/>
  <c r="F876"/>
  <c r="G876"/>
  <c r="H876"/>
  <c r="I876"/>
  <c r="J876"/>
  <c r="K876"/>
  <c r="L876"/>
  <c r="M876"/>
  <c r="N876"/>
  <c r="O876"/>
  <c r="P876"/>
  <c r="Q876"/>
  <c r="R876"/>
  <c r="S876"/>
  <c r="C876"/>
  <c r="S878"/>
  <c r="E878"/>
  <c r="G878"/>
  <c r="H878"/>
  <c r="I878"/>
  <c r="J878"/>
  <c r="K878"/>
  <c r="L878"/>
  <c r="M878"/>
  <c r="N878"/>
  <c r="P878"/>
  <c r="Q878"/>
  <c r="R878"/>
  <c r="D878"/>
  <c r="C880"/>
  <c r="S880"/>
  <c r="E880"/>
  <c r="G880"/>
  <c r="H880"/>
  <c r="I880"/>
  <c r="J880"/>
  <c r="K880"/>
  <c r="L880"/>
  <c r="M880"/>
  <c r="N880"/>
  <c r="P880"/>
  <c r="Q880"/>
  <c r="R880"/>
  <c r="D880"/>
  <c r="C882"/>
  <c r="S882"/>
  <c r="E882"/>
  <c r="G882"/>
  <c r="H882"/>
  <c r="I882"/>
  <c r="J882"/>
  <c r="K882"/>
  <c r="L882"/>
  <c r="M882"/>
  <c r="N882"/>
  <c r="P882"/>
  <c r="Q882"/>
  <c r="R882"/>
  <c r="D882"/>
  <c r="D884"/>
  <c r="C887"/>
  <c r="S887"/>
  <c r="E887"/>
  <c r="G887"/>
  <c r="H887"/>
  <c r="I887"/>
  <c r="J887"/>
  <c r="K887"/>
  <c r="L887"/>
  <c r="M887"/>
  <c r="N887"/>
  <c r="P887"/>
  <c r="Q887"/>
  <c r="R887"/>
  <c r="D887"/>
  <c r="C889"/>
  <c r="S889"/>
  <c r="E889"/>
  <c r="G889"/>
  <c r="H889"/>
  <c r="I889"/>
  <c r="J889"/>
  <c r="K889"/>
  <c r="L889"/>
  <c r="M889"/>
  <c r="N889"/>
  <c r="P889"/>
  <c r="Q889"/>
  <c r="R889"/>
  <c r="D889"/>
  <c r="C891"/>
  <c r="S891"/>
  <c r="E891"/>
  <c r="G891"/>
  <c r="H891"/>
  <c r="I891"/>
  <c r="J891"/>
  <c r="K891"/>
  <c r="L891"/>
  <c r="M891"/>
  <c r="N891"/>
  <c r="P891"/>
  <c r="Q891"/>
  <c r="R891"/>
  <c r="D891"/>
  <c r="D893"/>
  <c r="C895"/>
  <c r="E893"/>
  <c r="F893"/>
  <c r="G893"/>
  <c r="H893"/>
  <c r="I893"/>
  <c r="J893"/>
  <c r="K893"/>
  <c r="L893"/>
  <c r="M893"/>
  <c r="N893"/>
  <c r="O893"/>
  <c r="P893"/>
  <c r="Q893"/>
  <c r="R893"/>
  <c r="S893"/>
  <c r="C893"/>
  <c r="S895"/>
  <c r="E895"/>
  <c r="G895"/>
  <c r="H895"/>
  <c r="I895"/>
  <c r="J895"/>
  <c r="K895"/>
  <c r="L895"/>
  <c r="M895"/>
  <c r="N895"/>
  <c r="P895"/>
  <c r="Q895"/>
  <c r="R895"/>
  <c r="D895"/>
  <c r="C897"/>
  <c r="S897"/>
  <c r="E897"/>
  <c r="G897"/>
  <c r="H897"/>
  <c r="I897"/>
  <c r="J897"/>
  <c r="K897"/>
  <c r="L897"/>
  <c r="M897"/>
  <c r="N897"/>
  <c r="P897"/>
  <c r="Q897"/>
  <c r="R897"/>
  <c r="D897"/>
  <c r="D899"/>
  <c r="D901"/>
  <c r="M906"/>
  <c r="R906"/>
  <c r="D906"/>
  <c r="C96"/>
  <c r="F93"/>
  <c r="M93"/>
  <c r="O93"/>
  <c r="R93"/>
  <c r="C93"/>
  <c r="E96"/>
  <c r="F99"/>
  <c r="M99"/>
  <c r="O99"/>
  <c r="R99"/>
  <c r="C99"/>
  <c r="E102"/>
  <c r="C108"/>
  <c r="F105"/>
  <c r="M105"/>
  <c r="O105"/>
  <c r="R105"/>
  <c r="C105"/>
  <c r="E108"/>
  <c r="S96"/>
  <c r="S102"/>
  <c r="S108"/>
  <c r="E908"/>
  <c r="G96"/>
  <c r="G102"/>
  <c r="G108"/>
  <c r="G908"/>
  <c r="H96"/>
  <c r="H102"/>
  <c r="H108"/>
  <c r="H908"/>
  <c r="I96"/>
  <c r="I102"/>
  <c r="I108"/>
  <c r="I908"/>
  <c r="J96"/>
  <c r="J102"/>
  <c r="J108"/>
  <c r="J908"/>
  <c r="K96"/>
  <c r="K102"/>
  <c r="K108"/>
  <c r="K908"/>
  <c r="L96"/>
  <c r="L102"/>
  <c r="L108"/>
  <c r="L908"/>
  <c r="M908"/>
  <c r="N96"/>
  <c r="N102"/>
  <c r="N108"/>
  <c r="N908"/>
  <c r="P96"/>
  <c r="P102"/>
  <c r="P108"/>
  <c r="P908"/>
  <c r="Q96"/>
  <c r="Q102"/>
  <c r="Q108"/>
  <c r="Q908"/>
  <c r="R908"/>
  <c r="D908"/>
  <c r="C118"/>
  <c r="C120"/>
  <c r="C153"/>
  <c r="C149"/>
  <c r="C151"/>
  <c r="S122"/>
  <c r="S153"/>
  <c r="C922"/>
  <c r="C920"/>
  <c r="E920"/>
  <c r="G920"/>
  <c r="H920"/>
  <c r="I920"/>
  <c r="J920"/>
  <c r="K920"/>
  <c r="L920"/>
  <c r="M920"/>
  <c r="N920"/>
  <c r="P920"/>
  <c r="Q920"/>
  <c r="R920"/>
  <c r="D920"/>
  <c r="C132"/>
  <c r="C134"/>
  <c r="S136"/>
  <c r="S927"/>
  <c r="C925"/>
  <c r="E925"/>
  <c r="G925"/>
  <c r="H925"/>
  <c r="I925"/>
  <c r="J925"/>
  <c r="K925"/>
  <c r="L925"/>
  <c r="M925"/>
  <c r="N925"/>
  <c r="P925"/>
  <c r="Q925"/>
  <c r="R925"/>
  <c r="D925"/>
  <c r="D942"/>
  <c r="E942"/>
  <c r="F942"/>
  <c r="G942"/>
  <c r="H942"/>
  <c r="I942"/>
  <c r="J942"/>
  <c r="K942"/>
  <c r="L942"/>
  <c r="M942"/>
  <c r="N942"/>
  <c r="O942"/>
  <c r="P942"/>
  <c r="Q942"/>
  <c r="R942"/>
  <c r="S942"/>
  <c r="C942"/>
  <c r="C150"/>
  <c r="C152"/>
  <c r="E153"/>
  <c r="C119"/>
  <c r="C121"/>
  <c r="E122"/>
  <c r="E922"/>
  <c r="G153"/>
  <c r="G122"/>
  <c r="G922"/>
  <c r="H153"/>
  <c r="H122"/>
  <c r="H922"/>
  <c r="I153"/>
  <c r="I122"/>
  <c r="I922"/>
  <c r="J153"/>
  <c r="J122"/>
  <c r="J922"/>
  <c r="K153"/>
  <c r="K122"/>
  <c r="K922"/>
  <c r="L153"/>
  <c r="L122"/>
  <c r="L922"/>
  <c r="M922"/>
  <c r="N153"/>
  <c r="N122"/>
  <c r="N922"/>
  <c r="P153"/>
  <c r="P122"/>
  <c r="P922"/>
  <c r="Q153"/>
  <c r="Q122"/>
  <c r="Q922"/>
  <c r="R922"/>
  <c r="D922"/>
  <c r="D921"/>
  <c r="F162"/>
  <c r="M162"/>
  <c r="O162"/>
  <c r="R162"/>
  <c r="C162"/>
  <c r="E929"/>
  <c r="G929"/>
  <c r="H929"/>
  <c r="I929"/>
  <c r="J929"/>
  <c r="K929"/>
  <c r="L929"/>
  <c r="M929"/>
  <c r="N929"/>
  <c r="P929"/>
  <c r="Q929"/>
  <c r="R929"/>
  <c r="D929"/>
  <c r="C933"/>
  <c r="C931"/>
  <c r="F160"/>
  <c r="M160"/>
  <c r="O160"/>
  <c r="R160"/>
  <c r="C160"/>
  <c r="E931"/>
  <c r="G931"/>
  <c r="H931"/>
  <c r="I931"/>
  <c r="J931"/>
  <c r="K931"/>
  <c r="L931"/>
  <c r="M931"/>
  <c r="N931"/>
  <c r="P931"/>
  <c r="Q931"/>
  <c r="R931"/>
  <c r="D931"/>
  <c r="D933"/>
  <c r="D935"/>
  <c r="C938"/>
  <c r="C937"/>
  <c r="C157"/>
  <c r="E158"/>
  <c r="F156"/>
  <c r="M156"/>
  <c r="O156"/>
  <c r="M157"/>
  <c r="R157"/>
  <c r="D157"/>
  <c r="F157"/>
  <c r="O157"/>
  <c r="O158"/>
  <c r="P158"/>
  <c r="Q158"/>
  <c r="R158"/>
  <c r="S158"/>
  <c r="C158"/>
  <c r="E937"/>
  <c r="G158"/>
  <c r="G937"/>
  <c r="H158"/>
  <c r="H937"/>
  <c r="I158"/>
  <c r="I937"/>
  <c r="J158"/>
  <c r="J937"/>
  <c r="K158"/>
  <c r="K937"/>
  <c r="L158"/>
  <c r="L937"/>
  <c r="M937"/>
  <c r="N158"/>
  <c r="N937"/>
  <c r="P937"/>
  <c r="Q937"/>
  <c r="R937"/>
  <c r="D937"/>
  <c r="D938"/>
  <c r="D939"/>
  <c r="C133"/>
  <c r="C135"/>
  <c r="E136"/>
  <c r="E927"/>
  <c r="G136"/>
  <c r="G927"/>
  <c r="H136"/>
  <c r="H927"/>
  <c r="I136"/>
  <c r="I927"/>
  <c r="J136"/>
  <c r="J927"/>
  <c r="K136"/>
  <c r="K927"/>
  <c r="L136"/>
  <c r="L927"/>
  <c r="M927"/>
  <c r="N136"/>
  <c r="N927"/>
  <c r="P136"/>
  <c r="P927"/>
  <c r="Q136"/>
  <c r="Q927"/>
  <c r="R927"/>
  <c r="D927"/>
  <c r="D926"/>
  <c r="D943"/>
  <c r="E921"/>
  <c r="E933"/>
  <c r="E935"/>
  <c r="E938"/>
  <c r="E939"/>
  <c r="E926"/>
  <c r="E943"/>
  <c r="F943"/>
  <c r="G921"/>
  <c r="G933"/>
  <c r="G935"/>
  <c r="G938"/>
  <c r="G939"/>
  <c r="G926"/>
  <c r="G943"/>
  <c r="H921"/>
  <c r="H933"/>
  <c r="H935"/>
  <c r="H938"/>
  <c r="H939"/>
  <c r="H926"/>
  <c r="H943"/>
  <c r="I921"/>
  <c r="I933"/>
  <c r="I935"/>
  <c r="I938"/>
  <c r="I939"/>
  <c r="I926"/>
  <c r="I943"/>
  <c r="J921"/>
  <c r="J933"/>
  <c r="J935"/>
  <c r="J938"/>
  <c r="J939"/>
  <c r="J926"/>
  <c r="J943"/>
  <c r="K921"/>
  <c r="K933"/>
  <c r="K935"/>
  <c r="K938"/>
  <c r="K939"/>
  <c r="K926"/>
  <c r="K943"/>
  <c r="L921"/>
  <c r="L933"/>
  <c r="L935"/>
  <c r="L938"/>
  <c r="L939"/>
  <c r="L926"/>
  <c r="L943"/>
  <c r="M943"/>
  <c r="N921"/>
  <c r="N933"/>
  <c r="N935"/>
  <c r="N938"/>
  <c r="N939"/>
  <c r="N926"/>
  <c r="N943"/>
  <c r="O943"/>
  <c r="P921"/>
  <c r="P933"/>
  <c r="P935"/>
  <c r="P938"/>
  <c r="P939"/>
  <c r="P926"/>
  <c r="P943"/>
  <c r="Q921"/>
  <c r="Q933"/>
  <c r="Q935"/>
  <c r="Q938"/>
  <c r="Q939"/>
  <c r="Q926"/>
  <c r="Q943"/>
  <c r="R943"/>
  <c r="S921"/>
  <c r="S935"/>
  <c r="S939"/>
  <c r="S943"/>
  <c r="C943"/>
  <c r="S948"/>
  <c r="C946"/>
  <c r="E946"/>
  <c r="G946"/>
  <c r="H946"/>
  <c r="I946"/>
  <c r="J946"/>
  <c r="K946"/>
  <c r="L946"/>
  <c r="M946"/>
  <c r="N946"/>
  <c r="P946"/>
  <c r="Q946"/>
  <c r="R946"/>
  <c r="D946"/>
  <c r="C947"/>
  <c r="E947"/>
  <c r="G947"/>
  <c r="H947"/>
  <c r="I947"/>
  <c r="J947"/>
  <c r="K947"/>
  <c r="L947"/>
  <c r="M947"/>
  <c r="N947"/>
  <c r="P947"/>
  <c r="Q947"/>
  <c r="R947"/>
  <c r="D947"/>
  <c r="D948"/>
  <c r="C953"/>
  <c r="S953"/>
  <c r="C951"/>
  <c r="E951"/>
  <c r="G951"/>
  <c r="H951"/>
  <c r="I951"/>
  <c r="J951"/>
  <c r="K951"/>
  <c r="L951"/>
  <c r="M951"/>
  <c r="N951"/>
  <c r="P951"/>
  <c r="Q951"/>
  <c r="R951"/>
  <c r="D951"/>
  <c r="C952"/>
  <c r="E952"/>
  <c r="G952"/>
  <c r="H952"/>
  <c r="I952"/>
  <c r="J952"/>
  <c r="K952"/>
  <c r="L952"/>
  <c r="M952"/>
  <c r="N952"/>
  <c r="P952"/>
  <c r="Q952"/>
  <c r="R952"/>
  <c r="D952"/>
  <c r="D953"/>
  <c r="S958"/>
  <c r="C956"/>
  <c r="E956"/>
  <c r="G956"/>
  <c r="H956"/>
  <c r="I956"/>
  <c r="J956"/>
  <c r="K956"/>
  <c r="L956"/>
  <c r="M956"/>
  <c r="N956"/>
  <c r="P956"/>
  <c r="Q956"/>
  <c r="R956"/>
  <c r="D956"/>
  <c r="C957"/>
  <c r="E957"/>
  <c r="G957"/>
  <c r="H957"/>
  <c r="I957"/>
  <c r="J957"/>
  <c r="K957"/>
  <c r="L957"/>
  <c r="M957"/>
  <c r="N957"/>
  <c r="P957"/>
  <c r="Q957"/>
  <c r="R957"/>
  <c r="D957"/>
  <c r="D958"/>
  <c r="D960"/>
  <c r="C963"/>
  <c r="E963"/>
  <c r="G963"/>
  <c r="H963"/>
  <c r="I963"/>
  <c r="J963"/>
  <c r="K963"/>
  <c r="L963"/>
  <c r="M963"/>
  <c r="N963"/>
  <c r="P963"/>
  <c r="Q963"/>
  <c r="R963"/>
  <c r="D963"/>
  <c r="E965"/>
  <c r="G965"/>
  <c r="H965"/>
  <c r="I965"/>
  <c r="J965"/>
  <c r="K965"/>
  <c r="L965"/>
  <c r="M965"/>
  <c r="N965"/>
  <c r="P965"/>
  <c r="Q965"/>
  <c r="R965"/>
  <c r="D965"/>
  <c r="S115"/>
  <c r="C977"/>
  <c r="S983"/>
  <c r="S985"/>
  <c r="C980"/>
  <c r="E980"/>
  <c r="G980"/>
  <c r="H980"/>
  <c r="I980"/>
  <c r="J980"/>
  <c r="K980"/>
  <c r="L980"/>
  <c r="M980"/>
  <c r="N980"/>
  <c r="P980"/>
  <c r="Q980"/>
  <c r="R980"/>
  <c r="D980"/>
  <c r="C125"/>
  <c r="C127"/>
  <c r="S129"/>
  <c r="C988"/>
  <c r="E988"/>
  <c r="G988"/>
  <c r="H988"/>
  <c r="I988"/>
  <c r="J988"/>
  <c r="K988"/>
  <c r="L988"/>
  <c r="M988"/>
  <c r="N988"/>
  <c r="P988"/>
  <c r="Q988"/>
  <c r="R988"/>
  <c r="D988"/>
  <c r="C995"/>
  <c r="C993"/>
  <c r="E993"/>
  <c r="G993"/>
  <c r="H993"/>
  <c r="I993"/>
  <c r="J993"/>
  <c r="K993"/>
  <c r="L993"/>
  <c r="M993"/>
  <c r="N993"/>
  <c r="P993"/>
  <c r="Q993"/>
  <c r="R993"/>
  <c r="D993"/>
  <c r="D1002"/>
  <c r="D977"/>
  <c r="C983"/>
  <c r="C981"/>
  <c r="E981"/>
  <c r="G981"/>
  <c r="H981"/>
  <c r="I981"/>
  <c r="J981"/>
  <c r="K981"/>
  <c r="L981"/>
  <c r="M981"/>
  <c r="N981"/>
  <c r="P981"/>
  <c r="Q981"/>
  <c r="R981"/>
  <c r="D981"/>
  <c r="C126"/>
  <c r="C128"/>
  <c r="E129"/>
  <c r="E990"/>
  <c r="G129"/>
  <c r="G990"/>
  <c r="H129"/>
  <c r="H990"/>
  <c r="I129"/>
  <c r="I990"/>
  <c r="J129"/>
  <c r="J990"/>
  <c r="K129"/>
  <c r="K990"/>
  <c r="L129"/>
  <c r="L990"/>
  <c r="M990"/>
  <c r="N129"/>
  <c r="N990"/>
  <c r="P129"/>
  <c r="P990"/>
  <c r="Q129"/>
  <c r="Q990"/>
  <c r="R990"/>
  <c r="D990"/>
  <c r="D989"/>
  <c r="E995"/>
  <c r="G995"/>
  <c r="H995"/>
  <c r="I995"/>
  <c r="J995"/>
  <c r="K995"/>
  <c r="L995"/>
  <c r="M995"/>
  <c r="N995"/>
  <c r="P995"/>
  <c r="Q995"/>
  <c r="R995"/>
  <c r="D995"/>
  <c r="D994"/>
  <c r="E997"/>
  <c r="G997"/>
  <c r="H997"/>
  <c r="I997"/>
  <c r="J997"/>
  <c r="K997"/>
  <c r="L997"/>
  <c r="M997"/>
  <c r="N997"/>
  <c r="P997"/>
  <c r="Q997"/>
  <c r="R997"/>
  <c r="D997"/>
  <c r="C999"/>
  <c r="E999"/>
  <c r="G999"/>
  <c r="H999"/>
  <c r="I999"/>
  <c r="J999"/>
  <c r="K999"/>
  <c r="L999"/>
  <c r="M999"/>
  <c r="N999"/>
  <c r="P999"/>
  <c r="Q999"/>
  <c r="R999"/>
  <c r="D999"/>
  <c r="D1003"/>
  <c r="E1002"/>
  <c r="F1002"/>
  <c r="G1002"/>
  <c r="H1002"/>
  <c r="I1002"/>
  <c r="J1002"/>
  <c r="K1002"/>
  <c r="L1002"/>
  <c r="M1002"/>
  <c r="N1002"/>
  <c r="O1002"/>
  <c r="P1002"/>
  <c r="Q1002"/>
  <c r="R1002"/>
  <c r="S1002"/>
  <c r="C1002"/>
  <c r="E977"/>
  <c r="E989"/>
  <c r="E994"/>
  <c r="E1003"/>
  <c r="F1003"/>
  <c r="G977"/>
  <c r="G989"/>
  <c r="G994"/>
  <c r="G1003"/>
  <c r="H977"/>
  <c r="H989"/>
  <c r="H994"/>
  <c r="H1003"/>
  <c r="I977"/>
  <c r="I989"/>
  <c r="I994"/>
  <c r="I1003"/>
  <c r="J977"/>
  <c r="J989"/>
  <c r="J994"/>
  <c r="J1003"/>
  <c r="K977"/>
  <c r="K989"/>
  <c r="K994"/>
  <c r="K1003"/>
  <c r="L977"/>
  <c r="L989"/>
  <c r="L994"/>
  <c r="L1003"/>
  <c r="M1003"/>
  <c r="N977"/>
  <c r="N989"/>
  <c r="N994"/>
  <c r="N1003"/>
  <c r="O1003"/>
  <c r="P989"/>
  <c r="P994"/>
  <c r="P1003"/>
  <c r="Q989"/>
  <c r="Q994"/>
  <c r="Q1003"/>
  <c r="R1003"/>
  <c r="S989"/>
  <c r="S994"/>
  <c r="S1003"/>
  <c r="C1003"/>
  <c r="S1008"/>
  <c r="C1006"/>
  <c r="E1006"/>
  <c r="G1006"/>
  <c r="H1006"/>
  <c r="I1006"/>
  <c r="J1006"/>
  <c r="K1006"/>
  <c r="L1006"/>
  <c r="M1006"/>
  <c r="N1006"/>
  <c r="P1006"/>
  <c r="Q1006"/>
  <c r="R1006"/>
  <c r="D1006"/>
  <c r="C1007"/>
  <c r="E1007"/>
  <c r="G1007"/>
  <c r="H1007"/>
  <c r="I1007"/>
  <c r="J1007"/>
  <c r="K1007"/>
  <c r="L1007"/>
  <c r="M1007"/>
  <c r="N1007"/>
  <c r="P1007"/>
  <c r="Q1007"/>
  <c r="R1007"/>
  <c r="D1007"/>
  <c r="D1008"/>
  <c r="S1013"/>
  <c r="C1011"/>
  <c r="E1011"/>
  <c r="G1011"/>
  <c r="H1011"/>
  <c r="I1011"/>
  <c r="J1011"/>
  <c r="K1011"/>
  <c r="L1011"/>
  <c r="M1011"/>
  <c r="N1011"/>
  <c r="P1011"/>
  <c r="Q1011"/>
  <c r="R1011"/>
  <c r="D1011"/>
  <c r="C1012"/>
  <c r="E1012"/>
  <c r="G1012"/>
  <c r="H1012"/>
  <c r="I1012"/>
  <c r="J1012"/>
  <c r="K1012"/>
  <c r="L1012"/>
  <c r="M1012"/>
  <c r="N1012"/>
  <c r="P1012"/>
  <c r="Q1012"/>
  <c r="R1012"/>
  <c r="D1012"/>
  <c r="D1013"/>
  <c r="D1015"/>
  <c r="D1017"/>
  <c r="D1019"/>
  <c r="D1018"/>
  <c r="C1114"/>
  <c r="C1105"/>
  <c r="C1109"/>
  <c r="S1110"/>
  <c r="M1110"/>
  <c r="R1110"/>
  <c r="D1110"/>
  <c r="D1115"/>
  <c r="C1071"/>
  <c r="R1071"/>
  <c r="S1071"/>
  <c r="O1071"/>
  <c r="M1073"/>
  <c r="D1073"/>
  <c r="C1075"/>
  <c r="E50"/>
  <c r="E79"/>
  <c r="M49"/>
  <c r="R49"/>
  <c r="D49"/>
  <c r="F49"/>
  <c r="O49"/>
  <c r="O50"/>
  <c r="M54"/>
  <c r="R54"/>
  <c r="D54"/>
  <c r="F54"/>
  <c r="O54"/>
  <c r="M55"/>
  <c r="R55"/>
  <c r="D55"/>
  <c r="F55"/>
  <c r="O55"/>
  <c r="O56"/>
  <c r="M60"/>
  <c r="R60"/>
  <c r="D60"/>
  <c r="F60"/>
  <c r="O60"/>
  <c r="M61"/>
  <c r="R61"/>
  <c r="D61"/>
  <c r="F61"/>
  <c r="O61"/>
  <c r="O62"/>
  <c r="M65"/>
  <c r="R65"/>
  <c r="D65"/>
  <c r="F65"/>
  <c r="O65"/>
  <c r="M68"/>
  <c r="R68"/>
  <c r="D68"/>
  <c r="F68"/>
  <c r="O68"/>
  <c r="M71"/>
  <c r="R71"/>
  <c r="D71"/>
  <c r="F71"/>
  <c r="O71"/>
  <c r="M74"/>
  <c r="R74"/>
  <c r="D74"/>
  <c r="F74"/>
  <c r="O74"/>
  <c r="M77"/>
  <c r="R77"/>
  <c r="D77"/>
  <c r="F77"/>
  <c r="O77"/>
  <c r="O79"/>
  <c r="R50"/>
  <c r="R56"/>
  <c r="R62"/>
  <c r="R79"/>
  <c r="S50"/>
  <c r="S79"/>
  <c r="C79"/>
  <c r="S1075"/>
  <c r="E1075"/>
  <c r="G50"/>
  <c r="G79"/>
  <c r="G1075"/>
  <c r="H50"/>
  <c r="H79"/>
  <c r="H1075"/>
  <c r="I50"/>
  <c r="I79"/>
  <c r="I1075"/>
  <c r="J50"/>
  <c r="J79"/>
  <c r="J1075"/>
  <c r="K50"/>
  <c r="K79"/>
  <c r="K1075"/>
  <c r="L50"/>
  <c r="L79"/>
  <c r="L1075"/>
  <c r="M1075"/>
  <c r="N50"/>
  <c r="N79"/>
  <c r="N1075"/>
  <c r="P50"/>
  <c r="P79"/>
  <c r="P1075"/>
  <c r="Q50"/>
  <c r="Q79"/>
  <c r="Q1075"/>
  <c r="R1075"/>
  <c r="D1075"/>
  <c r="M94"/>
  <c r="R94"/>
  <c r="D94"/>
  <c r="F94"/>
  <c r="M95"/>
  <c r="R95"/>
  <c r="D95"/>
  <c r="F95"/>
  <c r="F96"/>
  <c r="M100"/>
  <c r="R100"/>
  <c r="D100"/>
  <c r="F100"/>
  <c r="M101"/>
  <c r="R101"/>
  <c r="D101"/>
  <c r="F101"/>
  <c r="F102"/>
  <c r="M106"/>
  <c r="R106"/>
  <c r="D106"/>
  <c r="F106"/>
  <c r="M107"/>
  <c r="R107"/>
  <c r="D107"/>
  <c r="F107"/>
  <c r="F108"/>
  <c r="F111"/>
  <c r="M118"/>
  <c r="R118"/>
  <c r="D118"/>
  <c r="F118"/>
  <c r="M120"/>
  <c r="R120"/>
  <c r="D120"/>
  <c r="F120"/>
  <c r="M125"/>
  <c r="R125"/>
  <c r="D125"/>
  <c r="F125"/>
  <c r="M127"/>
  <c r="R127"/>
  <c r="D127"/>
  <c r="F127"/>
  <c r="M132"/>
  <c r="R132"/>
  <c r="D132"/>
  <c r="F132"/>
  <c r="M134"/>
  <c r="R134"/>
  <c r="D134"/>
  <c r="F134"/>
  <c r="M149"/>
  <c r="R149"/>
  <c r="D149"/>
  <c r="F149"/>
  <c r="M151"/>
  <c r="R151"/>
  <c r="D151"/>
  <c r="F151"/>
  <c r="F113"/>
  <c r="F165"/>
  <c r="G165"/>
  <c r="H165"/>
  <c r="I165"/>
  <c r="M96"/>
  <c r="M102"/>
  <c r="M108"/>
  <c r="M165"/>
  <c r="N165"/>
  <c r="O165"/>
  <c r="P165"/>
  <c r="Q165"/>
  <c r="R165"/>
  <c r="S165"/>
  <c r="C165"/>
  <c r="F112"/>
  <c r="M119"/>
  <c r="R119"/>
  <c r="D119"/>
  <c r="F119"/>
  <c r="M121"/>
  <c r="R121"/>
  <c r="D121"/>
  <c r="F121"/>
  <c r="M126"/>
  <c r="R126"/>
  <c r="D126"/>
  <c r="F126"/>
  <c r="M128"/>
  <c r="R128"/>
  <c r="D128"/>
  <c r="F128"/>
  <c r="M133"/>
  <c r="R133"/>
  <c r="D133"/>
  <c r="F133"/>
  <c r="M135"/>
  <c r="R135"/>
  <c r="D135"/>
  <c r="F135"/>
  <c r="M150"/>
  <c r="R150"/>
  <c r="D150"/>
  <c r="F150"/>
  <c r="M152"/>
  <c r="R152"/>
  <c r="D152"/>
  <c r="F152"/>
  <c r="F158"/>
  <c r="F114"/>
  <c r="F166"/>
  <c r="F164"/>
  <c r="G166"/>
  <c r="G164"/>
  <c r="H166"/>
  <c r="H164"/>
  <c r="I166"/>
  <c r="I164"/>
  <c r="M158"/>
  <c r="M166"/>
  <c r="M164"/>
  <c r="N166"/>
  <c r="N164"/>
  <c r="O164"/>
  <c r="P166"/>
  <c r="P164"/>
  <c r="Q166"/>
  <c r="Q164"/>
  <c r="R164"/>
  <c r="S166"/>
  <c r="S164"/>
  <c r="C164"/>
  <c r="C1076"/>
  <c r="C1077"/>
  <c r="E165"/>
  <c r="E1077"/>
  <c r="G1077"/>
  <c r="H1077"/>
  <c r="I1077"/>
  <c r="J165"/>
  <c r="J1077"/>
  <c r="K165"/>
  <c r="K1077"/>
  <c r="L165"/>
  <c r="L1077"/>
  <c r="M1077"/>
  <c r="N1077"/>
  <c r="P1077"/>
  <c r="Q1077"/>
  <c r="R1077"/>
  <c r="D1077"/>
  <c r="D1084"/>
  <c r="D1122"/>
  <c r="M702"/>
  <c r="R702"/>
  <c r="D702"/>
  <c r="S704"/>
  <c r="M704"/>
  <c r="R704"/>
  <c r="D704"/>
  <c r="M705"/>
  <c r="R705"/>
  <c r="D705"/>
  <c r="D706"/>
  <c r="M709"/>
  <c r="R709"/>
  <c r="D709"/>
  <c r="C710"/>
  <c r="M710"/>
  <c r="R710"/>
  <c r="D710"/>
  <c r="D711"/>
  <c r="M714"/>
  <c r="R714"/>
  <c r="D714"/>
  <c r="M715"/>
  <c r="R715"/>
  <c r="D715"/>
  <c r="D716"/>
  <c r="M719"/>
  <c r="R719"/>
  <c r="D719"/>
  <c r="M720"/>
  <c r="R720"/>
  <c r="D720"/>
  <c r="D721"/>
  <c r="M723"/>
  <c r="R723"/>
  <c r="D723"/>
  <c r="D727"/>
  <c r="M730"/>
  <c r="R730"/>
  <c r="D730"/>
  <c r="M732"/>
  <c r="R732"/>
  <c r="D732"/>
  <c r="M735"/>
  <c r="R735"/>
  <c r="D735"/>
  <c r="C736"/>
  <c r="S736"/>
  <c r="M736"/>
  <c r="R736"/>
  <c r="D736"/>
  <c r="D737"/>
  <c r="M740"/>
  <c r="R740"/>
  <c r="D740"/>
  <c r="C741"/>
  <c r="M741"/>
  <c r="R741"/>
  <c r="D741"/>
  <c r="D742"/>
  <c r="M755"/>
  <c r="R755"/>
  <c r="D755"/>
  <c r="S756"/>
  <c r="M756"/>
  <c r="R756"/>
  <c r="D756"/>
  <c r="D757"/>
  <c r="D759"/>
  <c r="D762"/>
  <c r="E706"/>
  <c r="E711"/>
  <c r="E716"/>
  <c r="E721"/>
  <c r="E727"/>
  <c r="E737"/>
  <c r="E742"/>
  <c r="E757"/>
  <c r="E759"/>
  <c r="E762"/>
  <c r="F762"/>
  <c r="G706"/>
  <c r="G711"/>
  <c r="G716"/>
  <c r="G721"/>
  <c r="G727"/>
  <c r="G737"/>
  <c r="G742"/>
  <c r="G757"/>
  <c r="G759"/>
  <c r="G762"/>
  <c r="H706"/>
  <c r="H711"/>
  <c r="H716"/>
  <c r="H721"/>
  <c r="H727"/>
  <c r="H737"/>
  <c r="H742"/>
  <c r="H757"/>
  <c r="H759"/>
  <c r="H762"/>
  <c r="I706"/>
  <c r="I711"/>
  <c r="I716"/>
  <c r="I721"/>
  <c r="I727"/>
  <c r="I737"/>
  <c r="I742"/>
  <c r="I757"/>
  <c r="I759"/>
  <c r="I762"/>
  <c r="J706"/>
  <c r="J711"/>
  <c r="J716"/>
  <c r="J721"/>
  <c r="J727"/>
  <c r="J737"/>
  <c r="J742"/>
  <c r="J757"/>
  <c r="J759"/>
  <c r="J762"/>
  <c r="K706"/>
  <c r="K711"/>
  <c r="K716"/>
  <c r="K721"/>
  <c r="K727"/>
  <c r="K737"/>
  <c r="K742"/>
  <c r="K757"/>
  <c r="K759"/>
  <c r="K762"/>
  <c r="L706"/>
  <c r="L711"/>
  <c r="L716"/>
  <c r="L721"/>
  <c r="L727"/>
  <c r="L737"/>
  <c r="L742"/>
  <c r="L757"/>
  <c r="L759"/>
  <c r="L762"/>
  <c r="M762"/>
  <c r="N706"/>
  <c r="N711"/>
  <c r="N716"/>
  <c r="N721"/>
  <c r="N727"/>
  <c r="N737"/>
  <c r="N742"/>
  <c r="N757"/>
  <c r="N759"/>
  <c r="N762"/>
  <c r="O762"/>
  <c r="P706"/>
  <c r="P711"/>
  <c r="P716"/>
  <c r="P721"/>
  <c r="P727"/>
  <c r="P737"/>
  <c r="P742"/>
  <c r="P757"/>
  <c r="P759"/>
  <c r="P762"/>
  <c r="Q706"/>
  <c r="Q711"/>
  <c r="Q716"/>
  <c r="Q721"/>
  <c r="Q727"/>
  <c r="Q737"/>
  <c r="Q742"/>
  <c r="Q757"/>
  <c r="Q759"/>
  <c r="Q762"/>
  <c r="R762"/>
  <c r="S706"/>
  <c r="S711"/>
  <c r="S716"/>
  <c r="S721"/>
  <c r="S727"/>
  <c r="S737"/>
  <c r="S742"/>
  <c r="S757"/>
  <c r="S759"/>
  <c r="S762"/>
  <c r="C762"/>
  <c r="C774"/>
  <c r="E774"/>
  <c r="G774"/>
  <c r="H774"/>
  <c r="I774"/>
  <c r="J774"/>
  <c r="K774"/>
  <c r="L774"/>
  <c r="M774"/>
  <c r="N774"/>
  <c r="P774"/>
  <c r="Q774"/>
  <c r="R774"/>
  <c r="S774"/>
  <c r="D774"/>
  <c r="M771"/>
  <c r="R771"/>
  <c r="D771"/>
  <c r="M777"/>
  <c r="R777"/>
  <c r="D777"/>
  <c r="C778"/>
  <c r="M778"/>
  <c r="R778"/>
  <c r="D778"/>
  <c r="D779"/>
  <c r="M769"/>
  <c r="R769"/>
  <c r="D769"/>
  <c r="M782"/>
  <c r="R782"/>
  <c r="D782"/>
  <c r="C783"/>
  <c r="M783"/>
  <c r="R783"/>
  <c r="D783"/>
  <c r="D784"/>
  <c r="D786"/>
  <c r="M807"/>
  <c r="R807"/>
  <c r="D807"/>
  <c r="M808"/>
  <c r="R808"/>
  <c r="D808"/>
  <c r="D809"/>
  <c r="M812"/>
  <c r="R812"/>
  <c r="D812"/>
  <c r="C813"/>
  <c r="M813"/>
  <c r="R813"/>
  <c r="D813"/>
  <c r="D814"/>
  <c r="M789"/>
  <c r="R789"/>
  <c r="D789"/>
  <c r="M792"/>
  <c r="R792"/>
  <c r="D792"/>
  <c r="C793"/>
  <c r="M793"/>
  <c r="R793"/>
  <c r="D793"/>
  <c r="D794"/>
  <c r="D816"/>
  <c r="D818"/>
  <c r="E779"/>
  <c r="E784"/>
  <c r="E786"/>
  <c r="E809"/>
  <c r="E814"/>
  <c r="E794"/>
  <c r="E816"/>
  <c r="E818"/>
  <c r="F818"/>
  <c r="G779"/>
  <c r="G784"/>
  <c r="G786"/>
  <c r="G809"/>
  <c r="G814"/>
  <c r="G794"/>
  <c r="G816"/>
  <c r="G818"/>
  <c r="H779"/>
  <c r="H784"/>
  <c r="H786"/>
  <c r="H809"/>
  <c r="H814"/>
  <c r="H794"/>
  <c r="H816"/>
  <c r="H818"/>
  <c r="I779"/>
  <c r="I784"/>
  <c r="I786"/>
  <c r="I809"/>
  <c r="I814"/>
  <c r="I794"/>
  <c r="I816"/>
  <c r="I818"/>
  <c r="J779"/>
  <c r="J784"/>
  <c r="J786"/>
  <c r="J809"/>
  <c r="J814"/>
  <c r="J794"/>
  <c r="J816"/>
  <c r="J818"/>
  <c r="K779"/>
  <c r="K784"/>
  <c r="K786"/>
  <c r="K809"/>
  <c r="K814"/>
  <c r="K794"/>
  <c r="K816"/>
  <c r="K818"/>
  <c r="L779"/>
  <c r="L784"/>
  <c r="L786"/>
  <c r="L809"/>
  <c r="L814"/>
  <c r="L794"/>
  <c r="L816"/>
  <c r="L818"/>
  <c r="M818"/>
  <c r="N779"/>
  <c r="N784"/>
  <c r="N786"/>
  <c r="N809"/>
  <c r="N814"/>
  <c r="N794"/>
  <c r="N816"/>
  <c r="N818"/>
  <c r="O818"/>
  <c r="P779"/>
  <c r="P784"/>
  <c r="P786"/>
  <c r="P809"/>
  <c r="P814"/>
  <c r="P794"/>
  <c r="P816"/>
  <c r="P818"/>
  <c r="Q779"/>
  <c r="Q784"/>
  <c r="Q786"/>
  <c r="Q809"/>
  <c r="Q814"/>
  <c r="Q794"/>
  <c r="Q816"/>
  <c r="Q818"/>
  <c r="R818"/>
  <c r="S779"/>
  <c r="S784"/>
  <c r="S786"/>
  <c r="S809"/>
  <c r="S814"/>
  <c r="S794"/>
  <c r="S816"/>
  <c r="S818"/>
  <c r="C818"/>
  <c r="C821"/>
  <c r="M829"/>
  <c r="R829"/>
  <c r="D829"/>
  <c r="C832"/>
  <c r="E832"/>
  <c r="G832"/>
  <c r="H832"/>
  <c r="I832"/>
  <c r="J832"/>
  <c r="K832"/>
  <c r="L832"/>
  <c r="M832"/>
  <c r="N832"/>
  <c r="P832"/>
  <c r="Q832"/>
  <c r="R832"/>
  <c r="S832"/>
  <c r="D832"/>
  <c r="D833"/>
  <c r="M836"/>
  <c r="R836"/>
  <c r="D836"/>
  <c r="C837"/>
  <c r="M837"/>
  <c r="R837"/>
  <c r="D837"/>
  <c r="D838"/>
  <c r="M841"/>
  <c r="R841"/>
  <c r="D841"/>
  <c r="C842"/>
  <c r="M842"/>
  <c r="R842"/>
  <c r="D842"/>
  <c r="D843"/>
  <c r="D845"/>
  <c r="E833"/>
  <c r="E838"/>
  <c r="E843"/>
  <c r="E845"/>
  <c r="F845"/>
  <c r="G833"/>
  <c r="G838"/>
  <c r="G843"/>
  <c r="G845"/>
  <c r="H833"/>
  <c r="H838"/>
  <c r="H843"/>
  <c r="H845"/>
  <c r="I833"/>
  <c r="I838"/>
  <c r="I843"/>
  <c r="I845"/>
  <c r="J833"/>
  <c r="J838"/>
  <c r="J843"/>
  <c r="J845"/>
  <c r="K833"/>
  <c r="K838"/>
  <c r="K843"/>
  <c r="K845"/>
  <c r="L833"/>
  <c r="L838"/>
  <c r="L843"/>
  <c r="L845"/>
  <c r="M845"/>
  <c r="N833"/>
  <c r="N838"/>
  <c r="N843"/>
  <c r="N845"/>
  <c r="O845"/>
  <c r="P833"/>
  <c r="P838"/>
  <c r="P843"/>
  <c r="P845"/>
  <c r="Q833"/>
  <c r="Q838"/>
  <c r="Q843"/>
  <c r="Q845"/>
  <c r="R845"/>
  <c r="S833"/>
  <c r="S838"/>
  <c r="S843"/>
  <c r="S845"/>
  <c r="C845"/>
  <c r="C849"/>
  <c r="E821"/>
  <c r="E849"/>
  <c r="G821"/>
  <c r="G849"/>
  <c r="H821"/>
  <c r="H849"/>
  <c r="I821"/>
  <c r="I849"/>
  <c r="J821"/>
  <c r="J849"/>
  <c r="K821"/>
  <c r="K849"/>
  <c r="L821"/>
  <c r="L849"/>
  <c r="M849"/>
  <c r="N821"/>
  <c r="N849"/>
  <c r="P821"/>
  <c r="P849"/>
  <c r="Q821"/>
  <c r="Q849"/>
  <c r="R849"/>
  <c r="S821"/>
  <c r="S849"/>
  <c r="D849"/>
  <c r="D851"/>
  <c r="D1052"/>
  <c r="D1053"/>
  <c r="M1109"/>
  <c r="R1109"/>
  <c r="D1109"/>
  <c r="M1111"/>
  <c r="R1111"/>
  <c r="D1111"/>
  <c r="D1112"/>
  <c r="D1117"/>
  <c r="C1093"/>
  <c r="M1093"/>
  <c r="R1093"/>
  <c r="D1093"/>
  <c r="E1052"/>
  <c r="E1053"/>
  <c r="F1053"/>
  <c r="G1052"/>
  <c r="G1053"/>
  <c r="H1052"/>
  <c r="H1053"/>
  <c r="I1052"/>
  <c r="I1053"/>
  <c r="J1052"/>
  <c r="J1053"/>
  <c r="K1052"/>
  <c r="K1053"/>
  <c r="L1052"/>
  <c r="L1053"/>
  <c r="M1053"/>
  <c r="N1052"/>
  <c r="N1053"/>
  <c r="O1053"/>
  <c r="P1051"/>
  <c r="P1052"/>
  <c r="P1053"/>
  <c r="Q1051"/>
  <c r="Q1052"/>
  <c r="Q1053"/>
  <c r="R1053"/>
  <c r="S1051"/>
  <c r="S1052"/>
  <c r="S1053"/>
  <c r="C1053"/>
  <c r="D1040"/>
  <c r="D1041"/>
  <c r="D1045"/>
  <c r="D1055"/>
  <c r="E1045"/>
  <c r="E1055"/>
  <c r="F1055"/>
  <c r="G1045"/>
  <c r="G1055"/>
  <c r="H1045"/>
  <c r="H1055"/>
  <c r="I1045"/>
  <c r="I1055"/>
  <c r="J1045"/>
  <c r="J1055"/>
  <c r="K1040"/>
  <c r="K1045"/>
  <c r="K1055"/>
  <c r="L1040"/>
  <c r="L1045"/>
  <c r="L1055"/>
  <c r="M1055"/>
  <c r="N1040"/>
  <c r="N1041"/>
  <c r="N1045"/>
  <c r="N1047"/>
  <c r="N1049"/>
  <c r="N1055"/>
  <c r="O1055"/>
  <c r="P1036"/>
  <c r="P1040"/>
  <c r="P1041"/>
  <c r="P1045"/>
  <c r="P1047"/>
  <c r="P1049"/>
  <c r="P1055"/>
  <c r="Q1036"/>
  <c r="Q1040"/>
  <c r="Q1041"/>
  <c r="Q1045"/>
  <c r="Q1047"/>
  <c r="Q1049"/>
  <c r="Q1055"/>
  <c r="R1055"/>
  <c r="S1045"/>
  <c r="S1055"/>
  <c r="C1055"/>
  <c r="C1080"/>
  <c r="C1082"/>
  <c r="D1082"/>
  <c r="O1074"/>
  <c r="M1074"/>
  <c r="D1074"/>
  <c r="D1086"/>
  <c r="D1123"/>
  <c r="D1021"/>
  <c r="D1105"/>
  <c r="I1107"/>
  <c r="M1107"/>
  <c r="R1107"/>
  <c r="D1107"/>
  <c r="D1116"/>
  <c r="C1079"/>
  <c r="E1021"/>
  <c r="F1021"/>
  <c r="G1021"/>
  <c r="H1021"/>
  <c r="I1021"/>
  <c r="K1021"/>
  <c r="M1021"/>
  <c r="N1021"/>
  <c r="O1021"/>
  <c r="R1021"/>
  <c r="C1021"/>
  <c r="E1079"/>
  <c r="G1079"/>
  <c r="H1079"/>
  <c r="I1079"/>
  <c r="J1079"/>
  <c r="K1079"/>
  <c r="L1079"/>
  <c r="M1079"/>
  <c r="N1079"/>
  <c r="P1079"/>
  <c r="Q1079"/>
  <c r="R1079"/>
  <c r="D1079"/>
  <c r="E1080"/>
  <c r="G1080"/>
  <c r="H1080"/>
  <c r="I1080"/>
  <c r="J1080"/>
  <c r="K1080"/>
  <c r="L1080"/>
  <c r="M1080"/>
  <c r="N1080"/>
  <c r="P1080"/>
  <c r="Q1080"/>
  <c r="R1080"/>
  <c r="D1080"/>
  <c r="D1081"/>
  <c r="E166"/>
  <c r="E164"/>
  <c r="E1076"/>
  <c r="G1076"/>
  <c r="H1076"/>
  <c r="I1076"/>
  <c r="J166"/>
  <c r="J164"/>
  <c r="J1076"/>
  <c r="K166"/>
  <c r="K164"/>
  <c r="K1076"/>
  <c r="L166"/>
  <c r="L164"/>
  <c r="L1076"/>
  <c r="M1076"/>
  <c r="N1076"/>
  <c r="P1076"/>
  <c r="Q1076"/>
  <c r="R1076"/>
  <c r="D1076"/>
  <c r="D1078"/>
  <c r="D1085"/>
  <c r="D1124"/>
  <c r="O1089"/>
  <c r="P1089"/>
  <c r="Q1089"/>
  <c r="R1089"/>
  <c r="C1089"/>
  <c r="F681"/>
  <c r="M681"/>
  <c r="O681"/>
  <c r="R681"/>
  <c r="C681"/>
  <c r="E1089"/>
  <c r="G1089"/>
  <c r="H1089"/>
  <c r="I1089"/>
  <c r="J1089"/>
  <c r="K1089"/>
  <c r="L1089"/>
  <c r="M1089"/>
  <c r="N1089"/>
  <c r="D1089"/>
  <c r="C1090"/>
  <c r="E1090"/>
  <c r="G1090"/>
  <c r="H1090"/>
  <c r="I1090"/>
  <c r="J1090"/>
  <c r="K1090"/>
  <c r="L1090"/>
  <c r="M1090"/>
  <c r="N1090"/>
  <c r="R1090"/>
  <c r="D1090"/>
  <c r="D1091"/>
  <c r="D1125"/>
  <c r="D1121"/>
  <c r="E884"/>
  <c r="E899"/>
  <c r="E901"/>
  <c r="E948"/>
  <c r="E953"/>
  <c r="E958"/>
  <c r="E960"/>
  <c r="E1008"/>
  <c r="E1013"/>
  <c r="E1015"/>
  <c r="E1017"/>
  <c r="E1019"/>
  <c r="E1018"/>
  <c r="E1115"/>
  <c r="E1084"/>
  <c r="E1122"/>
  <c r="E851"/>
  <c r="E1112"/>
  <c r="E1117"/>
  <c r="E1082"/>
  <c r="E1086"/>
  <c r="E1123"/>
  <c r="E1105"/>
  <c r="E1116"/>
  <c r="E1081"/>
  <c r="E1078"/>
  <c r="E1085"/>
  <c r="E1124"/>
  <c r="E1091"/>
  <c r="E1125"/>
  <c r="E1121"/>
  <c r="F1121"/>
  <c r="G884"/>
  <c r="G899"/>
  <c r="G901"/>
  <c r="G948"/>
  <c r="G953"/>
  <c r="G958"/>
  <c r="G960"/>
  <c r="G1008"/>
  <c r="G1013"/>
  <c r="G1015"/>
  <c r="G1017"/>
  <c r="G1019"/>
  <c r="G1018"/>
  <c r="G1115"/>
  <c r="G1084"/>
  <c r="G1122"/>
  <c r="G851"/>
  <c r="G1112"/>
  <c r="G1117"/>
  <c r="G1082"/>
  <c r="G1086"/>
  <c r="G1123"/>
  <c r="G1105"/>
  <c r="G1116"/>
  <c r="G1081"/>
  <c r="G1078"/>
  <c r="G1085"/>
  <c r="G1124"/>
  <c r="G1091"/>
  <c r="G1125"/>
  <c r="G1121"/>
  <c r="H884"/>
  <c r="H899"/>
  <c r="H901"/>
  <c r="H948"/>
  <c r="H953"/>
  <c r="H958"/>
  <c r="H960"/>
  <c r="H1008"/>
  <c r="H1013"/>
  <c r="H1015"/>
  <c r="H1017"/>
  <c r="H1019"/>
  <c r="H1018"/>
  <c r="H1115"/>
  <c r="H1084"/>
  <c r="H1122"/>
  <c r="H851"/>
  <c r="H1112"/>
  <c r="H1117"/>
  <c r="H1082"/>
  <c r="H1086"/>
  <c r="H1123"/>
  <c r="H1105"/>
  <c r="H1116"/>
  <c r="H1081"/>
  <c r="H1078"/>
  <c r="H1085"/>
  <c r="H1124"/>
  <c r="H1091"/>
  <c r="H1125"/>
  <c r="H1121"/>
  <c r="I884"/>
  <c r="I899"/>
  <c r="I901"/>
  <c r="I948"/>
  <c r="I953"/>
  <c r="I958"/>
  <c r="I960"/>
  <c r="I1008"/>
  <c r="I1013"/>
  <c r="I1015"/>
  <c r="I1017"/>
  <c r="I1019"/>
  <c r="I1018"/>
  <c r="I1115"/>
  <c r="I1084"/>
  <c r="I1122"/>
  <c r="I851"/>
  <c r="I1112"/>
  <c r="I1117"/>
  <c r="I1082"/>
  <c r="I1086"/>
  <c r="I1123"/>
  <c r="I1105"/>
  <c r="I1116"/>
  <c r="I1081"/>
  <c r="I1078"/>
  <c r="I1085"/>
  <c r="I1124"/>
  <c r="I1091"/>
  <c r="I1125"/>
  <c r="I1121"/>
  <c r="J884"/>
  <c r="J899"/>
  <c r="J901"/>
  <c r="J948"/>
  <c r="J953"/>
  <c r="J958"/>
  <c r="J960"/>
  <c r="J1008"/>
  <c r="J1013"/>
  <c r="J1015"/>
  <c r="J1017"/>
  <c r="J1019"/>
  <c r="J1018"/>
  <c r="J1115"/>
  <c r="J1084"/>
  <c r="J1122"/>
  <c r="J851"/>
  <c r="J1112"/>
  <c r="J1117"/>
  <c r="J1082"/>
  <c r="J1086"/>
  <c r="J1123"/>
  <c r="J1105"/>
  <c r="J1116"/>
  <c r="J1081"/>
  <c r="J1078"/>
  <c r="J1085"/>
  <c r="J1124"/>
  <c r="J1091"/>
  <c r="J1125"/>
  <c r="J1121"/>
  <c r="K884"/>
  <c r="K899"/>
  <c r="K901"/>
  <c r="K948"/>
  <c r="K953"/>
  <c r="K958"/>
  <c r="K960"/>
  <c r="K1008"/>
  <c r="K1013"/>
  <c r="K1015"/>
  <c r="K1017"/>
  <c r="K1019"/>
  <c r="K1018"/>
  <c r="K1115"/>
  <c r="K1084"/>
  <c r="K1122"/>
  <c r="K851"/>
  <c r="K1112"/>
  <c r="K1117"/>
  <c r="K1082"/>
  <c r="K1086"/>
  <c r="K1123"/>
  <c r="K1105"/>
  <c r="K1116"/>
  <c r="K1081"/>
  <c r="K1078"/>
  <c r="K1085"/>
  <c r="K1124"/>
  <c r="K1091"/>
  <c r="K1125"/>
  <c r="K1121"/>
  <c r="L884"/>
  <c r="L899"/>
  <c r="L901"/>
  <c r="L948"/>
  <c r="L953"/>
  <c r="L958"/>
  <c r="L960"/>
  <c r="L1008"/>
  <c r="L1013"/>
  <c r="L1015"/>
  <c r="L1017"/>
  <c r="L1019"/>
  <c r="L1018"/>
  <c r="L1115"/>
  <c r="L1084"/>
  <c r="L1122"/>
  <c r="L851"/>
  <c r="L1112"/>
  <c r="L1117"/>
  <c r="L1082"/>
  <c r="L1086"/>
  <c r="L1123"/>
  <c r="L1105"/>
  <c r="L1116"/>
  <c r="L1081"/>
  <c r="L1078"/>
  <c r="L1085"/>
  <c r="L1124"/>
  <c r="L1091"/>
  <c r="L1125"/>
  <c r="L1121"/>
  <c r="M1121"/>
  <c r="N884"/>
  <c r="N899"/>
  <c r="N901"/>
  <c r="N948"/>
  <c r="N953"/>
  <c r="N958"/>
  <c r="N960"/>
  <c r="N1008"/>
  <c r="N1013"/>
  <c r="N1015"/>
  <c r="N1017"/>
  <c r="N1019"/>
  <c r="N1018"/>
  <c r="N1115"/>
  <c r="N1084"/>
  <c r="N1122"/>
  <c r="N851"/>
  <c r="N1112"/>
  <c r="N1117"/>
  <c r="N1082"/>
  <c r="N1086"/>
  <c r="N1123"/>
  <c r="N1105"/>
  <c r="N1116"/>
  <c r="N1081"/>
  <c r="N1078"/>
  <c r="N1085"/>
  <c r="N1124"/>
  <c r="N1091"/>
  <c r="N1125"/>
  <c r="N1121"/>
  <c r="O1121"/>
  <c r="P884"/>
  <c r="P899"/>
  <c r="P901"/>
  <c r="P948"/>
  <c r="P953"/>
  <c r="P958"/>
  <c r="P960"/>
  <c r="P1008"/>
  <c r="P1013"/>
  <c r="P1015"/>
  <c r="P1017"/>
  <c r="P1019"/>
  <c r="P1018"/>
  <c r="P1115"/>
  <c r="P1084"/>
  <c r="P1122"/>
  <c r="P851"/>
  <c r="P1112"/>
  <c r="P1117"/>
  <c r="P1082"/>
  <c r="P1086"/>
  <c r="P1123"/>
  <c r="P1105"/>
  <c r="P1116"/>
  <c r="P1081"/>
  <c r="P1078"/>
  <c r="P1085"/>
  <c r="P1124"/>
  <c r="P1091"/>
  <c r="P1125"/>
  <c r="P1121"/>
  <c r="Q884"/>
  <c r="Q899"/>
  <c r="Q901"/>
  <c r="Q948"/>
  <c r="Q953"/>
  <c r="Q958"/>
  <c r="Q960"/>
  <c r="Q1008"/>
  <c r="Q1013"/>
  <c r="Q1015"/>
  <c r="Q1017"/>
  <c r="Q1019"/>
  <c r="Q1018"/>
  <c r="Q1115"/>
  <c r="Q1084"/>
  <c r="Q1122"/>
  <c r="Q851"/>
  <c r="Q1112"/>
  <c r="Q1117"/>
  <c r="Q1082"/>
  <c r="Q1086"/>
  <c r="Q1123"/>
  <c r="Q1105"/>
  <c r="Q1116"/>
  <c r="Q1081"/>
  <c r="Q1078"/>
  <c r="Q1085"/>
  <c r="Q1124"/>
  <c r="Q1091"/>
  <c r="Q1125"/>
  <c r="Q1121"/>
  <c r="R1121"/>
  <c r="S884"/>
  <c r="S899"/>
  <c r="S901"/>
  <c r="S1018"/>
  <c r="S1115"/>
  <c r="S1084"/>
  <c r="S1122"/>
  <c r="S851"/>
  <c r="S1112"/>
  <c r="S1117"/>
  <c r="S1086"/>
  <c r="S1123"/>
  <c r="S1019"/>
  <c r="S1116"/>
  <c r="S1085"/>
  <c r="S1124"/>
  <c r="S1091"/>
  <c r="S1125"/>
  <c r="S1121"/>
  <c r="C1121"/>
  <c r="C1353"/>
  <c r="C1136"/>
  <c r="O1136"/>
  <c r="M1139"/>
  <c r="D1139"/>
  <c r="E1145"/>
  <c r="G1145"/>
  <c r="H1145"/>
  <c r="I1145"/>
  <c r="J1145"/>
  <c r="K1145"/>
  <c r="L1145"/>
  <c r="M1145"/>
  <c r="N1145"/>
  <c r="P1145"/>
  <c r="Q1145"/>
  <c r="R1145"/>
  <c r="D1145"/>
  <c r="C1147"/>
  <c r="E1147"/>
  <c r="G1147"/>
  <c r="H1147"/>
  <c r="I1147"/>
  <c r="J1147"/>
  <c r="K1147"/>
  <c r="L1147"/>
  <c r="M1147"/>
  <c r="N1147"/>
  <c r="P1147"/>
  <c r="Q1147"/>
  <c r="R1147"/>
  <c r="D1147"/>
  <c r="C1149"/>
  <c r="E1149"/>
  <c r="G1149"/>
  <c r="H1149"/>
  <c r="I1149"/>
  <c r="J1149"/>
  <c r="K1149"/>
  <c r="L1149"/>
  <c r="M1149"/>
  <c r="N1149"/>
  <c r="P1149"/>
  <c r="Q1149"/>
  <c r="R1149"/>
  <c r="D1149"/>
  <c r="C1151"/>
  <c r="E1151"/>
  <c r="G1151"/>
  <c r="H1151"/>
  <c r="I1151"/>
  <c r="J1151"/>
  <c r="K1151"/>
  <c r="L1151"/>
  <c r="M1151"/>
  <c r="N1151"/>
  <c r="P1151"/>
  <c r="Q1151"/>
  <c r="R1151"/>
  <c r="D1151"/>
  <c r="C1153"/>
  <c r="E1153"/>
  <c r="G1153"/>
  <c r="H1153"/>
  <c r="I1153"/>
  <c r="J1153"/>
  <c r="K1153"/>
  <c r="L1153"/>
  <c r="M1153"/>
  <c r="N1153"/>
  <c r="P1153"/>
  <c r="Q1153"/>
  <c r="R1153"/>
  <c r="D1153"/>
  <c r="C1155"/>
  <c r="E1155"/>
  <c r="G1155"/>
  <c r="H1155"/>
  <c r="I1155"/>
  <c r="J1155"/>
  <c r="K1155"/>
  <c r="L1155"/>
  <c r="M1155"/>
  <c r="N1155"/>
  <c r="P1155"/>
  <c r="Q1155"/>
  <c r="R1155"/>
  <c r="D1155"/>
  <c r="E1157"/>
  <c r="G1157"/>
  <c r="H1157"/>
  <c r="I1157"/>
  <c r="J1157"/>
  <c r="K1157"/>
  <c r="L1157"/>
  <c r="M1157"/>
  <c r="N1157"/>
  <c r="P1157"/>
  <c r="Q1157"/>
  <c r="R1157"/>
  <c r="D1157"/>
  <c r="E1159"/>
  <c r="G1159"/>
  <c r="H1159"/>
  <c r="I1159"/>
  <c r="J1159"/>
  <c r="K1159"/>
  <c r="L1159"/>
  <c r="M1159"/>
  <c r="N1159"/>
  <c r="P1159"/>
  <c r="Q1159"/>
  <c r="R1159"/>
  <c r="D1159"/>
  <c r="D1161"/>
  <c r="E1166"/>
  <c r="G1166"/>
  <c r="H1166"/>
  <c r="I1166"/>
  <c r="J1166"/>
  <c r="K1166"/>
  <c r="L1166"/>
  <c r="M1166"/>
  <c r="N1166"/>
  <c r="P1166"/>
  <c r="Q1166"/>
  <c r="R1166"/>
  <c r="D1166"/>
  <c r="E1168"/>
  <c r="G1168"/>
  <c r="H1168"/>
  <c r="I1168"/>
  <c r="J1168"/>
  <c r="K1168"/>
  <c r="L1168"/>
  <c r="M1168"/>
  <c r="N1168"/>
  <c r="P1168"/>
  <c r="Q1168"/>
  <c r="R1168"/>
  <c r="D1168"/>
  <c r="C1170"/>
  <c r="E1170"/>
  <c r="G1170"/>
  <c r="H1170"/>
  <c r="I1170"/>
  <c r="J1170"/>
  <c r="K1170"/>
  <c r="L1170"/>
  <c r="M1170"/>
  <c r="N1170"/>
  <c r="P1170"/>
  <c r="Q1170"/>
  <c r="R1170"/>
  <c r="D1170"/>
  <c r="C1173"/>
  <c r="E1173"/>
  <c r="G1173"/>
  <c r="H1173"/>
  <c r="I1173"/>
  <c r="J1173"/>
  <c r="K1173"/>
  <c r="L1173"/>
  <c r="M1173"/>
  <c r="N1173"/>
  <c r="P1173"/>
  <c r="Q1173"/>
  <c r="R1173"/>
  <c r="D1173"/>
  <c r="C1187"/>
  <c r="E1187"/>
  <c r="G1187"/>
  <c r="H1187"/>
  <c r="I1187"/>
  <c r="J1187"/>
  <c r="K1187"/>
  <c r="L1187"/>
  <c r="M1187"/>
  <c r="N1187"/>
  <c r="P1187"/>
  <c r="Q1187"/>
  <c r="R1187"/>
  <c r="D1187"/>
  <c r="C1192"/>
  <c r="E1192"/>
  <c r="G1192"/>
  <c r="H1192"/>
  <c r="I1192"/>
  <c r="J1192"/>
  <c r="K1192"/>
  <c r="L1192"/>
  <c r="M1192"/>
  <c r="N1192"/>
  <c r="P1192"/>
  <c r="Q1192"/>
  <c r="R1192"/>
  <c r="S1192"/>
  <c r="D1192"/>
  <c r="C1197"/>
  <c r="E1197"/>
  <c r="G1197"/>
  <c r="H1197"/>
  <c r="I1197"/>
  <c r="J1197"/>
  <c r="K1197"/>
  <c r="L1197"/>
  <c r="M1197"/>
  <c r="N1197"/>
  <c r="P1197"/>
  <c r="Q1197"/>
  <c r="R1197"/>
  <c r="S1197"/>
  <c r="D1197"/>
  <c r="C1202"/>
  <c r="E1202"/>
  <c r="G1202"/>
  <c r="H1202"/>
  <c r="I1202"/>
  <c r="J1202"/>
  <c r="K1202"/>
  <c r="L1202"/>
  <c r="M1202"/>
  <c r="N1202"/>
  <c r="P1202"/>
  <c r="Q1202"/>
  <c r="R1202"/>
  <c r="S1202"/>
  <c r="D1202"/>
  <c r="D1213"/>
  <c r="C1216"/>
  <c r="D1217"/>
  <c r="D1222"/>
  <c r="E1175"/>
  <c r="G1175"/>
  <c r="H1175"/>
  <c r="I1175"/>
  <c r="J1175"/>
  <c r="K1175"/>
  <c r="L1175"/>
  <c r="M1175"/>
  <c r="N1175"/>
  <c r="P1175"/>
  <c r="Q1175"/>
  <c r="R1175"/>
  <c r="D1175"/>
  <c r="E1189"/>
  <c r="G1189"/>
  <c r="H1189"/>
  <c r="I1189"/>
  <c r="J1189"/>
  <c r="K1189"/>
  <c r="L1189"/>
  <c r="M1189"/>
  <c r="N1189"/>
  <c r="P1189"/>
  <c r="Q1189"/>
  <c r="R1189"/>
  <c r="D1189"/>
  <c r="E1194"/>
  <c r="G1194"/>
  <c r="H1194"/>
  <c r="I1194"/>
  <c r="J1194"/>
  <c r="K1194"/>
  <c r="L1194"/>
  <c r="M1194"/>
  <c r="N1194"/>
  <c r="P1194"/>
  <c r="Q1194"/>
  <c r="R1194"/>
  <c r="D1194"/>
  <c r="E1199"/>
  <c r="G1199"/>
  <c r="H1199"/>
  <c r="I1199"/>
  <c r="J1199"/>
  <c r="K1199"/>
  <c r="L1199"/>
  <c r="M1199"/>
  <c r="N1199"/>
  <c r="P1199"/>
  <c r="Q1199"/>
  <c r="R1199"/>
  <c r="D1199"/>
  <c r="E1204"/>
  <c r="G1204"/>
  <c r="H1204"/>
  <c r="I1204"/>
  <c r="J1204"/>
  <c r="K1204"/>
  <c r="L1204"/>
  <c r="M1204"/>
  <c r="N1204"/>
  <c r="P1204"/>
  <c r="Q1204"/>
  <c r="R1204"/>
  <c r="D1204"/>
  <c r="C1206"/>
  <c r="E1206"/>
  <c r="G1206"/>
  <c r="H1206"/>
  <c r="I1206"/>
  <c r="J1206"/>
  <c r="K1206"/>
  <c r="L1206"/>
  <c r="M1206"/>
  <c r="N1206"/>
  <c r="P1206"/>
  <c r="Q1206"/>
  <c r="R1206"/>
  <c r="D1206"/>
  <c r="C1208"/>
  <c r="E1208"/>
  <c r="G1208"/>
  <c r="H1208"/>
  <c r="I1208"/>
  <c r="J1208"/>
  <c r="K1208"/>
  <c r="L1208"/>
  <c r="M1208"/>
  <c r="N1208"/>
  <c r="P1208"/>
  <c r="Q1208"/>
  <c r="R1208"/>
  <c r="D1208"/>
  <c r="E1210"/>
  <c r="G1210"/>
  <c r="H1210"/>
  <c r="I1210"/>
  <c r="J1210"/>
  <c r="K1210"/>
  <c r="L1210"/>
  <c r="M1210"/>
  <c r="N1210"/>
  <c r="P1210"/>
  <c r="Q1210"/>
  <c r="R1210"/>
  <c r="D1210"/>
  <c r="D1212"/>
  <c r="D1214"/>
  <c r="D1223"/>
  <c r="O1140"/>
  <c r="M1140"/>
  <c r="D1140"/>
  <c r="D1224"/>
  <c r="D1221"/>
  <c r="E1161"/>
  <c r="E1213"/>
  <c r="E1217"/>
  <c r="E1222"/>
  <c r="E1212"/>
  <c r="E1214"/>
  <c r="E1223"/>
  <c r="E1224"/>
  <c r="E1221"/>
  <c r="F1221"/>
  <c r="G1161"/>
  <c r="G1213"/>
  <c r="G1217"/>
  <c r="G1222"/>
  <c r="G1212"/>
  <c r="G1214"/>
  <c r="G1223"/>
  <c r="G1224"/>
  <c r="G1221"/>
  <c r="H1161"/>
  <c r="H1213"/>
  <c r="H1217"/>
  <c r="H1222"/>
  <c r="H1212"/>
  <c r="H1214"/>
  <c r="H1223"/>
  <c r="H1224"/>
  <c r="H1221"/>
  <c r="I1161"/>
  <c r="I1213"/>
  <c r="I1217"/>
  <c r="I1222"/>
  <c r="I1212"/>
  <c r="I1214"/>
  <c r="I1223"/>
  <c r="I1224"/>
  <c r="I1221"/>
  <c r="J1161"/>
  <c r="J1213"/>
  <c r="J1217"/>
  <c r="J1222"/>
  <c r="J1212"/>
  <c r="J1214"/>
  <c r="J1223"/>
  <c r="J1224"/>
  <c r="J1221"/>
  <c r="K1161"/>
  <c r="K1213"/>
  <c r="K1217"/>
  <c r="K1222"/>
  <c r="K1212"/>
  <c r="K1214"/>
  <c r="K1223"/>
  <c r="K1224"/>
  <c r="K1221"/>
  <c r="L1161"/>
  <c r="L1213"/>
  <c r="L1217"/>
  <c r="L1222"/>
  <c r="L1212"/>
  <c r="L1214"/>
  <c r="L1223"/>
  <c r="L1224"/>
  <c r="L1221"/>
  <c r="M1221"/>
  <c r="N1161"/>
  <c r="N1213"/>
  <c r="N1217"/>
  <c r="N1222"/>
  <c r="N1212"/>
  <c r="N1214"/>
  <c r="N1223"/>
  <c r="N1224"/>
  <c r="N1221"/>
  <c r="O1221"/>
  <c r="P1161"/>
  <c r="P1213"/>
  <c r="P1217"/>
  <c r="P1222"/>
  <c r="P1212"/>
  <c r="P1214"/>
  <c r="P1223"/>
  <c r="P1224"/>
  <c r="P1221"/>
  <c r="Q1161"/>
  <c r="Q1213"/>
  <c r="Q1217"/>
  <c r="Q1222"/>
  <c r="Q1212"/>
  <c r="Q1214"/>
  <c r="Q1223"/>
  <c r="Q1224"/>
  <c r="Q1221"/>
  <c r="R1221"/>
  <c r="S1161"/>
  <c r="S1213"/>
  <c r="S1217"/>
  <c r="S1222"/>
  <c r="S1212"/>
  <c r="S1214"/>
  <c r="S1223"/>
  <c r="S1224"/>
  <c r="S1221"/>
  <c r="C1221"/>
  <c r="C1354"/>
  <c r="C1238"/>
  <c r="S1238"/>
  <c r="P1238"/>
  <c r="Q1238"/>
  <c r="O1238"/>
  <c r="M1240"/>
  <c r="D1240"/>
  <c r="D47"/>
  <c r="D50"/>
  <c r="D56"/>
  <c r="D62"/>
  <c r="D79"/>
  <c r="C1242"/>
  <c r="S1242"/>
  <c r="D1242"/>
  <c r="D96"/>
  <c r="D102"/>
  <c r="D108"/>
  <c r="D165"/>
  <c r="C1243"/>
  <c r="C1244"/>
  <c r="D1244"/>
  <c r="D1251"/>
  <c r="D158"/>
  <c r="D166"/>
  <c r="D164"/>
  <c r="D1243"/>
  <c r="D1245"/>
  <c r="C1246"/>
  <c r="D1246"/>
  <c r="C1247"/>
  <c r="D1247"/>
  <c r="C1249"/>
  <c r="D1249"/>
  <c r="D1248"/>
  <c r="D1252"/>
  <c r="O1241"/>
  <c r="M1241"/>
  <c r="D1241"/>
  <c r="D1253"/>
  <c r="D1250"/>
  <c r="E1242"/>
  <c r="E1244"/>
  <c r="E1251"/>
  <c r="E1243"/>
  <c r="E1245"/>
  <c r="E1246"/>
  <c r="E1247"/>
  <c r="E1249"/>
  <c r="E1248"/>
  <c r="E1252"/>
  <c r="E1253"/>
  <c r="E1250"/>
  <c r="F1250"/>
  <c r="G1242"/>
  <c r="G1244"/>
  <c r="G1251"/>
  <c r="G1243"/>
  <c r="G1245"/>
  <c r="G1246"/>
  <c r="G1247"/>
  <c r="G1249"/>
  <c r="G1248"/>
  <c r="G1252"/>
  <c r="G1253"/>
  <c r="G1250"/>
  <c r="H1242"/>
  <c r="H1244"/>
  <c r="H1251"/>
  <c r="H1243"/>
  <c r="H1245"/>
  <c r="H1246"/>
  <c r="H1247"/>
  <c r="H1249"/>
  <c r="H1248"/>
  <c r="H1252"/>
  <c r="H1253"/>
  <c r="H1250"/>
  <c r="I1242"/>
  <c r="I1244"/>
  <c r="I1251"/>
  <c r="I1243"/>
  <c r="I1245"/>
  <c r="I1246"/>
  <c r="I1247"/>
  <c r="I1249"/>
  <c r="I1248"/>
  <c r="I1252"/>
  <c r="I1253"/>
  <c r="I1250"/>
  <c r="J1242"/>
  <c r="J1244"/>
  <c r="J1251"/>
  <c r="J1243"/>
  <c r="J1245"/>
  <c r="J1246"/>
  <c r="J1247"/>
  <c r="J1249"/>
  <c r="J1248"/>
  <c r="J1252"/>
  <c r="J1253"/>
  <c r="J1250"/>
  <c r="K1242"/>
  <c r="K1244"/>
  <c r="K1251"/>
  <c r="K1243"/>
  <c r="K1245"/>
  <c r="K1246"/>
  <c r="K1247"/>
  <c r="K1249"/>
  <c r="K1248"/>
  <c r="K1252"/>
  <c r="K1253"/>
  <c r="K1250"/>
  <c r="L1242"/>
  <c r="L1244"/>
  <c r="L1251"/>
  <c r="L1243"/>
  <c r="L1245"/>
  <c r="L1246"/>
  <c r="L1247"/>
  <c r="L1249"/>
  <c r="L1248"/>
  <c r="L1252"/>
  <c r="L1253"/>
  <c r="L1250"/>
  <c r="M1250"/>
  <c r="N1242"/>
  <c r="N1244"/>
  <c r="N1251"/>
  <c r="N1243"/>
  <c r="N1245"/>
  <c r="N1246"/>
  <c r="N1247"/>
  <c r="N1249"/>
  <c r="N1248"/>
  <c r="N1252"/>
  <c r="N1253"/>
  <c r="N1250"/>
  <c r="O1250"/>
  <c r="P1242"/>
  <c r="P1244"/>
  <c r="P1251"/>
  <c r="P1243"/>
  <c r="P1245"/>
  <c r="P1246"/>
  <c r="P1247"/>
  <c r="P1249"/>
  <c r="P1248"/>
  <c r="P1252"/>
  <c r="P1253"/>
  <c r="P1250"/>
  <c r="Q1242"/>
  <c r="Q1244"/>
  <c r="Q1251"/>
  <c r="Q1243"/>
  <c r="Q1245"/>
  <c r="Q1246"/>
  <c r="Q1247"/>
  <c r="Q1249"/>
  <c r="Q1248"/>
  <c r="Q1252"/>
  <c r="Q1253"/>
  <c r="Q1250"/>
  <c r="R1250"/>
  <c r="S1250"/>
  <c r="C1250"/>
  <c r="C1357"/>
  <c r="C1258"/>
  <c r="S1258"/>
  <c r="O1258"/>
  <c r="M1260"/>
  <c r="D1260"/>
  <c r="C1262"/>
  <c r="S1262"/>
  <c r="C1263"/>
  <c r="D1271"/>
  <c r="D1278"/>
  <c r="D1265"/>
  <c r="C1266"/>
  <c r="C1268"/>
  <c r="D1272"/>
  <c r="D1279"/>
  <c r="O1261"/>
  <c r="M1261"/>
  <c r="D1261"/>
  <c r="D1273"/>
  <c r="D1280"/>
  <c r="D1277"/>
  <c r="E1271"/>
  <c r="E1278"/>
  <c r="E1265"/>
  <c r="E1272"/>
  <c r="E1279"/>
  <c r="E1273"/>
  <c r="E1280"/>
  <c r="E1277"/>
  <c r="F1277"/>
  <c r="G1271"/>
  <c r="G1278"/>
  <c r="G1265"/>
  <c r="G1272"/>
  <c r="G1279"/>
  <c r="G1273"/>
  <c r="G1280"/>
  <c r="G1277"/>
  <c r="H1271"/>
  <c r="H1278"/>
  <c r="H1265"/>
  <c r="H1272"/>
  <c r="H1279"/>
  <c r="H1273"/>
  <c r="H1280"/>
  <c r="H1277"/>
  <c r="I1271"/>
  <c r="I1278"/>
  <c r="I1265"/>
  <c r="I1272"/>
  <c r="I1279"/>
  <c r="I1273"/>
  <c r="I1280"/>
  <c r="I1277"/>
  <c r="J1271"/>
  <c r="J1278"/>
  <c r="J1265"/>
  <c r="J1272"/>
  <c r="J1279"/>
  <c r="J1273"/>
  <c r="J1280"/>
  <c r="J1277"/>
  <c r="K1271"/>
  <c r="K1278"/>
  <c r="K1265"/>
  <c r="K1272"/>
  <c r="K1279"/>
  <c r="K1273"/>
  <c r="K1280"/>
  <c r="K1277"/>
  <c r="L1271"/>
  <c r="L1278"/>
  <c r="L1265"/>
  <c r="L1272"/>
  <c r="L1279"/>
  <c r="L1273"/>
  <c r="L1280"/>
  <c r="L1277"/>
  <c r="M1277"/>
  <c r="N1271"/>
  <c r="N1278"/>
  <c r="N1265"/>
  <c r="N1272"/>
  <c r="N1279"/>
  <c r="N1273"/>
  <c r="N1280"/>
  <c r="N1277"/>
  <c r="O1277"/>
  <c r="P1271"/>
  <c r="P1278"/>
  <c r="P1265"/>
  <c r="P1272"/>
  <c r="P1279"/>
  <c r="P1273"/>
  <c r="P1280"/>
  <c r="P1277"/>
  <c r="Q1271"/>
  <c r="Q1278"/>
  <c r="Q1265"/>
  <c r="Q1272"/>
  <c r="Q1279"/>
  <c r="Q1273"/>
  <c r="Q1280"/>
  <c r="Q1277"/>
  <c r="R1277"/>
  <c r="S1271"/>
  <c r="S1278"/>
  <c r="S1272"/>
  <c r="S1279"/>
  <c r="S1273"/>
  <c r="S1280"/>
  <c r="S1277"/>
  <c r="C1277"/>
  <c r="C1358"/>
  <c r="C1295"/>
  <c r="E1295"/>
  <c r="G1295"/>
  <c r="H1295"/>
  <c r="I1295"/>
  <c r="J1295"/>
  <c r="K1295"/>
  <c r="L1295"/>
  <c r="M1295"/>
  <c r="N1295"/>
  <c r="R1295"/>
  <c r="D1295"/>
  <c r="C1296"/>
  <c r="E1296"/>
  <c r="G1296"/>
  <c r="H1296"/>
  <c r="I1296"/>
  <c r="J1296"/>
  <c r="K1296"/>
  <c r="L1296"/>
  <c r="M1296"/>
  <c r="N1296"/>
  <c r="R1296"/>
  <c r="D1296"/>
  <c r="M1297"/>
  <c r="R1297"/>
  <c r="D1297"/>
  <c r="E1298"/>
  <c r="G1298"/>
  <c r="H1298"/>
  <c r="I1298"/>
  <c r="J1298"/>
  <c r="K1298"/>
  <c r="L1298"/>
  <c r="M1298"/>
  <c r="N1298"/>
  <c r="R1298"/>
  <c r="D1298"/>
  <c r="D1299"/>
  <c r="E1299"/>
  <c r="F1299"/>
  <c r="G1299"/>
  <c r="H1299"/>
  <c r="I1299"/>
  <c r="J1299"/>
  <c r="K1299"/>
  <c r="L1299"/>
  <c r="M1299"/>
  <c r="N1299"/>
  <c r="O1299"/>
  <c r="P1299"/>
  <c r="Q1299"/>
  <c r="R1299"/>
  <c r="S1299"/>
  <c r="C1299"/>
  <c r="C1359"/>
  <c r="M1304"/>
  <c r="R1304"/>
  <c r="D1304"/>
  <c r="C1306"/>
  <c r="M1306"/>
  <c r="R1306"/>
  <c r="D1306"/>
  <c r="C1305"/>
  <c r="E1305"/>
  <c r="G1305"/>
  <c r="H1305"/>
  <c r="I1305"/>
  <c r="J1305"/>
  <c r="K1305"/>
  <c r="L1305"/>
  <c r="M1305"/>
  <c r="N1305"/>
  <c r="R1305"/>
  <c r="D1305"/>
  <c r="D1310"/>
  <c r="E1310"/>
  <c r="F1310"/>
  <c r="G1310"/>
  <c r="H1310"/>
  <c r="I1310"/>
  <c r="J1310"/>
  <c r="K1310"/>
  <c r="L1310"/>
  <c r="M1310"/>
  <c r="N1310"/>
  <c r="O1310"/>
  <c r="P1310"/>
  <c r="Q1310"/>
  <c r="R1310"/>
  <c r="S1310"/>
  <c r="C1310"/>
  <c r="C1360"/>
  <c r="C1312"/>
  <c r="C1361"/>
  <c r="C1362"/>
  <c r="C1364"/>
  <c r="S1345"/>
  <c r="S1346"/>
  <c r="S1347"/>
  <c r="S1348"/>
  <c r="S1349"/>
  <c r="S1353"/>
  <c r="S1354"/>
  <c r="S1355"/>
  <c r="S1357"/>
  <c r="S1358"/>
  <c r="S1359"/>
  <c r="S1360"/>
  <c r="S1312"/>
  <c r="S1361"/>
  <c r="S1362"/>
  <c r="S1364"/>
  <c r="C1366"/>
  <c r="C201"/>
  <c r="S202"/>
  <c r="M202"/>
  <c r="R202"/>
  <c r="D202"/>
  <c r="D208"/>
  <c r="M203"/>
  <c r="R203"/>
  <c r="D203"/>
  <c r="D209"/>
  <c r="C204"/>
  <c r="E204"/>
  <c r="G204"/>
  <c r="H204"/>
  <c r="I204"/>
  <c r="J204"/>
  <c r="K204"/>
  <c r="L204"/>
  <c r="M204"/>
  <c r="N204"/>
  <c r="P204"/>
  <c r="Q204"/>
  <c r="R204"/>
  <c r="S204"/>
  <c r="D204"/>
  <c r="D210"/>
  <c r="D207"/>
  <c r="E208"/>
  <c r="E209"/>
  <c r="E210"/>
  <c r="E207"/>
  <c r="F207"/>
  <c r="G208"/>
  <c r="G209"/>
  <c r="G210"/>
  <c r="G207"/>
  <c r="H208"/>
  <c r="H209"/>
  <c r="H210"/>
  <c r="H207"/>
  <c r="I208"/>
  <c r="I209"/>
  <c r="I210"/>
  <c r="I207"/>
  <c r="J208"/>
  <c r="J209"/>
  <c r="J210"/>
  <c r="J207"/>
  <c r="K208"/>
  <c r="K209"/>
  <c r="K210"/>
  <c r="K207"/>
  <c r="L208"/>
  <c r="L209"/>
  <c r="L210"/>
  <c r="L207"/>
  <c r="M207"/>
  <c r="N208"/>
  <c r="N209"/>
  <c r="N210"/>
  <c r="N207"/>
  <c r="O207"/>
  <c r="P208"/>
  <c r="P209"/>
  <c r="P210"/>
  <c r="P207"/>
  <c r="Q208"/>
  <c r="Q209"/>
  <c r="Q210"/>
  <c r="Q207"/>
  <c r="R207"/>
  <c r="S208"/>
  <c r="S209"/>
  <c r="S210"/>
  <c r="S207"/>
  <c r="C207"/>
  <c r="C1331"/>
  <c r="C222"/>
  <c r="O222"/>
  <c r="O225"/>
  <c r="E225"/>
  <c r="G225"/>
  <c r="H225"/>
  <c r="I225"/>
  <c r="J225"/>
  <c r="K225"/>
  <c r="L225"/>
  <c r="M225"/>
  <c r="N225"/>
  <c r="D225"/>
  <c r="E231"/>
  <c r="G231"/>
  <c r="H231"/>
  <c r="I231"/>
  <c r="J231"/>
  <c r="K231"/>
  <c r="L231"/>
  <c r="M231"/>
  <c r="N231"/>
  <c r="P231"/>
  <c r="Q231"/>
  <c r="R231"/>
  <c r="D231"/>
  <c r="C232"/>
  <c r="E232"/>
  <c r="G232"/>
  <c r="H232"/>
  <c r="I232"/>
  <c r="J232"/>
  <c r="K232"/>
  <c r="L232"/>
  <c r="M232"/>
  <c r="N232"/>
  <c r="P232"/>
  <c r="Q232"/>
  <c r="R232"/>
  <c r="D232"/>
  <c r="C233"/>
  <c r="E233"/>
  <c r="G233"/>
  <c r="H233"/>
  <c r="I233"/>
  <c r="J233"/>
  <c r="K233"/>
  <c r="L233"/>
  <c r="M233"/>
  <c r="N233"/>
  <c r="P233"/>
  <c r="Q233"/>
  <c r="R233"/>
  <c r="D233"/>
  <c r="C234"/>
  <c r="E234"/>
  <c r="G234"/>
  <c r="H234"/>
  <c r="I234"/>
  <c r="J234"/>
  <c r="K234"/>
  <c r="L234"/>
  <c r="M234"/>
  <c r="N234"/>
  <c r="P234"/>
  <c r="Q234"/>
  <c r="R234"/>
  <c r="D234"/>
  <c r="C235"/>
  <c r="E235"/>
  <c r="G235"/>
  <c r="H235"/>
  <c r="I235"/>
  <c r="J235"/>
  <c r="K235"/>
  <c r="L235"/>
  <c r="M235"/>
  <c r="N235"/>
  <c r="P235"/>
  <c r="Q235"/>
  <c r="R235"/>
  <c r="D235"/>
  <c r="C236"/>
  <c r="E236"/>
  <c r="G236"/>
  <c r="H236"/>
  <c r="I236"/>
  <c r="J236"/>
  <c r="K236"/>
  <c r="L236"/>
  <c r="M236"/>
  <c r="N236"/>
  <c r="P236"/>
  <c r="Q236"/>
  <c r="R236"/>
  <c r="D236"/>
  <c r="E237"/>
  <c r="G237"/>
  <c r="H237"/>
  <c r="I237"/>
  <c r="J237"/>
  <c r="K237"/>
  <c r="L237"/>
  <c r="M237"/>
  <c r="N237"/>
  <c r="P237"/>
  <c r="Q237"/>
  <c r="R237"/>
  <c r="D237"/>
  <c r="C238"/>
  <c r="E238"/>
  <c r="G238"/>
  <c r="H238"/>
  <c r="I238"/>
  <c r="J238"/>
  <c r="K238"/>
  <c r="L238"/>
  <c r="M238"/>
  <c r="N238"/>
  <c r="P238"/>
  <c r="Q238"/>
  <c r="R238"/>
  <c r="D238"/>
  <c r="D239"/>
  <c r="E244"/>
  <c r="G244"/>
  <c r="H244"/>
  <c r="I244"/>
  <c r="J244"/>
  <c r="K244"/>
  <c r="L244"/>
  <c r="M244"/>
  <c r="N244"/>
  <c r="P244"/>
  <c r="Q244"/>
  <c r="R244"/>
  <c r="D244"/>
  <c r="E246"/>
  <c r="G246"/>
  <c r="H246"/>
  <c r="I246"/>
  <c r="J246"/>
  <c r="K246"/>
  <c r="L246"/>
  <c r="M246"/>
  <c r="N246"/>
  <c r="P246"/>
  <c r="Q246"/>
  <c r="R246"/>
  <c r="D246"/>
  <c r="C248"/>
  <c r="E248"/>
  <c r="G248"/>
  <c r="H248"/>
  <c r="I248"/>
  <c r="J248"/>
  <c r="K248"/>
  <c r="L248"/>
  <c r="M248"/>
  <c r="N248"/>
  <c r="P248"/>
  <c r="Q248"/>
  <c r="R248"/>
  <c r="D248"/>
  <c r="C251"/>
  <c r="E251"/>
  <c r="G251"/>
  <c r="H251"/>
  <c r="I251"/>
  <c r="J251"/>
  <c r="K251"/>
  <c r="L251"/>
  <c r="M251"/>
  <c r="N251"/>
  <c r="P251"/>
  <c r="Q251"/>
  <c r="R251"/>
  <c r="D251"/>
  <c r="C256"/>
  <c r="E256"/>
  <c r="G256"/>
  <c r="H256"/>
  <c r="I256"/>
  <c r="J256"/>
  <c r="K256"/>
  <c r="L256"/>
  <c r="M256"/>
  <c r="N256"/>
  <c r="P256"/>
  <c r="Q256"/>
  <c r="R256"/>
  <c r="D256"/>
  <c r="C271"/>
  <c r="E271"/>
  <c r="G271"/>
  <c r="H271"/>
  <c r="I271"/>
  <c r="J271"/>
  <c r="K271"/>
  <c r="L271"/>
  <c r="M271"/>
  <c r="N271"/>
  <c r="P271"/>
  <c r="Q271"/>
  <c r="R271"/>
  <c r="D271"/>
  <c r="C276"/>
  <c r="E276"/>
  <c r="G276"/>
  <c r="H276"/>
  <c r="I276"/>
  <c r="J276"/>
  <c r="K276"/>
  <c r="L276"/>
  <c r="M276"/>
  <c r="N276"/>
  <c r="P276"/>
  <c r="Q276"/>
  <c r="R276"/>
  <c r="D276"/>
  <c r="C283"/>
  <c r="C281"/>
  <c r="E281"/>
  <c r="G281"/>
  <c r="H281"/>
  <c r="I281"/>
  <c r="J281"/>
  <c r="K281"/>
  <c r="L281"/>
  <c r="M281"/>
  <c r="N281"/>
  <c r="P281"/>
  <c r="Q281"/>
  <c r="R281"/>
  <c r="D281"/>
  <c r="D292"/>
  <c r="C302"/>
  <c r="S299"/>
  <c r="M299"/>
  <c r="R299"/>
  <c r="D299"/>
  <c r="D305"/>
  <c r="M300"/>
  <c r="R300"/>
  <c r="D300"/>
  <c r="E253"/>
  <c r="G253"/>
  <c r="H253"/>
  <c r="I253"/>
  <c r="J253"/>
  <c r="K253"/>
  <c r="L253"/>
  <c r="M253"/>
  <c r="N253"/>
  <c r="P253"/>
  <c r="Q253"/>
  <c r="R253"/>
  <c r="D253"/>
  <c r="E258"/>
  <c r="G258"/>
  <c r="H258"/>
  <c r="I258"/>
  <c r="J258"/>
  <c r="K258"/>
  <c r="L258"/>
  <c r="M258"/>
  <c r="N258"/>
  <c r="P258"/>
  <c r="Q258"/>
  <c r="R258"/>
  <c r="D258"/>
  <c r="E273"/>
  <c r="G273"/>
  <c r="H273"/>
  <c r="I273"/>
  <c r="J273"/>
  <c r="K273"/>
  <c r="L273"/>
  <c r="M273"/>
  <c r="N273"/>
  <c r="P273"/>
  <c r="Q273"/>
  <c r="R273"/>
  <c r="D273"/>
  <c r="E278"/>
  <c r="G278"/>
  <c r="H278"/>
  <c r="I278"/>
  <c r="J278"/>
  <c r="K278"/>
  <c r="L278"/>
  <c r="M278"/>
  <c r="N278"/>
  <c r="P278"/>
  <c r="Q278"/>
  <c r="R278"/>
  <c r="D278"/>
  <c r="E283"/>
  <c r="G283"/>
  <c r="H283"/>
  <c r="I283"/>
  <c r="J283"/>
  <c r="K283"/>
  <c r="L283"/>
  <c r="M283"/>
  <c r="N283"/>
  <c r="P283"/>
  <c r="Q283"/>
  <c r="R283"/>
  <c r="D283"/>
  <c r="C285"/>
  <c r="E285"/>
  <c r="G285"/>
  <c r="H285"/>
  <c r="I285"/>
  <c r="J285"/>
  <c r="K285"/>
  <c r="L285"/>
  <c r="M285"/>
  <c r="N285"/>
  <c r="P285"/>
  <c r="Q285"/>
  <c r="R285"/>
  <c r="D285"/>
  <c r="C287"/>
  <c r="E287"/>
  <c r="G287"/>
  <c r="H287"/>
  <c r="I287"/>
  <c r="J287"/>
  <c r="K287"/>
  <c r="L287"/>
  <c r="M287"/>
  <c r="N287"/>
  <c r="P287"/>
  <c r="Q287"/>
  <c r="R287"/>
  <c r="D287"/>
  <c r="E289"/>
  <c r="G289"/>
  <c r="H289"/>
  <c r="I289"/>
  <c r="J289"/>
  <c r="K289"/>
  <c r="L289"/>
  <c r="M289"/>
  <c r="N289"/>
  <c r="P289"/>
  <c r="Q289"/>
  <c r="R289"/>
  <c r="D289"/>
  <c r="D291"/>
  <c r="D293"/>
  <c r="D306"/>
  <c r="M302"/>
  <c r="R302"/>
  <c r="D302"/>
  <c r="D301"/>
  <c r="O226"/>
  <c r="E226"/>
  <c r="G226"/>
  <c r="H226"/>
  <c r="I226"/>
  <c r="J226"/>
  <c r="K226"/>
  <c r="L226"/>
  <c r="M226"/>
  <c r="N226"/>
  <c r="D226"/>
  <c r="D307"/>
  <c r="D304"/>
  <c r="E239"/>
  <c r="E292"/>
  <c r="E305"/>
  <c r="E291"/>
  <c r="E293"/>
  <c r="E306"/>
  <c r="E301"/>
  <c r="E307"/>
  <c r="E304"/>
  <c r="F304"/>
  <c r="G239"/>
  <c r="G292"/>
  <c r="G305"/>
  <c r="G291"/>
  <c r="G293"/>
  <c r="G306"/>
  <c r="G301"/>
  <c r="G307"/>
  <c r="G304"/>
  <c r="H239"/>
  <c r="H292"/>
  <c r="H305"/>
  <c r="H291"/>
  <c r="H293"/>
  <c r="H306"/>
  <c r="H301"/>
  <c r="H307"/>
  <c r="H304"/>
  <c r="I239"/>
  <c r="I292"/>
  <c r="I305"/>
  <c r="I291"/>
  <c r="I293"/>
  <c r="I306"/>
  <c r="I301"/>
  <c r="I307"/>
  <c r="I304"/>
  <c r="J239"/>
  <c r="J292"/>
  <c r="J305"/>
  <c r="J291"/>
  <c r="J293"/>
  <c r="J306"/>
  <c r="J301"/>
  <c r="J307"/>
  <c r="J304"/>
  <c r="K239"/>
  <c r="K292"/>
  <c r="K305"/>
  <c r="K291"/>
  <c r="K293"/>
  <c r="K306"/>
  <c r="K301"/>
  <c r="K307"/>
  <c r="K304"/>
  <c r="L239"/>
  <c r="L292"/>
  <c r="L305"/>
  <c r="L291"/>
  <c r="L293"/>
  <c r="L306"/>
  <c r="L301"/>
  <c r="L307"/>
  <c r="L304"/>
  <c r="M304"/>
  <c r="N239"/>
  <c r="N292"/>
  <c r="N305"/>
  <c r="N291"/>
  <c r="N293"/>
  <c r="N306"/>
  <c r="N301"/>
  <c r="N307"/>
  <c r="N304"/>
  <c r="O304"/>
  <c r="P222"/>
  <c r="P239"/>
  <c r="P292"/>
  <c r="P305"/>
  <c r="P291"/>
  <c r="P293"/>
  <c r="P306"/>
  <c r="P301"/>
  <c r="P307"/>
  <c r="P304"/>
  <c r="Q222"/>
  <c r="Q239"/>
  <c r="Q292"/>
  <c r="Q305"/>
  <c r="Q291"/>
  <c r="Q293"/>
  <c r="Q306"/>
  <c r="Q301"/>
  <c r="Q307"/>
  <c r="Q304"/>
  <c r="R304"/>
  <c r="S239"/>
  <c r="S292"/>
  <c r="S305"/>
  <c r="S291"/>
  <c r="S293"/>
  <c r="S306"/>
  <c r="S307"/>
  <c r="S304"/>
  <c r="C304"/>
  <c r="C1332"/>
  <c r="C1333"/>
  <c r="C327"/>
  <c r="O327"/>
  <c r="O323"/>
  <c r="M323"/>
  <c r="D323"/>
  <c r="C332"/>
  <c r="C333"/>
  <c r="C334"/>
  <c r="E333"/>
  <c r="E334"/>
  <c r="G333"/>
  <c r="G334"/>
  <c r="H333"/>
  <c r="H334"/>
  <c r="I333"/>
  <c r="I334"/>
  <c r="J333"/>
  <c r="J334"/>
  <c r="K333"/>
  <c r="K334"/>
  <c r="L333"/>
  <c r="L334"/>
  <c r="M334"/>
  <c r="N333"/>
  <c r="N334"/>
  <c r="P333"/>
  <c r="P334"/>
  <c r="Q333"/>
  <c r="Q334"/>
  <c r="R334"/>
  <c r="S334"/>
  <c r="D334"/>
  <c r="C340"/>
  <c r="M340"/>
  <c r="R340"/>
  <c r="D340"/>
  <c r="C343"/>
  <c r="E343"/>
  <c r="G343"/>
  <c r="H343"/>
  <c r="I343"/>
  <c r="J343"/>
  <c r="K343"/>
  <c r="L343"/>
  <c r="M343"/>
  <c r="N343"/>
  <c r="P343"/>
  <c r="Q343"/>
  <c r="R343"/>
  <c r="D343"/>
  <c r="D354"/>
  <c r="C341"/>
  <c r="E341"/>
  <c r="G341"/>
  <c r="H341"/>
  <c r="I341"/>
  <c r="J341"/>
  <c r="K341"/>
  <c r="L341"/>
  <c r="M341"/>
  <c r="N341"/>
  <c r="P341"/>
  <c r="Q341"/>
  <c r="R341"/>
  <c r="D341"/>
  <c r="C342"/>
  <c r="D342"/>
  <c r="C347"/>
  <c r="E347"/>
  <c r="G347"/>
  <c r="H347"/>
  <c r="I347"/>
  <c r="J347"/>
  <c r="K347"/>
  <c r="L347"/>
  <c r="M347"/>
  <c r="N347"/>
  <c r="P347"/>
  <c r="Q347"/>
  <c r="R347"/>
  <c r="D347"/>
  <c r="C350"/>
  <c r="E350"/>
  <c r="G350"/>
  <c r="H350"/>
  <c r="I350"/>
  <c r="J350"/>
  <c r="K350"/>
  <c r="L350"/>
  <c r="M350"/>
  <c r="N350"/>
  <c r="R350"/>
  <c r="D350"/>
  <c r="D355"/>
  <c r="O324"/>
  <c r="M324"/>
  <c r="D324"/>
  <c r="M326"/>
  <c r="R326"/>
  <c r="D326"/>
  <c r="D356"/>
  <c r="D353"/>
  <c r="E354"/>
  <c r="E342"/>
  <c r="E355"/>
  <c r="E356"/>
  <c r="E353"/>
  <c r="F353"/>
  <c r="G354"/>
  <c r="G342"/>
  <c r="G355"/>
  <c r="G356"/>
  <c r="G353"/>
  <c r="H354"/>
  <c r="H342"/>
  <c r="H355"/>
  <c r="H356"/>
  <c r="H353"/>
  <c r="I354"/>
  <c r="I342"/>
  <c r="I355"/>
  <c r="I356"/>
  <c r="I353"/>
  <c r="J354"/>
  <c r="J342"/>
  <c r="J355"/>
  <c r="J356"/>
  <c r="J353"/>
  <c r="K354"/>
  <c r="K342"/>
  <c r="K355"/>
  <c r="K356"/>
  <c r="K353"/>
  <c r="L354"/>
  <c r="L342"/>
  <c r="L355"/>
  <c r="L356"/>
  <c r="L353"/>
  <c r="M353"/>
  <c r="N354"/>
  <c r="N342"/>
  <c r="N355"/>
  <c r="N356"/>
  <c r="N353"/>
  <c r="O353"/>
  <c r="P321"/>
  <c r="P354"/>
  <c r="P342"/>
  <c r="P355"/>
  <c r="P356"/>
  <c r="P353"/>
  <c r="Q321"/>
  <c r="Q354"/>
  <c r="Q342"/>
  <c r="Q355"/>
  <c r="Q356"/>
  <c r="Q353"/>
  <c r="R353"/>
  <c r="S321"/>
  <c r="S354"/>
  <c r="S355"/>
  <c r="S356"/>
  <c r="S353"/>
  <c r="C353"/>
  <c r="C1334"/>
  <c r="F1122"/>
  <c r="M1122"/>
  <c r="O1122"/>
  <c r="R1122"/>
  <c r="C1122"/>
  <c r="M1307"/>
  <c r="R1307"/>
  <c r="D1307"/>
  <c r="D1315"/>
  <c r="E1315"/>
  <c r="F1315"/>
  <c r="G1315"/>
  <c r="H1315"/>
  <c r="I1315"/>
  <c r="J1315"/>
  <c r="K1315"/>
  <c r="L1315"/>
  <c r="M1315"/>
  <c r="N1315"/>
  <c r="O1315"/>
  <c r="P1315"/>
  <c r="Q1315"/>
  <c r="R1315"/>
  <c r="S1251"/>
  <c r="S1315"/>
  <c r="C1315"/>
  <c r="C851"/>
  <c r="D1312"/>
  <c r="D1314"/>
  <c r="E1312"/>
  <c r="E1314"/>
  <c r="F1314"/>
  <c r="G1312"/>
  <c r="G1314"/>
  <c r="H1312"/>
  <c r="H1314"/>
  <c r="I1312"/>
  <c r="I1314"/>
  <c r="J1312"/>
  <c r="J1314"/>
  <c r="K1312"/>
  <c r="K1314"/>
  <c r="L1312"/>
  <c r="L1314"/>
  <c r="M1314"/>
  <c r="N1312"/>
  <c r="N1314"/>
  <c r="O1314"/>
  <c r="P1312"/>
  <c r="P1314"/>
  <c r="Q1312"/>
  <c r="Q1314"/>
  <c r="R1314"/>
  <c r="S1314"/>
  <c r="C1314"/>
  <c r="C370"/>
  <c r="C371"/>
  <c r="E371"/>
  <c r="G371"/>
  <c r="H371"/>
  <c r="I371"/>
  <c r="J371"/>
  <c r="K371"/>
  <c r="L371"/>
  <c r="M371"/>
  <c r="N371"/>
  <c r="P371"/>
  <c r="Q371"/>
  <c r="R371"/>
  <c r="S371"/>
  <c r="D371"/>
  <c r="S396"/>
  <c r="S397"/>
  <c r="S394"/>
  <c r="S398"/>
  <c r="S395"/>
  <c r="F202"/>
  <c r="F203"/>
  <c r="F204"/>
  <c r="F205"/>
  <c r="G205"/>
  <c r="H205"/>
  <c r="I205"/>
  <c r="J205"/>
  <c r="K205"/>
  <c r="L205"/>
  <c r="M205"/>
  <c r="N205"/>
  <c r="O205"/>
  <c r="P205"/>
  <c r="Q205"/>
  <c r="R205"/>
  <c r="S205"/>
  <c r="C205"/>
  <c r="O166"/>
  <c r="R166"/>
  <c r="C166"/>
  <c r="C388"/>
  <c r="C383"/>
  <c r="P383"/>
  <c r="Q383"/>
  <c r="O383"/>
  <c r="O385"/>
  <c r="E385"/>
  <c r="G385"/>
  <c r="H385"/>
  <c r="I385"/>
  <c r="J385"/>
  <c r="K385"/>
  <c r="L385"/>
  <c r="M385"/>
  <c r="N385"/>
  <c r="D385"/>
  <c r="E387"/>
  <c r="G387"/>
  <c r="H387"/>
  <c r="I387"/>
  <c r="J387"/>
  <c r="K387"/>
  <c r="L387"/>
  <c r="M387"/>
  <c r="N387"/>
  <c r="P387"/>
  <c r="Q387"/>
  <c r="R387"/>
  <c r="D387"/>
  <c r="E389"/>
  <c r="G389"/>
  <c r="H389"/>
  <c r="I389"/>
  <c r="J389"/>
  <c r="K389"/>
  <c r="L389"/>
  <c r="M389"/>
  <c r="N389"/>
  <c r="P389"/>
  <c r="Q389"/>
  <c r="R389"/>
  <c r="D389"/>
  <c r="D396"/>
  <c r="P400"/>
  <c r="Q400"/>
  <c r="O400"/>
  <c r="O402"/>
  <c r="E402"/>
  <c r="G402"/>
  <c r="H402"/>
  <c r="I402"/>
  <c r="J402"/>
  <c r="K402"/>
  <c r="L402"/>
  <c r="M402"/>
  <c r="N402"/>
  <c r="D402"/>
  <c r="C406"/>
  <c r="M408"/>
  <c r="D408"/>
  <c r="C410"/>
  <c r="M410"/>
  <c r="R410"/>
  <c r="D410"/>
  <c r="C411"/>
  <c r="M412"/>
  <c r="R412"/>
  <c r="D412"/>
  <c r="D429"/>
  <c r="F208"/>
  <c r="M208"/>
  <c r="O208"/>
  <c r="R208"/>
  <c r="C208"/>
  <c r="F305"/>
  <c r="M305"/>
  <c r="O305"/>
  <c r="R305"/>
  <c r="C305"/>
  <c r="C439"/>
  <c r="S439"/>
  <c r="S440"/>
  <c r="C440"/>
  <c r="E440"/>
  <c r="G440"/>
  <c r="H440"/>
  <c r="I440"/>
  <c r="J440"/>
  <c r="K440"/>
  <c r="L440"/>
  <c r="M440"/>
  <c r="N440"/>
  <c r="P440"/>
  <c r="Q440"/>
  <c r="R440"/>
  <c r="D440"/>
  <c r="C445"/>
  <c r="M447"/>
  <c r="D447"/>
  <c r="C449"/>
  <c r="M449"/>
  <c r="R449"/>
  <c r="D449"/>
  <c r="C450"/>
  <c r="M451"/>
  <c r="R451"/>
  <c r="D451"/>
  <c r="D458"/>
  <c r="C472"/>
  <c r="C473"/>
  <c r="E473"/>
  <c r="G473"/>
  <c r="H473"/>
  <c r="I473"/>
  <c r="J473"/>
  <c r="K473"/>
  <c r="L473"/>
  <c r="M473"/>
  <c r="N473"/>
  <c r="P473"/>
  <c r="Q473"/>
  <c r="R473"/>
  <c r="S473"/>
  <c r="D473"/>
  <c r="C377"/>
  <c r="E377"/>
  <c r="G377"/>
  <c r="H377"/>
  <c r="I377"/>
  <c r="J377"/>
  <c r="K377"/>
  <c r="L377"/>
  <c r="M377"/>
  <c r="N377"/>
  <c r="P377"/>
  <c r="Q377"/>
  <c r="R377"/>
  <c r="S377"/>
  <c r="D377"/>
  <c r="C433"/>
  <c r="C434"/>
  <c r="E434"/>
  <c r="G434"/>
  <c r="H434"/>
  <c r="I434"/>
  <c r="J434"/>
  <c r="K434"/>
  <c r="L434"/>
  <c r="M434"/>
  <c r="N434"/>
  <c r="P434"/>
  <c r="Q434"/>
  <c r="R434"/>
  <c r="S434"/>
  <c r="D434"/>
  <c r="D482"/>
  <c r="F1124"/>
  <c r="M1124"/>
  <c r="O1124"/>
  <c r="R1124"/>
  <c r="C1124"/>
  <c r="M1309"/>
  <c r="R1309"/>
  <c r="D1309"/>
  <c r="D1308"/>
  <c r="D1316"/>
  <c r="E1308"/>
  <c r="E1316"/>
  <c r="F1316"/>
  <c r="G1308"/>
  <c r="G1316"/>
  <c r="H1308"/>
  <c r="H1316"/>
  <c r="I1308"/>
  <c r="I1316"/>
  <c r="J1308"/>
  <c r="J1316"/>
  <c r="K1308"/>
  <c r="K1316"/>
  <c r="L1308"/>
  <c r="L1316"/>
  <c r="M1316"/>
  <c r="N1308"/>
  <c r="N1316"/>
  <c r="O1316"/>
  <c r="P1308"/>
  <c r="P1316"/>
  <c r="Q1308"/>
  <c r="Q1316"/>
  <c r="R1316"/>
  <c r="S1252"/>
  <c r="S1316"/>
  <c r="C1316"/>
  <c r="C372"/>
  <c r="E372"/>
  <c r="G372"/>
  <c r="H372"/>
  <c r="I372"/>
  <c r="J372"/>
  <c r="K372"/>
  <c r="L372"/>
  <c r="M372"/>
  <c r="N372"/>
  <c r="P372"/>
  <c r="Q372"/>
  <c r="R372"/>
  <c r="S372"/>
  <c r="D372"/>
  <c r="E390"/>
  <c r="G390"/>
  <c r="H390"/>
  <c r="I390"/>
  <c r="J390"/>
  <c r="K390"/>
  <c r="L390"/>
  <c r="M390"/>
  <c r="N390"/>
  <c r="P390"/>
  <c r="Q390"/>
  <c r="R390"/>
  <c r="D390"/>
  <c r="E391"/>
  <c r="G391"/>
  <c r="H391"/>
  <c r="I391"/>
  <c r="J391"/>
  <c r="K391"/>
  <c r="L391"/>
  <c r="M391"/>
  <c r="N391"/>
  <c r="P391"/>
  <c r="Q391"/>
  <c r="R391"/>
  <c r="D391"/>
  <c r="F1051"/>
  <c r="M1051"/>
  <c r="O1051"/>
  <c r="R1051"/>
  <c r="C1051"/>
  <c r="C1052"/>
  <c r="E393"/>
  <c r="G393"/>
  <c r="H393"/>
  <c r="I393"/>
  <c r="J393"/>
  <c r="K393"/>
  <c r="L393"/>
  <c r="M393"/>
  <c r="N393"/>
  <c r="P393"/>
  <c r="Q393"/>
  <c r="R393"/>
  <c r="D393"/>
  <c r="D397"/>
  <c r="F209"/>
  <c r="M209"/>
  <c r="O209"/>
  <c r="R209"/>
  <c r="C209"/>
  <c r="F306"/>
  <c r="M306"/>
  <c r="O306"/>
  <c r="R306"/>
  <c r="C306"/>
  <c r="C441"/>
  <c r="E441"/>
  <c r="G441"/>
  <c r="H441"/>
  <c r="I441"/>
  <c r="J441"/>
  <c r="K441"/>
  <c r="L441"/>
  <c r="M441"/>
  <c r="N441"/>
  <c r="P441"/>
  <c r="Q441"/>
  <c r="R441"/>
  <c r="D441"/>
  <c r="M452"/>
  <c r="R452"/>
  <c r="D452"/>
  <c r="C454"/>
  <c r="M455"/>
  <c r="R455"/>
  <c r="S454"/>
  <c r="S455"/>
  <c r="D455"/>
  <c r="C453"/>
  <c r="M453"/>
  <c r="R453"/>
  <c r="S453"/>
  <c r="D453"/>
  <c r="D459"/>
  <c r="C378"/>
  <c r="E378"/>
  <c r="G378"/>
  <c r="H378"/>
  <c r="I378"/>
  <c r="J378"/>
  <c r="K378"/>
  <c r="L378"/>
  <c r="M378"/>
  <c r="N378"/>
  <c r="P378"/>
  <c r="Q378"/>
  <c r="R378"/>
  <c r="S378"/>
  <c r="D378"/>
  <c r="M413"/>
  <c r="R413"/>
  <c r="D413"/>
  <c r="C425"/>
  <c r="M426"/>
  <c r="R426"/>
  <c r="D426"/>
  <c r="C424"/>
  <c r="M424"/>
  <c r="R424"/>
  <c r="D424"/>
  <c r="D430"/>
  <c r="C435"/>
  <c r="E435"/>
  <c r="G435"/>
  <c r="H435"/>
  <c r="I435"/>
  <c r="J435"/>
  <c r="K435"/>
  <c r="L435"/>
  <c r="M435"/>
  <c r="N435"/>
  <c r="P435"/>
  <c r="Q435"/>
  <c r="R435"/>
  <c r="S435"/>
  <c r="D435"/>
  <c r="C474"/>
  <c r="E474"/>
  <c r="G474"/>
  <c r="H474"/>
  <c r="I474"/>
  <c r="J474"/>
  <c r="K474"/>
  <c r="L474"/>
  <c r="M474"/>
  <c r="N474"/>
  <c r="P474"/>
  <c r="Q474"/>
  <c r="R474"/>
  <c r="S474"/>
  <c r="D474"/>
  <c r="D483"/>
  <c r="F1123"/>
  <c r="M1123"/>
  <c r="O1123"/>
  <c r="R1123"/>
  <c r="C1123"/>
  <c r="D1317"/>
  <c r="E1317"/>
  <c r="F1317"/>
  <c r="G1317"/>
  <c r="H1317"/>
  <c r="I1317"/>
  <c r="J1317"/>
  <c r="K1317"/>
  <c r="L1317"/>
  <c r="M1317"/>
  <c r="N1317"/>
  <c r="O1317"/>
  <c r="P1317"/>
  <c r="Q1317"/>
  <c r="R1317"/>
  <c r="S1253"/>
  <c r="S1317"/>
  <c r="C1317"/>
  <c r="C373"/>
  <c r="E373"/>
  <c r="G373"/>
  <c r="H373"/>
  <c r="I373"/>
  <c r="J373"/>
  <c r="K373"/>
  <c r="L373"/>
  <c r="M373"/>
  <c r="N373"/>
  <c r="P373"/>
  <c r="Q373"/>
  <c r="R373"/>
  <c r="S373"/>
  <c r="D373"/>
  <c r="C394"/>
  <c r="E392"/>
  <c r="E394"/>
  <c r="G392"/>
  <c r="G394"/>
  <c r="H392"/>
  <c r="H394"/>
  <c r="I392"/>
  <c r="I394"/>
  <c r="J392"/>
  <c r="J394"/>
  <c r="K392"/>
  <c r="K394"/>
  <c r="L392"/>
  <c r="L394"/>
  <c r="M394"/>
  <c r="N392"/>
  <c r="N394"/>
  <c r="P392"/>
  <c r="P394"/>
  <c r="Q392"/>
  <c r="Q394"/>
  <c r="R394"/>
  <c r="D394"/>
  <c r="O386"/>
  <c r="E386"/>
  <c r="G386"/>
  <c r="H386"/>
  <c r="I386"/>
  <c r="J386"/>
  <c r="K386"/>
  <c r="L386"/>
  <c r="M386"/>
  <c r="N386"/>
  <c r="D386"/>
  <c r="D398"/>
  <c r="F210"/>
  <c r="M210"/>
  <c r="O210"/>
  <c r="R210"/>
  <c r="C210"/>
  <c r="F307"/>
  <c r="M307"/>
  <c r="O307"/>
  <c r="R307"/>
  <c r="C307"/>
  <c r="S442"/>
  <c r="C442"/>
  <c r="E442"/>
  <c r="G442"/>
  <c r="H442"/>
  <c r="I442"/>
  <c r="J442"/>
  <c r="K442"/>
  <c r="L442"/>
  <c r="M442"/>
  <c r="N442"/>
  <c r="P442"/>
  <c r="Q442"/>
  <c r="R442"/>
  <c r="D442"/>
  <c r="O403"/>
  <c r="E403"/>
  <c r="G403"/>
  <c r="H403"/>
  <c r="I403"/>
  <c r="J403"/>
  <c r="K403"/>
  <c r="L403"/>
  <c r="M403"/>
  <c r="N403"/>
  <c r="D403"/>
  <c r="M427"/>
  <c r="R427"/>
  <c r="D427"/>
  <c r="O409"/>
  <c r="M409"/>
  <c r="D409"/>
  <c r="D431"/>
  <c r="M456"/>
  <c r="R456"/>
  <c r="D456"/>
  <c r="O448"/>
  <c r="M448"/>
  <c r="D448"/>
  <c r="D460"/>
  <c r="C475"/>
  <c r="E475"/>
  <c r="G475"/>
  <c r="H475"/>
  <c r="I475"/>
  <c r="J475"/>
  <c r="K475"/>
  <c r="L475"/>
  <c r="M475"/>
  <c r="N475"/>
  <c r="P475"/>
  <c r="Q475"/>
  <c r="R475"/>
  <c r="S475"/>
  <c r="D475"/>
  <c r="C379"/>
  <c r="E379"/>
  <c r="G379"/>
  <c r="H379"/>
  <c r="I379"/>
  <c r="J379"/>
  <c r="K379"/>
  <c r="L379"/>
  <c r="M379"/>
  <c r="N379"/>
  <c r="P379"/>
  <c r="Q379"/>
  <c r="R379"/>
  <c r="S379"/>
  <c r="D379"/>
  <c r="C436"/>
  <c r="E436"/>
  <c r="G436"/>
  <c r="H436"/>
  <c r="I436"/>
  <c r="J436"/>
  <c r="K436"/>
  <c r="L436"/>
  <c r="M436"/>
  <c r="N436"/>
  <c r="P436"/>
  <c r="Q436"/>
  <c r="R436"/>
  <c r="S436"/>
  <c r="D436"/>
  <c r="D484"/>
  <c r="E1318"/>
  <c r="F1125"/>
  <c r="M1125"/>
  <c r="O1125"/>
  <c r="R1125"/>
  <c r="C1125"/>
  <c r="D1318"/>
  <c r="F1318"/>
  <c r="G1318"/>
  <c r="H1318"/>
  <c r="I1318"/>
  <c r="J1318"/>
  <c r="K1318"/>
  <c r="L1318"/>
  <c r="M1318"/>
  <c r="N1318"/>
  <c r="O1318"/>
  <c r="P1318"/>
  <c r="Q1318"/>
  <c r="R1318"/>
  <c r="S1318"/>
  <c r="C1318"/>
  <c r="C374"/>
  <c r="E374"/>
  <c r="E370"/>
  <c r="G374"/>
  <c r="G370"/>
  <c r="H374"/>
  <c r="H370"/>
  <c r="I374"/>
  <c r="I370"/>
  <c r="J374"/>
  <c r="J370"/>
  <c r="K374"/>
  <c r="K370"/>
  <c r="L374"/>
  <c r="L370"/>
  <c r="M370"/>
  <c r="N374"/>
  <c r="N370"/>
  <c r="P374"/>
  <c r="P370"/>
  <c r="Q374"/>
  <c r="Q370"/>
  <c r="R370"/>
  <c r="S374"/>
  <c r="S370"/>
  <c r="D370"/>
  <c r="D374"/>
  <c r="E479"/>
  <c r="G479"/>
  <c r="H479"/>
  <c r="I479"/>
  <c r="J479"/>
  <c r="K479"/>
  <c r="L479"/>
  <c r="M479"/>
  <c r="N479"/>
  <c r="R479"/>
  <c r="D479"/>
  <c r="C380"/>
  <c r="E380"/>
  <c r="E376"/>
  <c r="G380"/>
  <c r="G376"/>
  <c r="H380"/>
  <c r="H376"/>
  <c r="I380"/>
  <c r="I376"/>
  <c r="J380"/>
  <c r="J376"/>
  <c r="K380"/>
  <c r="K376"/>
  <c r="L380"/>
  <c r="L376"/>
  <c r="M376"/>
  <c r="N380"/>
  <c r="N376"/>
  <c r="P380"/>
  <c r="P376"/>
  <c r="Q380"/>
  <c r="Q376"/>
  <c r="R376"/>
  <c r="S380"/>
  <c r="S376"/>
  <c r="D376"/>
  <c r="D380"/>
  <c r="C437"/>
  <c r="E437"/>
  <c r="E433"/>
  <c r="G437"/>
  <c r="G433"/>
  <c r="H437"/>
  <c r="H433"/>
  <c r="I437"/>
  <c r="I433"/>
  <c r="J437"/>
  <c r="J433"/>
  <c r="K437"/>
  <c r="K433"/>
  <c r="L437"/>
  <c r="L433"/>
  <c r="M433"/>
  <c r="N437"/>
  <c r="N433"/>
  <c r="P437"/>
  <c r="P433"/>
  <c r="Q437"/>
  <c r="Q433"/>
  <c r="R433"/>
  <c r="S437"/>
  <c r="S433"/>
  <c r="D433"/>
  <c r="D437"/>
  <c r="C476"/>
  <c r="E476"/>
  <c r="E472"/>
  <c r="G476"/>
  <c r="G472"/>
  <c r="H476"/>
  <c r="H472"/>
  <c r="I476"/>
  <c r="I472"/>
  <c r="J476"/>
  <c r="J472"/>
  <c r="K476"/>
  <c r="K472"/>
  <c r="L476"/>
  <c r="L472"/>
  <c r="M472"/>
  <c r="N476"/>
  <c r="N472"/>
  <c r="P476"/>
  <c r="P472"/>
  <c r="Q476"/>
  <c r="Q472"/>
  <c r="R472"/>
  <c r="S476"/>
  <c r="S472"/>
  <c r="D472"/>
  <c r="D476"/>
  <c r="D485"/>
  <c r="D481"/>
  <c r="E396"/>
  <c r="E429"/>
  <c r="E458"/>
  <c r="E482"/>
  <c r="E397"/>
  <c r="E459"/>
  <c r="E430"/>
  <c r="E483"/>
  <c r="E398"/>
  <c r="E431"/>
  <c r="E460"/>
  <c r="E484"/>
  <c r="E485"/>
  <c r="E481"/>
  <c r="F481"/>
  <c r="G396"/>
  <c r="G429"/>
  <c r="G458"/>
  <c r="G482"/>
  <c r="G397"/>
  <c r="G459"/>
  <c r="G430"/>
  <c r="G483"/>
  <c r="G398"/>
  <c r="G431"/>
  <c r="G460"/>
  <c r="G484"/>
  <c r="G485"/>
  <c r="G481"/>
  <c r="H396"/>
  <c r="H429"/>
  <c r="H458"/>
  <c r="H482"/>
  <c r="H397"/>
  <c r="H459"/>
  <c r="H430"/>
  <c r="H483"/>
  <c r="H398"/>
  <c r="H431"/>
  <c r="H460"/>
  <c r="H484"/>
  <c r="H485"/>
  <c r="H481"/>
  <c r="I396"/>
  <c r="I429"/>
  <c r="I458"/>
  <c r="I482"/>
  <c r="I397"/>
  <c r="I459"/>
  <c r="I430"/>
  <c r="I483"/>
  <c r="I398"/>
  <c r="I431"/>
  <c r="I460"/>
  <c r="I484"/>
  <c r="I485"/>
  <c r="I481"/>
  <c r="J396"/>
  <c r="J429"/>
  <c r="J458"/>
  <c r="J482"/>
  <c r="J397"/>
  <c r="J459"/>
  <c r="J430"/>
  <c r="J483"/>
  <c r="J398"/>
  <c r="J431"/>
  <c r="J460"/>
  <c r="J484"/>
  <c r="J485"/>
  <c r="J481"/>
  <c r="K396"/>
  <c r="K429"/>
  <c r="K458"/>
  <c r="K482"/>
  <c r="K397"/>
  <c r="K459"/>
  <c r="K430"/>
  <c r="K483"/>
  <c r="K398"/>
  <c r="K431"/>
  <c r="K460"/>
  <c r="K484"/>
  <c r="K485"/>
  <c r="K481"/>
  <c r="L396"/>
  <c r="L429"/>
  <c r="L458"/>
  <c r="L482"/>
  <c r="L397"/>
  <c r="L459"/>
  <c r="L430"/>
  <c r="L483"/>
  <c r="L398"/>
  <c r="L431"/>
  <c r="L460"/>
  <c r="L484"/>
  <c r="L485"/>
  <c r="L481"/>
  <c r="M481"/>
  <c r="N396"/>
  <c r="N429"/>
  <c r="N458"/>
  <c r="N482"/>
  <c r="N397"/>
  <c r="N459"/>
  <c r="N430"/>
  <c r="N483"/>
  <c r="N398"/>
  <c r="N431"/>
  <c r="N460"/>
  <c r="N484"/>
  <c r="N485"/>
  <c r="N481"/>
  <c r="O481"/>
  <c r="P396"/>
  <c r="P429"/>
  <c r="P458"/>
  <c r="P482"/>
  <c r="P397"/>
  <c r="P459"/>
  <c r="P430"/>
  <c r="P483"/>
  <c r="P398"/>
  <c r="P431"/>
  <c r="P460"/>
  <c r="P484"/>
  <c r="P485"/>
  <c r="P481"/>
  <c r="Q396"/>
  <c r="Q429"/>
  <c r="Q458"/>
  <c r="Q482"/>
  <c r="Q397"/>
  <c r="Q459"/>
  <c r="Q430"/>
  <c r="Q483"/>
  <c r="Q398"/>
  <c r="Q431"/>
  <c r="Q460"/>
  <c r="Q484"/>
  <c r="Q485"/>
  <c r="Q481"/>
  <c r="R481"/>
  <c r="S429"/>
  <c r="S458"/>
  <c r="S482"/>
  <c r="S459"/>
  <c r="S430"/>
  <c r="S483"/>
  <c r="S431"/>
  <c r="S460"/>
  <c r="S484"/>
  <c r="S485"/>
  <c r="S481"/>
  <c r="C481"/>
  <c r="C1335"/>
  <c r="C499"/>
  <c r="P499"/>
  <c r="Q499"/>
  <c r="O499"/>
  <c r="O501"/>
  <c r="E501"/>
  <c r="G501"/>
  <c r="H501"/>
  <c r="I501"/>
  <c r="J501"/>
  <c r="K501"/>
  <c r="L501"/>
  <c r="M501"/>
  <c r="N501"/>
  <c r="D501"/>
  <c r="C503"/>
  <c r="E503"/>
  <c r="G503"/>
  <c r="H503"/>
  <c r="I503"/>
  <c r="J503"/>
  <c r="K503"/>
  <c r="L503"/>
  <c r="M503"/>
  <c r="N503"/>
  <c r="P503"/>
  <c r="Q503"/>
  <c r="R503"/>
  <c r="D503"/>
  <c r="C504"/>
  <c r="C505"/>
  <c r="E505"/>
  <c r="G505"/>
  <c r="H505"/>
  <c r="I505"/>
  <c r="J505"/>
  <c r="K505"/>
  <c r="L505"/>
  <c r="M505"/>
  <c r="N505"/>
  <c r="P505"/>
  <c r="Q505"/>
  <c r="R505"/>
  <c r="D505"/>
  <c r="D512"/>
  <c r="E504"/>
  <c r="G504"/>
  <c r="H504"/>
  <c r="I504"/>
  <c r="J504"/>
  <c r="K504"/>
  <c r="L504"/>
  <c r="M504"/>
  <c r="N504"/>
  <c r="P504"/>
  <c r="Q504"/>
  <c r="R504"/>
  <c r="D504"/>
  <c r="D506"/>
  <c r="C507"/>
  <c r="E507"/>
  <c r="G507"/>
  <c r="H507"/>
  <c r="I507"/>
  <c r="J507"/>
  <c r="K507"/>
  <c r="L507"/>
  <c r="M507"/>
  <c r="N507"/>
  <c r="P507"/>
  <c r="Q507"/>
  <c r="R507"/>
  <c r="D507"/>
  <c r="C508"/>
  <c r="E508"/>
  <c r="G508"/>
  <c r="H508"/>
  <c r="I508"/>
  <c r="J508"/>
  <c r="K508"/>
  <c r="L508"/>
  <c r="M508"/>
  <c r="N508"/>
  <c r="P508"/>
  <c r="Q508"/>
  <c r="R508"/>
  <c r="D508"/>
  <c r="C510"/>
  <c r="E510"/>
  <c r="G510"/>
  <c r="H510"/>
  <c r="I510"/>
  <c r="J510"/>
  <c r="K510"/>
  <c r="L510"/>
  <c r="M510"/>
  <c r="N510"/>
  <c r="P510"/>
  <c r="Q510"/>
  <c r="R510"/>
  <c r="D510"/>
  <c r="D509"/>
  <c r="D513"/>
  <c r="O502"/>
  <c r="E502"/>
  <c r="G502"/>
  <c r="H502"/>
  <c r="I502"/>
  <c r="J502"/>
  <c r="K502"/>
  <c r="L502"/>
  <c r="M502"/>
  <c r="N502"/>
  <c r="D502"/>
  <c r="D514"/>
  <c r="D511"/>
  <c r="E512"/>
  <c r="E506"/>
  <c r="E509"/>
  <c r="E513"/>
  <c r="E514"/>
  <c r="E511"/>
  <c r="F511"/>
  <c r="G512"/>
  <c r="G506"/>
  <c r="G509"/>
  <c r="G513"/>
  <c r="G514"/>
  <c r="G511"/>
  <c r="H512"/>
  <c r="H506"/>
  <c r="H509"/>
  <c r="H513"/>
  <c r="H514"/>
  <c r="H511"/>
  <c r="I512"/>
  <c r="I506"/>
  <c r="I509"/>
  <c r="I513"/>
  <c r="I514"/>
  <c r="I511"/>
  <c r="J512"/>
  <c r="J506"/>
  <c r="J509"/>
  <c r="J513"/>
  <c r="J514"/>
  <c r="J511"/>
  <c r="K512"/>
  <c r="K506"/>
  <c r="K509"/>
  <c r="K513"/>
  <c r="K514"/>
  <c r="K511"/>
  <c r="L512"/>
  <c r="L506"/>
  <c r="L509"/>
  <c r="L513"/>
  <c r="L514"/>
  <c r="L511"/>
  <c r="M511"/>
  <c r="N512"/>
  <c r="N506"/>
  <c r="N509"/>
  <c r="N513"/>
  <c r="N514"/>
  <c r="N511"/>
  <c r="O511"/>
  <c r="P512"/>
  <c r="P506"/>
  <c r="P509"/>
  <c r="P513"/>
  <c r="P514"/>
  <c r="P511"/>
  <c r="Q512"/>
  <c r="Q506"/>
  <c r="Q509"/>
  <c r="Q513"/>
  <c r="Q514"/>
  <c r="Q511"/>
  <c r="R511"/>
  <c r="S512"/>
  <c r="S506"/>
  <c r="S509"/>
  <c r="S513"/>
  <c r="S514"/>
  <c r="S511"/>
  <c r="C511"/>
  <c r="C1336"/>
  <c r="C519"/>
  <c r="S519"/>
  <c r="P519"/>
  <c r="Q519"/>
  <c r="O519"/>
  <c r="O521"/>
  <c r="E521"/>
  <c r="G521"/>
  <c r="H521"/>
  <c r="I521"/>
  <c r="J521"/>
  <c r="K521"/>
  <c r="L521"/>
  <c r="M521"/>
  <c r="N521"/>
  <c r="D521"/>
  <c r="C523"/>
  <c r="E523"/>
  <c r="G523"/>
  <c r="H523"/>
  <c r="I523"/>
  <c r="J523"/>
  <c r="K523"/>
  <c r="L523"/>
  <c r="M523"/>
  <c r="N523"/>
  <c r="P523"/>
  <c r="Q523"/>
  <c r="R523"/>
  <c r="D523"/>
  <c r="C524"/>
  <c r="C525"/>
  <c r="E525"/>
  <c r="G525"/>
  <c r="H525"/>
  <c r="I525"/>
  <c r="J525"/>
  <c r="K525"/>
  <c r="L525"/>
  <c r="M525"/>
  <c r="N525"/>
  <c r="P525"/>
  <c r="Q525"/>
  <c r="R525"/>
  <c r="D525"/>
  <c r="D528"/>
  <c r="E524"/>
  <c r="G524"/>
  <c r="H524"/>
  <c r="I524"/>
  <c r="J524"/>
  <c r="K524"/>
  <c r="L524"/>
  <c r="M524"/>
  <c r="N524"/>
  <c r="P524"/>
  <c r="Q524"/>
  <c r="R524"/>
  <c r="D524"/>
  <c r="D526"/>
  <c r="D529"/>
  <c r="O522"/>
  <c r="E522"/>
  <c r="G522"/>
  <c r="H522"/>
  <c r="I522"/>
  <c r="J522"/>
  <c r="K522"/>
  <c r="L522"/>
  <c r="M522"/>
  <c r="N522"/>
  <c r="D522"/>
  <c r="D530"/>
  <c r="D527"/>
  <c r="E528"/>
  <c r="E526"/>
  <c r="E529"/>
  <c r="E530"/>
  <c r="E527"/>
  <c r="F527"/>
  <c r="G528"/>
  <c r="G526"/>
  <c r="G529"/>
  <c r="G530"/>
  <c r="G527"/>
  <c r="H528"/>
  <c r="H526"/>
  <c r="H529"/>
  <c r="H530"/>
  <c r="H527"/>
  <c r="I528"/>
  <c r="I526"/>
  <c r="I529"/>
  <c r="I530"/>
  <c r="I527"/>
  <c r="J528"/>
  <c r="J526"/>
  <c r="J529"/>
  <c r="J530"/>
  <c r="J527"/>
  <c r="K528"/>
  <c r="K526"/>
  <c r="K529"/>
  <c r="K530"/>
  <c r="K527"/>
  <c r="L528"/>
  <c r="L526"/>
  <c r="L529"/>
  <c r="L530"/>
  <c r="L527"/>
  <c r="M527"/>
  <c r="N528"/>
  <c r="N526"/>
  <c r="N529"/>
  <c r="N530"/>
  <c r="N527"/>
  <c r="O527"/>
  <c r="P528"/>
  <c r="P526"/>
  <c r="P529"/>
  <c r="P530"/>
  <c r="P527"/>
  <c r="Q528"/>
  <c r="Q526"/>
  <c r="Q529"/>
  <c r="Q530"/>
  <c r="Q527"/>
  <c r="R527"/>
  <c r="S528"/>
  <c r="S526"/>
  <c r="S529"/>
  <c r="S530"/>
  <c r="S527"/>
  <c r="C527"/>
  <c r="C1337"/>
  <c r="C544"/>
  <c r="C558"/>
  <c r="C1338"/>
  <c r="C596"/>
  <c r="C599"/>
  <c r="C1339"/>
  <c r="C573"/>
  <c r="S573"/>
  <c r="O573"/>
  <c r="M575"/>
  <c r="D575"/>
  <c r="C577"/>
  <c r="S577"/>
  <c r="M577"/>
  <c r="R577"/>
  <c r="D577"/>
  <c r="C578"/>
  <c r="M579"/>
  <c r="R579"/>
  <c r="D579"/>
  <c r="D586"/>
  <c r="M578"/>
  <c r="R578"/>
  <c r="D578"/>
  <c r="D580"/>
  <c r="C582"/>
  <c r="M582"/>
  <c r="R582"/>
  <c r="D582"/>
  <c r="M584"/>
  <c r="R584"/>
  <c r="D584"/>
  <c r="D583"/>
  <c r="C581"/>
  <c r="M581"/>
  <c r="R581"/>
  <c r="D581"/>
  <c r="D587"/>
  <c r="O576"/>
  <c r="M576"/>
  <c r="D576"/>
  <c r="D588"/>
  <c r="D585"/>
  <c r="E586"/>
  <c r="E580"/>
  <c r="E583"/>
  <c r="E587"/>
  <c r="E588"/>
  <c r="E585"/>
  <c r="F585"/>
  <c r="G586"/>
  <c r="G580"/>
  <c r="G583"/>
  <c r="G587"/>
  <c r="G588"/>
  <c r="G585"/>
  <c r="H586"/>
  <c r="H580"/>
  <c r="H583"/>
  <c r="H587"/>
  <c r="H588"/>
  <c r="H585"/>
  <c r="I586"/>
  <c r="I580"/>
  <c r="I583"/>
  <c r="I587"/>
  <c r="I588"/>
  <c r="I585"/>
  <c r="J586"/>
  <c r="J580"/>
  <c r="J583"/>
  <c r="J587"/>
  <c r="J588"/>
  <c r="J585"/>
  <c r="K586"/>
  <c r="K580"/>
  <c r="K583"/>
  <c r="K587"/>
  <c r="K588"/>
  <c r="K585"/>
  <c r="L586"/>
  <c r="L580"/>
  <c r="L583"/>
  <c r="L587"/>
  <c r="L588"/>
  <c r="L585"/>
  <c r="M585"/>
  <c r="N586"/>
  <c r="N580"/>
  <c r="N583"/>
  <c r="N587"/>
  <c r="N588"/>
  <c r="N585"/>
  <c r="O585"/>
  <c r="R573"/>
  <c r="R586"/>
  <c r="P580"/>
  <c r="Q580"/>
  <c r="R580"/>
  <c r="P583"/>
  <c r="Q583"/>
  <c r="R583"/>
  <c r="R587"/>
  <c r="R588"/>
  <c r="R585"/>
  <c r="S586"/>
  <c r="S580"/>
  <c r="S583"/>
  <c r="S587"/>
  <c r="S588"/>
  <c r="S585"/>
  <c r="C585"/>
  <c r="C1340"/>
  <c r="C1341"/>
  <c r="S1331"/>
  <c r="S1332"/>
  <c r="S1333"/>
  <c r="S1334"/>
  <c r="S1335"/>
  <c r="S1336"/>
  <c r="S1337"/>
  <c r="S558"/>
  <c r="S1338"/>
  <c r="S599"/>
  <c r="S1339"/>
  <c r="S1340"/>
  <c r="S1341"/>
  <c r="C1637"/>
  <c r="M1633"/>
  <c r="M1632"/>
  <c r="R1630"/>
  <c r="M1630"/>
  <c r="F1630"/>
  <c r="C1630"/>
  <c r="R1628"/>
  <c r="M1628"/>
  <c r="F1628"/>
  <c r="C1628"/>
  <c r="C1624"/>
  <c r="C1625"/>
  <c r="C1626"/>
  <c r="Y1626"/>
  <c r="X1626"/>
  <c r="R1626"/>
  <c r="W1626"/>
  <c r="U1626"/>
  <c r="Y1625"/>
  <c r="X1625"/>
  <c r="R1625"/>
  <c r="W1625"/>
  <c r="U1625"/>
  <c r="Y1624"/>
  <c r="X1624"/>
  <c r="R1624"/>
  <c r="W1624"/>
  <c r="U1624"/>
  <c r="M1624"/>
  <c r="F1624"/>
  <c r="Y1623"/>
  <c r="X1623"/>
  <c r="W1623"/>
  <c r="R1622"/>
  <c r="C1622"/>
  <c r="Y1622"/>
  <c r="X1622"/>
  <c r="W1622"/>
  <c r="U1622"/>
  <c r="Y1621"/>
  <c r="X1621"/>
  <c r="W1621"/>
  <c r="Y1620"/>
  <c r="X1620"/>
  <c r="W1620"/>
  <c r="Y1619"/>
  <c r="X1619"/>
  <c r="W1619"/>
  <c r="Y1618"/>
  <c r="X1618"/>
  <c r="W1618"/>
  <c r="Y1617"/>
  <c r="X1617"/>
  <c r="R1617"/>
  <c r="W1617"/>
  <c r="U1617"/>
  <c r="Y1616"/>
  <c r="X1616"/>
  <c r="R1616"/>
  <c r="W1616"/>
  <c r="U1616"/>
  <c r="Y1615"/>
  <c r="X1615"/>
  <c r="R1615"/>
  <c r="W1615"/>
  <c r="U1615"/>
  <c r="Y1614"/>
  <c r="X1614"/>
  <c r="R1614"/>
  <c r="W1614"/>
  <c r="U1614"/>
  <c r="Y1613"/>
  <c r="F1613"/>
  <c r="M1613"/>
  <c r="O1613"/>
  <c r="X1613"/>
  <c r="R1613"/>
  <c r="W1613"/>
  <c r="U1613"/>
  <c r="Y1612"/>
  <c r="F1612"/>
  <c r="M1612"/>
  <c r="O1612"/>
  <c r="X1612"/>
  <c r="R1612"/>
  <c r="W1612"/>
  <c r="U1612"/>
  <c r="Y1611"/>
  <c r="F1611"/>
  <c r="M1611"/>
  <c r="O1611"/>
  <c r="X1611"/>
  <c r="R1611"/>
  <c r="W1611"/>
  <c r="U1611"/>
  <c r="Y1610"/>
  <c r="F1610"/>
  <c r="M1610"/>
  <c r="O1610"/>
  <c r="X1610"/>
  <c r="R1610"/>
  <c r="W1610"/>
  <c r="U1610"/>
  <c r="Y1609"/>
  <c r="F1609"/>
  <c r="M1609"/>
  <c r="O1609"/>
  <c r="X1609"/>
  <c r="R1609"/>
  <c r="W1609"/>
  <c r="U1609"/>
  <c r="Y1608"/>
  <c r="F1608"/>
  <c r="M1608"/>
  <c r="O1608"/>
  <c r="X1608"/>
  <c r="R1608"/>
  <c r="W1608"/>
  <c r="U1608"/>
  <c r="Y1607"/>
  <c r="F1607"/>
  <c r="M1607"/>
  <c r="O1607"/>
  <c r="X1607"/>
  <c r="R1607"/>
  <c r="W1607"/>
  <c r="U1607"/>
  <c r="Y1606"/>
  <c r="F1606"/>
  <c r="M1606"/>
  <c r="O1606"/>
  <c r="X1606"/>
  <c r="R1606"/>
  <c r="W1606"/>
  <c r="U1606"/>
  <c r="Y1605"/>
  <c r="F1605"/>
  <c r="M1605"/>
  <c r="O1605"/>
  <c r="X1605"/>
  <c r="R1605"/>
  <c r="W1605"/>
  <c r="Y1604"/>
  <c r="F1604"/>
  <c r="M1604"/>
  <c r="O1604"/>
  <c r="X1604"/>
  <c r="R1604"/>
  <c r="W1604"/>
  <c r="Y1603"/>
  <c r="F1603"/>
  <c r="M1603"/>
  <c r="O1603"/>
  <c r="X1603"/>
  <c r="R1603"/>
  <c r="W1603"/>
  <c r="Y1602"/>
  <c r="X1602"/>
  <c r="R1602"/>
  <c r="W1602"/>
  <c r="U1602"/>
  <c r="Y1601"/>
  <c r="F1601"/>
  <c r="M1601"/>
  <c r="O1601"/>
  <c r="X1601"/>
  <c r="R1601"/>
  <c r="W1601"/>
  <c r="U1601"/>
  <c r="Y1600"/>
  <c r="F1600"/>
  <c r="M1600"/>
  <c r="O1600"/>
  <c r="X1600"/>
  <c r="R1600"/>
  <c r="W1600"/>
  <c r="U1600"/>
  <c r="Y1599"/>
  <c r="F1599"/>
  <c r="M1599"/>
  <c r="O1599"/>
  <c r="X1599"/>
  <c r="R1599"/>
  <c r="W1599"/>
  <c r="U1599"/>
  <c r="Y1598"/>
  <c r="F1598"/>
  <c r="M1598"/>
  <c r="O1598"/>
  <c r="X1598"/>
  <c r="R1598"/>
  <c r="W1598"/>
  <c r="U1598"/>
  <c r="Y1597"/>
  <c r="F1597"/>
  <c r="M1597"/>
  <c r="O1597"/>
  <c r="X1597"/>
  <c r="R1597"/>
  <c r="W1597"/>
  <c r="U1597"/>
  <c r="Y1596"/>
  <c r="F1596"/>
  <c r="M1596"/>
  <c r="O1596"/>
  <c r="X1596"/>
  <c r="R1596"/>
  <c r="W1596"/>
  <c r="U1596"/>
  <c r="Y1595"/>
  <c r="X1595"/>
  <c r="W1595"/>
  <c r="Y1594"/>
  <c r="X1594"/>
  <c r="W1594"/>
  <c r="Y1593"/>
  <c r="X1593"/>
  <c r="W1593"/>
  <c r="Y1592"/>
  <c r="X1592"/>
  <c r="W1592"/>
  <c r="Y1591"/>
  <c r="X1591"/>
  <c r="W1591"/>
  <c r="Q1582"/>
  <c r="H1582"/>
  <c r="Q1581"/>
  <c r="H1581"/>
  <c r="A1494"/>
  <c r="A1496"/>
  <c r="A1497"/>
  <c r="A1502"/>
  <c r="A1503"/>
  <c r="A1505"/>
  <c r="A1506"/>
  <c r="A1511"/>
  <c r="A1512"/>
  <c r="A1514"/>
  <c r="A1515"/>
  <c r="A1520"/>
  <c r="A1521"/>
  <c r="A1523"/>
  <c r="A1524"/>
  <c r="A1526"/>
  <c r="A1527"/>
  <c r="A1541"/>
  <c r="A1543"/>
  <c r="A1544"/>
  <c r="A1545"/>
  <c r="A1547"/>
  <c r="A1548"/>
  <c r="A1551"/>
  <c r="A1552"/>
  <c r="A1553"/>
  <c r="A1554"/>
  <c r="A1556"/>
  <c r="A1557"/>
  <c r="A1560"/>
  <c r="A1561"/>
  <c r="A1562"/>
  <c r="A1563"/>
  <c r="A1566"/>
  <c r="A1567"/>
  <c r="A1568"/>
  <c r="A1569"/>
  <c r="A1570"/>
  <c r="A1572"/>
  <c r="A1573"/>
  <c r="A1575"/>
  <c r="A1576"/>
  <c r="Q1530"/>
  <c r="H1530"/>
  <c r="Q1485"/>
  <c r="H1485"/>
  <c r="D1345"/>
  <c r="D1346"/>
  <c r="D1347"/>
  <c r="D1348"/>
  <c r="D1349"/>
  <c r="E1345"/>
  <c r="E1346"/>
  <c r="E1347"/>
  <c r="E1348"/>
  <c r="E1349"/>
  <c r="F1349"/>
  <c r="G1345"/>
  <c r="G1346"/>
  <c r="G1347"/>
  <c r="G1348"/>
  <c r="G1349"/>
  <c r="H1345"/>
  <c r="H1346"/>
  <c r="H1347"/>
  <c r="H1348"/>
  <c r="H1349"/>
  <c r="I1345"/>
  <c r="I1346"/>
  <c r="I1347"/>
  <c r="I1348"/>
  <c r="I1349"/>
  <c r="J1345"/>
  <c r="J1346"/>
  <c r="J1347"/>
  <c r="J1348"/>
  <c r="J1349"/>
  <c r="K1345"/>
  <c r="K1346"/>
  <c r="K1347"/>
  <c r="K1348"/>
  <c r="K1349"/>
  <c r="L1345"/>
  <c r="L1346"/>
  <c r="L1347"/>
  <c r="L1348"/>
  <c r="L1349"/>
  <c r="M1349"/>
  <c r="N1345"/>
  <c r="N1346"/>
  <c r="N1347"/>
  <c r="N1348"/>
  <c r="N1349"/>
  <c r="O1349"/>
  <c r="O1478"/>
  <c r="D1392"/>
  <c r="D1394"/>
  <c r="D1353"/>
  <c r="D1354"/>
  <c r="E1354"/>
  <c r="E1355"/>
  <c r="G1354"/>
  <c r="G1355"/>
  <c r="H1354"/>
  <c r="H1355"/>
  <c r="I1354"/>
  <c r="I1355"/>
  <c r="J1354"/>
  <c r="J1355"/>
  <c r="K1354"/>
  <c r="K1355"/>
  <c r="L1354"/>
  <c r="L1355"/>
  <c r="M1355"/>
  <c r="N1354"/>
  <c r="N1355"/>
  <c r="P1354"/>
  <c r="P1355"/>
  <c r="Q1354"/>
  <c r="Q1355"/>
  <c r="R1355"/>
  <c r="D1355"/>
  <c r="E1356"/>
  <c r="G1356"/>
  <c r="H1356"/>
  <c r="I1356"/>
  <c r="J1356"/>
  <c r="K1356"/>
  <c r="L1356"/>
  <c r="M1356"/>
  <c r="N1356"/>
  <c r="P1356"/>
  <c r="Q1356"/>
  <c r="R1356"/>
  <c r="D1356"/>
  <c r="D1357"/>
  <c r="D1358"/>
  <c r="D1359"/>
  <c r="D1360"/>
  <c r="D1361"/>
  <c r="D1362"/>
  <c r="D1399"/>
  <c r="F1393"/>
  <c r="O1393"/>
  <c r="R1393"/>
  <c r="C1393"/>
  <c r="C1400"/>
  <c r="E1400"/>
  <c r="G1400"/>
  <c r="H1400"/>
  <c r="I1400"/>
  <c r="J1400"/>
  <c r="K1400"/>
  <c r="L1400"/>
  <c r="M1400"/>
  <c r="N1400"/>
  <c r="P1400"/>
  <c r="Q1400"/>
  <c r="R1400"/>
  <c r="S1400"/>
  <c r="D1400"/>
  <c r="D1401"/>
  <c r="D1403"/>
  <c r="E1353"/>
  <c r="E1357"/>
  <c r="E1358"/>
  <c r="E1359"/>
  <c r="E1360"/>
  <c r="E1361"/>
  <c r="E1362"/>
  <c r="E1364"/>
  <c r="E1331"/>
  <c r="E1332"/>
  <c r="E1333"/>
  <c r="E1334"/>
  <c r="E1335"/>
  <c r="E1336"/>
  <c r="E1337"/>
  <c r="P544"/>
  <c r="Q544"/>
  <c r="O544"/>
  <c r="O546"/>
  <c r="E546"/>
  <c r="O547"/>
  <c r="E547"/>
  <c r="E544"/>
  <c r="E551"/>
  <c r="R201"/>
  <c r="E556"/>
  <c r="E558"/>
  <c r="E1338"/>
  <c r="P591"/>
  <c r="Q591"/>
  <c r="O591"/>
  <c r="O593"/>
  <c r="E593"/>
  <c r="O594"/>
  <c r="E594"/>
  <c r="E591"/>
  <c r="E595"/>
  <c r="E596"/>
  <c r="E599"/>
  <c r="E1339"/>
  <c r="E1340"/>
  <c r="E1341"/>
  <c r="E1366"/>
  <c r="G1353"/>
  <c r="G1357"/>
  <c r="G1358"/>
  <c r="G1359"/>
  <c r="G1360"/>
  <c r="G1361"/>
  <c r="G1362"/>
  <c r="G1364"/>
  <c r="G1331"/>
  <c r="G1332"/>
  <c r="G1333"/>
  <c r="G1334"/>
  <c r="G1335"/>
  <c r="G1336"/>
  <c r="G1337"/>
  <c r="G546"/>
  <c r="G547"/>
  <c r="G544"/>
  <c r="G551"/>
  <c r="G556"/>
  <c r="G558"/>
  <c r="G1338"/>
  <c r="G593"/>
  <c r="G594"/>
  <c r="G591"/>
  <c r="G595"/>
  <c r="G596"/>
  <c r="G599"/>
  <c r="G1339"/>
  <c r="G1340"/>
  <c r="G1341"/>
  <c r="G1366"/>
  <c r="H1353"/>
  <c r="H1357"/>
  <c r="H1358"/>
  <c r="H1359"/>
  <c r="H1360"/>
  <c r="H1361"/>
  <c r="H1362"/>
  <c r="H1364"/>
  <c r="H1331"/>
  <c r="H1332"/>
  <c r="H1333"/>
  <c r="H1334"/>
  <c r="H1335"/>
  <c r="H1336"/>
  <c r="H1337"/>
  <c r="H546"/>
  <c r="H547"/>
  <c r="H544"/>
  <c r="H551"/>
  <c r="H556"/>
  <c r="H558"/>
  <c r="H1338"/>
  <c r="H593"/>
  <c r="H594"/>
  <c r="H591"/>
  <c r="H595"/>
  <c r="H596"/>
  <c r="H599"/>
  <c r="H1339"/>
  <c r="H1340"/>
  <c r="H1341"/>
  <c r="H1366"/>
  <c r="I1353"/>
  <c r="I1357"/>
  <c r="I1358"/>
  <c r="I1359"/>
  <c r="I1360"/>
  <c r="I1361"/>
  <c r="I1362"/>
  <c r="I1364"/>
  <c r="I1331"/>
  <c r="I1332"/>
  <c r="I1333"/>
  <c r="I1334"/>
  <c r="I1335"/>
  <c r="I1336"/>
  <c r="I1337"/>
  <c r="I546"/>
  <c r="I547"/>
  <c r="I544"/>
  <c r="I551"/>
  <c r="I556"/>
  <c r="I558"/>
  <c r="I1338"/>
  <c r="I593"/>
  <c r="I594"/>
  <c r="I591"/>
  <c r="I595"/>
  <c r="I596"/>
  <c r="I599"/>
  <c r="I1339"/>
  <c r="I1340"/>
  <c r="I1341"/>
  <c r="I1366"/>
  <c r="J1353"/>
  <c r="J1357"/>
  <c r="J1358"/>
  <c r="J1359"/>
  <c r="J1360"/>
  <c r="J1361"/>
  <c r="J1362"/>
  <c r="J1364"/>
  <c r="J1331"/>
  <c r="J1332"/>
  <c r="J1333"/>
  <c r="J1334"/>
  <c r="J1335"/>
  <c r="J1336"/>
  <c r="J1337"/>
  <c r="J546"/>
  <c r="J547"/>
  <c r="J544"/>
  <c r="J551"/>
  <c r="J556"/>
  <c r="J558"/>
  <c r="J1338"/>
  <c r="J593"/>
  <c r="J594"/>
  <c r="J591"/>
  <c r="J595"/>
  <c r="J596"/>
  <c r="J599"/>
  <c r="J1339"/>
  <c r="J1340"/>
  <c r="J1341"/>
  <c r="J1366"/>
  <c r="K1353"/>
  <c r="K1357"/>
  <c r="K1358"/>
  <c r="K1359"/>
  <c r="K1360"/>
  <c r="K1361"/>
  <c r="K1362"/>
  <c r="K1364"/>
  <c r="K1331"/>
  <c r="K1332"/>
  <c r="K1333"/>
  <c r="K1334"/>
  <c r="K1335"/>
  <c r="K1336"/>
  <c r="K1337"/>
  <c r="K546"/>
  <c r="K547"/>
  <c r="K544"/>
  <c r="K551"/>
  <c r="K556"/>
  <c r="K558"/>
  <c r="K1338"/>
  <c r="K593"/>
  <c r="K594"/>
  <c r="K591"/>
  <c r="K595"/>
  <c r="K596"/>
  <c r="K599"/>
  <c r="K1339"/>
  <c r="K1340"/>
  <c r="K1341"/>
  <c r="K1366"/>
  <c r="L1353"/>
  <c r="L1357"/>
  <c r="L1358"/>
  <c r="L1359"/>
  <c r="L1360"/>
  <c r="L1361"/>
  <c r="L1362"/>
  <c r="L1364"/>
  <c r="L1331"/>
  <c r="L1332"/>
  <c r="L1333"/>
  <c r="L1334"/>
  <c r="L1335"/>
  <c r="L1336"/>
  <c r="L1337"/>
  <c r="L546"/>
  <c r="L547"/>
  <c r="L544"/>
  <c r="L551"/>
  <c r="L556"/>
  <c r="L558"/>
  <c r="L1338"/>
  <c r="L593"/>
  <c r="L594"/>
  <c r="L591"/>
  <c r="L595"/>
  <c r="L596"/>
  <c r="L599"/>
  <c r="L1339"/>
  <c r="L1340"/>
  <c r="L1341"/>
  <c r="L1366"/>
  <c r="M1366"/>
  <c r="N1353"/>
  <c r="N1357"/>
  <c r="N1358"/>
  <c r="N1359"/>
  <c r="N1360"/>
  <c r="N1361"/>
  <c r="N1362"/>
  <c r="N1364"/>
  <c r="N1331"/>
  <c r="N1332"/>
  <c r="N1333"/>
  <c r="N1334"/>
  <c r="N1335"/>
  <c r="N1336"/>
  <c r="N1337"/>
  <c r="N546"/>
  <c r="N547"/>
  <c r="N544"/>
  <c r="N551"/>
  <c r="N556"/>
  <c r="N558"/>
  <c r="N1338"/>
  <c r="N593"/>
  <c r="N594"/>
  <c r="N591"/>
  <c r="N595"/>
  <c r="N596"/>
  <c r="N599"/>
  <c r="N1339"/>
  <c r="N1340"/>
  <c r="N1341"/>
  <c r="N1366"/>
  <c r="P1345"/>
  <c r="P1346"/>
  <c r="P1347"/>
  <c r="P1348"/>
  <c r="P1349"/>
  <c r="P1353"/>
  <c r="P1357"/>
  <c r="P1358"/>
  <c r="P1359"/>
  <c r="P1360"/>
  <c r="P1361"/>
  <c r="P1362"/>
  <c r="P1364"/>
  <c r="P1331"/>
  <c r="P1332"/>
  <c r="P1333"/>
  <c r="P1334"/>
  <c r="P1335"/>
  <c r="P1336"/>
  <c r="P1337"/>
  <c r="P551"/>
  <c r="P556"/>
  <c r="P558"/>
  <c r="P1338"/>
  <c r="P595"/>
  <c r="P596"/>
  <c r="P599"/>
  <c r="P1339"/>
  <c r="P586"/>
  <c r="P587"/>
  <c r="P588"/>
  <c r="P585"/>
  <c r="P1340"/>
  <c r="P1341"/>
  <c r="P1366"/>
  <c r="Q1345"/>
  <c r="Q1346"/>
  <c r="Q1347"/>
  <c r="Q1348"/>
  <c r="Q1349"/>
  <c r="Q1353"/>
  <c r="Q1357"/>
  <c r="Q1358"/>
  <c r="Q1359"/>
  <c r="Q1360"/>
  <c r="Q1361"/>
  <c r="Q1362"/>
  <c r="Q1364"/>
  <c r="Q1331"/>
  <c r="Q1332"/>
  <c r="Q1333"/>
  <c r="Q1334"/>
  <c r="Q1335"/>
  <c r="Q1336"/>
  <c r="Q1337"/>
  <c r="Q551"/>
  <c r="Q556"/>
  <c r="Q558"/>
  <c r="Q1338"/>
  <c r="Q595"/>
  <c r="Q596"/>
  <c r="Q599"/>
  <c r="Q1339"/>
  <c r="Q586"/>
  <c r="Q587"/>
  <c r="Q588"/>
  <c r="Q585"/>
  <c r="Q1340"/>
  <c r="Q1341"/>
  <c r="Q1366"/>
  <c r="R1366"/>
  <c r="D1366"/>
  <c r="R1331"/>
  <c r="R1332"/>
  <c r="R1333"/>
  <c r="R1334"/>
  <c r="R1335"/>
  <c r="R1336"/>
  <c r="R1337"/>
  <c r="R558"/>
  <c r="R1338"/>
  <c r="R599"/>
  <c r="R1339"/>
  <c r="R1340"/>
  <c r="R1341"/>
  <c r="R1367"/>
  <c r="E1367"/>
  <c r="G1367"/>
  <c r="H1367"/>
  <c r="I1367"/>
  <c r="J1367"/>
  <c r="K1367"/>
  <c r="L1367"/>
  <c r="M1367"/>
  <c r="N1367"/>
  <c r="D1367"/>
  <c r="D1368"/>
  <c r="D1408"/>
  <c r="C1409"/>
  <c r="E1409"/>
  <c r="G1409"/>
  <c r="H1409"/>
  <c r="I1409"/>
  <c r="J1409"/>
  <c r="K1409"/>
  <c r="L1409"/>
  <c r="M1409"/>
  <c r="N1409"/>
  <c r="R1409"/>
  <c r="S1409"/>
  <c r="D1409"/>
  <c r="D1410"/>
  <c r="D1412"/>
  <c r="E1392"/>
  <c r="E1394"/>
  <c r="E1399"/>
  <c r="E1401"/>
  <c r="E1403"/>
  <c r="E1368"/>
  <c r="E1408"/>
  <c r="E1410"/>
  <c r="E1412"/>
  <c r="F1412"/>
  <c r="G1392"/>
  <c r="G1394"/>
  <c r="G1399"/>
  <c r="G1401"/>
  <c r="G1403"/>
  <c r="G1368"/>
  <c r="G1408"/>
  <c r="G1410"/>
  <c r="G1412"/>
  <c r="H1392"/>
  <c r="H1394"/>
  <c r="H1399"/>
  <c r="H1401"/>
  <c r="H1403"/>
  <c r="H1368"/>
  <c r="H1408"/>
  <c r="H1410"/>
  <c r="H1412"/>
  <c r="I1392"/>
  <c r="I1394"/>
  <c r="I1399"/>
  <c r="I1401"/>
  <c r="I1403"/>
  <c r="I1368"/>
  <c r="I1408"/>
  <c r="I1410"/>
  <c r="I1412"/>
  <c r="J1392"/>
  <c r="J1394"/>
  <c r="J1399"/>
  <c r="J1401"/>
  <c r="J1403"/>
  <c r="J1368"/>
  <c r="J1408"/>
  <c r="J1410"/>
  <c r="J1412"/>
  <c r="K1392"/>
  <c r="K1394"/>
  <c r="K1399"/>
  <c r="K1401"/>
  <c r="K1403"/>
  <c r="K1368"/>
  <c r="K1408"/>
  <c r="K1410"/>
  <c r="K1412"/>
  <c r="L1392"/>
  <c r="L1394"/>
  <c r="L1399"/>
  <c r="L1401"/>
  <c r="L1403"/>
  <c r="L1368"/>
  <c r="L1408"/>
  <c r="L1410"/>
  <c r="L1412"/>
  <c r="N1392"/>
  <c r="N1394"/>
  <c r="N1399"/>
  <c r="N1401"/>
  <c r="N1403"/>
  <c r="N1368"/>
  <c r="N1408"/>
  <c r="N1410"/>
  <c r="N1412"/>
  <c r="O1412"/>
  <c r="D1331"/>
  <c r="D1332"/>
  <c r="D1333"/>
  <c r="D1334"/>
  <c r="D1335"/>
  <c r="D1336"/>
  <c r="D1337"/>
  <c r="M558"/>
  <c r="D558"/>
  <c r="D1338"/>
  <c r="M599"/>
  <c r="D599"/>
  <c r="D1339"/>
  <c r="D1340"/>
  <c r="D1341"/>
  <c r="F1341"/>
  <c r="M1341"/>
  <c r="O1341"/>
  <c r="O1386"/>
  <c r="O1414"/>
  <c r="O1460"/>
  <c r="O1462"/>
  <c r="D1364"/>
  <c r="D1370"/>
  <c r="E1370"/>
  <c r="F1370"/>
  <c r="G1370"/>
  <c r="H1370"/>
  <c r="I1370"/>
  <c r="J1370"/>
  <c r="K1370"/>
  <c r="L1370"/>
  <c r="M1370"/>
  <c r="N1370"/>
  <c r="O1370"/>
  <c r="O1464"/>
  <c r="O1466"/>
  <c r="O1468"/>
  <c r="F1368"/>
  <c r="M1368"/>
  <c r="O1368"/>
  <c r="O1470"/>
  <c r="O1472"/>
  <c r="F1362"/>
  <c r="M1362"/>
  <c r="O1362"/>
  <c r="O1474"/>
  <c r="O1476"/>
  <c r="O1482"/>
  <c r="N1478"/>
  <c r="N1460"/>
  <c r="N1386"/>
  <c r="N1462"/>
  <c r="N1464"/>
  <c r="N1466"/>
  <c r="N1468"/>
  <c r="N1470"/>
  <c r="N1472"/>
  <c r="N1474"/>
  <c r="N1476"/>
  <c r="N1482"/>
  <c r="J1478"/>
  <c r="K1478"/>
  <c r="L1478"/>
  <c r="M1478"/>
  <c r="J1460"/>
  <c r="J1386"/>
  <c r="J1462"/>
  <c r="J1464"/>
  <c r="J1466"/>
  <c r="J1468"/>
  <c r="J1470"/>
  <c r="J1472"/>
  <c r="J1474"/>
  <c r="J1476"/>
  <c r="K1460"/>
  <c r="K1386"/>
  <c r="K1462"/>
  <c r="K1464"/>
  <c r="K1466"/>
  <c r="K1468"/>
  <c r="K1470"/>
  <c r="K1472"/>
  <c r="K1474"/>
  <c r="K1476"/>
  <c r="L1460"/>
  <c r="L1386"/>
  <c r="L1462"/>
  <c r="L1464"/>
  <c r="L1466"/>
  <c r="L1468"/>
  <c r="L1470"/>
  <c r="L1472"/>
  <c r="L1474"/>
  <c r="L1476"/>
  <c r="M1476"/>
  <c r="M1482"/>
  <c r="L1482"/>
  <c r="K1482"/>
  <c r="J1482"/>
  <c r="I1478"/>
  <c r="I1460"/>
  <c r="I1386"/>
  <c r="I1462"/>
  <c r="I1464"/>
  <c r="I1466"/>
  <c r="I1468"/>
  <c r="I1470"/>
  <c r="I1472"/>
  <c r="I1474"/>
  <c r="I1476"/>
  <c r="I1482"/>
  <c r="H1478"/>
  <c r="H1460"/>
  <c r="H1386"/>
  <c r="H1462"/>
  <c r="H1464"/>
  <c r="H1466"/>
  <c r="H1468"/>
  <c r="H1470"/>
  <c r="H1472"/>
  <c r="H1474"/>
  <c r="H1476"/>
  <c r="H1482"/>
  <c r="G1478"/>
  <c r="G1460"/>
  <c r="G1386"/>
  <c r="G1462"/>
  <c r="G1464"/>
  <c r="G1466"/>
  <c r="G1468"/>
  <c r="G1470"/>
  <c r="G1472"/>
  <c r="G1474"/>
  <c r="G1476"/>
  <c r="G1482"/>
  <c r="D1478"/>
  <c r="E1478"/>
  <c r="F1478"/>
  <c r="D1460"/>
  <c r="D1386"/>
  <c r="D1462"/>
  <c r="D1464"/>
  <c r="D1466"/>
  <c r="D1468"/>
  <c r="D1470"/>
  <c r="D1472"/>
  <c r="D1474"/>
  <c r="D1476"/>
  <c r="E1460"/>
  <c r="E1386"/>
  <c r="E1462"/>
  <c r="E1464"/>
  <c r="E1466"/>
  <c r="E1468"/>
  <c r="E1470"/>
  <c r="E1472"/>
  <c r="E1474"/>
  <c r="E1476"/>
  <c r="F1476"/>
  <c r="F1482"/>
  <c r="E1482"/>
  <c r="D1482"/>
  <c r="C1478"/>
  <c r="C1476"/>
  <c r="C1482"/>
  <c r="A1462"/>
  <c r="A1464"/>
  <c r="A1466"/>
  <c r="A1468"/>
  <c r="A1470"/>
  <c r="A1472"/>
  <c r="A1474"/>
  <c r="A1476"/>
  <c r="A1478"/>
  <c r="A1480"/>
  <c r="A1482"/>
  <c r="O1480"/>
  <c r="N1480"/>
  <c r="M1480"/>
  <c r="L1480"/>
  <c r="K1480"/>
  <c r="J1480"/>
  <c r="I1480"/>
  <c r="H1480"/>
  <c r="G1480"/>
  <c r="D1480"/>
  <c r="E1480"/>
  <c r="F1480"/>
  <c r="C1480"/>
  <c r="M1474"/>
  <c r="F1474"/>
  <c r="C1474"/>
  <c r="M1472"/>
  <c r="F1472"/>
  <c r="C1472"/>
  <c r="M1470"/>
  <c r="F1470"/>
  <c r="C1470"/>
  <c r="M1468"/>
  <c r="F1468"/>
  <c r="C1468"/>
  <c r="M1466"/>
  <c r="F1466"/>
  <c r="C1466"/>
  <c r="M1464"/>
  <c r="F1464"/>
  <c r="C1464"/>
  <c r="M1462"/>
  <c r="F1462"/>
  <c r="C1462"/>
  <c r="M1460"/>
  <c r="F1460"/>
  <c r="C1460"/>
  <c r="H1452"/>
  <c r="H1451"/>
  <c r="O1445"/>
  <c r="O1372"/>
  <c r="C1427"/>
  <c r="O1427"/>
  <c r="O1429"/>
  <c r="O1431"/>
  <c r="O1433"/>
  <c r="O1435"/>
  <c r="O1437"/>
  <c r="O1439"/>
  <c r="O1441"/>
  <c r="O1443"/>
  <c r="O1449"/>
  <c r="N1445"/>
  <c r="N1427"/>
  <c r="N1429"/>
  <c r="N1431"/>
  <c r="N1433"/>
  <c r="N1435"/>
  <c r="N1437"/>
  <c r="N1439"/>
  <c r="N1441"/>
  <c r="N1443"/>
  <c r="N1449"/>
  <c r="J1445"/>
  <c r="K1445"/>
  <c r="L1445"/>
  <c r="M1445"/>
  <c r="J1427"/>
  <c r="J1429"/>
  <c r="J1431"/>
  <c r="J1433"/>
  <c r="J1435"/>
  <c r="J1437"/>
  <c r="J1439"/>
  <c r="J1441"/>
  <c r="J1443"/>
  <c r="K1427"/>
  <c r="K1429"/>
  <c r="K1431"/>
  <c r="K1433"/>
  <c r="K1435"/>
  <c r="K1437"/>
  <c r="K1439"/>
  <c r="K1441"/>
  <c r="K1443"/>
  <c r="L1427"/>
  <c r="L1429"/>
  <c r="L1431"/>
  <c r="L1433"/>
  <c r="L1435"/>
  <c r="L1437"/>
  <c r="L1439"/>
  <c r="L1441"/>
  <c r="L1443"/>
  <c r="M1443"/>
  <c r="M1449"/>
  <c r="L1449"/>
  <c r="K1449"/>
  <c r="J1449"/>
  <c r="I1445"/>
  <c r="I1427"/>
  <c r="I1429"/>
  <c r="I1431"/>
  <c r="I1433"/>
  <c r="I1435"/>
  <c r="I1437"/>
  <c r="I1439"/>
  <c r="I1441"/>
  <c r="I1443"/>
  <c r="I1449"/>
  <c r="H1445"/>
  <c r="H1427"/>
  <c r="H1429"/>
  <c r="H1431"/>
  <c r="H1433"/>
  <c r="H1435"/>
  <c r="H1437"/>
  <c r="H1439"/>
  <c r="H1441"/>
  <c r="H1443"/>
  <c r="H1449"/>
  <c r="G1445"/>
  <c r="G1427"/>
  <c r="G1429"/>
  <c r="G1431"/>
  <c r="G1433"/>
  <c r="G1435"/>
  <c r="G1437"/>
  <c r="G1439"/>
  <c r="G1441"/>
  <c r="G1443"/>
  <c r="G1449"/>
  <c r="D1445"/>
  <c r="E1445"/>
  <c r="F1445"/>
  <c r="D1427"/>
  <c r="D1429"/>
  <c r="D1431"/>
  <c r="D1433"/>
  <c r="D1435"/>
  <c r="D1437"/>
  <c r="D1439"/>
  <c r="D1441"/>
  <c r="D1443"/>
  <c r="E1427"/>
  <c r="E1429"/>
  <c r="E1431"/>
  <c r="E1433"/>
  <c r="E1435"/>
  <c r="E1437"/>
  <c r="E1439"/>
  <c r="E1441"/>
  <c r="E1443"/>
  <c r="F1443"/>
  <c r="F1449"/>
  <c r="E1449"/>
  <c r="D1449"/>
  <c r="C1445"/>
  <c r="C1443"/>
  <c r="C1449"/>
  <c r="A1429"/>
  <c r="A1431"/>
  <c r="A1433"/>
  <c r="A1435"/>
  <c r="A1437"/>
  <c r="A1439"/>
  <c r="A1441"/>
  <c r="A1443"/>
  <c r="A1445"/>
  <c r="A1447"/>
  <c r="A1449"/>
  <c r="O1447"/>
  <c r="N1447"/>
  <c r="J1447"/>
  <c r="K1447"/>
  <c r="L1447"/>
  <c r="M1447"/>
  <c r="I1447"/>
  <c r="H1447"/>
  <c r="G1447"/>
  <c r="D1447"/>
  <c r="E1447"/>
  <c r="F1447"/>
  <c r="C1447"/>
  <c r="M1441"/>
  <c r="F1441"/>
  <c r="C1441"/>
  <c r="M1439"/>
  <c r="F1439"/>
  <c r="C1439"/>
  <c r="M1437"/>
  <c r="F1437"/>
  <c r="C1437"/>
  <c r="M1435"/>
  <c r="F1435"/>
  <c r="C1435"/>
  <c r="M1433"/>
  <c r="F1433"/>
  <c r="C1433"/>
  <c r="M1431"/>
  <c r="F1431"/>
  <c r="C1431"/>
  <c r="M1429"/>
  <c r="F1429"/>
  <c r="C1429"/>
  <c r="M1427"/>
  <c r="F1427"/>
  <c r="H1419"/>
  <c r="H1418"/>
  <c r="O1416"/>
  <c r="N1414"/>
  <c r="N1416"/>
  <c r="M1412"/>
  <c r="M1386"/>
  <c r="M1414"/>
  <c r="M1416"/>
  <c r="L1414"/>
  <c r="L1416"/>
  <c r="K1414"/>
  <c r="K1416"/>
  <c r="J1414"/>
  <c r="J1416"/>
  <c r="I1414"/>
  <c r="I1416"/>
  <c r="H1414"/>
  <c r="H1416"/>
  <c r="G1414"/>
  <c r="G1416"/>
  <c r="F1386"/>
  <c r="F1414"/>
  <c r="F1416"/>
  <c r="E1414"/>
  <c r="E1416"/>
  <c r="D1414"/>
  <c r="D1416"/>
  <c r="A1386"/>
  <c r="A1392" s="1"/>
  <c r="A1393" s="1"/>
  <c r="A1394" s="1"/>
  <c r="A1399" s="1"/>
  <c r="A1400" s="1"/>
  <c r="A1401" s="1"/>
  <c r="A1403" s="1"/>
  <c r="A1408" s="1"/>
  <c r="A1409" s="1"/>
  <c r="A1410" s="1"/>
  <c r="A1412" s="1"/>
  <c r="A1414" s="1"/>
  <c r="A1416" s="1"/>
  <c r="R1345"/>
  <c r="R1346"/>
  <c r="R1347"/>
  <c r="R1348"/>
  <c r="R1349"/>
  <c r="R1392"/>
  <c r="R1394"/>
  <c r="R1353"/>
  <c r="R1354"/>
  <c r="R1357"/>
  <c r="R1358"/>
  <c r="R1359"/>
  <c r="R1360"/>
  <c r="R1312"/>
  <c r="R1361"/>
  <c r="R1362"/>
  <c r="R1399"/>
  <c r="R1401"/>
  <c r="R1403"/>
  <c r="P1367"/>
  <c r="P1368"/>
  <c r="Q1367"/>
  <c r="Q1368"/>
  <c r="R1368"/>
  <c r="R1408"/>
  <c r="R1410"/>
  <c r="R1412"/>
  <c r="S1392"/>
  <c r="S1394"/>
  <c r="S1399"/>
  <c r="S1401"/>
  <c r="S1403"/>
  <c r="S1368"/>
  <c r="S1408"/>
  <c r="S1410"/>
  <c r="S1412"/>
  <c r="C1412"/>
  <c r="C1386"/>
  <c r="C1414"/>
  <c r="S1386"/>
  <c r="S1414"/>
  <c r="Y1414"/>
  <c r="X1414"/>
  <c r="R1386"/>
  <c r="R1414"/>
  <c r="W1414"/>
  <c r="Q1392"/>
  <c r="Q1394"/>
  <c r="Q1399"/>
  <c r="Q1401"/>
  <c r="Q1403"/>
  <c r="Q1408"/>
  <c r="Q1409"/>
  <c r="Q1410"/>
  <c r="Q1412"/>
  <c r="Q1386"/>
  <c r="Q1414"/>
  <c r="P1392"/>
  <c r="P1394"/>
  <c r="P1399"/>
  <c r="P1401"/>
  <c r="P1403"/>
  <c r="P1408"/>
  <c r="P1409"/>
  <c r="P1410"/>
  <c r="P1412"/>
  <c r="P1386"/>
  <c r="P1414"/>
  <c r="Y1413"/>
  <c r="X1413"/>
  <c r="W1413"/>
  <c r="Y1412"/>
  <c r="X1412"/>
  <c r="W1412"/>
  <c r="U1412"/>
  <c r="Y1411"/>
  <c r="X1411"/>
  <c r="W1411"/>
  <c r="O1408"/>
  <c r="F1409"/>
  <c r="O1409"/>
  <c r="O1410"/>
  <c r="C1410"/>
  <c r="Y1410"/>
  <c r="X1410"/>
  <c r="W1410"/>
  <c r="U1410"/>
  <c r="M1410"/>
  <c r="F1410"/>
  <c r="Y1409"/>
  <c r="X1409"/>
  <c r="W1409"/>
  <c r="U1409"/>
  <c r="C1368"/>
  <c r="C1408"/>
  <c r="Y1408"/>
  <c r="X1408"/>
  <c r="W1408"/>
  <c r="U1408"/>
  <c r="M1408"/>
  <c r="F1408"/>
  <c r="Y1407"/>
  <c r="X1407"/>
  <c r="W1407"/>
  <c r="Y1406"/>
  <c r="X1406"/>
  <c r="W1406"/>
  <c r="Y1405"/>
  <c r="X1405"/>
  <c r="W1405"/>
  <c r="Y1404"/>
  <c r="X1404"/>
  <c r="W1404"/>
  <c r="F1394"/>
  <c r="O1394"/>
  <c r="C1394"/>
  <c r="O1399"/>
  <c r="F1400"/>
  <c r="O1400"/>
  <c r="O1401"/>
  <c r="C1401"/>
  <c r="C1403"/>
  <c r="Y1403"/>
  <c r="O1403"/>
  <c r="X1403"/>
  <c r="W1403"/>
  <c r="M1403"/>
  <c r="F1403"/>
  <c r="Y1402"/>
  <c r="X1402"/>
  <c r="W1402"/>
  <c r="F1402"/>
  <c r="Y1401"/>
  <c r="X1401"/>
  <c r="W1401"/>
  <c r="U1401"/>
  <c r="M1401"/>
  <c r="F1401"/>
  <c r="Y1400"/>
  <c r="X1400"/>
  <c r="W1400"/>
  <c r="U1400"/>
  <c r="C1399"/>
  <c r="Y1399"/>
  <c r="X1399"/>
  <c r="W1399"/>
  <c r="U1399"/>
  <c r="M1399"/>
  <c r="F1399"/>
  <c r="Y1398"/>
  <c r="X1398"/>
  <c r="W1398"/>
  <c r="Y1397"/>
  <c r="X1397"/>
  <c r="W1397"/>
  <c r="Y1396"/>
  <c r="X1396"/>
  <c r="W1396"/>
  <c r="Y1395"/>
  <c r="X1395"/>
  <c r="W1395"/>
  <c r="Y1394"/>
  <c r="X1394"/>
  <c r="W1394"/>
  <c r="U1394"/>
  <c r="M1394"/>
  <c r="Y1393"/>
  <c r="X1393"/>
  <c r="W1393"/>
  <c r="U1393"/>
  <c r="M1393"/>
  <c r="C1392"/>
  <c r="Y1392"/>
  <c r="O1392"/>
  <c r="X1392"/>
  <c r="W1392"/>
  <c r="U1392"/>
  <c r="M1392"/>
  <c r="F1392"/>
  <c r="Y1391"/>
  <c r="X1391"/>
  <c r="W1391"/>
  <c r="Y1390"/>
  <c r="X1390"/>
  <c r="W1390"/>
  <c r="Y1389"/>
  <c r="X1389"/>
  <c r="W1389"/>
  <c r="Y1388"/>
  <c r="X1388"/>
  <c r="W1388"/>
  <c r="Y1387"/>
  <c r="X1387"/>
  <c r="W1387"/>
  <c r="Y1386"/>
  <c r="X1386"/>
  <c r="W1386"/>
  <c r="U1386"/>
  <c r="Y1385"/>
  <c r="X1385"/>
  <c r="W1385"/>
  <c r="Y1384"/>
  <c r="X1384"/>
  <c r="W1384"/>
  <c r="Q1377"/>
  <c r="H1377"/>
  <c r="Q1376"/>
  <c r="H1376"/>
  <c r="O1374"/>
  <c r="N1372"/>
  <c r="N1374"/>
  <c r="M1372"/>
  <c r="M1374"/>
  <c r="L1372"/>
  <c r="L1374"/>
  <c r="K1372"/>
  <c r="K1374"/>
  <c r="J1372"/>
  <c r="J1374"/>
  <c r="I1372"/>
  <c r="I1374"/>
  <c r="H1372"/>
  <c r="H1374"/>
  <c r="G1372"/>
  <c r="G1374"/>
  <c r="F1372"/>
  <c r="F1374"/>
  <c r="E1372"/>
  <c r="E1374"/>
  <c r="D1372"/>
  <c r="D1374"/>
  <c r="A1331"/>
  <c r="A1332"/>
  <c r="A1333"/>
  <c r="A1334"/>
  <c r="A1335"/>
  <c r="A1336"/>
  <c r="A1337"/>
  <c r="A1338"/>
  <c r="A1339"/>
  <c r="A1340"/>
  <c r="A1341"/>
  <c r="A1345"/>
  <c r="A1346"/>
  <c r="A1347"/>
  <c r="A1348"/>
  <c r="A1349"/>
  <c r="A1353"/>
  <c r="A1354"/>
  <c r="A1355"/>
  <c r="A1356"/>
  <c r="A1357"/>
  <c r="A1358"/>
  <c r="A1359"/>
  <c r="A1360"/>
  <c r="A1361"/>
  <c r="A1362"/>
  <c r="A1364"/>
  <c r="A1366"/>
  <c r="A1367"/>
  <c r="A1368"/>
  <c r="A1370"/>
  <c r="A1372"/>
  <c r="A1374"/>
  <c r="R1364"/>
  <c r="R1370"/>
  <c r="S1370"/>
  <c r="C1370"/>
  <c r="C1372"/>
  <c r="S1372"/>
  <c r="Y1372"/>
  <c r="X1372"/>
  <c r="R1372"/>
  <c r="W1372"/>
  <c r="Q1370"/>
  <c r="Q1372"/>
  <c r="P1370"/>
  <c r="P1372"/>
  <c r="Y1371"/>
  <c r="X1371"/>
  <c r="W1371"/>
  <c r="Y1370"/>
  <c r="X1370"/>
  <c r="W1370"/>
  <c r="U1370"/>
  <c r="Y1369"/>
  <c r="X1369"/>
  <c r="W1369"/>
  <c r="Y1368"/>
  <c r="X1368"/>
  <c r="W1368"/>
  <c r="U1368"/>
  <c r="Y1367"/>
  <c r="F1367"/>
  <c r="O1367"/>
  <c r="X1367"/>
  <c r="W1367"/>
  <c r="U1367"/>
  <c r="Y1366"/>
  <c r="F1366"/>
  <c r="O1366"/>
  <c r="X1366"/>
  <c r="W1366"/>
  <c r="U1366"/>
  <c r="Y1365"/>
  <c r="X1365"/>
  <c r="W1365"/>
  <c r="Y1364"/>
  <c r="F1364"/>
  <c r="M1364"/>
  <c r="O1364"/>
  <c r="X1364"/>
  <c r="W1364"/>
  <c r="U1364"/>
  <c r="Y1363"/>
  <c r="X1363"/>
  <c r="W1363"/>
  <c r="Y1362"/>
  <c r="X1362"/>
  <c r="W1362"/>
  <c r="U1362"/>
  <c r="Y1361"/>
  <c r="X1361"/>
  <c r="F1361"/>
  <c r="M1361"/>
  <c r="O1361"/>
  <c r="W1361"/>
  <c r="U1361"/>
  <c r="Y1360"/>
  <c r="F1360"/>
  <c r="M1360"/>
  <c r="O1360"/>
  <c r="X1360"/>
  <c r="W1360"/>
  <c r="U1360"/>
  <c r="Y1359"/>
  <c r="F1359"/>
  <c r="M1359"/>
  <c r="O1359"/>
  <c r="X1359"/>
  <c r="W1359"/>
  <c r="U1359"/>
  <c r="Y1358"/>
  <c r="F1358"/>
  <c r="M1358"/>
  <c r="O1358"/>
  <c r="X1358"/>
  <c r="W1358"/>
  <c r="U1358"/>
  <c r="Y1357"/>
  <c r="F1357"/>
  <c r="M1357"/>
  <c r="O1357"/>
  <c r="X1357"/>
  <c r="W1357"/>
  <c r="U1357"/>
  <c r="Y1356"/>
  <c r="X1356"/>
  <c r="F1356"/>
  <c r="O1356"/>
  <c r="W1356"/>
  <c r="U1356"/>
  <c r="Y1355"/>
  <c r="F1355"/>
  <c r="O1355"/>
  <c r="X1355"/>
  <c r="W1355"/>
  <c r="U1355"/>
  <c r="Y1354"/>
  <c r="F1354"/>
  <c r="M1354"/>
  <c r="O1354"/>
  <c r="X1354"/>
  <c r="W1354"/>
  <c r="U1354"/>
  <c r="Y1353"/>
  <c r="F1353"/>
  <c r="M1353"/>
  <c r="O1353"/>
  <c r="X1353"/>
  <c r="W1353"/>
  <c r="U1353"/>
  <c r="Y1352"/>
  <c r="X1352"/>
  <c r="W1352"/>
  <c r="Y1351"/>
  <c r="X1351"/>
  <c r="W1351"/>
  <c r="Y1350"/>
  <c r="X1350"/>
  <c r="W1350"/>
  <c r="Y1349"/>
  <c r="X1349"/>
  <c r="W1349"/>
  <c r="U1349"/>
  <c r="Y1348"/>
  <c r="F1348"/>
  <c r="M1348"/>
  <c r="O1348"/>
  <c r="X1348"/>
  <c r="W1348"/>
  <c r="U1348"/>
  <c r="Y1347"/>
  <c r="F1347"/>
  <c r="M1347"/>
  <c r="O1347"/>
  <c r="X1347"/>
  <c r="W1347"/>
  <c r="U1347"/>
  <c r="Y1346"/>
  <c r="F1346"/>
  <c r="M1346"/>
  <c r="O1346"/>
  <c r="X1346"/>
  <c r="W1346"/>
  <c r="U1346"/>
  <c r="Y1345"/>
  <c r="F1345"/>
  <c r="M1345"/>
  <c r="O1345"/>
  <c r="X1345"/>
  <c r="W1345"/>
  <c r="U1345"/>
  <c r="Y1344"/>
  <c r="X1344"/>
  <c r="W1344"/>
  <c r="Y1343"/>
  <c r="X1343"/>
  <c r="W1343"/>
  <c r="Y1342"/>
  <c r="X1342"/>
  <c r="W1342"/>
  <c r="Y1341"/>
  <c r="X1341"/>
  <c r="W1341"/>
  <c r="U1341"/>
  <c r="Y1340"/>
  <c r="F1340"/>
  <c r="M1340"/>
  <c r="O1340"/>
  <c r="X1340"/>
  <c r="W1340"/>
  <c r="U1340"/>
  <c r="Y1339"/>
  <c r="F1339"/>
  <c r="M1339"/>
  <c r="O1339"/>
  <c r="X1339"/>
  <c r="W1339"/>
  <c r="U1339"/>
  <c r="Y1338"/>
  <c r="F1338"/>
  <c r="M1338"/>
  <c r="O1338"/>
  <c r="X1338"/>
  <c r="W1338"/>
  <c r="U1338"/>
  <c r="Y1337"/>
  <c r="F1337"/>
  <c r="M1337"/>
  <c r="O1337"/>
  <c r="X1337"/>
  <c r="W1337"/>
  <c r="U1337"/>
  <c r="Y1336"/>
  <c r="X1336"/>
  <c r="F1336"/>
  <c r="M1336"/>
  <c r="O1336"/>
  <c r="W1336"/>
  <c r="U1336"/>
  <c r="Y1335"/>
  <c r="F1335"/>
  <c r="M1335"/>
  <c r="O1335"/>
  <c r="X1335"/>
  <c r="W1335"/>
  <c r="U1335"/>
  <c r="Y1334"/>
  <c r="F1334"/>
  <c r="M1334"/>
  <c r="O1334"/>
  <c r="X1334"/>
  <c r="W1334"/>
  <c r="U1334"/>
  <c r="Y1333"/>
  <c r="F1333"/>
  <c r="M1333"/>
  <c r="O1333"/>
  <c r="X1333"/>
  <c r="W1333"/>
  <c r="U1333"/>
  <c r="Y1332"/>
  <c r="F1332"/>
  <c r="M1332"/>
  <c r="O1332"/>
  <c r="X1332"/>
  <c r="W1332"/>
  <c r="U1332"/>
  <c r="Y1331"/>
  <c r="F1331"/>
  <c r="M1331"/>
  <c r="O1331"/>
  <c r="X1331"/>
  <c r="W1331"/>
  <c r="U1331"/>
  <c r="Y1330"/>
  <c r="X1330"/>
  <c r="W1330"/>
  <c r="Y1329"/>
  <c r="X1329"/>
  <c r="W1329"/>
  <c r="Y1328"/>
  <c r="X1328"/>
  <c r="W1328"/>
  <c r="Q1321"/>
  <c r="H1321"/>
  <c r="Q1320"/>
  <c r="H1320"/>
  <c r="Y1318"/>
  <c r="X1318"/>
  <c r="W1318"/>
  <c r="U1318"/>
  <c r="A1238"/>
  <c r="A1240"/>
  <c r="A1241"/>
  <c r="A1242"/>
  <c r="A1243"/>
  <c r="A1244"/>
  <c r="A1245"/>
  <c r="A1246"/>
  <c r="A1247"/>
  <c r="A1248"/>
  <c r="A1249"/>
  <c r="A1250"/>
  <c r="A1251"/>
  <c r="A1252"/>
  <c r="A1253"/>
  <c r="A1258"/>
  <c r="A1260"/>
  <c r="A1261"/>
  <c r="A1262"/>
  <c r="A1263"/>
  <c r="A1264"/>
  <c r="A1265"/>
  <c r="A1266"/>
  <c r="A1267"/>
  <c r="A1268"/>
  <c r="A1269"/>
  <c r="A1270"/>
  <c r="A1271"/>
  <c r="A1272"/>
  <c r="A1273"/>
  <c r="A1275"/>
  <c r="A1277"/>
  <c r="A1278"/>
  <c r="A1279"/>
  <c r="A1280"/>
  <c r="A1295"/>
  <c r="A1296"/>
  <c r="A1297"/>
  <c r="A1298"/>
  <c r="A1299"/>
  <c r="A1304"/>
  <c r="A1305"/>
  <c r="A1306"/>
  <c r="A1307"/>
  <c r="A1308"/>
  <c r="A1309"/>
  <c r="A1310"/>
  <c r="A1312"/>
  <c r="A1314"/>
  <c r="A1315"/>
  <c r="A1316"/>
  <c r="A1317"/>
  <c r="A1318"/>
  <c r="Y1317"/>
  <c r="X1317"/>
  <c r="W1317"/>
  <c r="U1317"/>
  <c r="Y1316"/>
  <c r="X1316"/>
  <c r="W1316"/>
  <c r="U1316"/>
  <c r="Y1315"/>
  <c r="X1315"/>
  <c r="W1315"/>
  <c r="U1315"/>
  <c r="Y1314"/>
  <c r="X1314"/>
  <c r="W1314"/>
  <c r="U1314"/>
  <c r="Y1313"/>
  <c r="X1313"/>
  <c r="W1313"/>
  <c r="Y1312"/>
  <c r="X1312"/>
  <c r="F1312"/>
  <c r="M1312"/>
  <c r="O1312"/>
  <c r="W1312"/>
  <c r="U1312"/>
  <c r="Y1311"/>
  <c r="X1311"/>
  <c r="W1311"/>
  <c r="Y1310"/>
  <c r="X1310"/>
  <c r="W1310"/>
  <c r="U1310"/>
  <c r="Y1309"/>
  <c r="F1309"/>
  <c r="O1309"/>
  <c r="X1309"/>
  <c r="W1309"/>
  <c r="U1309"/>
  <c r="C1308"/>
  <c r="Y1308"/>
  <c r="F1308"/>
  <c r="M1308"/>
  <c r="O1308"/>
  <c r="X1308"/>
  <c r="R1308"/>
  <c r="W1308"/>
  <c r="U1308"/>
  <c r="Y1307"/>
  <c r="F1307"/>
  <c r="O1307"/>
  <c r="X1307"/>
  <c r="W1307"/>
  <c r="U1307"/>
  <c r="Y1306"/>
  <c r="F1306"/>
  <c r="O1306"/>
  <c r="X1306"/>
  <c r="W1306"/>
  <c r="U1306"/>
  <c r="Y1305"/>
  <c r="X1305"/>
  <c r="F1305"/>
  <c r="O1305"/>
  <c r="W1305"/>
  <c r="U1305"/>
  <c r="Y1304"/>
  <c r="F1304"/>
  <c r="O1304"/>
  <c r="X1304"/>
  <c r="W1304"/>
  <c r="U1304"/>
  <c r="Y1303"/>
  <c r="X1303"/>
  <c r="W1303"/>
  <c r="Y1302"/>
  <c r="X1302"/>
  <c r="W1302"/>
  <c r="Y1301"/>
  <c r="X1301"/>
  <c r="W1301"/>
  <c r="Y1300"/>
  <c r="X1300"/>
  <c r="W1300"/>
  <c r="Y1299"/>
  <c r="X1299"/>
  <c r="W1299"/>
  <c r="U1299"/>
  <c r="Y1298"/>
  <c r="X1298"/>
  <c r="F1298"/>
  <c r="O1298"/>
  <c r="W1298"/>
  <c r="U1298"/>
  <c r="Y1297"/>
  <c r="X1297"/>
  <c r="F1297"/>
  <c r="O1297"/>
  <c r="W1297"/>
  <c r="U1297"/>
  <c r="Y1296"/>
  <c r="F1296"/>
  <c r="O1296"/>
  <c r="X1296"/>
  <c r="W1296"/>
  <c r="U1296"/>
  <c r="Y1295"/>
  <c r="X1295"/>
  <c r="F1295"/>
  <c r="O1295"/>
  <c r="W1295"/>
  <c r="U1295"/>
  <c r="Y1294"/>
  <c r="X1294"/>
  <c r="W1294"/>
  <c r="Y1293"/>
  <c r="X1293"/>
  <c r="W1293"/>
  <c r="Y1292"/>
  <c r="X1292"/>
  <c r="W1292"/>
  <c r="Y1290"/>
  <c r="X1290"/>
  <c r="W1290"/>
  <c r="Q1283"/>
  <c r="H1283"/>
  <c r="Q1282"/>
  <c r="H1282"/>
  <c r="F1280"/>
  <c r="M1280"/>
  <c r="O1280"/>
  <c r="R1280"/>
  <c r="C1280"/>
  <c r="Y1280"/>
  <c r="X1280"/>
  <c r="W1280"/>
  <c r="U1280"/>
  <c r="F1279"/>
  <c r="M1279"/>
  <c r="O1279"/>
  <c r="R1279"/>
  <c r="C1279"/>
  <c r="Y1279"/>
  <c r="X1279"/>
  <c r="W1279"/>
  <c r="U1279"/>
  <c r="F1278"/>
  <c r="M1278"/>
  <c r="O1278"/>
  <c r="R1278"/>
  <c r="C1278"/>
  <c r="Y1278"/>
  <c r="X1278"/>
  <c r="W1278"/>
  <c r="U1278"/>
  <c r="Y1277"/>
  <c r="X1277"/>
  <c r="W1277"/>
  <c r="U1277"/>
  <c r="Y1276"/>
  <c r="X1276"/>
  <c r="W1276"/>
  <c r="F1275"/>
  <c r="M1275"/>
  <c r="O1275"/>
  <c r="R1275"/>
  <c r="C1275"/>
  <c r="Y1275"/>
  <c r="X1275"/>
  <c r="W1275"/>
  <c r="U1275"/>
  <c r="Y1274"/>
  <c r="X1274"/>
  <c r="W1274"/>
  <c r="F1273"/>
  <c r="M1273"/>
  <c r="O1273"/>
  <c r="R1273"/>
  <c r="C1273"/>
  <c r="Y1273"/>
  <c r="X1273"/>
  <c r="W1273"/>
  <c r="U1273"/>
  <c r="F1272"/>
  <c r="M1272"/>
  <c r="O1272"/>
  <c r="R1272"/>
  <c r="C1272"/>
  <c r="Y1272"/>
  <c r="X1272"/>
  <c r="W1272"/>
  <c r="U1272"/>
  <c r="F1271"/>
  <c r="M1271"/>
  <c r="O1271"/>
  <c r="R1271"/>
  <c r="C1271"/>
  <c r="Y1271"/>
  <c r="X1271"/>
  <c r="W1271"/>
  <c r="U1271"/>
  <c r="D1270"/>
  <c r="E1270"/>
  <c r="F1270"/>
  <c r="G1270"/>
  <c r="H1270"/>
  <c r="I1270"/>
  <c r="J1270"/>
  <c r="K1270"/>
  <c r="L1270"/>
  <c r="M1270"/>
  <c r="N1270"/>
  <c r="O1270"/>
  <c r="P1270"/>
  <c r="Q1270"/>
  <c r="R1270"/>
  <c r="S1270"/>
  <c r="C1270"/>
  <c r="Y1270"/>
  <c r="X1270"/>
  <c r="W1270"/>
  <c r="U1270"/>
  <c r="F1269"/>
  <c r="M1269"/>
  <c r="O1269"/>
  <c r="R1269"/>
  <c r="C1269"/>
  <c r="Y1269"/>
  <c r="X1269"/>
  <c r="W1269"/>
  <c r="U1269"/>
  <c r="Y1268"/>
  <c r="F1268"/>
  <c r="M1268"/>
  <c r="O1268"/>
  <c r="X1268"/>
  <c r="R1268"/>
  <c r="W1268"/>
  <c r="U1268"/>
  <c r="C1267"/>
  <c r="Y1267"/>
  <c r="D1267"/>
  <c r="E1267"/>
  <c r="F1267"/>
  <c r="G1267"/>
  <c r="H1267"/>
  <c r="I1267"/>
  <c r="J1267"/>
  <c r="K1267"/>
  <c r="L1267"/>
  <c r="M1267"/>
  <c r="N1267"/>
  <c r="O1267"/>
  <c r="X1267"/>
  <c r="P1267"/>
  <c r="Q1267"/>
  <c r="R1267"/>
  <c r="W1267"/>
  <c r="U1267"/>
  <c r="Y1266"/>
  <c r="F1266"/>
  <c r="M1266"/>
  <c r="O1266"/>
  <c r="X1266"/>
  <c r="R1266"/>
  <c r="W1266"/>
  <c r="U1266"/>
  <c r="F1265"/>
  <c r="M1265"/>
  <c r="O1265"/>
  <c r="R1265"/>
  <c r="C1265"/>
  <c r="Y1265"/>
  <c r="X1265"/>
  <c r="W1265"/>
  <c r="U1265"/>
  <c r="Y1264"/>
  <c r="F1264"/>
  <c r="M1264"/>
  <c r="O1264"/>
  <c r="X1264"/>
  <c r="R1264"/>
  <c r="W1264"/>
  <c r="U1264"/>
  <c r="Y1263"/>
  <c r="F1263"/>
  <c r="M1263"/>
  <c r="O1263"/>
  <c r="X1263"/>
  <c r="R1263"/>
  <c r="W1263"/>
  <c r="U1263"/>
  <c r="Y1262"/>
  <c r="F1262"/>
  <c r="M1262"/>
  <c r="O1262"/>
  <c r="X1262"/>
  <c r="R1262"/>
  <c r="W1262"/>
  <c r="U1262"/>
  <c r="Y1261"/>
  <c r="X1261"/>
  <c r="W1261"/>
  <c r="F1261"/>
  <c r="Y1260"/>
  <c r="X1260"/>
  <c r="W1260"/>
  <c r="F1260"/>
  <c r="Y1259"/>
  <c r="X1259"/>
  <c r="W1259"/>
  <c r="Y1258"/>
  <c r="X1258"/>
  <c r="R1258"/>
  <c r="W1258"/>
  <c r="U1258"/>
  <c r="N1258"/>
  <c r="J1258"/>
  <c r="K1258"/>
  <c r="L1258"/>
  <c r="M1258"/>
  <c r="I1258"/>
  <c r="H1258"/>
  <c r="G1258"/>
  <c r="D1258"/>
  <c r="E1258"/>
  <c r="F1258"/>
  <c r="Y1257"/>
  <c r="X1257"/>
  <c r="W1257"/>
  <c r="Y1256"/>
  <c r="X1256"/>
  <c r="W1256"/>
  <c r="Y1255"/>
  <c r="X1255"/>
  <c r="W1255"/>
  <c r="Y1254"/>
  <c r="X1254"/>
  <c r="W1254"/>
  <c r="F1253"/>
  <c r="M1253"/>
  <c r="O1253"/>
  <c r="R1253"/>
  <c r="C1253"/>
  <c r="Y1253"/>
  <c r="X1253"/>
  <c r="W1253"/>
  <c r="U1253"/>
  <c r="F1252"/>
  <c r="M1252"/>
  <c r="O1252"/>
  <c r="R1252"/>
  <c r="C1252"/>
  <c r="Y1252"/>
  <c r="X1252"/>
  <c r="W1252"/>
  <c r="U1252"/>
  <c r="F1251"/>
  <c r="M1251"/>
  <c r="O1251"/>
  <c r="R1251"/>
  <c r="C1251"/>
  <c r="Y1251"/>
  <c r="X1251"/>
  <c r="W1251"/>
  <c r="U1251"/>
  <c r="Y1250"/>
  <c r="X1250"/>
  <c r="W1250"/>
  <c r="U1250"/>
  <c r="Y1249"/>
  <c r="X1249"/>
  <c r="F1249"/>
  <c r="M1249"/>
  <c r="O1249"/>
  <c r="R1249"/>
  <c r="W1249"/>
  <c r="U1249"/>
  <c r="F1248"/>
  <c r="M1248"/>
  <c r="O1248"/>
  <c r="R1248"/>
  <c r="C1248"/>
  <c r="Y1248"/>
  <c r="X1248"/>
  <c r="W1248"/>
  <c r="U1248"/>
  <c r="Y1247"/>
  <c r="F1247"/>
  <c r="M1247"/>
  <c r="O1247"/>
  <c r="X1247"/>
  <c r="R1247"/>
  <c r="W1247"/>
  <c r="U1247"/>
  <c r="Y1246"/>
  <c r="F1246"/>
  <c r="M1246"/>
  <c r="O1246"/>
  <c r="X1246"/>
  <c r="R1246"/>
  <c r="W1246"/>
  <c r="U1246"/>
  <c r="F1245"/>
  <c r="M1245"/>
  <c r="O1245"/>
  <c r="R1245"/>
  <c r="C1245"/>
  <c r="Y1245"/>
  <c r="X1245"/>
  <c r="W1245"/>
  <c r="U1245"/>
  <c r="Y1244"/>
  <c r="F1244"/>
  <c r="M1244"/>
  <c r="O1244"/>
  <c r="X1244"/>
  <c r="R1244"/>
  <c r="W1244"/>
  <c r="U1244"/>
  <c r="Y1243"/>
  <c r="F1243"/>
  <c r="M1243"/>
  <c r="O1243"/>
  <c r="X1243"/>
  <c r="R1243"/>
  <c r="W1243"/>
  <c r="U1243"/>
  <c r="Y1242"/>
  <c r="F1242"/>
  <c r="M1242"/>
  <c r="O1242"/>
  <c r="X1242"/>
  <c r="R1242"/>
  <c r="W1242"/>
  <c r="U1242"/>
  <c r="Y1241"/>
  <c r="X1241"/>
  <c r="W1241"/>
  <c r="F1241"/>
  <c r="Y1240"/>
  <c r="X1240"/>
  <c r="W1240"/>
  <c r="F1240"/>
  <c r="Y1239"/>
  <c r="X1239"/>
  <c r="W1239"/>
  <c r="Y1238"/>
  <c r="X1238"/>
  <c r="R1238"/>
  <c r="W1238"/>
  <c r="U1238"/>
  <c r="N1238"/>
  <c r="J1238"/>
  <c r="K1238"/>
  <c r="L1238"/>
  <c r="M1238"/>
  <c r="I1238"/>
  <c r="H1238"/>
  <c r="G1238"/>
  <c r="D1238"/>
  <c r="E1238"/>
  <c r="F1238"/>
  <c r="Y1237"/>
  <c r="X1237"/>
  <c r="W1237"/>
  <c r="Y1236"/>
  <c r="X1236"/>
  <c r="W1236"/>
  <c r="Y1235"/>
  <c r="X1235"/>
  <c r="W1235"/>
  <c r="Y1234"/>
  <c r="X1234"/>
  <c r="W1234"/>
  <c r="Q1227"/>
  <c r="H1227"/>
  <c r="Q1226"/>
  <c r="H1226"/>
  <c r="F1224"/>
  <c r="M1224"/>
  <c r="O1224"/>
  <c r="R1224"/>
  <c r="C1224"/>
  <c r="Y1224"/>
  <c r="X1224"/>
  <c r="W1224"/>
  <c r="U1224"/>
  <c r="A1136"/>
  <c r="A1139"/>
  <c r="A1140"/>
  <c r="A1145"/>
  <c r="A1147"/>
  <c r="A1149"/>
  <c r="A1151"/>
  <c r="A1153"/>
  <c r="A1155"/>
  <c r="A1157"/>
  <c r="A1159"/>
  <c r="A1161"/>
  <c r="A1166"/>
  <c r="A1168"/>
  <c r="A1170"/>
  <c r="A1173"/>
  <c r="A1174"/>
  <c r="A1175"/>
  <c r="A1187"/>
  <c r="A1188"/>
  <c r="A1189"/>
  <c r="A1192"/>
  <c r="A1193"/>
  <c r="A1194"/>
  <c r="A1197"/>
  <c r="A1198"/>
  <c r="A1199"/>
  <c r="A1202"/>
  <c r="A1203"/>
  <c r="A1204"/>
  <c r="A1206"/>
  <c r="A1208"/>
  <c r="A1210"/>
  <c r="A1212"/>
  <c r="A1213"/>
  <c r="A1214"/>
  <c r="A1216"/>
  <c r="A1217"/>
  <c r="A1218"/>
  <c r="A1219"/>
  <c r="A1221"/>
  <c r="A1222"/>
  <c r="A1223"/>
  <c r="A1224"/>
  <c r="F1223"/>
  <c r="M1223"/>
  <c r="O1223"/>
  <c r="R1223"/>
  <c r="C1223"/>
  <c r="Y1223"/>
  <c r="X1223"/>
  <c r="W1223"/>
  <c r="U1223"/>
  <c r="F1222"/>
  <c r="M1222"/>
  <c r="O1222"/>
  <c r="R1222"/>
  <c r="C1222"/>
  <c r="Y1222"/>
  <c r="X1222"/>
  <c r="W1222"/>
  <c r="U1222"/>
  <c r="Y1221"/>
  <c r="X1221"/>
  <c r="W1221"/>
  <c r="U1221"/>
  <c r="Y1220"/>
  <c r="X1220"/>
  <c r="W1220"/>
  <c r="Y1219"/>
  <c r="F1219"/>
  <c r="M1219"/>
  <c r="O1219"/>
  <c r="X1219"/>
  <c r="R1219"/>
  <c r="W1219"/>
  <c r="U1219"/>
  <c r="Y1218"/>
  <c r="F1218"/>
  <c r="M1218"/>
  <c r="O1218"/>
  <c r="X1218"/>
  <c r="R1218"/>
  <c r="W1218"/>
  <c r="U1218"/>
  <c r="C1217"/>
  <c r="Y1217"/>
  <c r="F1217"/>
  <c r="M1217"/>
  <c r="O1217"/>
  <c r="X1217"/>
  <c r="R1217"/>
  <c r="W1217"/>
  <c r="U1217"/>
  <c r="Y1216"/>
  <c r="F1216"/>
  <c r="M1216"/>
  <c r="O1216"/>
  <c r="X1216"/>
  <c r="R1216"/>
  <c r="W1216"/>
  <c r="U1216"/>
  <c r="Y1215"/>
  <c r="X1215"/>
  <c r="W1215"/>
  <c r="F1214"/>
  <c r="M1214"/>
  <c r="O1214"/>
  <c r="R1214"/>
  <c r="C1214"/>
  <c r="Y1214"/>
  <c r="X1214"/>
  <c r="W1214"/>
  <c r="U1214"/>
  <c r="F1213"/>
  <c r="M1213"/>
  <c r="O1213"/>
  <c r="R1213"/>
  <c r="C1213"/>
  <c r="Y1213"/>
  <c r="X1213"/>
  <c r="W1213"/>
  <c r="U1213"/>
  <c r="F1212"/>
  <c r="M1212"/>
  <c r="O1212"/>
  <c r="R1212"/>
  <c r="C1212"/>
  <c r="Y1212"/>
  <c r="X1212"/>
  <c r="W1212"/>
  <c r="U1212"/>
  <c r="Y1211"/>
  <c r="X1211"/>
  <c r="W1211"/>
  <c r="Y1210"/>
  <c r="F1210"/>
  <c r="O1210"/>
  <c r="X1210"/>
  <c r="W1210"/>
  <c r="U1210"/>
  <c r="Y1209"/>
  <c r="X1209"/>
  <c r="W1209"/>
  <c r="Y1208"/>
  <c r="F1208"/>
  <c r="O1208"/>
  <c r="X1208"/>
  <c r="W1208"/>
  <c r="U1208"/>
  <c r="Y1207"/>
  <c r="X1207"/>
  <c r="W1207"/>
  <c r="Y1206"/>
  <c r="F1206"/>
  <c r="O1206"/>
  <c r="X1206"/>
  <c r="W1206"/>
  <c r="U1206"/>
  <c r="Y1205"/>
  <c r="X1205"/>
  <c r="W1205"/>
  <c r="Y1204"/>
  <c r="F1204"/>
  <c r="O1204"/>
  <c r="X1204"/>
  <c r="W1204"/>
  <c r="U1204"/>
  <c r="C1203"/>
  <c r="S1203"/>
  <c r="Y1203"/>
  <c r="E1203"/>
  <c r="G1203"/>
  <c r="H1203"/>
  <c r="I1203"/>
  <c r="J1203"/>
  <c r="K1203"/>
  <c r="L1203"/>
  <c r="M1203"/>
  <c r="N1203"/>
  <c r="P1203"/>
  <c r="Q1203"/>
  <c r="R1203"/>
  <c r="D1203"/>
  <c r="F1203"/>
  <c r="O1203"/>
  <c r="X1203"/>
  <c r="W1203"/>
  <c r="U1203"/>
  <c r="Y1202"/>
  <c r="F1202"/>
  <c r="O1202"/>
  <c r="X1202"/>
  <c r="W1202"/>
  <c r="U1202"/>
  <c r="Y1201"/>
  <c r="X1201"/>
  <c r="W1201"/>
  <c r="Y1200"/>
  <c r="X1200"/>
  <c r="W1200"/>
  <c r="Y1199"/>
  <c r="F1199"/>
  <c r="O1199"/>
  <c r="X1199"/>
  <c r="W1199"/>
  <c r="U1199"/>
  <c r="C1198"/>
  <c r="S1198"/>
  <c r="Y1198"/>
  <c r="E1198"/>
  <c r="G1198"/>
  <c r="H1198"/>
  <c r="I1198"/>
  <c r="J1198"/>
  <c r="K1198"/>
  <c r="L1198"/>
  <c r="M1198"/>
  <c r="N1198"/>
  <c r="P1198"/>
  <c r="Q1198"/>
  <c r="R1198"/>
  <c r="D1198"/>
  <c r="F1198"/>
  <c r="O1198"/>
  <c r="X1198"/>
  <c r="W1198"/>
  <c r="U1198"/>
  <c r="Y1197"/>
  <c r="F1197"/>
  <c r="O1197"/>
  <c r="X1197"/>
  <c r="W1197"/>
  <c r="U1197"/>
  <c r="Y1196"/>
  <c r="X1196"/>
  <c r="W1196"/>
  <c r="Y1194"/>
  <c r="F1194"/>
  <c r="O1194"/>
  <c r="X1194"/>
  <c r="W1194"/>
  <c r="U1194"/>
  <c r="C1193"/>
  <c r="S1193"/>
  <c r="Y1193"/>
  <c r="E1193"/>
  <c r="G1193"/>
  <c r="H1193"/>
  <c r="I1193"/>
  <c r="J1193"/>
  <c r="K1193"/>
  <c r="L1193"/>
  <c r="M1193"/>
  <c r="N1193"/>
  <c r="P1193"/>
  <c r="Q1193"/>
  <c r="R1193"/>
  <c r="D1193"/>
  <c r="F1193"/>
  <c r="O1193"/>
  <c r="X1193"/>
  <c r="W1193"/>
  <c r="U1193"/>
  <c r="Y1192"/>
  <c r="F1192"/>
  <c r="O1192"/>
  <c r="X1192"/>
  <c r="W1192"/>
  <c r="U1192"/>
  <c r="Y1191"/>
  <c r="X1191"/>
  <c r="W1191"/>
  <c r="Y1190"/>
  <c r="X1190"/>
  <c r="W1190"/>
  <c r="Y1189"/>
  <c r="F1189"/>
  <c r="O1189"/>
  <c r="X1189"/>
  <c r="W1189"/>
  <c r="U1189"/>
  <c r="C1188"/>
  <c r="Y1188"/>
  <c r="E1188"/>
  <c r="G1188"/>
  <c r="H1188"/>
  <c r="I1188"/>
  <c r="J1188"/>
  <c r="K1188"/>
  <c r="L1188"/>
  <c r="M1188"/>
  <c r="N1188"/>
  <c r="P1188"/>
  <c r="Q1188"/>
  <c r="R1188"/>
  <c r="D1188"/>
  <c r="F1188"/>
  <c r="O1188"/>
  <c r="X1188"/>
  <c r="W1188"/>
  <c r="U1188"/>
  <c r="Y1187"/>
  <c r="F1187"/>
  <c r="O1187"/>
  <c r="X1187"/>
  <c r="W1187"/>
  <c r="U1187"/>
  <c r="Y1185"/>
  <c r="X1185"/>
  <c r="W1185"/>
  <c r="Q1178"/>
  <c r="H1178"/>
  <c r="Q1177"/>
  <c r="H1177"/>
  <c r="Y1175"/>
  <c r="F1175"/>
  <c r="O1175"/>
  <c r="X1175"/>
  <c r="W1175"/>
  <c r="U1175"/>
  <c r="C1174"/>
  <c r="Y1174"/>
  <c r="E1174"/>
  <c r="G1174"/>
  <c r="H1174"/>
  <c r="I1174"/>
  <c r="J1174"/>
  <c r="K1174"/>
  <c r="L1174"/>
  <c r="M1174"/>
  <c r="N1174"/>
  <c r="P1174"/>
  <c r="Q1174"/>
  <c r="R1174"/>
  <c r="D1174"/>
  <c r="F1174"/>
  <c r="O1174"/>
  <c r="X1174"/>
  <c r="W1174"/>
  <c r="U1174"/>
  <c r="Y1173"/>
  <c r="F1173"/>
  <c r="O1173"/>
  <c r="X1173"/>
  <c r="W1173"/>
  <c r="U1173"/>
  <c r="Y1172"/>
  <c r="X1172"/>
  <c r="W1172"/>
  <c r="Y1171"/>
  <c r="X1171"/>
  <c r="W1171"/>
  <c r="Y1170"/>
  <c r="F1170"/>
  <c r="O1170"/>
  <c r="X1170"/>
  <c r="W1170"/>
  <c r="U1170"/>
  <c r="Y1169"/>
  <c r="X1169"/>
  <c r="W1169"/>
  <c r="Y1168"/>
  <c r="F1168"/>
  <c r="O1168"/>
  <c r="X1168"/>
  <c r="W1168"/>
  <c r="U1168"/>
  <c r="Y1167"/>
  <c r="X1167"/>
  <c r="W1167"/>
  <c r="Y1166"/>
  <c r="F1166"/>
  <c r="O1166"/>
  <c r="X1166"/>
  <c r="W1166"/>
  <c r="U1166"/>
  <c r="Y1165"/>
  <c r="X1165"/>
  <c r="W1165"/>
  <c r="Y1164"/>
  <c r="X1164"/>
  <c r="W1164"/>
  <c r="Y1163"/>
  <c r="X1163"/>
  <c r="W1163"/>
  <c r="Y1162"/>
  <c r="X1162"/>
  <c r="W1162"/>
  <c r="F1161"/>
  <c r="M1161"/>
  <c r="O1161"/>
  <c r="R1161"/>
  <c r="C1161"/>
  <c r="Y1161"/>
  <c r="X1161"/>
  <c r="W1161"/>
  <c r="U1161"/>
  <c r="Y1160"/>
  <c r="X1160"/>
  <c r="W1160"/>
  <c r="Y1159"/>
  <c r="F1159"/>
  <c r="O1159"/>
  <c r="X1159"/>
  <c r="W1159"/>
  <c r="U1159"/>
  <c r="Y1158"/>
  <c r="X1158"/>
  <c r="W1158"/>
  <c r="Y1157"/>
  <c r="F1157"/>
  <c r="O1157"/>
  <c r="X1157"/>
  <c r="W1157"/>
  <c r="U1157"/>
  <c r="Y1156"/>
  <c r="X1156"/>
  <c r="W1156"/>
  <c r="Y1155"/>
  <c r="F1155"/>
  <c r="O1155"/>
  <c r="X1155"/>
  <c r="W1155"/>
  <c r="U1155"/>
  <c r="Y1154"/>
  <c r="X1154"/>
  <c r="W1154"/>
  <c r="Y1153"/>
  <c r="F1153"/>
  <c r="O1153"/>
  <c r="X1153"/>
  <c r="W1153"/>
  <c r="U1153"/>
  <c r="Y1152"/>
  <c r="X1152"/>
  <c r="W1152"/>
  <c r="Y1151"/>
  <c r="F1151"/>
  <c r="O1151"/>
  <c r="X1151"/>
  <c r="W1151"/>
  <c r="U1151"/>
  <c r="Y1150"/>
  <c r="X1150"/>
  <c r="W1150"/>
  <c r="Y1149"/>
  <c r="F1149"/>
  <c r="O1149"/>
  <c r="X1149"/>
  <c r="W1149"/>
  <c r="U1149"/>
  <c r="Y1148"/>
  <c r="X1148"/>
  <c r="W1148"/>
  <c r="Y1147"/>
  <c r="F1147"/>
  <c r="O1147"/>
  <c r="X1147"/>
  <c r="W1147"/>
  <c r="U1147"/>
  <c r="Y1146"/>
  <c r="X1146"/>
  <c r="W1146"/>
  <c r="Y1145"/>
  <c r="F1145"/>
  <c r="O1145"/>
  <c r="X1145"/>
  <c r="W1145"/>
  <c r="U1145"/>
  <c r="Y1144"/>
  <c r="X1144"/>
  <c r="W1144"/>
  <c r="Y1143"/>
  <c r="X1143"/>
  <c r="W1143"/>
  <c r="Y1142"/>
  <c r="X1142"/>
  <c r="W1142"/>
  <c r="Y1141"/>
  <c r="X1141"/>
  <c r="W1141"/>
  <c r="Y1140"/>
  <c r="X1140"/>
  <c r="W1140"/>
  <c r="F1140"/>
  <c r="Y1139"/>
  <c r="X1139"/>
  <c r="W1139"/>
  <c r="F1139"/>
  <c r="Y1138"/>
  <c r="X1138"/>
  <c r="W1138"/>
  <c r="Y1137"/>
  <c r="X1137"/>
  <c r="W1137"/>
  <c r="Y1136"/>
  <c r="X1136"/>
  <c r="R1136"/>
  <c r="W1136"/>
  <c r="U1136"/>
  <c r="N1136"/>
  <c r="J1136"/>
  <c r="K1136"/>
  <c r="L1136"/>
  <c r="M1136"/>
  <c r="I1136"/>
  <c r="H1136"/>
  <c r="G1136"/>
  <c r="D1136"/>
  <c r="E1136"/>
  <c r="F1136"/>
  <c r="Y1135"/>
  <c r="Q1128"/>
  <c r="H1128"/>
  <c r="Q1127"/>
  <c r="H1127"/>
  <c r="Y1125"/>
  <c r="X1125"/>
  <c r="W1125"/>
  <c r="U1125"/>
  <c r="A702"/>
  <c r="A704"/>
  <c r="A705"/>
  <c r="A706"/>
  <c r="A709"/>
  <c r="A710"/>
  <c r="A711"/>
  <c r="A714"/>
  <c r="A715"/>
  <c r="A716"/>
  <c r="A719"/>
  <c r="A720"/>
  <c r="A721"/>
  <c r="A723"/>
  <c r="A725"/>
  <c r="A727"/>
  <c r="A730"/>
  <c r="A732"/>
  <c r="A735"/>
  <c r="A736"/>
  <c r="A737"/>
  <c r="A740"/>
  <c r="A741"/>
  <c r="A742"/>
  <c r="A755"/>
  <c r="A756"/>
  <c r="A757"/>
  <c r="A759"/>
  <c r="A762"/>
  <c r="A769"/>
  <c r="A771"/>
  <c r="A772"/>
  <c r="A773"/>
  <c r="A774"/>
  <c r="A777"/>
  <c r="A778"/>
  <c r="A779"/>
  <c r="A782"/>
  <c r="A783"/>
  <c r="A784"/>
  <c r="A786"/>
  <c r="A789"/>
  <c r="A792"/>
  <c r="A793"/>
  <c r="A794"/>
  <c r="A807"/>
  <c r="A808"/>
  <c r="A809"/>
  <c r="A812"/>
  <c r="A813"/>
  <c r="A814"/>
  <c r="A816"/>
  <c r="A818"/>
  <c r="A821"/>
  <c r="A822"/>
  <c r="A823"/>
  <c r="A828"/>
  <c r="A829"/>
  <c r="A830"/>
  <c r="A831"/>
  <c r="A832"/>
  <c r="A833"/>
  <c r="A836"/>
  <c r="A837"/>
  <c r="A838"/>
  <c r="A841"/>
  <c r="A842"/>
  <c r="A843"/>
  <c r="A845"/>
  <c r="A846"/>
  <c r="A847"/>
  <c r="A849"/>
  <c r="A850"/>
  <c r="A851"/>
  <c r="A866"/>
  <c r="A868"/>
  <c r="A870"/>
  <c r="A872"/>
  <c r="A874"/>
  <c r="A876"/>
  <c r="A878"/>
  <c r="A880"/>
  <c r="A882"/>
  <c r="A884"/>
  <c r="A887"/>
  <c r="A889"/>
  <c r="A891"/>
  <c r="A893"/>
  <c r="A895"/>
  <c r="A897"/>
  <c r="A899"/>
  <c r="A901"/>
  <c r="A906"/>
  <c r="A908"/>
  <c r="A920"/>
  <c r="A921"/>
  <c r="A922"/>
  <c r="A925"/>
  <c r="A926"/>
  <c r="A927"/>
  <c r="A929"/>
  <c r="A931"/>
  <c r="A933"/>
  <c r="A935"/>
  <c r="A937"/>
  <c r="A938"/>
  <c r="A939"/>
  <c r="A941"/>
  <c r="A942"/>
  <c r="A943"/>
  <c r="A946"/>
  <c r="A947"/>
  <c r="A948"/>
  <c r="A951"/>
  <c r="A952"/>
  <c r="A953"/>
  <c r="A956"/>
  <c r="A957"/>
  <c r="A958"/>
  <c r="A960"/>
  <c r="A963"/>
  <c r="A965"/>
  <c r="A977"/>
  <c r="A980"/>
  <c r="A981"/>
  <c r="A983"/>
  <c r="A985"/>
  <c r="A988"/>
  <c r="A989"/>
  <c r="A990"/>
  <c r="A993"/>
  <c r="A994"/>
  <c r="A995"/>
  <c r="A997"/>
  <c r="A999"/>
  <c r="A1001"/>
  <c r="A1002"/>
  <c r="A1003"/>
  <c r="A1006"/>
  <c r="A1007"/>
  <c r="A1008"/>
  <c r="A1011"/>
  <c r="A1012"/>
  <c r="A1013"/>
  <c r="A1015"/>
  <c r="A1017"/>
  <c r="A1018"/>
  <c r="A1019"/>
  <c r="A1021"/>
  <c r="A1036"/>
  <c r="A1039"/>
  <c r="A1040"/>
  <c r="A1041"/>
  <c r="A1042"/>
  <c r="A1043"/>
  <c r="A1044"/>
  <c r="A1045"/>
  <c r="A1047"/>
  <c r="A1049"/>
  <c r="A1051"/>
  <c r="A1052"/>
  <c r="A1053"/>
  <c r="A1055"/>
  <c r="A1071"/>
  <c r="A1073"/>
  <c r="A1074"/>
  <c r="A1075"/>
  <c r="A1076"/>
  <c r="A1077"/>
  <c r="A1078"/>
  <c r="A1079"/>
  <c r="A1080"/>
  <c r="A1081"/>
  <c r="A1082"/>
  <c r="A1083"/>
  <c r="A1084"/>
  <c r="A1085"/>
  <c r="A1086"/>
  <c r="A1089"/>
  <c r="A1090"/>
  <c r="A1091"/>
  <c r="A1093"/>
  <c r="A1105"/>
  <c r="A1107"/>
  <c r="A1109"/>
  <c r="A1110"/>
  <c r="A1111"/>
  <c r="A1112"/>
  <c r="A1114"/>
  <c r="A1115"/>
  <c r="A1116"/>
  <c r="A1117"/>
  <c r="A1119"/>
  <c r="A1121"/>
  <c r="A1122"/>
  <c r="A1123"/>
  <c r="A1124"/>
  <c r="A1125"/>
  <c r="Y1124"/>
  <c r="X1124"/>
  <c r="W1124"/>
  <c r="U1124"/>
  <c r="Y1123"/>
  <c r="X1123"/>
  <c r="W1123"/>
  <c r="U1123"/>
  <c r="Y1122"/>
  <c r="X1122"/>
  <c r="W1122"/>
  <c r="U1122"/>
  <c r="Y1121"/>
  <c r="X1121"/>
  <c r="W1121"/>
  <c r="U1121"/>
  <c r="Y1120"/>
  <c r="X1120"/>
  <c r="W1120"/>
  <c r="D1083"/>
  <c r="D1119"/>
  <c r="E1083"/>
  <c r="E1119"/>
  <c r="F1119"/>
  <c r="G1083"/>
  <c r="G1119"/>
  <c r="H1083"/>
  <c r="H1119"/>
  <c r="I1083"/>
  <c r="I1119"/>
  <c r="J1083"/>
  <c r="J1119"/>
  <c r="K1083"/>
  <c r="K1119"/>
  <c r="L1083"/>
  <c r="L1119"/>
  <c r="M1119"/>
  <c r="N1083"/>
  <c r="N1119"/>
  <c r="O1119"/>
  <c r="P1083"/>
  <c r="P1119"/>
  <c r="Q1083"/>
  <c r="Q1119"/>
  <c r="R1119"/>
  <c r="S1083"/>
  <c r="S1119"/>
  <c r="C1119"/>
  <c r="Y1119"/>
  <c r="X1119"/>
  <c r="W1119"/>
  <c r="U1119"/>
  <c r="Y1118"/>
  <c r="X1118"/>
  <c r="W1118"/>
  <c r="F1117"/>
  <c r="M1117"/>
  <c r="O1117"/>
  <c r="R1117"/>
  <c r="C1117"/>
  <c r="Y1117"/>
  <c r="X1117"/>
  <c r="W1117"/>
  <c r="U1117"/>
  <c r="F1116"/>
  <c r="M1116"/>
  <c r="O1116"/>
  <c r="R1116"/>
  <c r="C1116"/>
  <c r="Y1116"/>
  <c r="X1116"/>
  <c r="W1116"/>
  <c r="U1116"/>
  <c r="F1115"/>
  <c r="M1115"/>
  <c r="O1115"/>
  <c r="R1115"/>
  <c r="C1115"/>
  <c r="Y1115"/>
  <c r="X1115"/>
  <c r="W1115"/>
  <c r="U1115"/>
  <c r="S1114"/>
  <c r="Y1114"/>
  <c r="D1114"/>
  <c r="E1114"/>
  <c r="F1114"/>
  <c r="G1114"/>
  <c r="H1114"/>
  <c r="I1114"/>
  <c r="J1114"/>
  <c r="K1114"/>
  <c r="L1114"/>
  <c r="M1114"/>
  <c r="N1114"/>
  <c r="O1114"/>
  <c r="X1114"/>
  <c r="P1114"/>
  <c r="Q1114"/>
  <c r="R1114"/>
  <c r="W1114"/>
  <c r="U1114"/>
  <c r="F1112"/>
  <c r="M1112"/>
  <c r="O1112"/>
  <c r="R1112"/>
  <c r="C1112"/>
  <c r="Y1112"/>
  <c r="X1112"/>
  <c r="W1112"/>
  <c r="U1112"/>
  <c r="Y1111"/>
  <c r="F1111"/>
  <c r="O1111"/>
  <c r="X1111"/>
  <c r="W1111"/>
  <c r="U1111"/>
  <c r="Y1110"/>
  <c r="F1110"/>
  <c r="O1110"/>
  <c r="X1110"/>
  <c r="W1110"/>
  <c r="U1110"/>
  <c r="Y1109"/>
  <c r="F1109"/>
  <c r="O1109"/>
  <c r="X1109"/>
  <c r="W1109"/>
  <c r="U1109"/>
  <c r="Y1108"/>
  <c r="X1108"/>
  <c r="W1108"/>
  <c r="F1107"/>
  <c r="O1107"/>
  <c r="Y1105"/>
  <c r="F1105"/>
  <c r="M1105"/>
  <c r="O1105"/>
  <c r="X1105"/>
  <c r="R1105"/>
  <c r="W1105"/>
  <c r="U1105"/>
  <c r="Q1096"/>
  <c r="H1096"/>
  <c r="Q1095"/>
  <c r="H1095"/>
  <c r="Y1093"/>
  <c r="F1093"/>
  <c r="O1093"/>
  <c r="X1093"/>
  <c r="W1093"/>
  <c r="U1093"/>
  <c r="Y1092"/>
  <c r="X1092"/>
  <c r="W1092"/>
  <c r="F1091"/>
  <c r="M1091"/>
  <c r="O1091"/>
  <c r="R1091"/>
  <c r="C1091"/>
  <c r="Y1091"/>
  <c r="X1091"/>
  <c r="W1091"/>
  <c r="U1091"/>
  <c r="Y1090"/>
  <c r="F1090"/>
  <c r="O1090"/>
  <c r="X1090"/>
  <c r="W1090"/>
  <c r="U1090"/>
  <c r="Y1089"/>
  <c r="X1089"/>
  <c r="W1089"/>
  <c r="U1089"/>
  <c r="F1089"/>
  <c r="Y1088"/>
  <c r="X1088"/>
  <c r="W1088"/>
  <c r="Y1087"/>
  <c r="X1087"/>
  <c r="W1087"/>
  <c r="F1086"/>
  <c r="M1086"/>
  <c r="O1086"/>
  <c r="R1086"/>
  <c r="C1086"/>
  <c r="Y1086"/>
  <c r="X1086"/>
  <c r="W1086"/>
  <c r="U1086"/>
  <c r="F1085"/>
  <c r="M1085"/>
  <c r="O1085"/>
  <c r="R1085"/>
  <c r="C1085"/>
  <c r="Y1085"/>
  <c r="X1085"/>
  <c r="W1085"/>
  <c r="U1085"/>
  <c r="F1084"/>
  <c r="M1084"/>
  <c r="O1084"/>
  <c r="R1084"/>
  <c r="C1084"/>
  <c r="Y1084"/>
  <c r="X1084"/>
  <c r="W1084"/>
  <c r="U1084"/>
  <c r="F1083"/>
  <c r="M1083"/>
  <c r="O1083"/>
  <c r="R1083"/>
  <c r="C1083"/>
  <c r="Y1083"/>
  <c r="X1083"/>
  <c r="W1083"/>
  <c r="U1083"/>
  <c r="Y1082"/>
  <c r="X1082"/>
  <c r="F1082"/>
  <c r="M1082"/>
  <c r="O1082"/>
  <c r="R1082"/>
  <c r="W1082"/>
  <c r="U1082"/>
  <c r="C1081"/>
  <c r="Y1081"/>
  <c r="F1081"/>
  <c r="M1081"/>
  <c r="O1081"/>
  <c r="X1081"/>
  <c r="R1081"/>
  <c r="W1081"/>
  <c r="U1081"/>
  <c r="Y1080"/>
  <c r="F1080"/>
  <c r="O1080"/>
  <c r="X1080"/>
  <c r="W1080"/>
  <c r="U1080"/>
  <c r="Y1079"/>
  <c r="F1079"/>
  <c r="O1079"/>
  <c r="X1079"/>
  <c r="W1079"/>
  <c r="U1079"/>
  <c r="C1078"/>
  <c r="Y1078"/>
  <c r="F1078"/>
  <c r="M1078"/>
  <c r="O1078"/>
  <c r="X1078"/>
  <c r="R1078"/>
  <c r="W1078"/>
  <c r="U1078"/>
  <c r="Y1077"/>
  <c r="F1077"/>
  <c r="O1077"/>
  <c r="X1077"/>
  <c r="W1077"/>
  <c r="U1077"/>
  <c r="Y1076"/>
  <c r="F1076"/>
  <c r="O1076"/>
  <c r="X1076"/>
  <c r="W1076"/>
  <c r="U1076"/>
  <c r="Y1075"/>
  <c r="F1075"/>
  <c r="O1075"/>
  <c r="X1075"/>
  <c r="W1075"/>
  <c r="U1075"/>
  <c r="Y1074"/>
  <c r="X1074"/>
  <c r="W1074"/>
  <c r="F1074"/>
  <c r="Y1073"/>
  <c r="X1073"/>
  <c r="W1073"/>
  <c r="F1073"/>
  <c r="Y1072"/>
  <c r="X1072"/>
  <c r="W1072"/>
  <c r="Y1071"/>
  <c r="X1071"/>
  <c r="W1071"/>
  <c r="U1071"/>
  <c r="N1071"/>
  <c r="J1071"/>
  <c r="K1071"/>
  <c r="L1071"/>
  <c r="M1071"/>
  <c r="I1071"/>
  <c r="H1071"/>
  <c r="G1071"/>
  <c r="D1071"/>
  <c r="E1071"/>
  <c r="F1071"/>
  <c r="Y1070"/>
  <c r="X1070"/>
  <c r="W1070"/>
  <c r="Y1069"/>
  <c r="X1069"/>
  <c r="W1069"/>
  <c r="Y1068"/>
  <c r="X1068"/>
  <c r="W1068"/>
  <c r="Y1067"/>
  <c r="X1067"/>
  <c r="W1067"/>
  <c r="Q1058"/>
  <c r="H1058"/>
  <c r="Q1057"/>
  <c r="H1057"/>
  <c r="Y1055"/>
  <c r="X1055"/>
  <c r="W1055"/>
  <c r="U1055"/>
  <c r="Y1054"/>
  <c r="X1054"/>
  <c r="W1054"/>
  <c r="Y1053"/>
  <c r="X1053"/>
  <c r="W1053"/>
  <c r="U1053"/>
  <c r="Y1052"/>
  <c r="F1052"/>
  <c r="M1052"/>
  <c r="O1052"/>
  <c r="X1052"/>
  <c r="R1052"/>
  <c r="W1052"/>
  <c r="U1052"/>
  <c r="Y1051"/>
  <c r="X1051"/>
  <c r="W1051"/>
  <c r="U1051"/>
  <c r="Y1050"/>
  <c r="X1050"/>
  <c r="W1050"/>
  <c r="F1049"/>
  <c r="M1049"/>
  <c r="O1049"/>
  <c r="R1049"/>
  <c r="C1049"/>
  <c r="Y1049"/>
  <c r="X1049"/>
  <c r="W1049"/>
  <c r="U1049"/>
  <c r="Y1048"/>
  <c r="X1048"/>
  <c r="W1048"/>
  <c r="F1047"/>
  <c r="M1047"/>
  <c r="O1047"/>
  <c r="R1047"/>
  <c r="C1047"/>
  <c r="Y1047"/>
  <c r="X1047"/>
  <c r="W1047"/>
  <c r="U1047"/>
  <c r="Y1046"/>
  <c r="X1046"/>
  <c r="W1046"/>
  <c r="F1045"/>
  <c r="M1045"/>
  <c r="O1045"/>
  <c r="R1045"/>
  <c r="C1045"/>
  <c r="Y1045"/>
  <c r="X1045"/>
  <c r="W1045"/>
  <c r="U1045"/>
  <c r="F1044"/>
  <c r="M1044"/>
  <c r="O1044"/>
  <c r="R1044"/>
  <c r="C1044"/>
  <c r="Y1044"/>
  <c r="X1044"/>
  <c r="W1044"/>
  <c r="U1044"/>
  <c r="S1043"/>
  <c r="P1042"/>
  <c r="P1043"/>
  <c r="Q1042"/>
  <c r="Q1043"/>
  <c r="R1043"/>
  <c r="D1042"/>
  <c r="D1043"/>
  <c r="E1043"/>
  <c r="F1043"/>
  <c r="G1043"/>
  <c r="H1043"/>
  <c r="I1043"/>
  <c r="J1043"/>
  <c r="K1043"/>
  <c r="L1043"/>
  <c r="M1043"/>
  <c r="N1042"/>
  <c r="N1043"/>
  <c r="O1043"/>
  <c r="C1043"/>
  <c r="R1042"/>
  <c r="F1042"/>
  <c r="M1042"/>
  <c r="O1042"/>
  <c r="C1042"/>
  <c r="F1041"/>
  <c r="M1041"/>
  <c r="O1041"/>
  <c r="R1041"/>
  <c r="C1041"/>
  <c r="Y1041"/>
  <c r="X1041"/>
  <c r="W1041"/>
  <c r="U1041"/>
  <c r="F1040"/>
  <c r="M1040"/>
  <c r="O1040"/>
  <c r="R1040"/>
  <c r="C1040"/>
  <c r="Y1040"/>
  <c r="X1040"/>
  <c r="W1040"/>
  <c r="U1040"/>
  <c r="F1039"/>
  <c r="M1039"/>
  <c r="O1039"/>
  <c r="R1039"/>
  <c r="C1039"/>
  <c r="Y1039"/>
  <c r="X1039"/>
  <c r="W1039"/>
  <c r="U1039"/>
  <c r="Y1038"/>
  <c r="X1038"/>
  <c r="W1038"/>
  <c r="Y1037"/>
  <c r="X1037"/>
  <c r="W1037"/>
  <c r="F1036"/>
  <c r="M1036"/>
  <c r="O1036"/>
  <c r="R1036"/>
  <c r="C1036"/>
  <c r="Y1036"/>
  <c r="X1036"/>
  <c r="W1036"/>
  <c r="U1036"/>
  <c r="Y1035"/>
  <c r="X1035"/>
  <c r="W1035"/>
  <c r="Y1034"/>
  <c r="X1034"/>
  <c r="W1034"/>
  <c r="Y1033"/>
  <c r="X1033"/>
  <c r="W1033"/>
  <c r="Q1024"/>
  <c r="H1024"/>
  <c r="Q1023"/>
  <c r="H1023"/>
  <c r="Y1021"/>
  <c r="X1021"/>
  <c r="W1021"/>
  <c r="U1021"/>
  <c r="Y1020"/>
  <c r="X1020"/>
  <c r="W1020"/>
  <c r="F1019"/>
  <c r="M1019"/>
  <c r="O1019"/>
  <c r="R1019"/>
  <c r="C1019"/>
  <c r="Y1019"/>
  <c r="X1019"/>
  <c r="W1019"/>
  <c r="U1019"/>
  <c r="F1018"/>
  <c r="M1018"/>
  <c r="O1018"/>
  <c r="R1018"/>
  <c r="C1018"/>
  <c r="Y1018"/>
  <c r="X1018"/>
  <c r="W1018"/>
  <c r="U1018"/>
  <c r="F1017"/>
  <c r="M1017"/>
  <c r="O1017"/>
  <c r="R1017"/>
  <c r="S960"/>
  <c r="S1015"/>
  <c r="S1017"/>
  <c r="C1017"/>
  <c r="Y1017"/>
  <c r="X1017"/>
  <c r="W1017"/>
  <c r="U1017"/>
  <c r="Y1016"/>
  <c r="X1016"/>
  <c r="W1016"/>
  <c r="F1015"/>
  <c r="M1015"/>
  <c r="O1015"/>
  <c r="R1015"/>
  <c r="C1015"/>
  <c r="Y1015"/>
  <c r="X1015"/>
  <c r="W1015"/>
  <c r="U1015"/>
  <c r="Y1014"/>
  <c r="X1014"/>
  <c r="W1014"/>
  <c r="Y1013"/>
  <c r="F1013"/>
  <c r="M1013"/>
  <c r="O1013"/>
  <c r="X1013"/>
  <c r="R1013"/>
  <c r="W1013"/>
  <c r="U1013"/>
  <c r="Y1012"/>
  <c r="F1012"/>
  <c r="O1012"/>
  <c r="X1012"/>
  <c r="W1012"/>
  <c r="U1012"/>
  <c r="Y1011"/>
  <c r="F1011"/>
  <c r="O1011"/>
  <c r="X1011"/>
  <c r="W1011"/>
  <c r="U1011"/>
  <c r="Y1010"/>
  <c r="X1010"/>
  <c r="W1010"/>
  <c r="Y1009"/>
  <c r="X1009"/>
  <c r="W1009"/>
  <c r="Y1008"/>
  <c r="F1008"/>
  <c r="M1008"/>
  <c r="O1008"/>
  <c r="X1008"/>
  <c r="R1008"/>
  <c r="W1008"/>
  <c r="U1008"/>
  <c r="Y1007"/>
  <c r="F1007"/>
  <c r="O1007"/>
  <c r="X1007"/>
  <c r="W1007"/>
  <c r="U1007"/>
  <c r="Y1006"/>
  <c r="F1006"/>
  <c r="O1006"/>
  <c r="X1006"/>
  <c r="W1006"/>
  <c r="U1006"/>
  <c r="Y1005"/>
  <c r="X1005"/>
  <c r="W1005"/>
  <c r="Y1004"/>
  <c r="X1004"/>
  <c r="W1004"/>
  <c r="Y1003"/>
  <c r="X1003"/>
  <c r="W1003"/>
  <c r="U1003"/>
  <c r="Y1002"/>
  <c r="X1002"/>
  <c r="W1002"/>
  <c r="U1002"/>
  <c r="C1001"/>
  <c r="S1001"/>
  <c r="Y1001"/>
  <c r="D1001"/>
  <c r="E1001"/>
  <c r="F1001"/>
  <c r="G1001"/>
  <c r="H1001"/>
  <c r="I1001"/>
  <c r="J1001"/>
  <c r="K1001"/>
  <c r="L1001"/>
  <c r="M1001"/>
  <c r="N1001"/>
  <c r="O1001"/>
  <c r="X1001"/>
  <c r="P1001"/>
  <c r="Q1001"/>
  <c r="R1001"/>
  <c r="W1001"/>
  <c r="U1001"/>
  <c r="Y1000"/>
  <c r="X1000"/>
  <c r="W1000"/>
  <c r="Y999"/>
  <c r="F999"/>
  <c r="O999"/>
  <c r="X999"/>
  <c r="W999"/>
  <c r="U999"/>
  <c r="Y998"/>
  <c r="X998"/>
  <c r="W998"/>
  <c r="Y997"/>
  <c r="F997"/>
  <c r="O997"/>
  <c r="X997"/>
  <c r="W997"/>
  <c r="U997"/>
  <c r="Y996"/>
  <c r="X996"/>
  <c r="W996"/>
  <c r="Y995"/>
  <c r="F995"/>
  <c r="O995"/>
  <c r="X995"/>
  <c r="W995"/>
  <c r="U995"/>
  <c r="C994"/>
  <c r="Y994"/>
  <c r="F994"/>
  <c r="M994"/>
  <c r="O994"/>
  <c r="X994"/>
  <c r="R994"/>
  <c r="W994"/>
  <c r="U994"/>
  <c r="Y993"/>
  <c r="F993"/>
  <c r="O993"/>
  <c r="X993"/>
  <c r="W993"/>
  <c r="U993"/>
  <c r="Y992"/>
  <c r="X992"/>
  <c r="W992"/>
  <c r="Y991"/>
  <c r="X991"/>
  <c r="W991"/>
  <c r="Y990"/>
  <c r="F990"/>
  <c r="O990"/>
  <c r="X990"/>
  <c r="W990"/>
  <c r="U990"/>
  <c r="C989"/>
  <c r="Y989"/>
  <c r="F989"/>
  <c r="M989"/>
  <c r="O989"/>
  <c r="X989"/>
  <c r="R989"/>
  <c r="W989"/>
  <c r="U989"/>
  <c r="Y988"/>
  <c r="F988"/>
  <c r="O988"/>
  <c r="X988"/>
  <c r="W988"/>
  <c r="U988"/>
  <c r="Y987"/>
  <c r="X987"/>
  <c r="W987"/>
  <c r="Y985"/>
  <c r="D983"/>
  <c r="D985"/>
  <c r="E983"/>
  <c r="E985"/>
  <c r="F985"/>
  <c r="G983"/>
  <c r="G985"/>
  <c r="H983"/>
  <c r="H985"/>
  <c r="I983"/>
  <c r="I985"/>
  <c r="J983"/>
  <c r="J985"/>
  <c r="K983"/>
  <c r="K985"/>
  <c r="L983"/>
  <c r="L985"/>
  <c r="M985"/>
  <c r="N983"/>
  <c r="N985"/>
  <c r="O985"/>
  <c r="X985"/>
  <c r="P983"/>
  <c r="P985"/>
  <c r="Q983"/>
  <c r="Q985"/>
  <c r="R985"/>
  <c r="W985"/>
  <c r="U985"/>
  <c r="Y984"/>
  <c r="X984"/>
  <c r="W984"/>
  <c r="Y983"/>
  <c r="F983"/>
  <c r="M983"/>
  <c r="O983"/>
  <c r="X983"/>
  <c r="R983"/>
  <c r="W983"/>
  <c r="U983"/>
  <c r="Y982"/>
  <c r="X982"/>
  <c r="W982"/>
  <c r="Y981"/>
  <c r="F981"/>
  <c r="O981"/>
  <c r="X981"/>
  <c r="W981"/>
  <c r="U981"/>
  <c r="Y980"/>
  <c r="F980"/>
  <c r="O980"/>
  <c r="X980"/>
  <c r="W980"/>
  <c r="U980"/>
  <c r="Y979"/>
  <c r="X979"/>
  <c r="W979"/>
  <c r="Y978"/>
  <c r="X978"/>
  <c r="W978"/>
  <c r="Y977"/>
  <c r="F977"/>
  <c r="M977"/>
  <c r="O977"/>
  <c r="X977"/>
  <c r="R977"/>
  <c r="W977"/>
  <c r="U977"/>
  <c r="Q968"/>
  <c r="H968"/>
  <c r="Q967"/>
  <c r="H967"/>
  <c r="Y965"/>
  <c r="F965"/>
  <c r="O965"/>
  <c r="X965"/>
  <c r="W965"/>
  <c r="U965"/>
  <c r="Y964"/>
  <c r="X964"/>
  <c r="W964"/>
  <c r="Y963"/>
  <c r="F963"/>
  <c r="O963"/>
  <c r="X963"/>
  <c r="W963"/>
  <c r="U963"/>
  <c r="Y962"/>
  <c r="X962"/>
  <c r="W962"/>
  <c r="Y961"/>
  <c r="X961"/>
  <c r="W961"/>
  <c r="F960"/>
  <c r="M960"/>
  <c r="O960"/>
  <c r="R960"/>
  <c r="C960"/>
  <c r="Y960"/>
  <c r="X960"/>
  <c r="W960"/>
  <c r="U960"/>
  <c r="Y959"/>
  <c r="X959"/>
  <c r="W959"/>
  <c r="Y958"/>
  <c r="F958"/>
  <c r="M958"/>
  <c r="O958"/>
  <c r="X958"/>
  <c r="R958"/>
  <c r="W958"/>
  <c r="U958"/>
  <c r="Y957"/>
  <c r="F957"/>
  <c r="O957"/>
  <c r="X957"/>
  <c r="W957"/>
  <c r="U957"/>
  <c r="Y956"/>
  <c r="F956"/>
  <c r="O956"/>
  <c r="X956"/>
  <c r="W956"/>
  <c r="U956"/>
  <c r="Y955"/>
  <c r="X955"/>
  <c r="W955"/>
  <c r="Y954"/>
  <c r="X954"/>
  <c r="W954"/>
  <c r="Y953"/>
  <c r="F953"/>
  <c r="M953"/>
  <c r="O953"/>
  <c r="X953"/>
  <c r="R953"/>
  <c r="W953"/>
  <c r="U953"/>
  <c r="Y952"/>
  <c r="F952"/>
  <c r="O952"/>
  <c r="X952"/>
  <c r="W952"/>
  <c r="U952"/>
  <c r="Y951"/>
  <c r="F951"/>
  <c r="O951"/>
  <c r="X951"/>
  <c r="W951"/>
  <c r="U951"/>
  <c r="Y950"/>
  <c r="X950"/>
  <c r="W950"/>
  <c r="Y949"/>
  <c r="X949"/>
  <c r="W949"/>
  <c r="Y948"/>
  <c r="F948"/>
  <c r="M948"/>
  <c r="O948"/>
  <c r="X948"/>
  <c r="R948"/>
  <c r="W948"/>
  <c r="U948"/>
  <c r="Y947"/>
  <c r="F947"/>
  <c r="O947"/>
  <c r="X947"/>
  <c r="W947"/>
  <c r="U947"/>
  <c r="Y946"/>
  <c r="F946"/>
  <c r="O946"/>
  <c r="X946"/>
  <c r="W946"/>
  <c r="U946"/>
  <c r="Y945"/>
  <c r="X945"/>
  <c r="W945"/>
  <c r="Y944"/>
  <c r="X944"/>
  <c r="W944"/>
  <c r="Y943"/>
  <c r="X943"/>
  <c r="W943"/>
  <c r="U943"/>
  <c r="Y942"/>
  <c r="X942"/>
  <c r="W942"/>
  <c r="U942"/>
  <c r="C941"/>
  <c r="S941"/>
  <c r="Y941"/>
  <c r="D941"/>
  <c r="E941"/>
  <c r="F941"/>
  <c r="G941"/>
  <c r="H941"/>
  <c r="I941"/>
  <c r="J941"/>
  <c r="K941"/>
  <c r="L941"/>
  <c r="M941"/>
  <c r="N941"/>
  <c r="O941"/>
  <c r="X941"/>
  <c r="P941"/>
  <c r="Q941"/>
  <c r="R941"/>
  <c r="W941"/>
  <c r="U941"/>
  <c r="Y940"/>
  <c r="X940"/>
  <c r="W940"/>
  <c r="Y939"/>
  <c r="F939"/>
  <c r="M939"/>
  <c r="O939"/>
  <c r="X939"/>
  <c r="R939"/>
  <c r="W939"/>
  <c r="U939"/>
  <c r="Y938"/>
  <c r="F938"/>
  <c r="M938"/>
  <c r="O938"/>
  <c r="X938"/>
  <c r="R938"/>
  <c r="W938"/>
  <c r="U938"/>
  <c r="Y937"/>
  <c r="F937"/>
  <c r="O937"/>
  <c r="X937"/>
  <c r="W937"/>
  <c r="U937"/>
  <c r="Y936"/>
  <c r="X936"/>
  <c r="W936"/>
  <c r="Y935"/>
  <c r="F935"/>
  <c r="M935"/>
  <c r="O935"/>
  <c r="X935"/>
  <c r="R935"/>
  <c r="W935"/>
  <c r="U935"/>
  <c r="Y934"/>
  <c r="X934"/>
  <c r="W934"/>
  <c r="Y933"/>
  <c r="F933"/>
  <c r="M933"/>
  <c r="O933"/>
  <c r="X933"/>
  <c r="R933"/>
  <c r="W933"/>
  <c r="U933"/>
  <c r="Y932"/>
  <c r="X932"/>
  <c r="W932"/>
  <c r="Y931"/>
  <c r="F931"/>
  <c r="O931"/>
  <c r="X931"/>
  <c r="W931"/>
  <c r="U931"/>
  <c r="Y930"/>
  <c r="X930"/>
  <c r="W930"/>
  <c r="Y929"/>
  <c r="F929"/>
  <c r="O929"/>
  <c r="X929"/>
  <c r="W929"/>
  <c r="U929"/>
  <c r="Y928"/>
  <c r="X928"/>
  <c r="W928"/>
  <c r="Y927"/>
  <c r="F927"/>
  <c r="O927"/>
  <c r="X927"/>
  <c r="W927"/>
  <c r="U927"/>
  <c r="F926"/>
  <c r="M926"/>
  <c r="O926"/>
  <c r="R926"/>
  <c r="C926"/>
  <c r="Y926"/>
  <c r="X926"/>
  <c r="W926"/>
  <c r="U926"/>
  <c r="Y925"/>
  <c r="F925"/>
  <c r="O925"/>
  <c r="X925"/>
  <c r="W925"/>
  <c r="U925"/>
  <c r="Y924"/>
  <c r="X924"/>
  <c r="W924"/>
  <c r="Y922"/>
  <c r="F922"/>
  <c r="O922"/>
  <c r="X922"/>
  <c r="W922"/>
  <c r="U922"/>
  <c r="F921"/>
  <c r="M921"/>
  <c r="O921"/>
  <c r="R921"/>
  <c r="C921"/>
  <c r="Y921"/>
  <c r="X921"/>
  <c r="W921"/>
  <c r="U921"/>
  <c r="Y920"/>
  <c r="F920"/>
  <c r="O920"/>
  <c r="X920"/>
  <c r="W920"/>
  <c r="U920"/>
  <c r="Y919"/>
  <c r="X919"/>
  <c r="W919"/>
  <c r="Q911"/>
  <c r="H911"/>
  <c r="Q910"/>
  <c r="H910"/>
  <c r="Y908"/>
  <c r="F908"/>
  <c r="O908"/>
  <c r="X908"/>
  <c r="W908"/>
  <c r="U908"/>
  <c r="Y907"/>
  <c r="X907"/>
  <c r="W907"/>
  <c r="Y906"/>
  <c r="F906"/>
  <c r="O906"/>
  <c r="X906"/>
  <c r="W906"/>
  <c r="U906"/>
  <c r="Y905"/>
  <c r="X905"/>
  <c r="W905"/>
  <c r="Y904"/>
  <c r="X904"/>
  <c r="W904"/>
  <c r="Y903"/>
  <c r="X903"/>
  <c r="W903"/>
  <c r="Y902"/>
  <c r="X902"/>
  <c r="W902"/>
  <c r="F901"/>
  <c r="M901"/>
  <c r="O901"/>
  <c r="R901"/>
  <c r="C901"/>
  <c r="Y901"/>
  <c r="X901"/>
  <c r="W901"/>
  <c r="U901"/>
  <c r="Y900"/>
  <c r="X900"/>
  <c r="W900"/>
  <c r="F899"/>
  <c r="M899"/>
  <c r="O899"/>
  <c r="R899"/>
  <c r="C899"/>
  <c r="Y899"/>
  <c r="X899"/>
  <c r="W899"/>
  <c r="U899"/>
  <c r="Y898"/>
  <c r="X898"/>
  <c r="W898"/>
  <c r="Y897"/>
  <c r="F897"/>
  <c r="O897"/>
  <c r="X897"/>
  <c r="W897"/>
  <c r="U897"/>
  <c r="Y896"/>
  <c r="X896"/>
  <c r="W896"/>
  <c r="Y895"/>
  <c r="F895"/>
  <c r="O895"/>
  <c r="X895"/>
  <c r="W895"/>
  <c r="U895"/>
  <c r="Y894"/>
  <c r="X894"/>
  <c r="W894"/>
  <c r="Y893"/>
  <c r="X893"/>
  <c r="W893"/>
  <c r="U893"/>
  <c r="Y892"/>
  <c r="X892"/>
  <c r="W892"/>
  <c r="Y891"/>
  <c r="F891"/>
  <c r="O891"/>
  <c r="X891"/>
  <c r="W891"/>
  <c r="U891"/>
  <c r="Y890"/>
  <c r="X890"/>
  <c r="W890"/>
  <c r="Y889"/>
  <c r="F889"/>
  <c r="O889"/>
  <c r="X889"/>
  <c r="W889"/>
  <c r="U889"/>
  <c r="Y888"/>
  <c r="X888"/>
  <c r="W888"/>
  <c r="Y887"/>
  <c r="F887"/>
  <c r="O887"/>
  <c r="X887"/>
  <c r="W887"/>
  <c r="U887"/>
  <c r="Y886"/>
  <c r="X886"/>
  <c r="W886"/>
  <c r="Y885"/>
  <c r="X885"/>
  <c r="W885"/>
  <c r="F884"/>
  <c r="M884"/>
  <c r="O884"/>
  <c r="R884"/>
  <c r="C884"/>
  <c r="Y884"/>
  <c r="X884"/>
  <c r="W884"/>
  <c r="U884"/>
  <c r="Y883"/>
  <c r="X883"/>
  <c r="W883"/>
  <c r="Y882"/>
  <c r="F882"/>
  <c r="O882"/>
  <c r="X882"/>
  <c r="W882"/>
  <c r="U882"/>
  <c r="Y881"/>
  <c r="X881"/>
  <c r="W881"/>
  <c r="Y880"/>
  <c r="F880"/>
  <c r="O880"/>
  <c r="X880"/>
  <c r="W880"/>
  <c r="U880"/>
  <c r="Y879"/>
  <c r="X879"/>
  <c r="W879"/>
  <c r="Y878"/>
  <c r="F878"/>
  <c r="O878"/>
  <c r="X878"/>
  <c r="W878"/>
  <c r="U878"/>
  <c r="Y877"/>
  <c r="X877"/>
  <c r="W877"/>
  <c r="Y876"/>
  <c r="X876"/>
  <c r="W876"/>
  <c r="U876"/>
  <c r="Y875"/>
  <c r="X875"/>
  <c r="W875"/>
  <c r="Y874"/>
  <c r="X874"/>
  <c r="F874"/>
  <c r="O874"/>
  <c r="W874"/>
  <c r="U874"/>
  <c r="Y873"/>
  <c r="X873"/>
  <c r="W873"/>
  <c r="Y872"/>
  <c r="X872"/>
  <c r="F872"/>
  <c r="O872"/>
  <c r="W872"/>
  <c r="U872"/>
  <c r="Y871"/>
  <c r="X871"/>
  <c r="W871"/>
  <c r="Y870"/>
  <c r="F870"/>
  <c r="O870"/>
  <c r="X870"/>
  <c r="W870"/>
  <c r="U870"/>
  <c r="Y869"/>
  <c r="X869"/>
  <c r="W869"/>
  <c r="Y868"/>
  <c r="F868"/>
  <c r="O868"/>
  <c r="X868"/>
  <c r="W868"/>
  <c r="U868"/>
  <c r="Y867"/>
  <c r="X867"/>
  <c r="W867"/>
  <c r="Y866"/>
  <c r="F866"/>
  <c r="O866"/>
  <c r="X866"/>
  <c r="W866"/>
  <c r="U866"/>
  <c r="Y865"/>
  <c r="X865"/>
  <c r="W865"/>
  <c r="Y864"/>
  <c r="X864"/>
  <c r="W864"/>
  <c r="Y863"/>
  <c r="X863"/>
  <c r="W863"/>
  <c r="Y862"/>
  <c r="X862"/>
  <c r="W862"/>
  <c r="Q854"/>
  <c r="H854"/>
  <c r="Q853"/>
  <c r="H853"/>
  <c r="Y851"/>
  <c r="F851"/>
  <c r="M851"/>
  <c r="O851"/>
  <c r="X851"/>
  <c r="R851"/>
  <c r="W851"/>
  <c r="U851"/>
  <c r="Y850"/>
  <c r="F850"/>
  <c r="O850"/>
  <c r="X850"/>
  <c r="W850"/>
  <c r="U850"/>
  <c r="Y849"/>
  <c r="F849"/>
  <c r="O849"/>
  <c r="X849"/>
  <c r="W849"/>
  <c r="U849"/>
  <c r="Y848"/>
  <c r="X848"/>
  <c r="W848"/>
  <c r="C847"/>
  <c r="Y847"/>
  <c r="X847"/>
  <c r="M846"/>
  <c r="R846"/>
  <c r="D846"/>
  <c r="D847"/>
  <c r="E847"/>
  <c r="F847"/>
  <c r="G847"/>
  <c r="H847"/>
  <c r="I847"/>
  <c r="J847"/>
  <c r="K847"/>
  <c r="L847"/>
  <c r="M847"/>
  <c r="N847"/>
  <c r="O847"/>
  <c r="P847"/>
  <c r="Q847"/>
  <c r="R847"/>
  <c r="W847"/>
  <c r="S847"/>
  <c r="U847"/>
  <c r="Y846"/>
  <c r="F846"/>
  <c r="O846"/>
  <c r="X846"/>
  <c r="W846"/>
  <c r="U846"/>
  <c r="Y845"/>
  <c r="X845"/>
  <c r="W845"/>
  <c r="U845"/>
  <c r="Y844"/>
  <c r="X844"/>
  <c r="W844"/>
  <c r="Y843"/>
  <c r="F843"/>
  <c r="M843"/>
  <c r="O843"/>
  <c r="X843"/>
  <c r="R843"/>
  <c r="W843"/>
  <c r="U843"/>
  <c r="Y842"/>
  <c r="X842"/>
  <c r="F842"/>
  <c r="O842"/>
  <c r="W842"/>
  <c r="U842"/>
  <c r="Y841"/>
  <c r="F841"/>
  <c r="O841"/>
  <c r="X841"/>
  <c r="W841"/>
  <c r="U841"/>
  <c r="Y840"/>
  <c r="X840"/>
  <c r="W840"/>
  <c r="Y839"/>
  <c r="X839"/>
  <c r="W839"/>
  <c r="Y838"/>
  <c r="F838"/>
  <c r="M838"/>
  <c r="O838"/>
  <c r="X838"/>
  <c r="R838"/>
  <c r="W838"/>
  <c r="U838"/>
  <c r="Y837"/>
  <c r="X837"/>
  <c r="F837"/>
  <c r="O837"/>
  <c r="W837"/>
  <c r="U837"/>
  <c r="Y836"/>
  <c r="F836"/>
  <c r="O836"/>
  <c r="X836"/>
  <c r="W836"/>
  <c r="U836"/>
  <c r="Y835"/>
  <c r="X835"/>
  <c r="W835"/>
  <c r="Y834"/>
  <c r="X834"/>
  <c r="W834"/>
  <c r="F833"/>
  <c r="M833"/>
  <c r="O833"/>
  <c r="R833"/>
  <c r="C833"/>
  <c r="Y833"/>
  <c r="X833"/>
  <c r="W833"/>
  <c r="U833"/>
  <c r="Y832"/>
  <c r="X832"/>
  <c r="F832"/>
  <c r="O832"/>
  <c r="W832"/>
  <c r="U832"/>
  <c r="Y831"/>
  <c r="M831"/>
  <c r="R831"/>
  <c r="D831"/>
  <c r="F831"/>
  <c r="O831"/>
  <c r="X831"/>
  <c r="W831"/>
  <c r="U831"/>
  <c r="Y830"/>
  <c r="M830"/>
  <c r="R830"/>
  <c r="D830"/>
  <c r="F830"/>
  <c r="O830"/>
  <c r="X830"/>
  <c r="W830"/>
  <c r="U830"/>
  <c r="Y829"/>
  <c r="X829"/>
  <c r="F829"/>
  <c r="O829"/>
  <c r="W829"/>
  <c r="U829"/>
  <c r="C828"/>
  <c r="S828"/>
  <c r="Y828"/>
  <c r="D828"/>
  <c r="E828"/>
  <c r="F828"/>
  <c r="G828"/>
  <c r="H828"/>
  <c r="I828"/>
  <c r="J828"/>
  <c r="K828"/>
  <c r="L828"/>
  <c r="M828"/>
  <c r="N828"/>
  <c r="O828"/>
  <c r="X828"/>
  <c r="P828"/>
  <c r="Q828"/>
  <c r="R828"/>
  <c r="W828"/>
  <c r="U828"/>
  <c r="Y827"/>
  <c r="X827"/>
  <c r="W827"/>
  <c r="Y826"/>
  <c r="X826"/>
  <c r="W826"/>
  <c r="Y825"/>
  <c r="X825"/>
  <c r="W825"/>
  <c r="Y824"/>
  <c r="X824"/>
  <c r="W824"/>
  <c r="C823"/>
  <c r="S823"/>
  <c r="Y823"/>
  <c r="D821"/>
  <c r="D822"/>
  <c r="D823"/>
  <c r="E823"/>
  <c r="F823"/>
  <c r="G823"/>
  <c r="H823"/>
  <c r="I823"/>
  <c r="M821"/>
  <c r="M822"/>
  <c r="M823"/>
  <c r="N823"/>
  <c r="O823"/>
  <c r="X823"/>
  <c r="P823"/>
  <c r="Q823"/>
  <c r="R823"/>
  <c r="W823"/>
  <c r="U823"/>
  <c r="L823"/>
  <c r="K823"/>
  <c r="J823"/>
  <c r="Y822"/>
  <c r="F822"/>
  <c r="O822"/>
  <c r="X822"/>
  <c r="R822"/>
  <c r="W822"/>
  <c r="U822"/>
  <c r="Y821"/>
  <c r="F821"/>
  <c r="O821"/>
  <c r="X821"/>
  <c r="R821"/>
  <c r="W821"/>
  <c r="U821"/>
  <c r="Y820"/>
  <c r="X820"/>
  <c r="W820"/>
  <c r="Y819"/>
  <c r="X819"/>
  <c r="W819"/>
  <c r="Y818"/>
  <c r="X818"/>
  <c r="W818"/>
  <c r="U818"/>
  <c r="Y817"/>
  <c r="X817"/>
  <c r="W817"/>
  <c r="F816"/>
  <c r="M816"/>
  <c r="O816"/>
  <c r="R816"/>
  <c r="C816"/>
  <c r="Y816"/>
  <c r="X816"/>
  <c r="W816"/>
  <c r="U816"/>
  <c r="Y815"/>
  <c r="X815"/>
  <c r="W815"/>
  <c r="F814"/>
  <c r="M814"/>
  <c r="O814"/>
  <c r="R814"/>
  <c r="C814"/>
  <c r="Y814"/>
  <c r="X814"/>
  <c r="W814"/>
  <c r="U814"/>
  <c r="Y813"/>
  <c r="X813"/>
  <c r="F813"/>
  <c r="O813"/>
  <c r="W813"/>
  <c r="U813"/>
  <c r="Y812"/>
  <c r="F812"/>
  <c r="O812"/>
  <c r="X812"/>
  <c r="W812"/>
  <c r="U812"/>
  <c r="Y811"/>
  <c r="X811"/>
  <c r="W811"/>
  <c r="Y810"/>
  <c r="X810"/>
  <c r="W810"/>
  <c r="F809"/>
  <c r="M809"/>
  <c r="O809"/>
  <c r="R809"/>
  <c r="C809"/>
  <c r="Y809"/>
  <c r="X809"/>
  <c r="W809"/>
  <c r="U809"/>
  <c r="Y808"/>
  <c r="F808"/>
  <c r="O808"/>
  <c r="X808"/>
  <c r="W808"/>
  <c r="U808"/>
  <c r="Y807"/>
  <c r="F807"/>
  <c r="O807"/>
  <c r="X807"/>
  <c r="W807"/>
  <c r="U807"/>
  <c r="Q797"/>
  <c r="H797"/>
  <c r="Q796"/>
  <c r="H796"/>
  <c r="F794"/>
  <c r="M794"/>
  <c r="O794"/>
  <c r="R794"/>
  <c r="C794"/>
  <c r="Y794"/>
  <c r="X794"/>
  <c r="W794"/>
  <c r="U794"/>
  <c r="Y793"/>
  <c r="X793"/>
  <c r="F793"/>
  <c r="O793"/>
  <c r="W793"/>
  <c r="U793"/>
  <c r="Y792"/>
  <c r="F792"/>
  <c r="O792"/>
  <c r="X792"/>
  <c r="W792"/>
  <c r="U792"/>
  <c r="Y791"/>
  <c r="X791"/>
  <c r="W791"/>
  <c r="Y790"/>
  <c r="X790"/>
  <c r="W790"/>
  <c r="Y789"/>
  <c r="F789"/>
  <c r="O789"/>
  <c r="X789"/>
  <c r="W789"/>
  <c r="U789"/>
  <c r="Y788"/>
  <c r="X788"/>
  <c r="W788"/>
  <c r="Y787"/>
  <c r="X787"/>
  <c r="F769"/>
  <c r="O769"/>
  <c r="F771"/>
  <c r="O771"/>
  <c r="F779"/>
  <c r="M779"/>
  <c r="O779"/>
  <c r="F784"/>
  <c r="M784"/>
  <c r="O784"/>
  <c r="O787"/>
  <c r="R779"/>
  <c r="R784"/>
  <c r="R787"/>
  <c r="W787"/>
  <c r="S787"/>
  <c r="Q787"/>
  <c r="P787"/>
  <c r="N787"/>
  <c r="M787"/>
  <c r="L787"/>
  <c r="K787"/>
  <c r="J787"/>
  <c r="I787"/>
  <c r="H787"/>
  <c r="G787"/>
  <c r="F787"/>
  <c r="E787"/>
  <c r="D787"/>
  <c r="F786"/>
  <c r="M786"/>
  <c r="O786"/>
  <c r="R786"/>
  <c r="C786"/>
  <c r="Y786"/>
  <c r="X786"/>
  <c r="W786"/>
  <c r="U786"/>
  <c r="Y785"/>
  <c r="X785"/>
  <c r="W785"/>
  <c r="C784"/>
  <c r="Y784"/>
  <c r="X784"/>
  <c r="W784"/>
  <c r="U784"/>
  <c r="Y783"/>
  <c r="X783"/>
  <c r="F783"/>
  <c r="O783"/>
  <c r="W783"/>
  <c r="U783"/>
  <c r="Y782"/>
  <c r="F782"/>
  <c r="O782"/>
  <c r="X782"/>
  <c r="W782"/>
  <c r="U782"/>
  <c r="Y781"/>
  <c r="X781"/>
  <c r="W781"/>
  <c r="Y780"/>
  <c r="X780"/>
  <c r="W780"/>
  <c r="C779"/>
  <c r="Y779"/>
  <c r="X779"/>
  <c r="W779"/>
  <c r="U779"/>
  <c r="Y778"/>
  <c r="X778"/>
  <c r="F778"/>
  <c r="O778"/>
  <c r="W778"/>
  <c r="U778"/>
  <c r="Y777"/>
  <c r="F777"/>
  <c r="O777"/>
  <c r="X777"/>
  <c r="W777"/>
  <c r="U777"/>
  <c r="Y776"/>
  <c r="X776"/>
  <c r="W776"/>
  <c r="Y775"/>
  <c r="X775"/>
  <c r="W775"/>
  <c r="Y774"/>
  <c r="X774"/>
  <c r="F774"/>
  <c r="O774"/>
  <c r="W774"/>
  <c r="U774"/>
  <c r="Y773"/>
  <c r="M773"/>
  <c r="R773"/>
  <c r="D773"/>
  <c r="F773"/>
  <c r="O773"/>
  <c r="X773"/>
  <c r="W773"/>
  <c r="U773"/>
  <c r="Y772"/>
  <c r="M772"/>
  <c r="R772"/>
  <c r="D772"/>
  <c r="F772"/>
  <c r="O772"/>
  <c r="X772"/>
  <c r="W772"/>
  <c r="U772"/>
  <c r="Y771"/>
  <c r="X771"/>
  <c r="W771"/>
  <c r="U771"/>
  <c r="Y770"/>
  <c r="X770"/>
  <c r="W770"/>
  <c r="Y769"/>
  <c r="X769"/>
  <c r="W769"/>
  <c r="U769"/>
  <c r="Y768"/>
  <c r="X768"/>
  <c r="W768"/>
  <c r="Y767"/>
  <c r="X767"/>
  <c r="W767"/>
  <c r="Y766"/>
  <c r="X766"/>
  <c r="W766"/>
  <c r="Y765"/>
  <c r="X765"/>
  <c r="W765"/>
  <c r="Y764"/>
  <c r="X764"/>
  <c r="W764"/>
  <c r="Y763"/>
  <c r="X763"/>
  <c r="W763"/>
  <c r="Y762"/>
  <c r="X762"/>
  <c r="W762"/>
  <c r="U762"/>
  <c r="Y761"/>
  <c r="X761"/>
  <c r="W761"/>
  <c r="Y760"/>
  <c r="X760"/>
  <c r="W760"/>
  <c r="F759"/>
  <c r="M759"/>
  <c r="O759"/>
  <c r="R759"/>
  <c r="C759"/>
  <c r="Y759"/>
  <c r="X759"/>
  <c r="W759"/>
  <c r="U759"/>
  <c r="Y758"/>
  <c r="X758"/>
  <c r="W758"/>
  <c r="F757"/>
  <c r="M757"/>
  <c r="O757"/>
  <c r="R757"/>
  <c r="C757"/>
  <c r="Y757"/>
  <c r="X757"/>
  <c r="W757"/>
  <c r="U757"/>
  <c r="Y756"/>
  <c r="X756"/>
  <c r="F756"/>
  <c r="O756"/>
  <c r="W756"/>
  <c r="U756"/>
  <c r="Y755"/>
  <c r="F755"/>
  <c r="O755"/>
  <c r="X755"/>
  <c r="W755"/>
  <c r="U755"/>
  <c r="Y754"/>
  <c r="X754"/>
  <c r="W754"/>
  <c r="Q745"/>
  <c r="H745"/>
  <c r="Q744"/>
  <c r="H744"/>
  <c r="F742"/>
  <c r="M742"/>
  <c r="O742"/>
  <c r="R742"/>
  <c r="C742"/>
  <c r="Y742"/>
  <c r="X742"/>
  <c r="W742"/>
  <c r="U742"/>
  <c r="Y741"/>
  <c r="F741"/>
  <c r="O741"/>
  <c r="X741"/>
  <c r="W741"/>
  <c r="U741"/>
  <c r="Y740"/>
  <c r="F740"/>
  <c r="O740"/>
  <c r="X740"/>
  <c r="W740"/>
  <c r="U740"/>
  <c r="Y739"/>
  <c r="X739"/>
  <c r="W739"/>
  <c r="Y738"/>
  <c r="X738"/>
  <c r="W738"/>
  <c r="F737"/>
  <c r="M737"/>
  <c r="O737"/>
  <c r="R737"/>
  <c r="C737"/>
  <c r="Y737"/>
  <c r="X737"/>
  <c r="W737"/>
  <c r="U737"/>
  <c r="Y736"/>
  <c r="F736"/>
  <c r="O736"/>
  <c r="X736"/>
  <c r="W736"/>
  <c r="U736"/>
  <c r="Y735"/>
  <c r="F735"/>
  <c r="O735"/>
  <c r="X735"/>
  <c r="W735"/>
  <c r="U735"/>
  <c r="Y734"/>
  <c r="X734"/>
  <c r="W734"/>
  <c r="Y733"/>
  <c r="X733"/>
  <c r="W733"/>
  <c r="Y732"/>
  <c r="F732"/>
  <c r="O732"/>
  <c r="X732"/>
  <c r="W732"/>
  <c r="U732"/>
  <c r="Y731"/>
  <c r="X731"/>
  <c r="W731"/>
  <c r="Y730"/>
  <c r="F730"/>
  <c r="O730"/>
  <c r="X730"/>
  <c r="W730"/>
  <c r="U730"/>
  <c r="Y729"/>
  <c r="X729"/>
  <c r="W729"/>
  <c r="Y728"/>
  <c r="X728"/>
  <c r="W728"/>
  <c r="F727"/>
  <c r="M727"/>
  <c r="O727"/>
  <c r="R727"/>
  <c r="C727"/>
  <c r="Y727"/>
  <c r="X727"/>
  <c r="W727"/>
  <c r="U727"/>
  <c r="Y726"/>
  <c r="X726"/>
  <c r="W726"/>
  <c r="C725"/>
  <c r="Y725"/>
  <c r="X725"/>
  <c r="M725"/>
  <c r="R725"/>
  <c r="D725"/>
  <c r="F725"/>
  <c r="O725"/>
  <c r="W725"/>
  <c r="U725"/>
  <c r="Y724"/>
  <c r="X724"/>
  <c r="W724"/>
  <c r="Y723"/>
  <c r="X723"/>
  <c r="F723"/>
  <c r="O723"/>
  <c r="W723"/>
  <c r="U723"/>
  <c r="Y722"/>
  <c r="X722"/>
  <c r="W722"/>
  <c r="F721"/>
  <c r="M721"/>
  <c r="O721"/>
  <c r="R721"/>
  <c r="C721"/>
  <c r="Y721"/>
  <c r="X721"/>
  <c r="W721"/>
  <c r="U721"/>
  <c r="Y720"/>
  <c r="X720"/>
  <c r="F720"/>
  <c r="O720"/>
  <c r="W720"/>
  <c r="U720"/>
  <c r="Y719"/>
  <c r="F719"/>
  <c r="O719"/>
  <c r="X719"/>
  <c r="W719"/>
  <c r="U719"/>
  <c r="Y718"/>
  <c r="X718"/>
  <c r="W718"/>
  <c r="Y717"/>
  <c r="X717"/>
  <c r="W717"/>
  <c r="F716"/>
  <c r="M716"/>
  <c r="O716"/>
  <c r="R716"/>
  <c r="C716"/>
  <c r="Y716"/>
  <c r="X716"/>
  <c r="W716"/>
  <c r="U716"/>
  <c r="Y715"/>
  <c r="F715"/>
  <c r="O715"/>
  <c r="X715"/>
  <c r="W715"/>
  <c r="U715"/>
  <c r="Y714"/>
  <c r="F714"/>
  <c r="O714"/>
  <c r="X714"/>
  <c r="W714"/>
  <c r="U714"/>
  <c r="Y713"/>
  <c r="X713"/>
  <c r="W713"/>
  <c r="Y712"/>
  <c r="X712"/>
  <c r="W712"/>
  <c r="F711"/>
  <c r="M711"/>
  <c r="O711"/>
  <c r="R711"/>
  <c r="C711"/>
  <c r="Y711"/>
  <c r="X711"/>
  <c r="W711"/>
  <c r="U711"/>
  <c r="Y710"/>
  <c r="F710"/>
  <c r="O710"/>
  <c r="X710"/>
  <c r="W710"/>
  <c r="U710"/>
  <c r="Y709"/>
  <c r="F709"/>
  <c r="O709"/>
  <c r="X709"/>
  <c r="W709"/>
  <c r="U709"/>
  <c r="Y708"/>
  <c r="X708"/>
  <c r="W708"/>
  <c r="Y707"/>
  <c r="X707"/>
  <c r="W707"/>
  <c r="C706"/>
  <c r="Y706"/>
  <c r="F706"/>
  <c r="M706"/>
  <c r="O706"/>
  <c r="X706"/>
  <c r="R706"/>
  <c r="W706"/>
  <c r="U706"/>
  <c r="Y705"/>
  <c r="F705"/>
  <c r="O705"/>
  <c r="X705"/>
  <c r="W705"/>
  <c r="U705"/>
  <c r="Y704"/>
  <c r="F704"/>
  <c r="O704"/>
  <c r="X704"/>
  <c r="W704"/>
  <c r="U704"/>
  <c r="Y703"/>
  <c r="X703"/>
  <c r="W703"/>
  <c r="Y702"/>
  <c r="F702"/>
  <c r="O702"/>
  <c r="X702"/>
  <c r="W702"/>
  <c r="U702"/>
  <c r="Y701"/>
  <c r="X701"/>
  <c r="W701"/>
  <c r="Y700"/>
  <c r="X700"/>
  <c r="W700"/>
  <c r="Y699"/>
  <c r="X699"/>
  <c r="W699"/>
  <c r="Y698"/>
  <c r="X698"/>
  <c r="W698"/>
  <c r="Y697"/>
  <c r="X697"/>
  <c r="W697"/>
  <c r="Y696"/>
  <c r="X696"/>
  <c r="W696"/>
  <c r="Y695"/>
  <c r="X695"/>
  <c r="W695"/>
  <c r="Q688"/>
  <c r="H688"/>
  <c r="Q687"/>
  <c r="H687"/>
  <c r="C624"/>
  <c r="M624"/>
  <c r="R624"/>
  <c r="D624"/>
  <c r="D625"/>
  <c r="D685"/>
  <c r="E625"/>
  <c r="E685"/>
  <c r="F685"/>
  <c r="G625"/>
  <c r="G685"/>
  <c r="H625"/>
  <c r="H685"/>
  <c r="I625"/>
  <c r="I685"/>
  <c r="J625"/>
  <c r="J685"/>
  <c r="K625"/>
  <c r="K685"/>
  <c r="L625"/>
  <c r="L685"/>
  <c r="M685"/>
  <c r="N625"/>
  <c r="N685"/>
  <c r="O685"/>
  <c r="P625"/>
  <c r="P685"/>
  <c r="Q625"/>
  <c r="Q685"/>
  <c r="R685"/>
  <c r="S625"/>
  <c r="S685"/>
  <c r="C685"/>
  <c r="Y685"/>
  <c r="X685"/>
  <c r="W685"/>
  <c r="U685"/>
  <c r="A623"/>
  <c r="A624"/>
  <c r="A625"/>
  <c r="A631"/>
  <c r="A632"/>
  <c r="A633"/>
  <c r="A634"/>
  <c r="A635"/>
  <c r="A636"/>
  <c r="A637"/>
  <c r="A638"/>
  <c r="A639"/>
  <c r="A640"/>
  <c r="A641"/>
  <c r="A644"/>
  <c r="A645"/>
  <c r="A646"/>
  <c r="A647"/>
  <c r="A648"/>
  <c r="A649"/>
  <c r="A650"/>
  <c r="A652"/>
  <c r="A654"/>
  <c r="A655"/>
  <c r="A656"/>
  <c r="A657"/>
  <c r="A658"/>
  <c r="A660"/>
  <c r="A661"/>
  <c r="A662"/>
  <c r="A664"/>
  <c r="A680"/>
  <c r="A681"/>
  <c r="A683"/>
  <c r="A685"/>
  <c r="Y684"/>
  <c r="X684"/>
  <c r="W684"/>
  <c r="Y683"/>
  <c r="X683"/>
  <c r="W683"/>
  <c r="U683"/>
  <c r="Y682"/>
  <c r="X682"/>
  <c r="W682"/>
  <c r="Y681"/>
  <c r="X681"/>
  <c r="W681"/>
  <c r="U681"/>
  <c r="F680"/>
  <c r="M680"/>
  <c r="O680"/>
  <c r="R680"/>
  <c r="C680"/>
  <c r="Y680"/>
  <c r="X680"/>
  <c r="W680"/>
  <c r="U680"/>
  <c r="Y679"/>
  <c r="X679"/>
  <c r="W679"/>
  <c r="Y678"/>
  <c r="X678"/>
  <c r="W678"/>
  <c r="Y677"/>
  <c r="X677"/>
  <c r="W677"/>
  <c r="Y676"/>
  <c r="X676"/>
  <c r="W676"/>
  <c r="Q667"/>
  <c r="H667"/>
  <c r="Q666"/>
  <c r="H666"/>
  <c r="Y664"/>
  <c r="X664"/>
  <c r="W664"/>
  <c r="U664"/>
  <c r="Y663"/>
  <c r="X663"/>
  <c r="W663"/>
  <c r="Y662"/>
  <c r="X662"/>
  <c r="W662"/>
  <c r="U662"/>
  <c r="Y661"/>
  <c r="X661"/>
  <c r="W661"/>
  <c r="U661"/>
  <c r="Y660"/>
  <c r="X660"/>
  <c r="W660"/>
  <c r="U660"/>
  <c r="Y659"/>
  <c r="X659"/>
  <c r="W659"/>
  <c r="F658"/>
  <c r="M658"/>
  <c r="O658"/>
  <c r="R658"/>
  <c r="C658"/>
  <c r="Y658"/>
  <c r="X658"/>
  <c r="W658"/>
  <c r="U658"/>
  <c r="Y657"/>
  <c r="F657"/>
  <c r="M657"/>
  <c r="O657"/>
  <c r="X657"/>
  <c r="R657"/>
  <c r="W657"/>
  <c r="U657"/>
  <c r="Y656"/>
  <c r="X656"/>
  <c r="W656"/>
  <c r="U656"/>
  <c r="Y654"/>
  <c r="X654"/>
  <c r="W654"/>
  <c r="U654"/>
  <c r="Y653"/>
  <c r="X653"/>
  <c r="W653"/>
  <c r="Y652"/>
  <c r="X652"/>
  <c r="W652"/>
  <c r="U652"/>
  <c r="Y651"/>
  <c r="X651"/>
  <c r="W651"/>
  <c r="F650"/>
  <c r="M650"/>
  <c r="O650"/>
  <c r="R650"/>
  <c r="C650"/>
  <c r="Y650"/>
  <c r="X650"/>
  <c r="W650"/>
  <c r="U650"/>
  <c r="Y649"/>
  <c r="X649"/>
  <c r="W649"/>
  <c r="U649"/>
  <c r="Y648"/>
  <c r="X648"/>
  <c r="W648"/>
  <c r="U648"/>
  <c r="Y647"/>
  <c r="X647"/>
  <c r="W647"/>
  <c r="U647"/>
  <c r="Y646"/>
  <c r="X646"/>
  <c r="W646"/>
  <c r="U646"/>
  <c r="Y645"/>
  <c r="X645"/>
  <c r="W645"/>
  <c r="U645"/>
  <c r="Y644"/>
  <c r="F644"/>
  <c r="O644"/>
  <c r="X644"/>
  <c r="W644"/>
  <c r="U644"/>
  <c r="Y643"/>
  <c r="X643"/>
  <c r="W643"/>
  <c r="Y642"/>
  <c r="X642"/>
  <c r="W642"/>
  <c r="F641"/>
  <c r="M641"/>
  <c r="O641"/>
  <c r="R641"/>
  <c r="C641"/>
  <c r="Y641"/>
  <c r="X641"/>
  <c r="W641"/>
  <c r="U641"/>
  <c r="Y640"/>
  <c r="X640"/>
  <c r="W640"/>
  <c r="U640"/>
  <c r="Y639"/>
  <c r="X639"/>
  <c r="W639"/>
  <c r="U639"/>
  <c r="Y638"/>
  <c r="X638"/>
  <c r="W638"/>
  <c r="U638"/>
  <c r="Y637"/>
  <c r="X637"/>
  <c r="W637"/>
  <c r="U637"/>
  <c r="Y636"/>
  <c r="X636"/>
  <c r="W636"/>
  <c r="U636"/>
  <c r="Y635"/>
  <c r="F635"/>
  <c r="O635"/>
  <c r="X635"/>
  <c r="W635"/>
  <c r="U635"/>
  <c r="Y634"/>
  <c r="X634"/>
  <c r="W634"/>
  <c r="U634"/>
  <c r="Y633"/>
  <c r="X633"/>
  <c r="W633"/>
  <c r="U633"/>
  <c r="Y632"/>
  <c r="X632"/>
  <c r="W632"/>
  <c r="U632"/>
  <c r="Y631"/>
  <c r="X631"/>
  <c r="W631"/>
  <c r="U631"/>
  <c r="Y630"/>
  <c r="X630"/>
  <c r="W630"/>
  <c r="Y629"/>
  <c r="X629"/>
  <c r="W629"/>
  <c r="Y628"/>
  <c r="X628"/>
  <c r="W628"/>
  <c r="Y627"/>
  <c r="X627"/>
  <c r="W627"/>
  <c r="Y626"/>
  <c r="X626"/>
  <c r="W626"/>
  <c r="F625"/>
  <c r="M625"/>
  <c r="O625"/>
  <c r="R625"/>
  <c r="C625"/>
  <c r="Y625"/>
  <c r="X625"/>
  <c r="W625"/>
  <c r="U625"/>
  <c r="Y624"/>
  <c r="X624"/>
  <c r="F624"/>
  <c r="O624"/>
  <c r="W624"/>
  <c r="U624"/>
  <c r="Y623"/>
  <c r="X623"/>
  <c r="W623"/>
  <c r="U623"/>
  <c r="Y622"/>
  <c r="X622"/>
  <c r="W622"/>
  <c r="Y621"/>
  <c r="X621"/>
  <c r="W621"/>
  <c r="Y620"/>
  <c r="X620"/>
  <c r="W620"/>
  <c r="Y619"/>
  <c r="X619"/>
  <c r="W619"/>
  <c r="Q612"/>
  <c r="H612"/>
  <c r="Q611"/>
  <c r="H611"/>
  <c r="C553"/>
  <c r="C554"/>
  <c r="C555"/>
  <c r="C561"/>
  <c r="E553"/>
  <c r="E554"/>
  <c r="E555"/>
  <c r="E561"/>
  <c r="G553"/>
  <c r="G554"/>
  <c r="G555"/>
  <c r="G561"/>
  <c r="H553"/>
  <c r="H554"/>
  <c r="H555"/>
  <c r="H561"/>
  <c r="I553"/>
  <c r="I554"/>
  <c r="I555"/>
  <c r="I561"/>
  <c r="J553"/>
  <c r="J554"/>
  <c r="J555"/>
  <c r="J561"/>
  <c r="K553"/>
  <c r="K554"/>
  <c r="K555"/>
  <c r="K561"/>
  <c r="L553"/>
  <c r="L554"/>
  <c r="L555"/>
  <c r="L561"/>
  <c r="M561"/>
  <c r="N553"/>
  <c r="N554"/>
  <c r="N555"/>
  <c r="N561"/>
  <c r="P553"/>
  <c r="P554"/>
  <c r="P555"/>
  <c r="P561"/>
  <c r="Q553"/>
  <c r="Q554"/>
  <c r="Q555"/>
  <c r="Q561"/>
  <c r="R561"/>
  <c r="S561"/>
  <c r="D561"/>
  <c r="C597"/>
  <c r="C598"/>
  <c r="C602"/>
  <c r="E602"/>
  <c r="G602"/>
  <c r="H602"/>
  <c r="I602"/>
  <c r="J602"/>
  <c r="K602"/>
  <c r="L602"/>
  <c r="M602"/>
  <c r="N602"/>
  <c r="P602"/>
  <c r="Q602"/>
  <c r="R602"/>
  <c r="S602"/>
  <c r="D602"/>
  <c r="D609"/>
  <c r="E609"/>
  <c r="F609"/>
  <c r="G609"/>
  <c r="H609"/>
  <c r="I609"/>
  <c r="J609"/>
  <c r="K609"/>
  <c r="L609"/>
  <c r="M609"/>
  <c r="N609"/>
  <c r="O609"/>
  <c r="P609"/>
  <c r="Q609"/>
  <c r="R609"/>
  <c r="S609"/>
  <c r="C609"/>
  <c r="Y609"/>
  <c r="X609"/>
  <c r="W609"/>
  <c r="U609"/>
  <c r="A501"/>
  <c r="A502"/>
  <c r="A503"/>
  <c r="A504"/>
  <c r="A505"/>
  <c r="A506"/>
  <c r="A507"/>
  <c r="A508"/>
  <c r="A509"/>
  <c r="A510"/>
  <c r="A511"/>
  <c r="A512"/>
  <c r="A513"/>
  <c r="A514"/>
  <c r="A519"/>
  <c r="A521"/>
  <c r="A522"/>
  <c r="A523"/>
  <c r="A524"/>
  <c r="A525"/>
  <c r="A526"/>
  <c r="A527"/>
  <c r="A528"/>
  <c r="A529"/>
  <c r="A530"/>
  <c r="A544"/>
  <c r="A546"/>
  <c r="A547"/>
  <c r="A549"/>
  <c r="A550"/>
  <c r="A551"/>
  <c r="A553"/>
  <c r="A554"/>
  <c r="A555"/>
  <c r="A556"/>
  <c r="A558"/>
  <c r="A559"/>
  <c r="A560"/>
  <c r="A561"/>
  <c r="A573"/>
  <c r="A575"/>
  <c r="A576"/>
  <c r="A577"/>
  <c r="A578"/>
  <c r="A579"/>
  <c r="A580"/>
  <c r="A581"/>
  <c r="A582"/>
  <c r="A583"/>
  <c r="A584"/>
  <c r="A585"/>
  <c r="A586"/>
  <c r="A587"/>
  <c r="A588"/>
  <c r="A591"/>
  <c r="A593"/>
  <c r="A594"/>
  <c r="A595"/>
  <c r="A596"/>
  <c r="A597"/>
  <c r="A598"/>
  <c r="A599"/>
  <c r="A600"/>
  <c r="A601"/>
  <c r="A602"/>
  <c r="A604"/>
  <c r="A606"/>
  <c r="A607"/>
  <c r="A608"/>
  <c r="A609"/>
  <c r="C549"/>
  <c r="C550"/>
  <c r="C560"/>
  <c r="E549"/>
  <c r="E550"/>
  <c r="E560"/>
  <c r="G549"/>
  <c r="G550"/>
  <c r="G560"/>
  <c r="H549"/>
  <c r="H550"/>
  <c r="H560"/>
  <c r="I549"/>
  <c r="I550"/>
  <c r="I560"/>
  <c r="J549"/>
  <c r="J550"/>
  <c r="J560"/>
  <c r="K549"/>
  <c r="K550"/>
  <c r="K560"/>
  <c r="L549"/>
  <c r="L550"/>
  <c r="L560"/>
  <c r="M560"/>
  <c r="N549"/>
  <c r="N550"/>
  <c r="N560"/>
  <c r="P549"/>
  <c r="P550"/>
  <c r="P560"/>
  <c r="Q549"/>
  <c r="Q550"/>
  <c r="Q560"/>
  <c r="R560"/>
  <c r="S560"/>
  <c r="D560"/>
  <c r="C601"/>
  <c r="E597"/>
  <c r="E598"/>
  <c r="E601"/>
  <c r="G597"/>
  <c r="G598"/>
  <c r="G601"/>
  <c r="H597"/>
  <c r="H598"/>
  <c r="H601"/>
  <c r="I597"/>
  <c r="I598"/>
  <c r="I601"/>
  <c r="J597"/>
  <c r="J598"/>
  <c r="J601"/>
  <c r="K597"/>
  <c r="K598"/>
  <c r="K601"/>
  <c r="L597"/>
  <c r="L598"/>
  <c r="L601"/>
  <c r="M601"/>
  <c r="N597"/>
  <c r="N598"/>
  <c r="N601"/>
  <c r="P597"/>
  <c r="P598"/>
  <c r="P601"/>
  <c r="Q597"/>
  <c r="Q598"/>
  <c r="Q601"/>
  <c r="R601"/>
  <c r="S601"/>
  <c r="D601"/>
  <c r="D604"/>
  <c r="D608"/>
  <c r="E608"/>
  <c r="F608"/>
  <c r="G608"/>
  <c r="H608"/>
  <c r="I608"/>
  <c r="J608"/>
  <c r="K608"/>
  <c r="L608"/>
  <c r="M608"/>
  <c r="N608"/>
  <c r="O608"/>
  <c r="P608"/>
  <c r="Q608"/>
  <c r="R608"/>
  <c r="S608"/>
  <c r="C608"/>
  <c r="Y608"/>
  <c r="X608"/>
  <c r="W608"/>
  <c r="U608"/>
  <c r="R544"/>
  <c r="C559"/>
  <c r="E559"/>
  <c r="G559"/>
  <c r="H559"/>
  <c r="I559"/>
  <c r="J559"/>
  <c r="K559"/>
  <c r="L559"/>
  <c r="M559"/>
  <c r="N559"/>
  <c r="P559"/>
  <c r="Q559"/>
  <c r="R559"/>
  <c r="S559"/>
  <c r="D559"/>
  <c r="R591"/>
  <c r="C600"/>
  <c r="E600"/>
  <c r="G600"/>
  <c r="H600"/>
  <c r="I600"/>
  <c r="J600"/>
  <c r="K600"/>
  <c r="L600"/>
  <c r="M600"/>
  <c r="N600"/>
  <c r="P600"/>
  <c r="Q600"/>
  <c r="R600"/>
  <c r="S600"/>
  <c r="D600"/>
  <c r="D607"/>
  <c r="E607"/>
  <c r="F607"/>
  <c r="G607"/>
  <c r="H607"/>
  <c r="I607"/>
  <c r="J607"/>
  <c r="K607"/>
  <c r="L607"/>
  <c r="M607"/>
  <c r="N607"/>
  <c r="O607"/>
  <c r="P607"/>
  <c r="Q607"/>
  <c r="R607"/>
  <c r="S607"/>
  <c r="C607"/>
  <c r="Y607"/>
  <c r="X607"/>
  <c r="W607"/>
  <c r="U607"/>
  <c r="D606"/>
  <c r="E606"/>
  <c r="F606"/>
  <c r="G606"/>
  <c r="H606"/>
  <c r="I606"/>
  <c r="J606"/>
  <c r="K606"/>
  <c r="L606"/>
  <c r="M606"/>
  <c r="N606"/>
  <c r="O606"/>
  <c r="P606"/>
  <c r="Q606"/>
  <c r="R606"/>
  <c r="S606"/>
  <c r="C606"/>
  <c r="Y606"/>
  <c r="X606"/>
  <c r="W606"/>
  <c r="U606"/>
  <c r="Y605"/>
  <c r="X605"/>
  <c r="W605"/>
  <c r="F604"/>
  <c r="M604"/>
  <c r="O604"/>
  <c r="R604"/>
  <c r="C604"/>
  <c r="Y604"/>
  <c r="X604"/>
  <c r="W604"/>
  <c r="U604"/>
  <c r="Y603"/>
  <c r="X603"/>
  <c r="W603"/>
  <c r="Y602"/>
  <c r="X602"/>
  <c r="F602"/>
  <c r="O602"/>
  <c r="W602"/>
  <c r="U602"/>
  <c r="Y601"/>
  <c r="X601"/>
  <c r="F601"/>
  <c r="O601"/>
  <c r="W601"/>
  <c r="U601"/>
  <c r="Y600"/>
  <c r="F600"/>
  <c r="O600"/>
  <c r="X600"/>
  <c r="W600"/>
  <c r="U600"/>
  <c r="Y599"/>
  <c r="F599"/>
  <c r="O599"/>
  <c r="X599"/>
  <c r="W599"/>
  <c r="U599"/>
  <c r="Y598"/>
  <c r="X598"/>
  <c r="M598"/>
  <c r="R598"/>
  <c r="D598"/>
  <c r="F598"/>
  <c r="O598"/>
  <c r="W598"/>
  <c r="U598"/>
  <c r="Y597"/>
  <c r="X597"/>
  <c r="M597"/>
  <c r="R597"/>
  <c r="D597"/>
  <c r="F597"/>
  <c r="O597"/>
  <c r="W597"/>
  <c r="U597"/>
  <c r="Y596"/>
  <c r="X596"/>
  <c r="M596"/>
  <c r="R596"/>
  <c r="D596"/>
  <c r="F596"/>
  <c r="O596"/>
  <c r="W596"/>
  <c r="U596"/>
  <c r="Y595"/>
  <c r="M595"/>
  <c r="R595"/>
  <c r="D595"/>
  <c r="F595"/>
  <c r="O595"/>
  <c r="X595"/>
  <c r="W595"/>
  <c r="U595"/>
  <c r="Y594"/>
  <c r="X594"/>
  <c r="W594"/>
  <c r="M594"/>
  <c r="D594"/>
  <c r="F594"/>
  <c r="Y593"/>
  <c r="X593"/>
  <c r="W593"/>
  <c r="M593"/>
  <c r="D593"/>
  <c r="F593"/>
  <c r="Y592"/>
  <c r="X592"/>
  <c r="W592"/>
  <c r="Y591"/>
  <c r="X591"/>
  <c r="W591"/>
  <c r="U591"/>
  <c r="M591"/>
  <c r="D591"/>
  <c r="F591"/>
  <c r="Y590"/>
  <c r="X590"/>
  <c r="W590"/>
  <c r="Y589"/>
  <c r="X589"/>
  <c r="W589"/>
  <c r="F588"/>
  <c r="M588"/>
  <c r="O588"/>
  <c r="C588"/>
  <c r="Y588"/>
  <c r="X588"/>
  <c r="W588"/>
  <c r="U588"/>
  <c r="F587"/>
  <c r="M587"/>
  <c r="O587"/>
  <c r="C587"/>
  <c r="Y587"/>
  <c r="X587"/>
  <c r="W587"/>
  <c r="U587"/>
  <c r="F586"/>
  <c r="M586"/>
  <c r="O586"/>
  <c r="C586"/>
  <c r="Y586"/>
  <c r="X586"/>
  <c r="W586"/>
  <c r="U586"/>
  <c r="Y585"/>
  <c r="X585"/>
  <c r="W585"/>
  <c r="U585"/>
  <c r="Y584"/>
  <c r="X584"/>
  <c r="F584"/>
  <c r="O584"/>
  <c r="W584"/>
  <c r="U584"/>
  <c r="F583"/>
  <c r="M583"/>
  <c r="O583"/>
  <c r="C583"/>
  <c r="Y583"/>
  <c r="X583"/>
  <c r="W583"/>
  <c r="U583"/>
  <c r="Y582"/>
  <c r="F582"/>
  <c r="O582"/>
  <c r="X582"/>
  <c r="W582"/>
  <c r="U582"/>
  <c r="Y581"/>
  <c r="F581"/>
  <c r="O581"/>
  <c r="X581"/>
  <c r="W581"/>
  <c r="U581"/>
  <c r="F580"/>
  <c r="M580"/>
  <c r="O580"/>
  <c r="C580"/>
  <c r="Y580"/>
  <c r="X580"/>
  <c r="W580"/>
  <c r="U580"/>
  <c r="Y579"/>
  <c r="F579"/>
  <c r="O579"/>
  <c r="X579"/>
  <c r="W579"/>
  <c r="U579"/>
  <c r="Y578"/>
  <c r="F578"/>
  <c r="O578"/>
  <c r="X578"/>
  <c r="W578"/>
  <c r="U578"/>
  <c r="Y577"/>
  <c r="F577"/>
  <c r="O577"/>
  <c r="X577"/>
  <c r="W577"/>
  <c r="U577"/>
  <c r="Y576"/>
  <c r="X576"/>
  <c r="W576"/>
  <c r="F576"/>
  <c r="Y575"/>
  <c r="X575"/>
  <c r="W575"/>
  <c r="F575"/>
  <c r="Y574"/>
  <c r="X574"/>
  <c r="W574"/>
  <c r="Y573"/>
  <c r="X573"/>
  <c r="W573"/>
  <c r="U573"/>
  <c r="N573"/>
  <c r="J573"/>
  <c r="K573"/>
  <c r="L573"/>
  <c r="M573"/>
  <c r="I573"/>
  <c r="H573"/>
  <c r="G573"/>
  <c r="D573"/>
  <c r="E573"/>
  <c r="F573"/>
  <c r="Y572"/>
  <c r="X572"/>
  <c r="W572"/>
  <c r="Q564"/>
  <c r="H564"/>
  <c r="Q563"/>
  <c r="H563"/>
  <c r="Y561"/>
  <c r="F561"/>
  <c r="O561"/>
  <c r="X561"/>
  <c r="W561"/>
  <c r="U561"/>
  <c r="Y560"/>
  <c r="F560"/>
  <c r="O560"/>
  <c r="X560"/>
  <c r="W560"/>
  <c r="U560"/>
  <c r="Y559"/>
  <c r="F559"/>
  <c r="O559"/>
  <c r="X559"/>
  <c r="W559"/>
  <c r="U559"/>
  <c r="Y558"/>
  <c r="F558"/>
  <c r="O558"/>
  <c r="X558"/>
  <c r="W558"/>
  <c r="U558"/>
  <c r="Y557"/>
  <c r="X557"/>
  <c r="W557"/>
  <c r="Y556"/>
  <c r="M556"/>
  <c r="R556"/>
  <c r="D556"/>
  <c r="F556"/>
  <c r="O556"/>
  <c r="X556"/>
  <c r="W556"/>
  <c r="U556"/>
  <c r="Y555"/>
  <c r="M555"/>
  <c r="R555"/>
  <c r="D555"/>
  <c r="F555"/>
  <c r="O555"/>
  <c r="X555"/>
  <c r="W555"/>
  <c r="U555"/>
  <c r="Y554"/>
  <c r="M554"/>
  <c r="R554"/>
  <c r="D554"/>
  <c r="F554"/>
  <c r="O554"/>
  <c r="X554"/>
  <c r="W554"/>
  <c r="U554"/>
  <c r="Y553"/>
  <c r="M553"/>
  <c r="R553"/>
  <c r="D553"/>
  <c r="F553"/>
  <c r="O553"/>
  <c r="X553"/>
  <c r="W553"/>
  <c r="U553"/>
  <c r="Y552"/>
  <c r="X552"/>
  <c r="W552"/>
  <c r="Y551"/>
  <c r="M551"/>
  <c r="R551"/>
  <c r="D551"/>
  <c r="F551"/>
  <c r="O551"/>
  <c r="X551"/>
  <c r="W551"/>
  <c r="U551"/>
  <c r="Y550"/>
  <c r="M550"/>
  <c r="R550"/>
  <c r="D550"/>
  <c r="F550"/>
  <c r="O550"/>
  <c r="X550"/>
  <c r="W550"/>
  <c r="U550"/>
  <c r="Y549"/>
  <c r="M549"/>
  <c r="R549"/>
  <c r="D549"/>
  <c r="F549"/>
  <c r="O549"/>
  <c r="X549"/>
  <c r="W549"/>
  <c r="U549"/>
  <c r="Y548"/>
  <c r="X548"/>
  <c r="W548"/>
  <c r="Y547"/>
  <c r="X547"/>
  <c r="W547"/>
  <c r="M547"/>
  <c r="D547"/>
  <c r="F547"/>
  <c r="Y546"/>
  <c r="X546"/>
  <c r="W546"/>
  <c r="M546"/>
  <c r="D546"/>
  <c r="F546"/>
  <c r="Y545"/>
  <c r="X545"/>
  <c r="W545"/>
  <c r="Y544"/>
  <c r="X544"/>
  <c r="W544"/>
  <c r="U544"/>
  <c r="M544"/>
  <c r="D544"/>
  <c r="F544"/>
  <c r="Y543"/>
  <c r="X543"/>
  <c r="W543"/>
  <c r="Y542"/>
  <c r="X542"/>
  <c r="W542"/>
  <c r="Y541"/>
  <c r="X541"/>
  <c r="W541"/>
  <c r="Q533"/>
  <c r="H533"/>
  <c r="Q532"/>
  <c r="H532"/>
  <c r="F530"/>
  <c r="M530"/>
  <c r="O530"/>
  <c r="R530"/>
  <c r="C530"/>
  <c r="Y530"/>
  <c r="X530"/>
  <c r="W530"/>
  <c r="U530"/>
  <c r="F529"/>
  <c r="M529"/>
  <c r="O529"/>
  <c r="R529"/>
  <c r="C529"/>
  <c r="Y529"/>
  <c r="X529"/>
  <c r="W529"/>
  <c r="U529"/>
  <c r="F528"/>
  <c r="M528"/>
  <c r="O528"/>
  <c r="R528"/>
  <c r="C528"/>
  <c r="Y528"/>
  <c r="X528"/>
  <c r="W528"/>
  <c r="U528"/>
  <c r="Y527"/>
  <c r="X527"/>
  <c r="W527"/>
  <c r="U527"/>
  <c r="F526"/>
  <c r="M526"/>
  <c r="O526"/>
  <c r="R526"/>
  <c r="C526"/>
  <c r="Y526"/>
  <c r="X526"/>
  <c r="W526"/>
  <c r="U526"/>
  <c r="Y525"/>
  <c r="F525"/>
  <c r="O525"/>
  <c r="X525"/>
  <c r="W525"/>
  <c r="U525"/>
  <c r="Y524"/>
  <c r="F524"/>
  <c r="O524"/>
  <c r="X524"/>
  <c r="W524"/>
  <c r="U524"/>
  <c r="Y523"/>
  <c r="F523"/>
  <c r="O523"/>
  <c r="X523"/>
  <c r="W523"/>
  <c r="U523"/>
  <c r="Y522"/>
  <c r="X522"/>
  <c r="W522"/>
  <c r="F522"/>
  <c r="Y521"/>
  <c r="X521"/>
  <c r="W521"/>
  <c r="F521"/>
  <c r="Y520"/>
  <c r="X520"/>
  <c r="W520"/>
  <c r="Y519"/>
  <c r="X519"/>
  <c r="R519"/>
  <c r="W519"/>
  <c r="U519"/>
  <c r="N519"/>
  <c r="J519"/>
  <c r="K519"/>
  <c r="L519"/>
  <c r="M519"/>
  <c r="I519"/>
  <c r="H519"/>
  <c r="G519"/>
  <c r="D519"/>
  <c r="E519"/>
  <c r="F519"/>
  <c r="Y518"/>
  <c r="X518"/>
  <c r="W518"/>
  <c r="Y517"/>
  <c r="X517"/>
  <c r="W517"/>
  <c r="Y516"/>
  <c r="X516"/>
  <c r="W516"/>
  <c r="Y515"/>
  <c r="X515"/>
  <c r="W515"/>
  <c r="F514"/>
  <c r="M514"/>
  <c r="O514"/>
  <c r="R514"/>
  <c r="C514"/>
  <c r="Y514"/>
  <c r="X514"/>
  <c r="W514"/>
  <c r="U514"/>
  <c r="F513"/>
  <c r="M513"/>
  <c r="O513"/>
  <c r="R513"/>
  <c r="C513"/>
  <c r="Y513"/>
  <c r="X513"/>
  <c r="W513"/>
  <c r="U513"/>
  <c r="F512"/>
  <c r="M512"/>
  <c r="O512"/>
  <c r="R512"/>
  <c r="C512"/>
  <c r="Y512"/>
  <c r="X512"/>
  <c r="W512"/>
  <c r="U512"/>
  <c r="Y511"/>
  <c r="X511"/>
  <c r="W511"/>
  <c r="U511"/>
  <c r="Y510"/>
  <c r="X510"/>
  <c r="F510"/>
  <c r="O510"/>
  <c r="W510"/>
  <c r="U510"/>
  <c r="F509"/>
  <c r="M509"/>
  <c r="O509"/>
  <c r="R509"/>
  <c r="C509"/>
  <c r="Y509"/>
  <c r="X509"/>
  <c r="W509"/>
  <c r="U509"/>
  <c r="Y508"/>
  <c r="X508"/>
  <c r="F508"/>
  <c r="O508"/>
  <c r="W508"/>
  <c r="U508"/>
  <c r="Y507"/>
  <c r="X507"/>
  <c r="F507"/>
  <c r="O507"/>
  <c r="W507"/>
  <c r="U507"/>
  <c r="F506"/>
  <c r="M506"/>
  <c r="O506"/>
  <c r="R506"/>
  <c r="C506"/>
  <c r="Y506"/>
  <c r="X506"/>
  <c r="W506"/>
  <c r="U506"/>
  <c r="Y505"/>
  <c r="X505"/>
  <c r="F505"/>
  <c r="O505"/>
  <c r="W505"/>
  <c r="U505"/>
  <c r="Y504"/>
  <c r="X504"/>
  <c r="F504"/>
  <c r="O504"/>
  <c r="W504"/>
  <c r="U504"/>
  <c r="Y503"/>
  <c r="X503"/>
  <c r="F503"/>
  <c r="O503"/>
  <c r="W503"/>
  <c r="U503"/>
  <c r="Y502"/>
  <c r="X502"/>
  <c r="W502"/>
  <c r="F502"/>
  <c r="Y501"/>
  <c r="X501"/>
  <c r="W501"/>
  <c r="F501"/>
  <c r="Y500"/>
  <c r="X500"/>
  <c r="W500"/>
  <c r="Y499"/>
  <c r="X499"/>
  <c r="R499"/>
  <c r="W499"/>
  <c r="U499"/>
  <c r="N499"/>
  <c r="J499"/>
  <c r="K499"/>
  <c r="L499"/>
  <c r="M499"/>
  <c r="I499"/>
  <c r="H499"/>
  <c r="G499"/>
  <c r="D499"/>
  <c r="E499"/>
  <c r="F499"/>
  <c r="Y498"/>
  <c r="X498"/>
  <c r="W498"/>
  <c r="Y497"/>
  <c r="X497"/>
  <c r="W497"/>
  <c r="Y496"/>
  <c r="X496"/>
  <c r="W496"/>
  <c r="Y495"/>
  <c r="X495"/>
  <c r="W495"/>
  <c r="Q488"/>
  <c r="H488"/>
  <c r="Q487"/>
  <c r="H487"/>
  <c r="F485"/>
  <c r="M485"/>
  <c r="O485"/>
  <c r="R485"/>
  <c r="C485"/>
  <c r="Y485"/>
  <c r="X485"/>
  <c r="W485"/>
  <c r="U485"/>
  <c r="A370"/>
  <c r="A371"/>
  <c r="A372"/>
  <c r="A373"/>
  <c r="A374"/>
  <c r="A376"/>
  <c r="A377"/>
  <c r="A378"/>
  <c r="A379"/>
  <c r="A380"/>
  <c r="A383"/>
  <c r="A385"/>
  <c r="A386"/>
  <c r="A387"/>
  <c r="A388"/>
  <c r="A389"/>
  <c r="A390"/>
  <c r="A391"/>
  <c r="A392"/>
  <c r="A393"/>
  <c r="A394"/>
  <c r="A395"/>
  <c r="A396"/>
  <c r="A397"/>
  <c r="A398"/>
  <c r="A400"/>
  <c r="A402"/>
  <c r="A403"/>
  <c r="A406"/>
  <c r="A408"/>
  <c r="A409"/>
  <c r="A410"/>
  <c r="A411"/>
  <c r="A412"/>
  <c r="A413"/>
  <c r="A424"/>
  <c r="A425"/>
  <c r="A426"/>
  <c r="A427"/>
  <c r="A428"/>
  <c r="A429"/>
  <c r="A430"/>
  <c r="A431"/>
  <c r="A433"/>
  <c r="A434"/>
  <c r="A435"/>
  <c r="A436"/>
  <c r="A437"/>
  <c r="A439"/>
  <c r="A440"/>
  <c r="A441"/>
  <c r="A442"/>
  <c r="A445"/>
  <c r="A447"/>
  <c r="A448"/>
  <c r="A449"/>
  <c r="A450"/>
  <c r="A451"/>
  <c r="A452"/>
  <c r="A453"/>
  <c r="A454"/>
  <c r="A455"/>
  <c r="A456"/>
  <c r="A457"/>
  <c r="A458"/>
  <c r="A459"/>
  <c r="A460"/>
  <c r="A472"/>
  <c r="A473"/>
  <c r="A474"/>
  <c r="A475"/>
  <c r="A476"/>
  <c r="A479"/>
  <c r="A481"/>
  <c r="A482"/>
  <c r="A483"/>
  <c r="A484"/>
  <c r="A485"/>
  <c r="F484"/>
  <c r="M484"/>
  <c r="O484"/>
  <c r="R484"/>
  <c r="C484"/>
  <c r="Y484"/>
  <c r="X484"/>
  <c r="W484"/>
  <c r="U484"/>
  <c r="F483"/>
  <c r="M483"/>
  <c r="O483"/>
  <c r="R483"/>
  <c r="C483"/>
  <c r="Y483"/>
  <c r="X483"/>
  <c r="W483"/>
  <c r="U483"/>
  <c r="F482"/>
  <c r="M482"/>
  <c r="O482"/>
  <c r="R482"/>
  <c r="C482"/>
  <c r="Y482"/>
  <c r="X482"/>
  <c r="W482"/>
  <c r="U482"/>
  <c r="Y481"/>
  <c r="X481"/>
  <c r="W481"/>
  <c r="U481"/>
  <c r="Y480"/>
  <c r="X480"/>
  <c r="W480"/>
  <c r="Y479"/>
  <c r="F479"/>
  <c r="O479"/>
  <c r="X479"/>
  <c r="W479"/>
  <c r="U479"/>
  <c r="Y476"/>
  <c r="F476"/>
  <c r="M476"/>
  <c r="O476"/>
  <c r="X476"/>
  <c r="R476"/>
  <c r="W476"/>
  <c r="Y475"/>
  <c r="F475"/>
  <c r="O475"/>
  <c r="X475"/>
  <c r="W475"/>
  <c r="Y474"/>
  <c r="F474"/>
  <c r="O474"/>
  <c r="X474"/>
  <c r="W474"/>
  <c r="Y473"/>
  <c r="F473"/>
  <c r="O473"/>
  <c r="X473"/>
  <c r="W473"/>
  <c r="Y472"/>
  <c r="F472"/>
  <c r="O472"/>
  <c r="X472"/>
  <c r="W472"/>
  <c r="U472"/>
  <c r="Q463"/>
  <c r="H463"/>
  <c r="Q462"/>
  <c r="H462"/>
  <c r="F460"/>
  <c r="M460"/>
  <c r="O460"/>
  <c r="R460"/>
  <c r="C460"/>
  <c r="Y460"/>
  <c r="X460"/>
  <c r="W460"/>
  <c r="U460"/>
  <c r="F459"/>
  <c r="M459"/>
  <c r="O459"/>
  <c r="R459"/>
  <c r="C459"/>
  <c r="Y459"/>
  <c r="X459"/>
  <c r="W459"/>
  <c r="U459"/>
  <c r="F458"/>
  <c r="M458"/>
  <c r="O458"/>
  <c r="R458"/>
  <c r="C458"/>
  <c r="Y458"/>
  <c r="X458"/>
  <c r="W458"/>
  <c r="U458"/>
  <c r="D457"/>
  <c r="E457"/>
  <c r="F457"/>
  <c r="G457"/>
  <c r="H457"/>
  <c r="I457"/>
  <c r="J457"/>
  <c r="K457"/>
  <c r="L457"/>
  <c r="M457"/>
  <c r="N457"/>
  <c r="O457"/>
  <c r="P457"/>
  <c r="Q457"/>
  <c r="R457"/>
  <c r="S457"/>
  <c r="C457"/>
  <c r="Y457"/>
  <c r="X457"/>
  <c r="W457"/>
  <c r="U457"/>
  <c r="Y456"/>
  <c r="X456"/>
  <c r="F456"/>
  <c r="O456"/>
  <c r="W456"/>
  <c r="U456"/>
  <c r="Y455"/>
  <c r="F455"/>
  <c r="O455"/>
  <c r="X455"/>
  <c r="W455"/>
  <c r="U455"/>
  <c r="Y454"/>
  <c r="M454"/>
  <c r="R454"/>
  <c r="D454"/>
  <c r="F454"/>
  <c r="O454"/>
  <c r="X454"/>
  <c r="W454"/>
  <c r="U454"/>
  <c r="Y453"/>
  <c r="F453"/>
  <c r="O453"/>
  <c r="X453"/>
  <c r="W453"/>
  <c r="U453"/>
  <c r="Y452"/>
  <c r="F452"/>
  <c r="O452"/>
  <c r="X452"/>
  <c r="W452"/>
  <c r="U452"/>
  <c r="Y451"/>
  <c r="F451"/>
  <c r="O451"/>
  <c r="X451"/>
  <c r="W451"/>
  <c r="U451"/>
  <c r="Y450"/>
  <c r="M450"/>
  <c r="R450"/>
  <c r="D450"/>
  <c r="F450"/>
  <c r="O450"/>
  <c r="X450"/>
  <c r="W450"/>
  <c r="U450"/>
  <c r="Y449"/>
  <c r="F449"/>
  <c r="O449"/>
  <c r="X449"/>
  <c r="W449"/>
  <c r="U449"/>
  <c r="Y448"/>
  <c r="X448"/>
  <c r="W448"/>
  <c r="F448"/>
  <c r="Y447"/>
  <c r="X447"/>
  <c r="W447"/>
  <c r="F447"/>
  <c r="Y446"/>
  <c r="X446"/>
  <c r="W446"/>
  <c r="Y445"/>
  <c r="X445"/>
  <c r="R445"/>
  <c r="W445"/>
  <c r="U445"/>
  <c r="N445"/>
  <c r="J445"/>
  <c r="K445"/>
  <c r="L445"/>
  <c r="M445"/>
  <c r="I445"/>
  <c r="H445"/>
  <c r="G445"/>
  <c r="D445"/>
  <c r="E445"/>
  <c r="F445"/>
  <c r="Y443"/>
  <c r="X443"/>
  <c r="W443"/>
  <c r="Y442"/>
  <c r="F442"/>
  <c r="O442"/>
  <c r="X442"/>
  <c r="W442"/>
  <c r="U442"/>
  <c r="Y441"/>
  <c r="F441"/>
  <c r="O441"/>
  <c r="X441"/>
  <c r="W441"/>
  <c r="U441"/>
  <c r="Y440"/>
  <c r="F440"/>
  <c r="O440"/>
  <c r="X440"/>
  <c r="W440"/>
  <c r="U440"/>
  <c r="Y439"/>
  <c r="E439"/>
  <c r="G439"/>
  <c r="H439"/>
  <c r="I439"/>
  <c r="J439"/>
  <c r="K439"/>
  <c r="L439"/>
  <c r="M439"/>
  <c r="N439"/>
  <c r="P439"/>
  <c r="Q439"/>
  <c r="R439"/>
  <c r="D439"/>
  <c r="F439"/>
  <c r="O439"/>
  <c r="X439"/>
  <c r="W439"/>
  <c r="U439"/>
  <c r="Y438"/>
  <c r="X438"/>
  <c r="W438"/>
  <c r="F437"/>
  <c r="M437"/>
  <c r="O437"/>
  <c r="R437"/>
  <c r="U437"/>
  <c r="F436"/>
  <c r="O436"/>
  <c r="U436"/>
  <c r="F435"/>
  <c r="O435"/>
  <c r="U435"/>
  <c r="F434"/>
  <c r="O434"/>
  <c r="U434"/>
  <c r="Y433"/>
  <c r="F433"/>
  <c r="O433"/>
  <c r="X433"/>
  <c r="W433"/>
  <c r="U433"/>
  <c r="F431"/>
  <c r="M431"/>
  <c r="O431"/>
  <c r="R431"/>
  <c r="C431"/>
  <c r="Y431"/>
  <c r="X431"/>
  <c r="W431"/>
  <c r="U431"/>
  <c r="F430"/>
  <c r="M430"/>
  <c r="O430"/>
  <c r="R430"/>
  <c r="C430"/>
  <c r="Y430"/>
  <c r="X430"/>
  <c r="W430"/>
  <c r="U430"/>
  <c r="F429"/>
  <c r="M429"/>
  <c r="O429"/>
  <c r="R429"/>
  <c r="C429"/>
  <c r="Y429"/>
  <c r="X429"/>
  <c r="W429"/>
  <c r="U429"/>
  <c r="D428"/>
  <c r="E428"/>
  <c r="F428"/>
  <c r="G428"/>
  <c r="H428"/>
  <c r="I428"/>
  <c r="J428"/>
  <c r="K428"/>
  <c r="L428"/>
  <c r="M428"/>
  <c r="N428"/>
  <c r="O428"/>
  <c r="P428"/>
  <c r="Q428"/>
  <c r="R428"/>
  <c r="S428"/>
  <c r="C428"/>
  <c r="Y428"/>
  <c r="X428"/>
  <c r="W428"/>
  <c r="U428"/>
  <c r="Y427"/>
  <c r="X427"/>
  <c r="F427"/>
  <c r="O427"/>
  <c r="W427"/>
  <c r="U427"/>
  <c r="Y426"/>
  <c r="F426"/>
  <c r="O426"/>
  <c r="X426"/>
  <c r="W426"/>
  <c r="U426"/>
  <c r="Y425"/>
  <c r="M425"/>
  <c r="R425"/>
  <c r="D425"/>
  <c r="F425"/>
  <c r="O425"/>
  <c r="X425"/>
  <c r="W425"/>
  <c r="U425"/>
  <c r="Y424"/>
  <c r="F424"/>
  <c r="O424"/>
  <c r="X424"/>
  <c r="W424"/>
  <c r="U424"/>
  <c r="Q416"/>
  <c r="H416"/>
  <c r="Q415"/>
  <c r="H415"/>
  <c r="Y413"/>
  <c r="F413"/>
  <c r="O413"/>
  <c r="X413"/>
  <c r="W413"/>
  <c r="U413"/>
  <c r="Y412"/>
  <c r="F412"/>
  <c r="O412"/>
  <c r="X412"/>
  <c r="W412"/>
  <c r="U412"/>
  <c r="Y411"/>
  <c r="M411"/>
  <c r="R411"/>
  <c r="D411"/>
  <c r="F411"/>
  <c r="O411"/>
  <c r="X411"/>
  <c r="W411"/>
  <c r="U411"/>
  <c r="Y410"/>
  <c r="F410"/>
  <c r="O410"/>
  <c r="X410"/>
  <c r="W410"/>
  <c r="U410"/>
  <c r="F409"/>
  <c r="F408"/>
  <c r="Y406"/>
  <c r="X406"/>
  <c r="R406"/>
  <c r="W406"/>
  <c r="U406"/>
  <c r="N406"/>
  <c r="J406"/>
  <c r="K406"/>
  <c r="L406"/>
  <c r="M406"/>
  <c r="I406"/>
  <c r="H406"/>
  <c r="G406"/>
  <c r="D406"/>
  <c r="E406"/>
  <c r="F406"/>
  <c r="F403"/>
  <c r="F402"/>
  <c r="Y400"/>
  <c r="X400"/>
  <c r="R400"/>
  <c r="W400"/>
  <c r="U400"/>
  <c r="N400"/>
  <c r="J400"/>
  <c r="K400"/>
  <c r="L400"/>
  <c r="M400"/>
  <c r="I400"/>
  <c r="H400"/>
  <c r="G400"/>
  <c r="D400"/>
  <c r="E400"/>
  <c r="F400"/>
  <c r="Y399"/>
  <c r="X399"/>
  <c r="W399"/>
  <c r="F398"/>
  <c r="M398"/>
  <c r="O398"/>
  <c r="R398"/>
  <c r="C398"/>
  <c r="Y398"/>
  <c r="X398"/>
  <c r="W398"/>
  <c r="U398"/>
  <c r="F397"/>
  <c r="M397"/>
  <c r="O397"/>
  <c r="R397"/>
  <c r="C397"/>
  <c r="Y397"/>
  <c r="X397"/>
  <c r="W397"/>
  <c r="U397"/>
  <c r="F396"/>
  <c r="M396"/>
  <c r="O396"/>
  <c r="R396"/>
  <c r="C396"/>
  <c r="Y396"/>
  <c r="X396"/>
  <c r="W396"/>
  <c r="U396"/>
  <c r="Y395"/>
  <c r="D395"/>
  <c r="E395"/>
  <c r="F395"/>
  <c r="G395"/>
  <c r="H395"/>
  <c r="I395"/>
  <c r="J395"/>
  <c r="K395"/>
  <c r="L395"/>
  <c r="M395"/>
  <c r="N395"/>
  <c r="O395"/>
  <c r="X395"/>
  <c r="P395"/>
  <c r="Q395"/>
  <c r="R395"/>
  <c r="W395"/>
  <c r="U395"/>
  <c r="Y394"/>
  <c r="X394"/>
  <c r="F394"/>
  <c r="O394"/>
  <c r="W394"/>
  <c r="U394"/>
  <c r="Y393"/>
  <c r="F393"/>
  <c r="O393"/>
  <c r="X393"/>
  <c r="W393"/>
  <c r="U393"/>
  <c r="Y392"/>
  <c r="M392"/>
  <c r="R392"/>
  <c r="D392"/>
  <c r="F392"/>
  <c r="O392"/>
  <c r="X392"/>
  <c r="W392"/>
  <c r="U392"/>
  <c r="Y391"/>
  <c r="F391"/>
  <c r="O391"/>
  <c r="X391"/>
  <c r="W391"/>
  <c r="U391"/>
  <c r="Y390"/>
  <c r="F390"/>
  <c r="O390"/>
  <c r="X390"/>
  <c r="W390"/>
  <c r="U390"/>
  <c r="Y389"/>
  <c r="F389"/>
  <c r="O389"/>
  <c r="X389"/>
  <c r="W389"/>
  <c r="U389"/>
  <c r="S388"/>
  <c r="Y388"/>
  <c r="E388"/>
  <c r="G388"/>
  <c r="H388"/>
  <c r="I388"/>
  <c r="J388"/>
  <c r="K388"/>
  <c r="L388"/>
  <c r="M388"/>
  <c r="N388"/>
  <c r="P388"/>
  <c r="Q388"/>
  <c r="R388"/>
  <c r="D388"/>
  <c r="F388"/>
  <c r="O388"/>
  <c r="X388"/>
  <c r="W388"/>
  <c r="U388"/>
  <c r="Y387"/>
  <c r="F387"/>
  <c r="O387"/>
  <c r="X387"/>
  <c r="W387"/>
  <c r="U387"/>
  <c r="Y386"/>
  <c r="X386"/>
  <c r="W386"/>
  <c r="F386"/>
  <c r="Y385"/>
  <c r="X385"/>
  <c r="W385"/>
  <c r="F385"/>
  <c r="Y384"/>
  <c r="X384"/>
  <c r="W384"/>
  <c r="Y383"/>
  <c r="X383"/>
  <c r="R383"/>
  <c r="W383"/>
  <c r="U383"/>
  <c r="N383"/>
  <c r="J383"/>
  <c r="K383"/>
  <c r="L383"/>
  <c r="M383"/>
  <c r="I383"/>
  <c r="H383"/>
  <c r="G383"/>
  <c r="D383"/>
  <c r="E383"/>
  <c r="F383"/>
  <c r="Y382"/>
  <c r="X382"/>
  <c r="W382"/>
  <c r="Y381"/>
  <c r="X381"/>
  <c r="W381"/>
  <c r="Y380"/>
  <c r="F380"/>
  <c r="M380"/>
  <c r="O380"/>
  <c r="X380"/>
  <c r="R380"/>
  <c r="W380"/>
  <c r="U380"/>
  <c r="Y379"/>
  <c r="F379"/>
  <c r="O379"/>
  <c r="X379"/>
  <c r="W379"/>
  <c r="U379"/>
  <c r="Y378"/>
  <c r="F378"/>
  <c r="O378"/>
  <c r="X378"/>
  <c r="W378"/>
  <c r="U378"/>
  <c r="Y377"/>
  <c r="F377"/>
  <c r="O377"/>
  <c r="X377"/>
  <c r="W377"/>
  <c r="U377"/>
  <c r="Y376"/>
  <c r="F376"/>
  <c r="O376"/>
  <c r="X376"/>
  <c r="W376"/>
  <c r="U376"/>
  <c r="Y374"/>
  <c r="F374"/>
  <c r="M374"/>
  <c r="O374"/>
  <c r="X374"/>
  <c r="R374"/>
  <c r="W374"/>
  <c r="U374"/>
  <c r="Y373"/>
  <c r="F373"/>
  <c r="O373"/>
  <c r="X373"/>
  <c r="W373"/>
  <c r="U373"/>
  <c r="Y372"/>
  <c r="F372"/>
  <c r="O372"/>
  <c r="X372"/>
  <c r="W372"/>
  <c r="U372"/>
  <c r="Y371"/>
  <c r="F371"/>
  <c r="O371"/>
  <c r="X371"/>
  <c r="W371"/>
  <c r="U371"/>
  <c r="Y370"/>
  <c r="F370"/>
  <c r="O370"/>
  <c r="X370"/>
  <c r="W370"/>
  <c r="U370"/>
  <c r="Y369"/>
  <c r="X369"/>
  <c r="W369"/>
  <c r="Y368"/>
  <c r="X368"/>
  <c r="W368"/>
  <c r="Y367"/>
  <c r="X367"/>
  <c r="W367"/>
  <c r="Y366"/>
  <c r="X366"/>
  <c r="W366"/>
  <c r="Q359"/>
  <c r="H359"/>
  <c r="Q358"/>
  <c r="H358"/>
  <c r="F356"/>
  <c r="M356"/>
  <c r="O356"/>
  <c r="R356"/>
  <c r="C356"/>
  <c r="Y356"/>
  <c r="X356"/>
  <c r="W356"/>
  <c r="U356"/>
  <c r="A321"/>
  <c r="A323"/>
  <c r="A324"/>
  <c r="A326"/>
  <c r="A327"/>
  <c r="A332"/>
  <c r="A333"/>
  <c r="A334"/>
  <c r="A340"/>
  <c r="A341"/>
  <c r="A342"/>
  <c r="A343"/>
  <c r="A344"/>
  <c r="A347"/>
  <c r="A350"/>
  <c r="A353"/>
  <c r="A354"/>
  <c r="A355"/>
  <c r="A356"/>
  <c r="F355"/>
  <c r="M355"/>
  <c r="O355"/>
  <c r="R355"/>
  <c r="C355"/>
  <c r="Y355"/>
  <c r="X355"/>
  <c r="W355"/>
  <c r="U355"/>
  <c r="F354"/>
  <c r="M354"/>
  <c r="O354"/>
  <c r="R354"/>
  <c r="C354"/>
  <c r="Y354"/>
  <c r="X354"/>
  <c r="W354"/>
  <c r="U354"/>
  <c r="Y353"/>
  <c r="X353"/>
  <c r="W353"/>
  <c r="U353"/>
  <c r="Y350"/>
  <c r="F350"/>
  <c r="O350"/>
  <c r="X350"/>
  <c r="W350"/>
  <c r="U350"/>
  <c r="Y349"/>
  <c r="X349"/>
  <c r="W349"/>
  <c r="Y348"/>
  <c r="X348"/>
  <c r="W348"/>
  <c r="Y347"/>
  <c r="F347"/>
  <c r="O347"/>
  <c r="X347"/>
  <c r="W347"/>
  <c r="U347"/>
  <c r="Y346"/>
  <c r="X346"/>
  <c r="W346"/>
  <c r="Y345"/>
  <c r="X345"/>
  <c r="W345"/>
  <c r="D344"/>
  <c r="E344"/>
  <c r="F344"/>
  <c r="G344"/>
  <c r="H344"/>
  <c r="I344"/>
  <c r="J344"/>
  <c r="K344"/>
  <c r="L344"/>
  <c r="M344"/>
  <c r="N344"/>
  <c r="O344"/>
  <c r="P344"/>
  <c r="Q344"/>
  <c r="R344"/>
  <c r="C344"/>
  <c r="Y344"/>
  <c r="X344"/>
  <c r="W344"/>
  <c r="U344"/>
  <c r="Y343"/>
  <c r="F343"/>
  <c r="O343"/>
  <c r="X343"/>
  <c r="W343"/>
  <c r="U343"/>
  <c r="Y342"/>
  <c r="F342"/>
  <c r="M342"/>
  <c r="O342"/>
  <c r="X342"/>
  <c r="R342"/>
  <c r="W342"/>
  <c r="U342"/>
  <c r="Y341"/>
  <c r="F341"/>
  <c r="O341"/>
  <c r="X341"/>
  <c r="W341"/>
  <c r="U341"/>
  <c r="Y340"/>
  <c r="F340"/>
  <c r="O340"/>
  <c r="X340"/>
  <c r="W340"/>
  <c r="U340"/>
  <c r="Y339"/>
  <c r="X339"/>
  <c r="W339"/>
  <c r="Y338"/>
  <c r="X338"/>
  <c r="W338"/>
  <c r="Y337"/>
  <c r="X337"/>
  <c r="W337"/>
  <c r="Y336"/>
  <c r="X336"/>
  <c r="W336"/>
  <c r="Y335"/>
  <c r="X335"/>
  <c r="W335"/>
  <c r="Y334"/>
  <c r="F334"/>
  <c r="O334"/>
  <c r="X334"/>
  <c r="W334"/>
  <c r="U334"/>
  <c r="Y333"/>
  <c r="M333"/>
  <c r="R333"/>
  <c r="D333"/>
  <c r="F333"/>
  <c r="O333"/>
  <c r="X333"/>
  <c r="W333"/>
  <c r="U333"/>
  <c r="Y332"/>
  <c r="M332"/>
  <c r="R332"/>
  <c r="D332"/>
  <c r="F332"/>
  <c r="O332"/>
  <c r="X332"/>
  <c r="W332"/>
  <c r="U332"/>
  <c r="Y331"/>
  <c r="X331"/>
  <c r="W331"/>
  <c r="Y330"/>
  <c r="X330"/>
  <c r="W330"/>
  <c r="Y329"/>
  <c r="X329"/>
  <c r="W329"/>
  <c r="Y328"/>
  <c r="X328"/>
  <c r="W328"/>
  <c r="Y327"/>
  <c r="X327"/>
  <c r="R327"/>
  <c r="W327"/>
  <c r="U327"/>
  <c r="N327"/>
  <c r="J327"/>
  <c r="K327"/>
  <c r="L327"/>
  <c r="M327"/>
  <c r="I327"/>
  <c r="H327"/>
  <c r="G327"/>
  <c r="D327"/>
  <c r="E327"/>
  <c r="F327"/>
  <c r="Y326"/>
  <c r="X326"/>
  <c r="W326"/>
  <c r="U326"/>
  <c r="F326"/>
  <c r="Y325"/>
  <c r="X325"/>
  <c r="W325"/>
  <c r="Y324"/>
  <c r="X324"/>
  <c r="W324"/>
  <c r="F324"/>
  <c r="Y323"/>
  <c r="X323"/>
  <c r="W323"/>
  <c r="F323"/>
  <c r="Y322"/>
  <c r="X322"/>
  <c r="W322"/>
  <c r="O321"/>
  <c r="R321"/>
  <c r="C321"/>
  <c r="Y321"/>
  <c r="X321"/>
  <c r="W321"/>
  <c r="U321"/>
  <c r="N321"/>
  <c r="J321"/>
  <c r="K321"/>
  <c r="L321"/>
  <c r="M321"/>
  <c r="I321"/>
  <c r="H321"/>
  <c r="G321"/>
  <c r="D321"/>
  <c r="E321"/>
  <c r="F321"/>
  <c r="Y318"/>
  <c r="X318"/>
  <c r="W318"/>
  <c r="Y317"/>
  <c r="X317"/>
  <c r="W317"/>
  <c r="Q310"/>
  <c r="H310"/>
  <c r="Q309"/>
  <c r="H309"/>
  <c r="Y307"/>
  <c r="X307"/>
  <c r="W307"/>
  <c r="U307"/>
  <c r="A222"/>
  <c r="A225"/>
  <c r="A226"/>
  <c r="A231"/>
  <c r="A232"/>
  <c r="A233"/>
  <c r="A234"/>
  <c r="A235"/>
  <c r="A236"/>
  <c r="A237"/>
  <c r="A238"/>
  <c r="A239"/>
  <c r="A244"/>
  <c r="A246"/>
  <c r="A248"/>
  <c r="A251"/>
  <c r="A252"/>
  <c r="A253"/>
  <c r="A256"/>
  <c r="A257"/>
  <c r="A258"/>
  <c r="A271"/>
  <c r="A272"/>
  <c r="A273"/>
  <c r="A276"/>
  <c r="A277"/>
  <c r="A278"/>
  <c r="A281"/>
  <c r="A282"/>
  <c r="A283"/>
  <c r="A285"/>
  <c r="A287"/>
  <c r="A289"/>
  <c r="A291"/>
  <c r="A292"/>
  <c r="A293"/>
  <c r="A299"/>
  <c r="A300"/>
  <c r="A301"/>
  <c r="A302"/>
  <c r="A304"/>
  <c r="A305"/>
  <c r="A306"/>
  <c r="A307"/>
  <c r="Y306"/>
  <c r="X306"/>
  <c r="W306"/>
  <c r="U306"/>
  <c r="Y305"/>
  <c r="X305"/>
  <c r="W305"/>
  <c r="U305"/>
  <c r="Y304"/>
  <c r="X304"/>
  <c r="W304"/>
  <c r="U304"/>
  <c r="Y303"/>
  <c r="X303"/>
  <c r="W303"/>
  <c r="Y302"/>
  <c r="F302"/>
  <c r="O302"/>
  <c r="X302"/>
  <c r="W302"/>
  <c r="U302"/>
  <c r="F301"/>
  <c r="M301"/>
  <c r="O301"/>
  <c r="R301"/>
  <c r="C301"/>
  <c r="Y301"/>
  <c r="X301"/>
  <c r="W301"/>
  <c r="U301"/>
  <c r="Y300"/>
  <c r="F300"/>
  <c r="O300"/>
  <c r="X300"/>
  <c r="W300"/>
  <c r="U300"/>
  <c r="Y299"/>
  <c r="F299"/>
  <c r="O299"/>
  <c r="X299"/>
  <c r="W299"/>
  <c r="U299"/>
  <c r="Y298"/>
  <c r="X298"/>
  <c r="W298"/>
  <c r="Y297"/>
  <c r="X297"/>
  <c r="W297"/>
  <c r="Y296"/>
  <c r="X296"/>
  <c r="W296"/>
  <c r="Y295"/>
  <c r="X295"/>
  <c r="W295"/>
  <c r="Y294"/>
  <c r="X294"/>
  <c r="W294"/>
  <c r="F293"/>
  <c r="M293"/>
  <c r="O293"/>
  <c r="R293"/>
  <c r="C293"/>
  <c r="Y293"/>
  <c r="X293"/>
  <c r="W293"/>
  <c r="U293"/>
  <c r="F292"/>
  <c r="M292"/>
  <c r="O292"/>
  <c r="R292"/>
  <c r="C292"/>
  <c r="Y292"/>
  <c r="X292"/>
  <c r="W292"/>
  <c r="U292"/>
  <c r="F291"/>
  <c r="M291"/>
  <c r="O291"/>
  <c r="R291"/>
  <c r="C291"/>
  <c r="Y291"/>
  <c r="X291"/>
  <c r="W291"/>
  <c r="U291"/>
  <c r="Y290"/>
  <c r="X290"/>
  <c r="W290"/>
  <c r="Y289"/>
  <c r="F289"/>
  <c r="O289"/>
  <c r="X289"/>
  <c r="W289"/>
  <c r="U289"/>
  <c r="Y288"/>
  <c r="X288"/>
  <c r="W288"/>
  <c r="Y287"/>
  <c r="F287"/>
  <c r="O287"/>
  <c r="X287"/>
  <c r="W287"/>
  <c r="U287"/>
  <c r="Y286"/>
  <c r="X286"/>
  <c r="W286"/>
  <c r="Y285"/>
  <c r="F285"/>
  <c r="O285"/>
  <c r="X285"/>
  <c r="W285"/>
  <c r="U285"/>
  <c r="Y284"/>
  <c r="X284"/>
  <c r="W284"/>
  <c r="Y283"/>
  <c r="F283"/>
  <c r="O283"/>
  <c r="X283"/>
  <c r="W283"/>
  <c r="U283"/>
  <c r="C282"/>
  <c r="S282"/>
  <c r="Y282"/>
  <c r="E282"/>
  <c r="G282"/>
  <c r="H282"/>
  <c r="I282"/>
  <c r="J282"/>
  <c r="K282"/>
  <c r="L282"/>
  <c r="M282"/>
  <c r="N282"/>
  <c r="P282"/>
  <c r="Q282"/>
  <c r="R282"/>
  <c r="D282"/>
  <c r="F282"/>
  <c r="O282"/>
  <c r="X282"/>
  <c r="W282"/>
  <c r="U282"/>
  <c r="Y281"/>
  <c r="F281"/>
  <c r="O281"/>
  <c r="X281"/>
  <c r="W281"/>
  <c r="U281"/>
  <c r="Y280"/>
  <c r="X280"/>
  <c r="W280"/>
  <c r="Y279"/>
  <c r="X279"/>
  <c r="W279"/>
  <c r="Y278"/>
  <c r="F278"/>
  <c r="O278"/>
  <c r="X278"/>
  <c r="W278"/>
  <c r="U278"/>
  <c r="C277"/>
  <c r="S277"/>
  <c r="Y277"/>
  <c r="E277"/>
  <c r="G277"/>
  <c r="H277"/>
  <c r="I277"/>
  <c r="J277"/>
  <c r="K277"/>
  <c r="L277"/>
  <c r="M277"/>
  <c r="N277"/>
  <c r="P277"/>
  <c r="Q277"/>
  <c r="R277"/>
  <c r="D277"/>
  <c r="F277"/>
  <c r="O277"/>
  <c r="X277"/>
  <c r="W277"/>
  <c r="U277"/>
  <c r="Y276"/>
  <c r="F276"/>
  <c r="O276"/>
  <c r="X276"/>
  <c r="W276"/>
  <c r="U276"/>
  <c r="Y275"/>
  <c r="X275"/>
  <c r="W275"/>
  <c r="Y273"/>
  <c r="F273"/>
  <c r="O273"/>
  <c r="X273"/>
  <c r="W273"/>
  <c r="U273"/>
  <c r="C272"/>
  <c r="S272"/>
  <c r="Y272"/>
  <c r="E272"/>
  <c r="G272"/>
  <c r="H272"/>
  <c r="I272"/>
  <c r="J272"/>
  <c r="K272"/>
  <c r="L272"/>
  <c r="M272"/>
  <c r="N272"/>
  <c r="P272"/>
  <c r="Q272"/>
  <c r="R272"/>
  <c r="D272"/>
  <c r="F272"/>
  <c r="O272"/>
  <c r="X272"/>
  <c r="W272"/>
  <c r="U272"/>
  <c r="Y271"/>
  <c r="F271"/>
  <c r="O271"/>
  <c r="X271"/>
  <c r="W271"/>
  <c r="U271"/>
  <c r="Y270"/>
  <c r="X270"/>
  <c r="W270"/>
  <c r="Q261"/>
  <c r="H261"/>
  <c r="Q260"/>
  <c r="H260"/>
  <c r="Y258"/>
  <c r="F258"/>
  <c r="O258"/>
  <c r="X258"/>
  <c r="W258"/>
  <c r="U258"/>
  <c r="C257"/>
  <c r="Y257"/>
  <c r="E257"/>
  <c r="G257"/>
  <c r="H257"/>
  <c r="I257"/>
  <c r="J257"/>
  <c r="K257"/>
  <c r="L257"/>
  <c r="M257"/>
  <c r="N257"/>
  <c r="P257"/>
  <c r="Q257"/>
  <c r="R257"/>
  <c r="D257"/>
  <c r="F257"/>
  <c r="O257"/>
  <c r="X257"/>
  <c r="W257"/>
  <c r="U257"/>
  <c r="Y256"/>
  <c r="F256"/>
  <c r="O256"/>
  <c r="X256"/>
  <c r="W256"/>
  <c r="U256"/>
  <c r="Y255"/>
  <c r="X255"/>
  <c r="W255"/>
  <c r="Y254"/>
  <c r="X254"/>
  <c r="W254"/>
  <c r="Y253"/>
  <c r="F253"/>
  <c r="O253"/>
  <c r="X253"/>
  <c r="W253"/>
  <c r="U253"/>
  <c r="C252"/>
  <c r="S252"/>
  <c r="Y252"/>
  <c r="E252"/>
  <c r="G252"/>
  <c r="H252"/>
  <c r="I252"/>
  <c r="J252"/>
  <c r="K252"/>
  <c r="L252"/>
  <c r="M252"/>
  <c r="N252"/>
  <c r="P252"/>
  <c r="Q252"/>
  <c r="R252"/>
  <c r="D252"/>
  <c r="F252"/>
  <c r="O252"/>
  <c r="X252"/>
  <c r="W252"/>
  <c r="U252"/>
  <c r="Y251"/>
  <c r="F251"/>
  <c r="O251"/>
  <c r="X251"/>
  <c r="W251"/>
  <c r="U251"/>
  <c r="Y250"/>
  <c r="X250"/>
  <c r="W250"/>
  <c r="Y249"/>
  <c r="X249"/>
  <c r="W249"/>
  <c r="Y248"/>
  <c r="F248"/>
  <c r="O248"/>
  <c r="X248"/>
  <c r="W248"/>
  <c r="U248"/>
  <c r="Y247"/>
  <c r="X247"/>
  <c r="W247"/>
  <c r="Y246"/>
  <c r="F246"/>
  <c r="O246"/>
  <c r="X246"/>
  <c r="W246"/>
  <c r="U246"/>
  <c r="Y245"/>
  <c r="X245"/>
  <c r="W245"/>
  <c r="Y244"/>
  <c r="F244"/>
  <c r="O244"/>
  <c r="X244"/>
  <c r="W244"/>
  <c r="U244"/>
  <c r="Y243"/>
  <c r="X243"/>
  <c r="W243"/>
  <c r="Y242"/>
  <c r="X242"/>
  <c r="W242"/>
  <c r="Y241"/>
  <c r="X241"/>
  <c r="W241"/>
  <c r="Y240"/>
  <c r="X240"/>
  <c r="W240"/>
  <c r="F231"/>
  <c r="F232"/>
  <c r="F233"/>
  <c r="F234"/>
  <c r="F235"/>
  <c r="F236"/>
  <c r="F237"/>
  <c r="F238"/>
  <c r="F239"/>
  <c r="M239"/>
  <c r="O239"/>
  <c r="R239"/>
  <c r="C239"/>
  <c r="Y239"/>
  <c r="X239"/>
  <c r="W239"/>
  <c r="U239"/>
  <c r="Y238"/>
  <c r="O238"/>
  <c r="X238"/>
  <c r="W238"/>
  <c r="U238"/>
  <c r="Y237"/>
  <c r="O237"/>
  <c r="X237"/>
  <c r="W237"/>
  <c r="U237"/>
  <c r="Y236"/>
  <c r="O236"/>
  <c r="X236"/>
  <c r="W236"/>
  <c r="U236"/>
  <c r="Y235"/>
  <c r="O235"/>
  <c r="X235"/>
  <c r="W235"/>
  <c r="U235"/>
  <c r="Y234"/>
  <c r="O234"/>
  <c r="X234"/>
  <c r="W234"/>
  <c r="U234"/>
  <c r="Y233"/>
  <c r="O233"/>
  <c r="X233"/>
  <c r="W233"/>
  <c r="U233"/>
  <c r="Y232"/>
  <c r="O232"/>
  <c r="X232"/>
  <c r="W232"/>
  <c r="U232"/>
  <c r="Y231"/>
  <c r="O231"/>
  <c r="X231"/>
  <c r="W231"/>
  <c r="U231"/>
  <c r="Y230"/>
  <c r="X230"/>
  <c r="W230"/>
  <c r="Y229"/>
  <c r="X229"/>
  <c r="W229"/>
  <c r="Y228"/>
  <c r="X228"/>
  <c r="W228"/>
  <c r="Y227"/>
  <c r="X227"/>
  <c r="W227"/>
  <c r="Y226"/>
  <c r="X226"/>
  <c r="W226"/>
  <c r="F226"/>
  <c r="Y225"/>
  <c r="X225"/>
  <c r="W225"/>
  <c r="F225"/>
  <c r="Y224"/>
  <c r="X224"/>
  <c r="W224"/>
  <c r="Y223"/>
  <c r="X223"/>
  <c r="W223"/>
  <c r="Y222"/>
  <c r="X222"/>
  <c r="R222"/>
  <c r="W222"/>
  <c r="U222"/>
  <c r="N222"/>
  <c r="J222"/>
  <c r="K222"/>
  <c r="L222"/>
  <c r="M222"/>
  <c r="I222"/>
  <c r="H222"/>
  <c r="G222"/>
  <c r="D222"/>
  <c r="E222"/>
  <c r="F222"/>
  <c r="Y221"/>
  <c r="Y220"/>
  <c r="Q213"/>
  <c r="H213"/>
  <c r="Q212"/>
  <c r="H212"/>
  <c r="Y210"/>
  <c r="X210"/>
  <c r="W210"/>
  <c r="U210"/>
  <c r="A34"/>
  <c r="A37"/>
  <c r="A38"/>
  <c r="A45"/>
  <c r="A46"/>
  <c r="A47"/>
  <c r="A49"/>
  <c r="A50"/>
  <c r="A53"/>
  <c r="A54"/>
  <c r="A55"/>
  <c r="A56"/>
  <c r="A59"/>
  <c r="A60"/>
  <c r="A61"/>
  <c r="A62"/>
  <c r="A65"/>
  <c r="A68"/>
  <c r="A71"/>
  <c r="A74"/>
  <c r="A77"/>
  <c r="A79"/>
  <c r="A93"/>
  <c r="A94"/>
  <c r="A95"/>
  <c r="A96"/>
  <c r="A99"/>
  <c r="A100"/>
  <c r="A101"/>
  <c r="A102"/>
  <c r="A105"/>
  <c r="A106"/>
  <c r="A107"/>
  <c r="A108"/>
  <c r="A111"/>
  <c r="A112"/>
  <c r="A113"/>
  <c r="A114"/>
  <c r="A115"/>
  <c r="A118"/>
  <c r="A119"/>
  <c r="A120"/>
  <c r="A121"/>
  <c r="A122"/>
  <c r="A125"/>
  <c r="A126"/>
  <c r="A127"/>
  <c r="A128"/>
  <c r="A129"/>
  <c r="A132"/>
  <c r="A133"/>
  <c r="A134"/>
  <c r="A135"/>
  <c r="A136"/>
  <c r="A149"/>
  <c r="A150"/>
  <c r="A151"/>
  <c r="A152"/>
  <c r="A153"/>
  <c r="A156"/>
  <c r="A157"/>
  <c r="A158"/>
  <c r="A160"/>
  <c r="A162"/>
  <c r="A164"/>
  <c r="A165"/>
  <c r="A166"/>
  <c r="A201"/>
  <c r="A202"/>
  <c r="A203"/>
  <c r="A204"/>
  <c r="A205"/>
  <c r="A207"/>
  <c r="A208"/>
  <c r="A209"/>
  <c r="A210"/>
  <c r="Y209"/>
  <c r="X209"/>
  <c r="W209"/>
  <c r="U209"/>
  <c r="Y208"/>
  <c r="X208"/>
  <c r="W208"/>
  <c r="U208"/>
  <c r="Y207"/>
  <c r="X207"/>
  <c r="W207"/>
  <c r="U207"/>
  <c r="Y206"/>
  <c r="X206"/>
  <c r="W206"/>
  <c r="Y205"/>
  <c r="X205"/>
  <c r="W205"/>
  <c r="U205"/>
  <c r="E205"/>
  <c r="D205"/>
  <c r="Y204"/>
  <c r="O204"/>
  <c r="X204"/>
  <c r="W204"/>
  <c r="U204"/>
  <c r="Y203"/>
  <c r="O203"/>
  <c r="X203"/>
  <c r="W203"/>
  <c r="U203"/>
  <c r="Y202"/>
  <c r="O202"/>
  <c r="X202"/>
  <c r="W202"/>
  <c r="U202"/>
  <c r="Y201"/>
  <c r="M201"/>
  <c r="D201"/>
  <c r="F201"/>
  <c r="O201"/>
  <c r="X201"/>
  <c r="W201"/>
  <c r="U201"/>
  <c r="Y200"/>
  <c r="X200"/>
  <c r="W200"/>
  <c r="Y199"/>
  <c r="X199"/>
  <c r="W199"/>
  <c r="Y198"/>
  <c r="X198"/>
  <c r="W198"/>
  <c r="Y197"/>
  <c r="X197"/>
  <c r="W197"/>
  <c r="Y166"/>
  <c r="X166"/>
  <c r="W166"/>
  <c r="U166"/>
  <c r="Y165"/>
  <c r="X165"/>
  <c r="W165"/>
  <c r="U165"/>
  <c r="Y164"/>
  <c r="X164"/>
  <c r="W164"/>
  <c r="U164"/>
  <c r="Y162"/>
  <c r="X162"/>
  <c r="W162"/>
  <c r="U162"/>
  <c r="Y160"/>
  <c r="X160"/>
  <c r="W160"/>
  <c r="U160"/>
  <c r="Y158"/>
  <c r="X158"/>
  <c r="W158"/>
  <c r="U158"/>
  <c r="Y157"/>
  <c r="X157"/>
  <c r="W157"/>
  <c r="U157"/>
  <c r="R156"/>
  <c r="C156"/>
  <c r="Y156"/>
  <c r="X156"/>
  <c r="W156"/>
  <c r="U156"/>
  <c r="Y153"/>
  <c r="O149"/>
  <c r="O150"/>
  <c r="O151"/>
  <c r="O152"/>
  <c r="O153"/>
  <c r="X153"/>
  <c r="R153"/>
  <c r="W153"/>
  <c r="U153"/>
  <c r="M153"/>
  <c r="F153"/>
  <c r="D153"/>
  <c r="Y152"/>
  <c r="X152"/>
  <c r="W152"/>
  <c r="U152"/>
  <c r="Y151"/>
  <c r="X151"/>
  <c r="W151"/>
  <c r="U151"/>
  <c r="Y150"/>
  <c r="X150"/>
  <c r="W150"/>
  <c r="U150"/>
  <c r="Y149"/>
  <c r="X149"/>
  <c r="W149"/>
  <c r="U149"/>
  <c r="Q139"/>
  <c r="H139"/>
  <c r="Q138"/>
  <c r="H138"/>
  <c r="Y136"/>
  <c r="O132"/>
  <c r="O133"/>
  <c r="O134"/>
  <c r="O135"/>
  <c r="O136"/>
  <c r="X136"/>
  <c r="R136"/>
  <c r="W136"/>
  <c r="U136"/>
  <c r="M136"/>
  <c r="F136"/>
  <c r="D136"/>
  <c r="Y135"/>
  <c r="X135"/>
  <c r="W135"/>
  <c r="U135"/>
  <c r="Y134"/>
  <c r="X134"/>
  <c r="W134"/>
  <c r="U134"/>
  <c r="Y133"/>
  <c r="X133"/>
  <c r="W133"/>
  <c r="U133"/>
  <c r="Y132"/>
  <c r="X132"/>
  <c r="W132"/>
  <c r="U132"/>
  <c r="Y129"/>
  <c r="O125"/>
  <c r="O126"/>
  <c r="O127"/>
  <c r="O128"/>
  <c r="O129"/>
  <c r="X129"/>
  <c r="R129"/>
  <c r="W129"/>
  <c r="U129"/>
  <c r="M129"/>
  <c r="F129"/>
  <c r="D129"/>
  <c r="Y128"/>
  <c r="X128"/>
  <c r="W128"/>
  <c r="U128"/>
  <c r="Y127"/>
  <c r="X127"/>
  <c r="W127"/>
  <c r="U127"/>
  <c r="Y126"/>
  <c r="X126"/>
  <c r="W126"/>
  <c r="U126"/>
  <c r="Y125"/>
  <c r="X125"/>
  <c r="W125"/>
  <c r="U125"/>
  <c r="Y122"/>
  <c r="O118"/>
  <c r="O119"/>
  <c r="O120"/>
  <c r="O121"/>
  <c r="O122"/>
  <c r="X122"/>
  <c r="R122"/>
  <c r="W122"/>
  <c r="U122"/>
  <c r="M122"/>
  <c r="F122"/>
  <c r="D122"/>
  <c r="Y121"/>
  <c r="X121"/>
  <c r="W121"/>
  <c r="U121"/>
  <c r="Y120"/>
  <c r="X120"/>
  <c r="W120"/>
  <c r="U120"/>
  <c r="Y119"/>
  <c r="X119"/>
  <c r="W119"/>
  <c r="U119"/>
  <c r="Y118"/>
  <c r="X118"/>
  <c r="W118"/>
  <c r="U118"/>
  <c r="Y115"/>
  <c r="O111"/>
  <c r="O112"/>
  <c r="O113"/>
  <c r="O114"/>
  <c r="O115"/>
  <c r="X115"/>
  <c r="R115"/>
  <c r="W115"/>
  <c r="U115"/>
  <c r="M115"/>
  <c r="F115"/>
  <c r="Y114"/>
  <c r="X114"/>
  <c r="W114"/>
  <c r="U114"/>
  <c r="Y113"/>
  <c r="X113"/>
  <c r="W113"/>
  <c r="U113"/>
  <c r="Y112"/>
  <c r="X112"/>
  <c r="W112"/>
  <c r="U112"/>
  <c r="Y111"/>
  <c r="X111"/>
  <c r="W111"/>
  <c r="U111"/>
  <c r="Y108"/>
  <c r="O106"/>
  <c r="O107"/>
  <c r="O108"/>
  <c r="X108"/>
  <c r="R108"/>
  <c r="W108"/>
  <c r="U108"/>
  <c r="Y107"/>
  <c r="X107"/>
  <c r="W107"/>
  <c r="U107"/>
  <c r="Y106"/>
  <c r="X106"/>
  <c r="W106"/>
  <c r="U106"/>
  <c r="Y105"/>
  <c r="X105"/>
  <c r="W105"/>
  <c r="U105"/>
  <c r="Y102"/>
  <c r="O100"/>
  <c r="O101"/>
  <c r="O102"/>
  <c r="X102"/>
  <c r="R102"/>
  <c r="W102"/>
  <c r="U102"/>
  <c r="Y101"/>
  <c r="X101"/>
  <c r="W101"/>
  <c r="U101"/>
  <c r="Y100"/>
  <c r="X100"/>
  <c r="W100"/>
  <c r="U100"/>
  <c r="Y99"/>
  <c r="X99"/>
  <c r="W99"/>
  <c r="U99"/>
  <c r="Y96"/>
  <c r="O94"/>
  <c r="O95"/>
  <c r="O96"/>
  <c r="X96"/>
  <c r="R96"/>
  <c r="W96"/>
  <c r="U96"/>
  <c r="Y95"/>
  <c r="X95"/>
  <c r="W95"/>
  <c r="U95"/>
  <c r="Y94"/>
  <c r="X94"/>
  <c r="W94"/>
  <c r="U94"/>
  <c r="Y93"/>
  <c r="X93"/>
  <c r="W93"/>
  <c r="U93"/>
  <c r="Q82"/>
  <c r="H82"/>
  <c r="Q81"/>
  <c r="H81"/>
  <c r="Y79"/>
  <c r="X79"/>
  <c r="W79"/>
  <c r="U79"/>
  <c r="M79"/>
  <c r="F47"/>
  <c r="F50"/>
  <c r="F56"/>
  <c r="F62"/>
  <c r="F79"/>
  <c r="Y77"/>
  <c r="X77"/>
  <c r="W77"/>
  <c r="U77"/>
  <c r="Y74"/>
  <c r="X74"/>
  <c r="W74"/>
  <c r="U74"/>
  <c r="Y71"/>
  <c r="X71"/>
  <c r="W71"/>
  <c r="U71"/>
  <c r="Y68"/>
  <c r="X68"/>
  <c r="W68"/>
  <c r="U68"/>
  <c r="Y65"/>
  <c r="X65"/>
  <c r="W65"/>
  <c r="U65"/>
  <c r="Y62"/>
  <c r="X62"/>
  <c r="W62"/>
  <c r="U62"/>
  <c r="M62"/>
  <c r="Y61"/>
  <c r="X61"/>
  <c r="W61"/>
  <c r="U61"/>
  <c r="Y60"/>
  <c r="X60"/>
  <c r="W60"/>
  <c r="U60"/>
  <c r="Y59"/>
  <c r="X59"/>
  <c r="W59"/>
  <c r="U59"/>
  <c r="Y56"/>
  <c r="X56"/>
  <c r="W56"/>
  <c r="U56"/>
  <c r="M56"/>
  <c r="Y55"/>
  <c r="X55"/>
  <c r="W55"/>
  <c r="U55"/>
  <c r="Y54"/>
  <c r="X54"/>
  <c r="W54"/>
  <c r="U54"/>
  <c r="Y53"/>
  <c r="X53"/>
  <c r="W53"/>
  <c r="U53"/>
  <c r="Y50"/>
  <c r="X50"/>
  <c r="W50"/>
  <c r="U50"/>
  <c r="M47"/>
  <c r="M50"/>
  <c r="Y49"/>
  <c r="X49"/>
  <c r="W49"/>
  <c r="U49"/>
  <c r="Y47"/>
  <c r="X47"/>
  <c r="W47"/>
  <c r="U47"/>
  <c r="Y46"/>
  <c r="X46"/>
  <c r="W46"/>
  <c r="U46"/>
  <c r="Y45"/>
  <c r="X45"/>
  <c r="W45"/>
  <c r="U45"/>
  <c r="Y38"/>
  <c r="X38"/>
  <c r="F38"/>
  <c r="Y37"/>
  <c r="X37"/>
  <c r="F37"/>
  <c r="Y34"/>
  <c r="X34"/>
  <c r="W34"/>
  <c r="U34"/>
  <c r="M34"/>
  <c r="F34"/>
  <c r="D6" i="7"/>
  <c r="F6"/>
  <c r="E6"/>
  <c r="D7"/>
  <c r="E7"/>
  <c r="F7"/>
  <c r="D9"/>
  <c r="E9"/>
  <c r="F9"/>
  <c r="D10"/>
  <c r="F10"/>
  <c r="D12"/>
  <c r="F12"/>
  <c r="E12"/>
  <c r="D13"/>
  <c r="E13"/>
  <c r="F13"/>
  <c r="D15"/>
  <c r="E15"/>
  <c r="F15"/>
  <c r="D22"/>
  <c r="F22"/>
  <c r="D23"/>
  <c r="F23"/>
  <c r="E23"/>
  <c r="D25"/>
  <c r="E25"/>
  <c r="F25"/>
  <c r="D26"/>
  <c r="E26"/>
  <c r="F26"/>
  <c r="D28"/>
  <c r="E28"/>
  <c r="F28"/>
  <c r="D29"/>
  <c r="F29"/>
  <c r="E29"/>
  <c r="D31"/>
  <c r="E31"/>
  <c r="F31"/>
  <c r="D32"/>
  <c r="E32"/>
  <c r="F32"/>
  <c r="D34"/>
  <c r="F34"/>
  <c r="D40"/>
  <c r="E40"/>
  <c r="F40"/>
  <c r="D41"/>
  <c r="E41"/>
  <c r="F41"/>
  <c r="D43"/>
  <c r="F43"/>
  <c r="E43"/>
  <c r="D44"/>
  <c r="F44"/>
  <c r="B45"/>
  <c r="C45"/>
  <c r="D45"/>
  <c r="E45"/>
  <c r="D51"/>
  <c r="F51"/>
  <c r="D52"/>
  <c r="E52"/>
  <c r="F52"/>
  <c r="D54"/>
  <c r="E54"/>
  <c r="F54"/>
  <c r="D55"/>
  <c r="F55"/>
  <c r="E55"/>
  <c r="D56"/>
  <c r="F56"/>
  <c r="D62"/>
  <c r="E62"/>
  <c r="F62"/>
  <c r="D63"/>
  <c r="E63"/>
  <c r="F63"/>
  <c r="D65"/>
  <c r="F65"/>
  <c r="E65"/>
  <c r="D66"/>
  <c r="E66"/>
  <c r="F66"/>
  <c r="D68"/>
  <c r="E68"/>
  <c r="F68"/>
  <c r="D71"/>
  <c r="E71"/>
  <c r="F71"/>
  <c r="D73"/>
  <c r="F73"/>
  <c r="E73"/>
  <c r="J16" i="1"/>
  <c r="J15"/>
  <c r="C5" i="5"/>
  <c r="C10"/>
  <c r="C13"/>
  <c r="E9" i="4"/>
  <c r="D14"/>
  <c r="E14"/>
  <c r="E20"/>
  <c r="E24"/>
  <c r="D25"/>
  <c r="E25"/>
  <c r="E31"/>
  <c r="E35"/>
  <c r="D36"/>
  <c r="E36"/>
  <c r="E42"/>
  <c r="E46"/>
  <c r="D47"/>
  <c r="E47"/>
  <c r="E53"/>
  <c r="E61"/>
  <c r="D62"/>
  <c r="E62"/>
  <c r="F45" i="7"/>
  <c r="E56"/>
  <c r="E51"/>
  <c r="E44"/>
  <c r="E34"/>
  <c r="E22"/>
  <c r="E10"/>
  <c r="D39" i="34" l="1"/>
  <c r="Q18" i="6" s="1"/>
  <c r="AM29" i="38"/>
  <c r="G16" i="6"/>
  <c r="I16" s="1"/>
</calcChain>
</file>

<file path=xl/comments1.xml><?xml version="1.0" encoding="utf-8"?>
<comments xmlns="http://schemas.openxmlformats.org/spreadsheetml/2006/main">
  <authors>
    <author>Joseph M. Selsor</author>
  </authors>
  <commentList>
    <comment ref="H15" authorId="0">
      <text>
        <r>
          <rPr>
            <b/>
            <sz val="8"/>
            <color indexed="81"/>
            <rFont val="Tahoma"/>
            <family val="2"/>
          </rPr>
          <t>Joseph M. Selsor:</t>
        </r>
        <r>
          <rPr>
            <sz val="8"/>
            <color indexed="81"/>
            <rFont val="Tahoma"/>
            <family val="2"/>
          </rPr>
          <t xml:space="preserve">
Docket 6690-UR-119
JCHM-2
page 6 of 30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  <author>ann conner austin</author>
    <author>Terry A. Austin</author>
    <author>ACAUSTIN</author>
  </authors>
  <commentList>
    <comment ref="C34" authorId="0">
      <text>
        <r>
          <rPr>
            <sz val="11"/>
            <color indexed="81"/>
            <rFont val="Tahoma"/>
            <family val="2"/>
          </rPr>
          <t xml:space="preserve"> See FI01 and FI04, and Rate Base Adj. #1 &amp; 3</t>
        </r>
      </text>
    </comment>
    <comment ref="S34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K53" authorId="0">
      <text>
        <r>
          <rPr>
            <sz val="8"/>
            <color indexed="81"/>
            <rFont val="Tahoma"/>
            <family val="2"/>
          </rPr>
          <t xml:space="preserve"> SEE SUBSTATION ANALYSIS PAGE 3 OF 26 for 1994</t>
        </r>
      </text>
    </comment>
    <comment ref="C56" authorId="1">
      <text>
        <r>
          <rPr>
            <sz val="11"/>
            <color indexed="81"/>
            <rFont val="Tahoma"/>
            <family val="2"/>
          </rPr>
          <t>Rate Base Adj. #1</t>
        </r>
      </text>
    </comment>
    <comment ref="K59" authorId="0">
      <text>
        <r>
          <rPr>
            <sz val="8"/>
            <color indexed="81"/>
            <rFont val="Tahoma"/>
            <family val="2"/>
          </rPr>
          <t xml:space="preserve"> SEE SUBSTATION ANALYSIS PAGE 3 OF 26 for 1994</t>
        </r>
      </text>
    </comment>
    <comment ref="S60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C62" authorId="1">
      <text>
        <r>
          <rPr>
            <sz val="11"/>
            <color indexed="81"/>
            <rFont val="Tahoma"/>
            <family val="2"/>
          </rPr>
          <t>Rate Base Adj. #1</t>
        </r>
      </text>
    </comment>
    <comment ref="C65" authorId="1">
      <text>
        <r>
          <rPr>
            <sz val="11"/>
            <color indexed="81"/>
            <rFont val="Tahoma"/>
            <family val="2"/>
          </rPr>
          <t>Rate Base Adj. #1</t>
        </r>
      </text>
    </comment>
    <comment ref="C68" authorId="1">
      <text>
        <r>
          <rPr>
            <sz val="11"/>
            <color indexed="81"/>
            <rFont val="Tahoma"/>
            <family val="2"/>
          </rPr>
          <t>Rate Base Adj. #1</t>
        </r>
      </text>
    </comment>
    <comment ref="C71" authorId="1">
      <text>
        <r>
          <rPr>
            <b/>
            <sz val="11"/>
            <color indexed="81"/>
            <rFont val="Tahoma"/>
            <family val="2"/>
          </rPr>
          <t>Rate Base Adj. #1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7" authorId="0">
      <text>
        <r>
          <rPr>
            <sz val="11"/>
            <color indexed="81"/>
            <rFont val="Tahoma"/>
            <family val="2"/>
          </rPr>
          <t xml:space="preserve"> See FI02 plus Rate Base Adj. #3</t>
        </r>
      </text>
    </comment>
    <comment ref="C108" authorId="1">
      <text>
        <r>
          <rPr>
            <b/>
            <sz val="11"/>
            <color indexed="81"/>
            <rFont val="Tahoma"/>
            <family val="2"/>
          </rPr>
          <t>RB Adj. #1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3" authorId="0">
      <text>
        <r>
          <rPr>
            <sz val="11"/>
            <color indexed="81"/>
            <rFont val="Tahoma"/>
            <family val="2"/>
          </rPr>
          <t xml:space="preserve"> See FI02 plus Rate Base Adj. #3</t>
        </r>
      </text>
    </comment>
    <comment ref="D160" authorId="0">
      <text>
        <r>
          <rPr>
            <sz val="11"/>
            <color indexed="81"/>
            <rFont val="Tahoma"/>
            <family val="2"/>
          </rPr>
          <t xml:space="preserve"> See Meter Analysis on "Meter" tab</t>
        </r>
      </text>
    </comment>
    <comment ref="E160" authorId="1">
      <text>
        <r>
          <rPr>
            <b/>
            <sz val="11"/>
            <color indexed="81"/>
            <rFont val="Tahoma"/>
            <family val="2"/>
          </rPr>
          <t>Rate Base Adj #2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62" authorId="0">
      <text>
        <r>
          <rPr>
            <sz val="8"/>
            <color indexed="81"/>
            <rFont val="Tahoma"/>
            <family val="2"/>
          </rPr>
          <t xml:space="preserve"> See FI02 Str. Ltg. and Signal Sys. (13 - Month Avg.) for 2000</t>
        </r>
      </text>
    </comment>
    <comment ref="C201" authorId="0">
      <text>
        <r>
          <rPr>
            <sz val="11"/>
            <color indexed="81"/>
            <rFont val="Tahoma"/>
            <family val="2"/>
          </rPr>
          <t xml:space="preserve"> See FI03 plus Rate Base Adj #3</t>
        </r>
      </text>
    </comment>
    <comment ref="S201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C222" authorId="0">
      <text>
        <r>
          <rPr>
            <sz val="8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>See FI05 plus Rate Base Adj. #4 &amp; 6</t>
        </r>
      </text>
    </comment>
    <comment ref="S222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C232" authorId="1">
      <text>
        <r>
          <rPr>
            <b/>
            <sz val="11"/>
            <color indexed="81"/>
            <rFont val="Tahoma"/>
            <family val="2"/>
          </rPr>
          <t>Rate Base Adj. #4</t>
        </r>
      </text>
    </comment>
    <comment ref="C233" authorId="1">
      <text>
        <r>
          <rPr>
            <b/>
            <sz val="11"/>
            <color indexed="81"/>
            <rFont val="Tahoma"/>
            <family val="2"/>
          </rPr>
          <t>Rate Base Adj. #4</t>
        </r>
      </text>
    </comment>
    <comment ref="S233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C234" authorId="1">
      <text>
        <r>
          <rPr>
            <sz val="11"/>
            <color indexed="81"/>
            <rFont val="Tahoma"/>
            <family val="2"/>
          </rPr>
          <t>Rate Base Adj. #4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5" authorId="1">
      <text>
        <r>
          <rPr>
            <sz val="11"/>
            <color indexed="81"/>
            <rFont val="Tahoma"/>
            <family val="2"/>
          </rPr>
          <t>Rate Base Adj. #4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6" authorId="1">
      <text>
        <r>
          <rPr>
            <sz val="11"/>
            <color indexed="81"/>
            <rFont val="Tahoma"/>
            <family val="2"/>
          </rPr>
          <t>Rate Base Adj. #4</t>
        </r>
      </text>
    </comment>
    <comment ref="C238" authorId="1">
      <text>
        <r>
          <rPr>
            <sz val="11"/>
            <color indexed="81"/>
            <rFont val="Tahoma"/>
            <family val="2"/>
          </rPr>
          <t>Rate Base Adj. #6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7" authorId="1">
      <text>
        <r>
          <rPr>
            <b/>
            <sz val="11"/>
            <color indexed="81"/>
            <rFont val="Tahoma"/>
            <family val="2"/>
          </rPr>
          <t>From DI FI-05 plus Rate Base Adj. #5, 7 &amp; 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87" authorId="1">
      <text>
        <r>
          <rPr>
            <sz val="11"/>
            <color indexed="81"/>
            <rFont val="Tahoma"/>
            <family val="2"/>
          </rPr>
          <t>Rate Base Adj. # 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302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C326" authorId="0">
      <text>
        <r>
          <rPr>
            <sz val="11"/>
            <color indexed="81"/>
            <rFont val="Tahoma"/>
            <family val="2"/>
          </rPr>
          <t xml:space="preserve"> See FI-20 (13 month avg. Fuel Inventory)</t>
        </r>
      </text>
    </comment>
    <comment ref="S326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S327" authorId="1">
      <text>
        <r>
          <rPr>
            <sz val="11"/>
            <color indexed="81"/>
            <rFont val="Tahoma"/>
            <family val="2"/>
          </rPr>
          <t>From UPS Data Sheet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0" authorId="0">
      <text>
        <r>
          <rPr>
            <sz val="11"/>
            <color indexed="81"/>
            <rFont val="Tahoma"/>
            <family val="2"/>
          </rPr>
          <t xml:space="preserve"> From Data Item FI17
</t>
        </r>
      </text>
    </comment>
    <comment ref="S383" authorId="1">
      <text>
        <r>
          <rPr>
            <b/>
            <sz val="11"/>
            <color indexed="81"/>
            <rFont val="Tahoma"/>
            <family val="2"/>
          </rPr>
          <t>From UPS Data Sheet</t>
        </r>
      </text>
    </comment>
    <comment ref="S400" authorId="1">
      <text>
        <r>
          <rPr>
            <sz val="11"/>
            <color indexed="81"/>
            <rFont val="Tahoma"/>
            <family val="2"/>
          </rPr>
          <t>From UPS Data Sheet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9" authorId="0">
      <text>
        <r>
          <rPr>
            <sz val="11"/>
            <color indexed="81"/>
            <rFont val="Tahoma"/>
            <family val="2"/>
          </rPr>
          <t xml:space="preserve"> See FI - 11 </t>
        </r>
      </text>
    </comment>
    <comment ref="C519" authorId="0">
      <text>
        <r>
          <rPr>
            <sz val="8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>See FI-13 (Working Section) in cell G2262</t>
        </r>
      </text>
    </comment>
    <comment ref="S519" authorId="1">
      <text>
        <r>
          <rPr>
            <sz val="11"/>
            <color indexed="81"/>
            <rFont val="Tahoma"/>
            <family val="2"/>
          </rPr>
          <t xml:space="preserve">FI 13 - Scherer 3 and UPS Data Sheet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23" authorId="0">
      <text>
        <r>
          <rPr>
            <sz val="11"/>
            <color indexed="81"/>
            <rFont val="Tahoma"/>
            <family val="2"/>
          </rPr>
          <t xml:space="preserve"> See FI-13 (Working Section) in cell G2263</t>
        </r>
      </text>
    </comment>
    <comment ref="C524" authorId="0">
      <text>
        <r>
          <rPr>
            <sz val="11"/>
            <color indexed="81"/>
            <rFont val="Tahoma"/>
            <family val="2"/>
          </rPr>
          <t xml:space="preserve"> See FI-13 (Working Section) in cell G2264</t>
        </r>
      </text>
    </comment>
    <comment ref="C544" authorId="0">
      <text>
        <r>
          <rPr>
            <sz val="11"/>
            <color indexed="81"/>
            <rFont val="Tahoma"/>
            <family val="2"/>
          </rPr>
          <t xml:space="preserve"> SEE FI 07 plus Rate Base Adj. #9</t>
        </r>
      </text>
    </comment>
    <comment ref="C573" authorId="0">
      <text>
        <r>
          <rPr>
            <sz val="11"/>
            <color indexed="81"/>
            <rFont val="Tahoma"/>
            <family val="2"/>
          </rPr>
          <t xml:space="preserve"> See FI15, (See Worksheet below in cell C2206)</t>
        </r>
      </text>
    </comment>
    <comment ref="C591" authorId="0">
      <text>
        <r>
          <rPr>
            <sz val="11"/>
            <color indexed="81"/>
            <rFont val="Tahoma"/>
            <family val="2"/>
          </rPr>
          <t xml:space="preserve"> See FI-09 </t>
        </r>
      </text>
    </comment>
    <comment ref="S591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S595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D604" authorId="0">
      <text>
        <r>
          <rPr>
            <sz val="11"/>
            <color indexed="81"/>
            <rFont val="Tahoma"/>
            <family val="2"/>
          </rPr>
          <t xml:space="preserve"> See FI-14 </t>
        </r>
      </text>
    </comment>
    <comment ref="D623" authorId="0">
      <text>
        <r>
          <rPr>
            <sz val="11"/>
            <color indexed="81"/>
            <rFont val="Tahoma"/>
            <family val="2"/>
          </rPr>
          <t>SEE FR-01</t>
        </r>
      </text>
    </comment>
    <comment ref="P623" authorId="0">
      <text>
        <r>
          <rPr>
            <sz val="11"/>
            <color indexed="81"/>
            <rFont val="Tahoma"/>
            <family val="2"/>
          </rPr>
          <t xml:space="preserve"> SEE FR-02</t>
        </r>
      </text>
    </comment>
    <comment ref="C624" authorId="1">
      <text>
        <r>
          <rPr>
            <sz val="11"/>
            <color indexed="81"/>
            <rFont val="Tahoma"/>
            <family val="2"/>
          </rPr>
          <t>From FR 01 and FR 02 less NOI Adj. #1 - Schedule 4, NOI Adj. # 2, 3 &amp; 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31" authorId="0">
      <text>
        <r>
          <rPr>
            <sz val="11"/>
            <color indexed="81"/>
            <rFont val="Tahoma"/>
            <family val="2"/>
          </rPr>
          <t>SEE FR-03  plus NOI Adj. # 5</t>
        </r>
      </text>
    </comment>
    <comment ref="C635" authorId="1">
      <text>
        <r>
          <rPr>
            <b/>
            <sz val="11"/>
            <color indexed="81"/>
            <rFont val="Tahoma"/>
            <family val="2"/>
          </rPr>
          <t>From FR03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38" authorId="1">
      <text>
        <r>
          <rPr>
            <sz val="11"/>
            <color indexed="81"/>
            <rFont val="Tahoma"/>
            <family val="2"/>
          </rPr>
          <t>NOI Adj. # 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4" authorId="0">
      <text>
        <r>
          <rPr>
            <sz val="11"/>
            <color indexed="81"/>
            <rFont val="Tahoma"/>
            <family val="2"/>
          </rPr>
          <t xml:space="preserve">FROM FR-04 </t>
        </r>
      </text>
    </comment>
    <comment ref="C652" authorId="1">
      <text>
        <r>
          <rPr>
            <b/>
            <sz val="11"/>
            <color indexed="81"/>
            <rFont val="Tahoma"/>
            <family val="2"/>
          </rPr>
          <t>From FR 09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C654" authorId="1">
      <text>
        <r>
          <rPr>
            <b/>
            <sz val="11"/>
            <color indexed="81"/>
            <rFont val="Tahoma"/>
            <family val="2"/>
          </rPr>
          <t>From FR 05</t>
        </r>
      </text>
    </comment>
    <comment ref="C655" authorId="1">
      <text>
        <r>
          <rPr>
            <b/>
            <sz val="11"/>
            <color indexed="81"/>
            <rFont val="Tahoma"/>
            <family val="2"/>
          </rPr>
          <t>From FR 05</t>
        </r>
      </text>
    </comment>
    <comment ref="C660" authorId="0">
      <text>
        <r>
          <rPr>
            <sz val="11"/>
            <color indexed="81"/>
            <rFont val="Tahoma"/>
            <family val="2"/>
          </rPr>
          <t xml:space="preserve"> SEE FR07  and NOI adj.  #4 - see Schedule 6 for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660" authorId="0">
      <text>
        <r>
          <rPr>
            <sz val="11"/>
            <color indexed="81"/>
            <rFont val="Tahoma"/>
            <family val="2"/>
          </rPr>
          <t>From Data Item FR07 -  UPS Capacity.</t>
        </r>
      </text>
    </comment>
    <comment ref="C661" authorId="0">
      <text>
        <r>
          <rPr>
            <sz val="11"/>
            <color indexed="81"/>
            <rFont val="Tahoma"/>
            <family val="2"/>
          </rPr>
          <t>FR 07</t>
        </r>
      </text>
    </comment>
    <comment ref="S661" authorId="0">
      <text>
        <r>
          <rPr>
            <sz val="11"/>
            <color indexed="81"/>
            <rFont val="Tahoma"/>
            <family val="2"/>
          </rPr>
          <t>From Data Item FR07 - UPS Energy, Schedule R Energy less UPS Fuel</t>
        </r>
      </text>
    </comment>
    <comment ref="C702" authorId="0">
      <text>
        <r>
          <rPr>
            <sz val="11"/>
            <color indexed="81"/>
            <rFont val="Tahoma"/>
            <family val="2"/>
          </rPr>
          <t xml:space="preserve"> SEE FE01 </t>
        </r>
      </text>
    </comment>
    <comment ref="S702" authorId="0">
      <text>
        <r>
          <rPr>
            <sz val="11"/>
            <color indexed="81"/>
            <rFont val="Tahoma"/>
            <family val="2"/>
          </rPr>
          <t xml:space="preserve"> See UPS DATA - Prod. Variable &amp; Fixed O&amp;M by FERC</t>
        </r>
      </text>
    </comment>
    <comment ref="C705" authorId="0">
      <text>
        <r>
          <rPr>
            <sz val="11"/>
            <color indexed="81"/>
            <rFont val="Tahoma"/>
            <family val="2"/>
          </rPr>
          <t xml:space="preserve"> SEE FE01  NOI Adj. #8</t>
        </r>
      </text>
    </comment>
    <comment ref="C709" authorId="1">
      <text>
        <r>
          <rPr>
            <b/>
            <sz val="11"/>
            <color indexed="81"/>
            <rFont val="Tahoma"/>
            <family val="2"/>
          </rPr>
          <t>FE 01 and NOI Adj. #15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73" authorId="0">
      <text>
        <r>
          <rPr>
            <sz val="11"/>
            <color indexed="81"/>
            <rFont val="Tahoma"/>
            <family val="2"/>
          </rPr>
          <t xml:space="preserve"> SEE FE01  NOI Adj.#8</t>
        </r>
      </text>
    </comment>
    <comment ref="C829" authorId="1">
      <text>
        <r>
          <rPr>
            <sz val="11"/>
            <color indexed="81"/>
            <rFont val="Tahoma"/>
            <family val="2"/>
          </rPr>
          <t>From FE 03 less NOI Adj. # 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30" authorId="0">
      <text>
        <r>
          <rPr>
            <sz val="11"/>
            <color indexed="81"/>
            <rFont val="Tahoma"/>
            <family val="2"/>
          </rPr>
          <t xml:space="preserve"> SEE FE03 </t>
        </r>
      </text>
    </comment>
    <comment ref="S830" authorId="0">
      <text>
        <r>
          <rPr>
            <sz val="11"/>
            <color indexed="81"/>
            <rFont val="Tahoma"/>
            <family val="2"/>
          </rPr>
          <t xml:space="preserve"> See UPS Data  Prod. Exp.</t>
        </r>
      </text>
    </comment>
    <comment ref="C831" authorId="0">
      <text>
        <r>
          <rPr>
            <sz val="11"/>
            <color indexed="81"/>
            <rFont val="Tahoma"/>
            <family val="2"/>
          </rPr>
          <t xml:space="preserve"> SEE FE03 AND NOI ADJ. # 9</t>
        </r>
      </text>
    </comment>
    <comment ref="C843" authorId="1">
      <text>
        <r>
          <rPr>
            <sz val="11"/>
            <color indexed="81"/>
            <rFont val="Tahoma"/>
            <family val="2"/>
          </rPr>
          <t xml:space="preserve">NOI Adj. # 17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70" authorId="1">
      <text>
        <r>
          <rPr>
            <sz val="11"/>
            <color indexed="81"/>
            <rFont val="Tahoma"/>
            <family val="2"/>
          </rPr>
          <t>From UPS Data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06" authorId="0">
      <text>
        <r>
          <rPr>
            <sz val="11"/>
            <color indexed="81"/>
            <rFont val="Tahoma"/>
            <family val="2"/>
          </rPr>
          <t xml:space="preserve"> SEE FE05 </t>
        </r>
      </text>
    </comment>
    <comment ref="C922" authorId="1">
      <text>
        <r>
          <rPr>
            <sz val="11"/>
            <color indexed="81"/>
            <rFont val="Tahoma"/>
            <family val="2"/>
          </rPr>
          <t>NOI Adj. #15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53" authorId="1">
      <text>
        <r>
          <rPr>
            <sz val="11"/>
            <color indexed="81"/>
            <rFont val="Tahoma"/>
            <family val="2"/>
          </rPr>
          <t>NOI Adj. # 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63" authorId="1">
      <text>
        <r>
          <rPr>
            <sz val="11"/>
            <color indexed="81"/>
            <rFont val="Tahoma"/>
            <family val="2"/>
          </rPr>
          <t>NOI Adj. # 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95" authorId="1">
      <text>
        <r>
          <rPr>
            <sz val="11"/>
            <color indexed="81"/>
            <rFont val="Tahoma"/>
            <family val="2"/>
          </rPr>
          <t>NOI Adj. # 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21" authorId="0">
      <text>
        <r>
          <rPr>
            <sz val="11"/>
            <color indexed="81"/>
            <rFont val="Tahoma"/>
            <family val="2"/>
          </rPr>
          <t xml:space="preserve"> SEE FE06, PAGE 7 OF 7 SUMMARY OF EXPENSE BY RATE - TOTAL LESS UNCOLLECTIBLE</t>
        </r>
      </text>
    </comment>
    <comment ref="P1021" authorId="0">
      <text>
        <r>
          <rPr>
            <sz val="11"/>
            <color indexed="81"/>
            <rFont val="Tahoma"/>
            <family val="2"/>
          </rPr>
          <t xml:space="preserve"> SEE FE06 PAGE 7 OF 7 - FPU</t>
        </r>
      </text>
    </comment>
    <comment ref="Q1021" authorId="0">
      <text>
        <r>
          <rPr>
            <sz val="11"/>
            <color indexed="81"/>
            <rFont val="Tahoma"/>
            <family val="2"/>
          </rPr>
          <t xml:space="preserve"> SEE FE06 PAGE 7 OF 7 -  REA AND  MUN TOTALS</t>
        </r>
      </text>
    </comment>
    <comment ref="S1071" authorId="0">
      <text>
        <r>
          <rPr>
            <sz val="11"/>
            <color indexed="81"/>
            <rFont val="Tahoma"/>
            <family val="2"/>
          </rPr>
          <t>From UPS Data Sheet - Total Prod &amp; General Acct. 924 Prop. Ins. Reserve</t>
        </r>
      </text>
    </comment>
    <comment ref="O1089" authorId="0">
      <text>
        <r>
          <rPr>
            <sz val="11"/>
            <color indexed="81"/>
            <rFont val="Tahoma"/>
            <family val="2"/>
          </rPr>
          <t xml:space="preserve"> SE FE08 STATE REG. EXP. And NOI Adj. # 22</t>
        </r>
      </text>
    </comment>
    <comment ref="P1089" authorId="0">
      <text>
        <r>
          <rPr>
            <sz val="11"/>
            <color indexed="81"/>
            <rFont val="Tahoma"/>
            <family val="2"/>
          </rPr>
          <t xml:space="preserve"> SEE FE08 FEDERAL REG. EXP.</t>
        </r>
      </text>
    </comment>
    <comment ref="C1090" authorId="0">
      <text>
        <r>
          <rPr>
            <sz val="11"/>
            <color indexed="81"/>
            <rFont val="Tahoma"/>
            <family val="2"/>
          </rPr>
          <t xml:space="preserve"> SEE FE06 plus NOI Adj. # 23</t>
        </r>
      </text>
    </comment>
    <comment ref="C1093" authorId="0">
      <text>
        <r>
          <rPr>
            <sz val="11"/>
            <color indexed="81"/>
            <rFont val="Tahoma"/>
            <family val="2"/>
          </rPr>
          <t xml:space="preserve"> SEE FE09 and NOI Adj. # 18a</t>
        </r>
      </text>
    </comment>
    <comment ref="C1107" authorId="1">
      <text>
        <r>
          <rPr>
            <sz val="11"/>
            <color indexed="81"/>
            <rFont val="Tahoma"/>
            <family val="2"/>
          </rPr>
          <t>Overheads associated with Gulf Power Energy Services - provided by Gulf Power Co.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1109" authorId="0">
      <text>
        <r>
          <rPr>
            <sz val="11"/>
            <color indexed="81"/>
            <rFont val="Tahoma"/>
            <family val="2"/>
          </rPr>
          <t>From UPS Data Sheet - Other A&amp;G</t>
        </r>
      </text>
    </comment>
    <comment ref="C1114" authorId="0">
      <text>
        <r>
          <rPr>
            <sz val="11"/>
            <color indexed="81"/>
            <rFont val="Tahoma"/>
            <family val="2"/>
          </rPr>
          <t xml:space="preserve"> SEE FE09 (Other A&amp;G less Prop. Ins. And Injuries &amp; Damages and NOI Adj. #11, 15, 18, 19, 21&amp; 24  
</t>
        </r>
      </text>
    </comment>
    <comment ref="C1136" authorId="0">
      <text>
        <r>
          <rPr>
            <sz val="11"/>
            <color indexed="81"/>
            <rFont val="Tahoma"/>
            <family val="2"/>
          </rPr>
          <t xml:space="preserve"> See FE-10 plus NOI Adj. #25 plus addition of Amort of Def Gain on Emiss Sales - see FE 10 p. 4 of 4</t>
        </r>
      </text>
    </comment>
    <comment ref="S1136" authorId="0">
      <text>
        <r>
          <rPr>
            <sz val="11"/>
            <color indexed="81"/>
            <rFont val="Tahoma"/>
            <family val="2"/>
          </rPr>
          <t>From UPS Data Sheet.</t>
        </r>
      </text>
    </comment>
    <comment ref="C1147" authorId="1">
      <text>
        <r>
          <rPr>
            <sz val="11"/>
            <color indexed="81"/>
            <rFont val="Tahoma"/>
            <family val="2"/>
          </rPr>
          <t>NOI Adj.# 25</t>
        </r>
      </text>
    </comment>
    <comment ref="C1149" authorId="1">
      <text>
        <r>
          <rPr>
            <b/>
            <sz val="11"/>
            <color indexed="81"/>
            <rFont val="Tahoma"/>
            <family val="2"/>
          </rPr>
          <t>NOI Adj. #25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1149" authorId="0">
      <text>
        <r>
          <rPr>
            <sz val="11"/>
            <color indexed="81"/>
            <rFont val="Tahoma"/>
            <family val="2"/>
          </rPr>
          <t>From UPS Data Sheet.</t>
        </r>
      </text>
    </comment>
    <comment ref="C1151" authorId="1">
      <text>
        <r>
          <rPr>
            <b/>
            <sz val="11"/>
            <color indexed="81"/>
            <rFont val="Tahoma"/>
            <family val="2"/>
          </rPr>
          <t>NOI Adj. #25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53" authorId="1">
      <text>
        <r>
          <rPr>
            <b/>
            <sz val="11"/>
            <color indexed="81"/>
            <rFont val="Tahoma"/>
            <family val="2"/>
          </rPr>
          <t>NOI Adj. #25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55" authorId="1">
      <text>
        <r>
          <rPr>
            <b/>
            <sz val="11"/>
            <color indexed="81"/>
            <rFont val="Tahoma"/>
            <family val="2"/>
          </rPr>
          <t>NOI Adj. #25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C1166" authorId="0">
      <text>
        <r>
          <rPr>
            <sz val="11"/>
            <color indexed="81"/>
            <rFont val="Tahoma"/>
            <family val="2"/>
          </rPr>
          <t xml:space="preserve"> See FE-10 </t>
        </r>
      </text>
    </comment>
    <comment ref="C1170" authorId="1">
      <text>
        <r>
          <rPr>
            <sz val="11"/>
            <color indexed="81"/>
            <rFont val="Tahoma"/>
            <family val="2"/>
          </rPr>
          <t>NOI Adj. # 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08" authorId="1">
      <text>
        <r>
          <rPr>
            <b/>
            <sz val="11"/>
            <color indexed="81"/>
            <rFont val="Tahoma"/>
            <family val="2"/>
          </rPr>
          <t>NOI Adj. #26, 27 &amp; 28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16" authorId="1">
      <text>
        <r>
          <rPr>
            <sz val="11"/>
            <color indexed="81"/>
            <rFont val="Tahoma"/>
            <family val="2"/>
          </rPr>
          <t>FE 10 plus Amort. Of Medicare Subsidy and Less Transportation Dep. - reflected in O&amp;M - see FE 10 p4 of 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1216" authorId="0">
      <text>
        <r>
          <rPr>
            <sz val="11"/>
            <color indexed="81"/>
            <rFont val="Tahoma"/>
            <family val="2"/>
          </rPr>
          <t>From UPS Data Sheet.</t>
        </r>
      </text>
    </comment>
    <comment ref="C1295" authorId="0">
      <text>
        <r>
          <rPr>
            <sz val="11"/>
            <color indexed="81"/>
            <rFont val="Tahoma"/>
            <family val="2"/>
          </rPr>
          <t>SEE FE-13 plus NOI Adj.# 33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96" authorId="0">
      <text>
        <r>
          <rPr>
            <sz val="11"/>
            <color indexed="81"/>
            <rFont val="Tahoma"/>
            <family val="2"/>
          </rPr>
          <t>FE 13 plus NOI Adj. # 34</t>
        </r>
      </text>
    </comment>
    <comment ref="C1304" authorId="0">
      <text>
        <r>
          <rPr>
            <sz val="11"/>
            <color indexed="81"/>
            <rFont val="Tahoma"/>
            <family val="2"/>
          </rPr>
          <t xml:space="preserve">FE 13
</t>
        </r>
      </text>
    </comment>
    <comment ref="C1305" authorId="0">
      <text>
        <r>
          <rPr>
            <sz val="11"/>
            <color indexed="81"/>
            <rFont val="Tahoma"/>
            <family val="2"/>
          </rPr>
          <t xml:space="preserve">FE 13 plus NOI Adj. # 30
</t>
        </r>
      </text>
    </comment>
    <comment ref="C1306" authorId="0">
      <text>
        <r>
          <rPr>
            <sz val="11"/>
            <color indexed="81"/>
            <rFont val="Tahoma"/>
            <family val="2"/>
          </rPr>
          <t>FE 13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55" authorId="0">
      <text>
        <r>
          <rPr>
            <sz val="11"/>
            <color indexed="81"/>
            <rFont val="Tahoma"/>
            <family val="2"/>
          </rPr>
          <t xml:space="preserve">SEE FX-02 </t>
        </r>
      </text>
    </comment>
    <comment ref="S1355" authorId="0">
      <text>
        <r>
          <rPr>
            <sz val="11"/>
            <color indexed="81"/>
            <rFont val="Tahoma"/>
            <family val="2"/>
          </rPr>
          <t>From UPS Data Sheet</t>
        </r>
      </text>
    </comment>
    <comment ref="C1356" authorId="1">
      <text>
        <r>
          <rPr>
            <b/>
            <sz val="11"/>
            <color indexed="81"/>
            <rFont val="Tahoma"/>
            <family val="2"/>
          </rPr>
          <t xml:space="preserve"> FX03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66" authorId="0">
      <text>
        <r>
          <rPr>
            <sz val="11"/>
            <color indexed="81"/>
            <rFont val="Tahoma"/>
            <family val="2"/>
          </rPr>
          <t>SEE FX-07 plus NOI Adj. #35</t>
        </r>
      </text>
    </comment>
    <comment ref="S1366" authorId="0">
      <text>
        <r>
          <rPr>
            <sz val="11"/>
            <color indexed="81"/>
            <rFont val="Tahoma"/>
            <family val="2"/>
          </rPr>
          <t xml:space="preserve">From NOI Schedule        </t>
        </r>
      </text>
    </comment>
    <comment ref="C1367" authorId="0">
      <text>
        <r>
          <rPr>
            <sz val="11"/>
            <color indexed="81"/>
            <rFont val="Tahoma"/>
            <family val="2"/>
          </rPr>
          <t xml:space="preserve"> See Interest Synchronization - McMillan Schedule 11.</t>
        </r>
      </text>
    </comment>
    <comment ref="R1367" authorId="1">
      <text>
        <r>
          <rPr>
            <sz val="11"/>
            <color indexed="81"/>
            <rFont val="Tahoma"/>
            <family val="2"/>
          </rPr>
          <t>From McMillan Schedule 11  Total less Jurisdictional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93" authorId="0">
      <text>
        <r>
          <rPr>
            <sz val="11"/>
            <color indexed="81"/>
            <rFont val="Tahoma"/>
            <family val="2"/>
          </rPr>
          <t>Proposed Revenue by Rate Tariff supplied by Pricing &amp; Rates Gulf Power Company</t>
        </r>
      </text>
    </comment>
    <comment ref="C1638" authorId="2">
      <text>
        <r>
          <rPr>
            <b/>
            <sz val="11"/>
            <color indexed="81"/>
            <rFont val="Arial"/>
            <family val="2"/>
          </rPr>
          <t>From MFR C-44 - Regulatory Asses. Rate and Bad Debt Rate or from McMillan Schedule 13, Page 1 of 1</t>
        </r>
      </text>
    </comment>
    <comment ref="C1639" authorId="2">
      <text>
        <r>
          <rPr>
            <b/>
            <sz val="11"/>
            <color indexed="81"/>
            <rFont val="Arial"/>
            <family val="2"/>
          </rPr>
          <t>From MFR C-44 - Regulatory Asses. Rate and Bad Debt Rate or from McMillan Schedule 13, Page 1 of 1</t>
        </r>
      </text>
    </comment>
    <comment ref="C1883" authorId="1">
      <text>
        <r>
          <rPr>
            <sz val="11"/>
            <color indexed="81"/>
            <rFont val="Tahoma"/>
            <family val="2"/>
          </rPr>
          <t>Proposed Service Charge Revenues from Pricing &amp; Rates Gulf Power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1895" authorId="0">
      <text>
        <r>
          <rPr>
            <sz val="8"/>
            <color indexed="81"/>
            <rFont val="Tahoma"/>
            <family val="2"/>
          </rPr>
          <t>SEE ANAL. OF PROPOSED REV. BY RATE (OS-III) INITIAL SVC CHG.</t>
        </r>
      </text>
    </comment>
    <comment ref="C2078" authorId="0">
      <text>
        <r>
          <rPr>
            <sz val="11"/>
            <color indexed="81"/>
            <rFont val="Tahoma"/>
            <family val="2"/>
          </rPr>
          <t xml:space="preserve"> See FE-07 plus NOI Adj. #20</t>
        </r>
      </text>
    </comment>
    <comment ref="D2078" authorId="0">
      <text>
        <r>
          <rPr>
            <sz val="11"/>
            <color indexed="81"/>
            <rFont val="Tahoma"/>
            <family val="2"/>
          </rPr>
          <t xml:space="preserve"> See UPS Data </t>
        </r>
      </text>
    </comment>
    <comment ref="C2110" authorId="0">
      <text>
        <r>
          <rPr>
            <sz val="11"/>
            <color indexed="81"/>
            <rFont val="Tahoma"/>
            <family val="2"/>
          </rPr>
          <t xml:space="preserve"> See FE11 production plus fuel stock</t>
        </r>
      </text>
    </comment>
    <comment ref="D2110" authorId="0">
      <text>
        <r>
          <rPr>
            <sz val="11"/>
            <color indexed="81"/>
            <rFont val="Tahoma"/>
            <family val="2"/>
          </rPr>
          <t xml:space="preserve"> See UPS Data </t>
        </r>
      </text>
    </comment>
    <comment ref="F2110" authorId="0">
      <text>
        <r>
          <rPr>
            <sz val="8"/>
            <color indexed="81"/>
            <rFont val="Tahoma"/>
            <family val="2"/>
          </rPr>
          <t>SEE M &amp; S WORKSHEET</t>
        </r>
      </text>
    </comment>
    <comment ref="K2110" authorId="0">
      <text>
        <r>
          <rPr>
            <sz val="8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>NOI ADJ. # 32</t>
        </r>
      </text>
    </comment>
    <comment ref="K2114" authorId="3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 NOI adj. # 29 - See McMillan Schedule 5</t>
        </r>
      </text>
    </comment>
    <comment ref="F2144" authorId="0">
      <text>
        <r>
          <rPr>
            <sz val="11"/>
            <color indexed="81"/>
            <rFont val="Tahoma"/>
            <family val="2"/>
          </rPr>
          <t xml:space="preserve"> See UPS Data </t>
        </r>
      </text>
    </comment>
    <comment ref="E2158" authorId="0">
      <text>
        <r>
          <rPr>
            <sz val="11"/>
            <color indexed="81"/>
            <rFont val="Tahoma"/>
            <family val="2"/>
          </rPr>
          <t xml:space="preserve"> See FE12 and NOI Adj. # 31 &amp; 29 - see McMillan Schedule 5</t>
        </r>
      </text>
    </comment>
    <comment ref="C2178" authorId="0">
      <text>
        <r>
          <rPr>
            <sz val="11"/>
            <color indexed="81"/>
            <rFont val="Tahoma"/>
            <family val="2"/>
          </rPr>
          <t xml:space="preserve"> SEE FE04 </t>
        </r>
      </text>
    </comment>
    <comment ref="H2182" authorId="0">
      <text>
        <r>
          <rPr>
            <sz val="11"/>
            <color indexed="81"/>
            <rFont val="Tahoma"/>
            <family val="2"/>
          </rPr>
          <t>From UPS Data</t>
        </r>
      </text>
    </comment>
    <comment ref="C2186" authorId="1">
      <text>
        <r>
          <rPr>
            <sz val="11"/>
            <color indexed="81"/>
            <rFont val="Tahoma"/>
            <family val="2"/>
          </rPr>
          <t xml:space="preserve">NOI Adj # 10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94" authorId="1">
      <text>
        <r>
          <rPr>
            <b/>
            <sz val="11"/>
            <color indexed="81"/>
            <rFont val="Tahoma"/>
            <family val="2"/>
          </rPr>
          <t>NOI Adj. #13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12" authorId="0">
      <text>
        <r>
          <rPr>
            <sz val="11"/>
            <color indexed="81"/>
            <rFont val="Tahoma"/>
            <family val="2"/>
          </rPr>
          <t xml:space="preserve"> SEE UPS DATA</t>
        </r>
      </text>
    </comment>
    <comment ref="G2212" authorId="0">
      <text>
        <r>
          <rPr>
            <sz val="11"/>
            <color indexed="81"/>
            <rFont val="Tahoma"/>
            <family val="2"/>
          </rPr>
          <t xml:space="preserve"> SEE UPS DATA</t>
        </r>
      </text>
    </comment>
    <comment ref="J2212" authorId="0">
      <text>
        <r>
          <rPr>
            <sz val="11"/>
            <color indexed="81"/>
            <rFont val="Tahoma"/>
            <family val="2"/>
          </rPr>
          <t>SEE UPS DATA</t>
        </r>
      </text>
    </comment>
    <comment ref="C2235" authorId="0">
      <text>
        <r>
          <rPr>
            <sz val="11"/>
            <color indexed="81"/>
            <rFont val="Tahoma"/>
            <family val="2"/>
          </rPr>
          <t xml:space="preserve"> See FI-15 </t>
        </r>
      </text>
    </comment>
    <comment ref="C2244" authorId="0">
      <text>
        <r>
          <rPr>
            <sz val="11"/>
            <color indexed="81"/>
            <rFont val="Tahoma"/>
            <family val="2"/>
          </rPr>
          <t xml:space="preserve"> See FI-17 </t>
        </r>
      </text>
    </comment>
    <comment ref="C2266" authorId="0">
      <text>
        <r>
          <rPr>
            <sz val="11"/>
            <color indexed="81"/>
            <rFont val="Tahoma"/>
            <family val="2"/>
          </rPr>
          <t xml:space="preserve"> SEE FX -06</t>
        </r>
      </text>
    </comment>
    <comment ref="E2266" authorId="0">
      <text>
        <r>
          <rPr>
            <sz val="11"/>
            <color indexed="81"/>
            <rFont val="Tahoma"/>
            <family val="2"/>
          </rPr>
          <t>SEE UPS DATA</t>
        </r>
      </text>
    </comment>
    <comment ref="H2269" authorId="0">
      <text>
        <r>
          <rPr>
            <sz val="8"/>
            <color indexed="81"/>
            <rFont val="Tahoma"/>
            <family val="2"/>
          </rPr>
          <t xml:space="preserve"> TOTAL OF PRODUCTION AND TRANSMISSION AND DISTRIBUTION</t>
        </r>
      </text>
    </comment>
    <comment ref="C2285" authorId="0">
      <text>
        <r>
          <rPr>
            <sz val="11"/>
            <color indexed="81"/>
            <rFont val="Tahoma"/>
            <family val="2"/>
          </rPr>
          <t xml:space="preserve"> SEE FI-13 plus Rate Base Adj. Item 11</t>
        </r>
      </text>
    </comment>
    <comment ref="C2305" authorId="1">
      <text>
        <r>
          <rPr>
            <sz val="11"/>
            <color indexed="81"/>
            <rFont val="Tahoma"/>
            <family val="2"/>
          </rPr>
          <t>From Gulf Power 2010 MDS Study.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<sst xmlns="http://schemas.openxmlformats.org/spreadsheetml/2006/main" count="5472" uniqueCount="1329">
  <si>
    <t>Classification</t>
  </si>
  <si>
    <t>WPS</t>
  </si>
  <si>
    <t>Ohio</t>
  </si>
  <si>
    <t>KU</t>
  </si>
  <si>
    <t>LGE</t>
  </si>
  <si>
    <t>VEPCO</t>
  </si>
  <si>
    <t>Primary</t>
  </si>
  <si>
    <t>Demand</t>
  </si>
  <si>
    <t>Customer</t>
  </si>
  <si>
    <t>Secondary</t>
  </si>
  <si>
    <t>Voltage</t>
  </si>
  <si>
    <t>Poles, Towers</t>
  </si>
  <si>
    <t>Overhead</t>
  </si>
  <si>
    <t>Underground Conduit</t>
  </si>
  <si>
    <t>Underground Conductor</t>
  </si>
  <si>
    <t>Distribution Trans.</t>
  </si>
  <si>
    <t>Undesignated</t>
  </si>
  <si>
    <t>Wisconsin</t>
  </si>
  <si>
    <t>6690-UR-119</t>
  </si>
  <si>
    <t>Total</t>
  </si>
  <si>
    <t>Demand %</t>
  </si>
  <si>
    <t>Customer %</t>
  </si>
  <si>
    <t>07-551-EL-AIR</t>
  </si>
  <si>
    <t>Kentucky</t>
  </si>
  <si>
    <t>2008-00251</t>
  </si>
  <si>
    <t>364/365</t>
  </si>
  <si>
    <t>366/367</t>
  </si>
  <si>
    <t>Louisville</t>
  </si>
  <si>
    <t>2008-00252</t>
  </si>
  <si>
    <t>PUE-2009-00019</t>
  </si>
  <si>
    <t>KAT's WPS</t>
  </si>
  <si>
    <t>KAT's Ohio</t>
  </si>
  <si>
    <t>KAT's KU</t>
  </si>
  <si>
    <t>KAT's LGE</t>
  </si>
  <si>
    <t>KAT's VEPCO</t>
  </si>
  <si>
    <t>100303 - COS project per JCP</t>
  </si>
  <si>
    <t>COPY of Exhibit SLB-5 with our verification</t>
  </si>
  <si>
    <t xml:space="preserve">    TOTAL ACCOUNT 368</t>
  </si>
  <si>
    <t xml:space="preserve">        TOTAL LEVEL G</t>
  </si>
  <si>
    <t xml:space="preserve">          DEMAND</t>
  </si>
  <si>
    <t xml:space="preserve">          TOTAL LEVEL G CUSTOMER</t>
  </si>
  <si>
    <t xml:space="preserve">             PADMOUNT THREE PHASE</t>
  </si>
  <si>
    <t xml:space="preserve">             PADMOUNT SINGLE PHASE</t>
  </si>
  <si>
    <t xml:space="preserve">             OVERHEAD</t>
  </si>
  <si>
    <t xml:space="preserve">          CUSTOMER</t>
  </si>
  <si>
    <t xml:space="preserve">        LEVEL G</t>
  </si>
  <si>
    <t xml:space="preserve">        TOTAL LEVEL F</t>
  </si>
  <si>
    <t xml:space="preserve">        LEVEL F</t>
  </si>
  <si>
    <t xml:space="preserve">    ACCOUNT 368 - LINE TRANS.</t>
  </si>
  <si>
    <t xml:space="preserve">    TOTAL ACCOUNT 367</t>
  </si>
  <si>
    <t xml:space="preserve">    ACCOUNT 367 - UNDG. COND.</t>
  </si>
  <si>
    <t xml:space="preserve">    TOTAL ACCOUNT 366</t>
  </si>
  <si>
    <t xml:space="preserve">    ACCOUNT 366 - UNDG CONDUIT</t>
  </si>
  <si>
    <t xml:space="preserve">    TOTAL ACCOUNT 365</t>
  </si>
  <si>
    <t xml:space="preserve">    ACCOUNT 365 - OVHD. COND.</t>
  </si>
  <si>
    <t xml:space="preserve">    TOTAL ACCOUNT 364</t>
  </si>
  <si>
    <t xml:space="preserve">    ACCOUNT 364 - POLES</t>
  </si>
  <si>
    <t>SYSTEM</t>
  </si>
  <si>
    <t>ELECTRIC</t>
  </si>
  <si>
    <t>TOTAL</t>
  </si>
  <si>
    <t>Total Account 368</t>
  </si>
  <si>
    <t>Account 368-Cust</t>
  </si>
  <si>
    <t>Total Account 367</t>
  </si>
  <si>
    <t>Account 367-Cust</t>
  </si>
  <si>
    <t>Account 366-Cust</t>
  </si>
  <si>
    <t xml:space="preserve">Total Account 365 </t>
  </si>
  <si>
    <t>Account 365-Cust</t>
  </si>
  <si>
    <t>Account 364-Cust</t>
  </si>
  <si>
    <t>Georgia Power Company</t>
  </si>
  <si>
    <t>Virginia Electric Power Company</t>
  </si>
  <si>
    <t>Louisville Gas and Electric Company</t>
  </si>
  <si>
    <t>Kentucky Utilities</t>
  </si>
  <si>
    <t>Wisconsin Public Service Corporation</t>
  </si>
  <si>
    <t>Utility</t>
  </si>
  <si>
    <t>Line</t>
  </si>
  <si>
    <t>Alabama Power Company</t>
  </si>
  <si>
    <t>Docket/Case No.</t>
  </si>
  <si>
    <t>2007 Rate</t>
  </si>
  <si>
    <t>Case</t>
  </si>
  <si>
    <t>2006 Rate Case</t>
  </si>
  <si>
    <t>GULF POWER COMPANY</t>
  </si>
  <si>
    <t>THIS MODEL IS WITH MDS</t>
  </si>
  <si>
    <t>TABLE OF CONTENTS</t>
  </si>
  <si>
    <t>Cell</t>
  </si>
  <si>
    <t>SCHEDULE 1.00 - PRESENT RATE SUMMARY</t>
  </si>
  <si>
    <t>A1392</t>
  </si>
  <si>
    <t>SCHEDULE 1.01 - EQUAL ROR SUMMARY - PRESENT RATES</t>
  </si>
  <si>
    <t>A1511</t>
  </si>
  <si>
    <t>SCHEDULE 1.10 - PROPOSED RATE SUMMARY</t>
  </si>
  <si>
    <t>A1464</t>
  </si>
  <si>
    <t>SCHEDULE 1.11 - EQUAL ROR SUMMARY - PROPOSED RATES</t>
  </si>
  <si>
    <t>A1553</t>
  </si>
  <si>
    <t>SCHEDULE 2.10 - ANALYSIS OF GROSS PLANT</t>
  </si>
  <si>
    <t>A23</t>
  </si>
  <si>
    <t>SCHEDULE 2.20 - ANALYSIS OF ACCUM DEPR RESERVE</t>
  </si>
  <si>
    <t>A206</t>
  </si>
  <si>
    <t>SCHEDULE 2.30 - ANALYSIS OF MATERIALS AND SUPPLIES</t>
  </si>
  <si>
    <t>A316</t>
  </si>
  <si>
    <t>SCHEDULE 2.40 - ANALYSIS OF OTHER WORKING CAPITAL</t>
  </si>
  <si>
    <t>A371</t>
  </si>
  <si>
    <t>SCHEDULE 2.50 - ANALYSIS OF OTHER RATE BASE ITEMS</t>
  </si>
  <si>
    <t>A503</t>
  </si>
  <si>
    <t>SCHEDULE 3.00 - ANALYSIS OF REVENUES</t>
  </si>
  <si>
    <t>A632</t>
  </si>
  <si>
    <t>SCHEDULE 4.10 - ANALYSIS OF OPERATIONS AND MAINTENANCE EXPENSE</t>
  </si>
  <si>
    <t>A704</t>
  </si>
  <si>
    <t>SCHEDULE 4.20 - ANALYSIS OF DEPRECIATION EXPENSE</t>
  </si>
  <si>
    <t>A1192</t>
  </si>
  <si>
    <t>SCHEDULE 4.30 - ANALYSIS OF TAXES OTHER THAN INCOME TAXES</t>
  </si>
  <si>
    <t>A1303</t>
  </si>
  <si>
    <t>SCHEDULE 5.0 - LINE ALLOCATORS AND PERCENTAGES</t>
  </si>
  <si>
    <t>A1613</t>
  </si>
  <si>
    <t>12 MONTHS ENDING DECEMBER 31, 2012</t>
  </si>
  <si>
    <t>12/13 DEMAND ALLOCATION WITH MDS METHODOLOGY</t>
  </si>
  <si>
    <t>($000'S)</t>
  </si>
  <si>
    <t>UNIT</t>
  </si>
  <si>
    <t>RETAIL</t>
  </si>
  <si>
    <t>UPS</t>
  </si>
  <si>
    <t>LINE</t>
  </si>
  <si>
    <t>RATE CLASS</t>
  </si>
  <si>
    <t>CITY OF</t>
  </si>
  <si>
    <t>POWER</t>
  </si>
  <si>
    <t>WHOLESALE</t>
  </si>
  <si>
    <t>TOTAL SYTEM</t>
  </si>
  <si>
    <t>TOTAL SYSTEM</t>
  </si>
  <si>
    <t>NO.</t>
  </si>
  <si>
    <t>DESCRIPTION</t>
  </si>
  <si>
    <t>RS</t>
  </si>
  <si>
    <t>RSVP</t>
  </si>
  <si>
    <t>RESIDENTIAL</t>
  </si>
  <si>
    <t>GS</t>
  </si>
  <si>
    <t>GSD/GSDT</t>
  </si>
  <si>
    <t xml:space="preserve">LP/LPT </t>
  </si>
  <si>
    <t>RTP</t>
  </si>
  <si>
    <t>SBS</t>
  </si>
  <si>
    <t>CSA</t>
  </si>
  <si>
    <t>MAJOR ACCTS</t>
  </si>
  <si>
    <t>OS</t>
  </si>
  <si>
    <t>SERVICE</t>
  </si>
  <si>
    <t>FPU</t>
  </si>
  <si>
    <t>BLOUNTSTOWN</t>
  </si>
  <si>
    <t>SALES</t>
  </si>
  <si>
    <t>RATIO</t>
  </si>
  <si>
    <t>(1)</t>
  </si>
  <si>
    <t>(2)</t>
  </si>
  <si>
    <t>(3)</t>
  </si>
  <si>
    <t>(4a)</t>
  </si>
  <si>
    <t>(4b)</t>
  </si>
  <si>
    <t>(4)</t>
  </si>
  <si>
    <t>(5)</t>
  </si>
  <si>
    <t>(6)</t>
  </si>
  <si>
    <t>(7)</t>
  </si>
  <si>
    <t>(8a)</t>
  </si>
  <si>
    <t>(8b)</t>
  </si>
  <si>
    <t>(8c)</t>
  </si>
  <si>
    <t>(8)</t>
  </si>
  <si>
    <t>(9)</t>
  </si>
  <si>
    <t>(10)</t>
  </si>
  <si>
    <t>(11a)</t>
  </si>
  <si>
    <t>(11b)</t>
  </si>
  <si>
    <t>(11)</t>
  </si>
  <si>
    <t>(12)</t>
  </si>
  <si>
    <t>DIFFERENCE</t>
  </si>
  <si>
    <t>(20)</t>
  </si>
  <si>
    <t>(21)</t>
  </si>
  <si>
    <t>(22)</t>
  </si>
  <si>
    <t xml:space="preserve">  TOTAL PRODUCTION PLANT</t>
  </si>
  <si>
    <t xml:space="preserve">      RETAIL JURISDICTION</t>
  </si>
  <si>
    <t xml:space="preserve">          ENERGY</t>
  </si>
  <si>
    <t>TRANSMISSION PLANT</t>
  </si>
  <si>
    <t>-</t>
  </si>
  <si>
    <t xml:space="preserve">  350-LAND &amp; LAND RIGHTS</t>
  </si>
  <si>
    <t xml:space="preserve">    SUBSTATIONS</t>
  </si>
  <si>
    <t xml:space="preserve">          LEVEL 2 COMMON</t>
  </si>
  <si>
    <t xml:space="preserve">          LEVEL 3 COMMON</t>
  </si>
  <si>
    <t xml:space="preserve">    TOTAL SUBSTATION LAND</t>
  </si>
  <si>
    <t xml:space="preserve">    LINES</t>
  </si>
  <si>
    <t xml:space="preserve">  TOTAL ACCOUNT 350</t>
  </si>
  <si>
    <t xml:space="preserve">  352-STRUCTURES</t>
  </si>
  <si>
    <t xml:space="preserve">        LEVEL 2 CUSTOMER SUB</t>
  </si>
  <si>
    <t xml:space="preserve">        LEVEL 2 COMMON</t>
  </si>
  <si>
    <t xml:space="preserve">        LEVEL 3 COMMON</t>
  </si>
  <si>
    <t xml:space="preserve">  TOTAL ACCOUNT 352</t>
  </si>
  <si>
    <t xml:space="preserve">  353-STATION EQUIPMENT</t>
  </si>
  <si>
    <t xml:space="preserve">  TOTAL ACCOUNT 353</t>
  </si>
  <si>
    <t xml:space="preserve">  354-TOWERS AND FIXTURES</t>
  </si>
  <si>
    <t xml:space="preserve">    LEVEL 2 COMMON</t>
  </si>
  <si>
    <t xml:space="preserve">  355-POLES AND FIXTURES</t>
  </si>
  <si>
    <t xml:space="preserve">  356-OVERHEAD CONDUCTORS</t>
  </si>
  <si>
    <t xml:space="preserve">  358-UNDERGROUND CONDUCTORS</t>
  </si>
  <si>
    <t xml:space="preserve">  359-ROADS AND TRAILS</t>
  </si>
  <si>
    <t xml:space="preserve">  TOTAL TRANS. PLANT</t>
  </si>
  <si>
    <t>DISTRIBUTION PLANT</t>
  </si>
  <si>
    <t xml:space="preserve">    360-SUBSTATION LAND</t>
  </si>
  <si>
    <t xml:space="preserve">          LEVEL 3 CUST. SUB</t>
  </si>
  <si>
    <t xml:space="preserve">          LEVEL 4 COMMON</t>
  </si>
  <si>
    <t xml:space="preserve">    TOTAL ACCOUNT 360</t>
  </si>
  <si>
    <t xml:space="preserve">    361-STRUCTURES</t>
  </si>
  <si>
    <t xml:space="preserve">    TOTAL ACCOUNT 361</t>
  </si>
  <si>
    <t xml:space="preserve">    362-STATION EQUIPMENT</t>
  </si>
  <si>
    <t xml:space="preserve">    TOTAL ACCOUNT 362</t>
  </si>
  <si>
    <t xml:space="preserve">    364-POLES AND FIXTURES</t>
  </si>
  <si>
    <t xml:space="preserve">          LEVEL 4 CUSTOMER</t>
  </si>
  <si>
    <t xml:space="preserve">          LEVEL 5 COMMON</t>
  </si>
  <si>
    <t xml:space="preserve">          LEVEL 5 CUSTOMER</t>
  </si>
  <si>
    <t xml:space="preserve">    365-OVERHEAD CONDUCTORS</t>
  </si>
  <si>
    <t xml:space="preserve">    366-UNDERGROUND CONDUIT</t>
  </si>
  <si>
    <t xml:space="preserve">    367-UNDERGROUND COND. &amp; DEV.</t>
  </si>
  <si>
    <t xml:space="preserve">    368-LINE TRANSFORMERS</t>
  </si>
  <si>
    <t xml:space="preserve">     369-SERVICES</t>
  </si>
  <si>
    <t xml:space="preserve">      HOUSE POWER BOXES</t>
  </si>
  <si>
    <t xml:space="preserve">      OTHER SERVICES</t>
  </si>
  <si>
    <t xml:space="preserve">    TOTAL ACCOUNT 369</t>
  </si>
  <si>
    <t xml:space="preserve">    370-METERS</t>
  </si>
  <si>
    <t xml:space="preserve">    373-STREET LIGHTING</t>
  </si>
  <si>
    <t xml:space="preserve">  TOTAL DIST. PLANT</t>
  </si>
  <si>
    <t xml:space="preserve">    DEMAND</t>
  </si>
  <si>
    <t xml:space="preserve">    CUSTOMER</t>
  </si>
  <si>
    <t>GENERAL PLANT</t>
  </si>
  <si>
    <t xml:space="preserve">    ELECTRIC</t>
  </si>
  <si>
    <t xml:space="preserve">      DEMAND</t>
  </si>
  <si>
    <t xml:space="preserve">      CUSTOMER</t>
  </si>
  <si>
    <t xml:space="preserve">      ENERGY</t>
  </si>
  <si>
    <t xml:space="preserve">  TOTAL GENERAL PLANT</t>
  </si>
  <si>
    <t xml:space="preserve">  TOTAL ELEC. GROSS PLANT</t>
  </si>
  <si>
    <t xml:space="preserve">    ENERGY</t>
  </si>
  <si>
    <t>SCHEDULE 2.20 - ANALYSIS OF ACCUMULATED DEPRECIATION RESERVE</t>
  </si>
  <si>
    <t xml:space="preserve">TOTAL PRODUCTION </t>
  </si>
  <si>
    <t xml:space="preserve">  RETAIL JURISDICTION</t>
  </si>
  <si>
    <t xml:space="preserve">        DEMAND</t>
  </si>
  <si>
    <t xml:space="preserve">        ENERGY</t>
  </si>
  <si>
    <t>TRANSMISSION</t>
  </si>
  <si>
    <t xml:space="preserve">        350-LAND AND LAND RIGHTS</t>
  </si>
  <si>
    <t xml:space="preserve">        352-STRUCTURES</t>
  </si>
  <si>
    <t xml:space="preserve">        353-STATION EQUIPMENT</t>
  </si>
  <si>
    <t xml:space="preserve">        354-TOWERS &amp; FIXTURES</t>
  </si>
  <si>
    <t xml:space="preserve">        355-POLES &amp; FIXTURES</t>
  </si>
  <si>
    <t xml:space="preserve">        356-OVERHEAD COND.</t>
  </si>
  <si>
    <t xml:space="preserve">        358-UNDERGROUND COND.</t>
  </si>
  <si>
    <t xml:space="preserve">        359-ROADS AND TRAILS</t>
  </si>
  <si>
    <t xml:space="preserve">  TOTAL TRANSMISSION</t>
  </si>
  <si>
    <t>DISTRIBUTION</t>
  </si>
  <si>
    <t xml:space="preserve">        360-SUBSTATION LAND</t>
  </si>
  <si>
    <t xml:space="preserve">        361-STRUCTURES</t>
  </si>
  <si>
    <t xml:space="preserve">        362-STATION EQUIPMENT</t>
  </si>
  <si>
    <t xml:space="preserve">    364-POLES &amp; FIXTURES</t>
  </si>
  <si>
    <t xml:space="preserve">          COMMON</t>
  </si>
  <si>
    <t xml:space="preserve">    365-OVERHEAD COND.</t>
  </si>
  <si>
    <t xml:space="preserve">    366-UNDG. CONDUIT</t>
  </si>
  <si>
    <t xml:space="preserve">    369-SERVICES</t>
  </si>
  <si>
    <t xml:space="preserve">  TOTAL DISTRIBUTION</t>
  </si>
  <si>
    <t xml:space="preserve">    TOTAL ELECTRIC GENERAL PLANT</t>
  </si>
  <si>
    <t xml:space="preserve">  TOTAL ELECTRIC DEPR. RESERVE</t>
  </si>
  <si>
    <t xml:space="preserve">        CUSTOMER</t>
  </si>
  <si>
    <t>PRODUCTION</t>
  </si>
  <si>
    <t xml:space="preserve">          NON-FUEL</t>
  </si>
  <si>
    <t xml:space="preserve">          FUEL</t>
  </si>
  <si>
    <t xml:space="preserve">  TOTAL PRODUCTION M &amp; S</t>
  </si>
  <si>
    <t xml:space="preserve">        LINES RELATED</t>
  </si>
  <si>
    <t xml:space="preserve">        SUBSTATION RELATED</t>
  </si>
  <si>
    <t xml:space="preserve">  TOTAL TRANS. M &amp; S</t>
  </si>
  <si>
    <t xml:space="preserve">        DEMAND RELATED</t>
  </si>
  <si>
    <t xml:space="preserve">        METERING RELATED</t>
  </si>
  <si>
    <t xml:space="preserve">        ST. LIGHTING RELATED</t>
  </si>
  <si>
    <t xml:space="preserve">        OTHER</t>
  </si>
  <si>
    <t xml:space="preserve">  TOTAL DIST. M &amp; S</t>
  </si>
  <si>
    <t>CUSTOMER ACCOUNTS</t>
  </si>
  <si>
    <t>CUSTOMER ASSISTANCE</t>
  </si>
  <si>
    <t xml:space="preserve">  TOTAL ELECTRIC M &amp; S</t>
  </si>
  <si>
    <t>OTHER WORKING CAPITAL</t>
  </si>
  <si>
    <t xml:space="preserve">  CURRENT ASSETS &amp; LIAB.</t>
  </si>
  <si>
    <t xml:space="preserve">        REVENUE RELATED</t>
  </si>
  <si>
    <t xml:space="preserve">  CABLE ATTACHMENTS</t>
  </si>
  <si>
    <t xml:space="preserve">  PREPAYMENTS</t>
  </si>
  <si>
    <t xml:space="preserve">    PRODUCTION</t>
  </si>
  <si>
    <t xml:space="preserve">    RETAIL JURISDICTION</t>
  </si>
  <si>
    <t xml:space="preserve">    TRANSMISSION</t>
  </si>
  <si>
    <t xml:space="preserve">    DISTRIBUTION</t>
  </si>
  <si>
    <t xml:space="preserve">    CUSTOMER ACCOUNTS</t>
  </si>
  <si>
    <t xml:space="preserve">    CUSTOMER ASSSISTANCE </t>
  </si>
  <si>
    <t xml:space="preserve">  TOTAL PREPAYMENTS</t>
  </si>
  <si>
    <t xml:space="preserve">  PRELIM. SURVEY &amp; INVESTIGATION</t>
  </si>
  <si>
    <t xml:space="preserve">    OTHER INVESTMENTS</t>
  </si>
  <si>
    <t xml:space="preserve">    CUSTOMER ASSISTANCE</t>
  </si>
  <si>
    <t>TOTAL OTHER INVESTMENTS</t>
  </si>
  <si>
    <t xml:space="preserve">    ENVIRONMENTAL CLEANUP</t>
  </si>
  <si>
    <t xml:space="preserve">  PROP. INSURANCE RESERVE</t>
  </si>
  <si>
    <t>OTHER POST RETIREMENT BENEFITS</t>
  </si>
  <si>
    <t>TOTAL OTHER POST RETIREMENT BENEFITS</t>
  </si>
  <si>
    <t>(23)</t>
  </si>
  <si>
    <t>(24)</t>
  </si>
  <si>
    <t xml:space="preserve">  OTHER DEF. CR. &amp; DEBITS</t>
  </si>
  <si>
    <t xml:space="preserve">  UNAMORT. RATE CASE EXP.</t>
  </si>
  <si>
    <t xml:space="preserve">    REVENUE RELATED</t>
  </si>
  <si>
    <t xml:space="preserve">  TOTAL OTHER WORK. CAP.</t>
  </si>
  <si>
    <t>CONST. WORK IN PROGRESS</t>
  </si>
  <si>
    <t>INTEREST BEARING</t>
  </si>
  <si>
    <t xml:space="preserve">  TOTAL CWIP</t>
  </si>
  <si>
    <t xml:space="preserve">  WORK NOT BEARING INTEREST</t>
  </si>
  <si>
    <t xml:space="preserve">  TOTAL CWIP - WORK NOT BEARING INTEREST</t>
  </si>
  <si>
    <t xml:space="preserve">  PLANT HELD FOR FUTURE USE</t>
  </si>
  <si>
    <t xml:space="preserve">    TOTAL DISTRIBUTION</t>
  </si>
  <si>
    <t xml:space="preserve">    GENERAL</t>
  </si>
  <si>
    <t xml:space="preserve">    TOTAL GENERAL</t>
  </si>
  <si>
    <t xml:space="preserve">  TOTAL PLNT HELD FOR FUT. USE</t>
  </si>
  <si>
    <t xml:space="preserve">  INJURIES &amp; DAMAGES RESERVE</t>
  </si>
  <si>
    <t xml:space="preserve">  TOTAL INJ. &amp; DAM. RES.</t>
  </si>
  <si>
    <t>|::</t>
  </si>
  <si>
    <t xml:space="preserve">  UNAMORT. PLANT ACQ. ADJ.</t>
  </si>
  <si>
    <t xml:space="preserve">  TOTAL UNAMORT PLNT ACQ. ADJ.</t>
  </si>
  <si>
    <t xml:space="preserve">  CUSTOMER ADVANCES FOR CONST.</t>
  </si>
  <si>
    <t xml:space="preserve">  TOTAL OTHER ADDITIONS</t>
  </si>
  <si>
    <t>REVENUE FROM SALES</t>
  </si>
  <si>
    <t xml:space="preserve">    BASE RATE REV. FROM SALES</t>
  </si>
  <si>
    <t xml:space="preserve">    FUEL, ECCR, PPCC, ECRC REVENUES</t>
  </si>
  <si>
    <t xml:space="preserve">    NET REVENUE EXCLUDING FUEL</t>
  </si>
  <si>
    <t>OTHER OPERATING REVENUES</t>
  </si>
  <si>
    <t xml:space="preserve">    451-MISC. SERVICE REVENUES</t>
  </si>
  <si>
    <t xml:space="preserve">        RESTORATION FEE</t>
  </si>
  <si>
    <t xml:space="preserve">        AFTER HOURS FEE</t>
  </si>
  <si>
    <t xml:space="preserve">        INACCURATE METER FEE</t>
  </si>
  <si>
    <t xml:space="preserve">        RECONNECTION FEE</t>
  </si>
  <si>
    <t xml:space="preserve">        FRANCHISE FEES</t>
  </si>
  <si>
    <t xml:space="preserve">        INSTALL. &amp; REM.-TEMP SERV</t>
  </si>
  <si>
    <t xml:space="preserve">        CONNECTION FEES</t>
  </si>
  <si>
    <t xml:space="preserve">        COLLECTION CHARGES</t>
  </si>
  <si>
    <t xml:space="preserve">        INVESTIGATIVE CHARGES</t>
  </si>
  <si>
    <t xml:space="preserve">        RETURN CHECK CHARGE</t>
  </si>
  <si>
    <t xml:space="preserve">    TOTAL ACCOUNT 451</t>
  </si>
  <si>
    <t xml:space="preserve">    454-RENT FROM ELEC. PROP.</t>
  </si>
  <si>
    <t xml:space="preserve">        EQUIPMENT RENTAL</t>
  </si>
  <si>
    <t xml:space="preserve">        METER TREATER RENTAL</t>
  </si>
  <si>
    <t xml:space="preserve">        POLE ATTACHMENT RENTAL</t>
  </si>
  <si>
    <t xml:space="preserve">        MICROWAVE TRANSPORT</t>
  </si>
  <si>
    <t xml:space="preserve">        RENT FROM PLANT DANIEL</t>
  </si>
  <si>
    <t xml:space="preserve">        MISCELLANEOUS RENTS</t>
  </si>
  <si>
    <t xml:space="preserve">    TOTAL ACCOUNT 454</t>
  </si>
  <si>
    <t xml:space="preserve">    455-INTERDEPART. RENTAL</t>
  </si>
  <si>
    <t xml:space="preserve">    456-OTHER ELECTRIC REVENUES</t>
  </si>
  <si>
    <t xml:space="preserve">    456-GULF POWER ENERGY SERVICES REVENUES</t>
  </si>
  <si>
    <t xml:space="preserve">    456 - FPU SERVICE PAYMENTS</t>
  </si>
  <si>
    <t xml:space="preserve">    456 - BLOUNTSTOWN SERVICE PAYMENTS</t>
  </si>
  <si>
    <t xml:space="preserve">    TOTAL ACCOUNT 456</t>
  </si>
  <si>
    <t xml:space="preserve">    REV. NONASSOC. CO.-DEMAND</t>
  </si>
  <si>
    <t xml:space="preserve">    REV. NONASSOC. CO.-ENERGY</t>
  </si>
  <si>
    <t xml:space="preserve">    TOTAL REV. NONASSOC. CO.</t>
  </si>
  <si>
    <t xml:space="preserve">  TOTAL OTHER OPER. REVENUE</t>
  </si>
  <si>
    <t>ADJUSTMENTS TO REVENUES</t>
  </si>
  <si>
    <t xml:space="preserve"> </t>
  </si>
  <si>
    <t xml:space="preserve">    FRANCHISE FEE REVENUES</t>
  </si>
  <si>
    <t xml:space="preserve">    AMI REVENUE ADJUSTMENT</t>
  </si>
  <si>
    <t xml:space="preserve">  NET ADJUSTMENT TO REVENUES</t>
  </si>
  <si>
    <t xml:space="preserve">  TOTAL ADJUSTED REVENUES</t>
  </si>
  <si>
    <t>PRODUCTION O &amp; M EXPENSES</t>
  </si>
  <si>
    <t xml:space="preserve">STEAM POWER GENERATION </t>
  </si>
  <si>
    <t xml:space="preserve">    OPERATIONS</t>
  </si>
  <si>
    <t xml:space="preserve">      500-SUPERVISION</t>
  </si>
  <si>
    <t xml:space="preserve">          501-ENERGY RELATED</t>
  </si>
  <si>
    <t xml:space="preserve">          501-FUEL REMOVAL</t>
  </si>
  <si>
    <t xml:space="preserve">      501-NET </t>
  </si>
  <si>
    <t xml:space="preserve">      502-STEAM </t>
  </si>
  <si>
    <t xml:space="preserve">            DEMAND RELATED</t>
  </si>
  <si>
    <t xml:space="preserve">            ENERGY RELATED</t>
  </si>
  <si>
    <t xml:space="preserve">      TOTAL ACCOUNT 502</t>
  </si>
  <si>
    <t xml:space="preserve">      505-ELECTRIC EXPENSES</t>
  </si>
  <si>
    <t xml:space="preserve">      TOTAL ACCOUNT 505</t>
  </si>
  <si>
    <t xml:space="preserve">      506-MISCELLANEOUS</t>
  </si>
  <si>
    <t xml:space="preserve">      TOTAL ACCOUNT 506</t>
  </si>
  <si>
    <t xml:space="preserve">      507-RENTS</t>
  </si>
  <si>
    <t xml:space="preserve">      509-ALLOWANCES</t>
  </si>
  <si>
    <t xml:space="preserve">    TOTAL STEAM OPERATIONS</t>
  </si>
  <si>
    <t xml:space="preserve">    MAINTENANCE</t>
  </si>
  <si>
    <t xml:space="preserve">      510-SUPERVISION</t>
  </si>
  <si>
    <t xml:space="preserve">      511-STRUCTURES</t>
  </si>
  <si>
    <t xml:space="preserve">      512-BOILER PLANT</t>
  </si>
  <si>
    <t xml:space="preserve">      TOTAL ACCOUNT 512</t>
  </si>
  <si>
    <t xml:space="preserve">      513-ELECTRIC PLANT</t>
  </si>
  <si>
    <t xml:space="preserve">      TOTAL ACCOUNT 513</t>
  </si>
  <si>
    <t xml:space="preserve">      514-MISCELLANEOUS</t>
  </si>
  <si>
    <t xml:space="preserve">      TOTAL ACCOUNT 514</t>
  </si>
  <si>
    <t xml:space="preserve">    TOTAL MAINTENANCE</t>
  </si>
  <si>
    <t>TOTAL STEAM POWER GENERATION</t>
  </si>
  <si>
    <t>OTHER POWER GENERATION</t>
  </si>
  <si>
    <t xml:space="preserve">    OPERATION</t>
  </si>
  <si>
    <t xml:space="preserve">      546-SUPERVISION</t>
  </si>
  <si>
    <t xml:space="preserve">          547-ENERGY RELATED</t>
  </si>
  <si>
    <t xml:space="preserve">          547-FUEL</t>
  </si>
  <si>
    <t xml:space="preserve">          547-FUEL REMOVAL</t>
  </si>
  <si>
    <t xml:space="preserve">      547-NET FUEL</t>
  </si>
  <si>
    <t xml:space="preserve">      548-GENERATION EXPENSES</t>
  </si>
  <si>
    <t xml:space="preserve">            DEMAND</t>
  </si>
  <si>
    <t xml:space="preserve">            ENERGY</t>
  </si>
  <si>
    <t xml:space="preserve">      TOTAL ACCOUNT 548</t>
  </si>
  <si>
    <t xml:space="preserve">      549-MISCELLANEOUS PLANT</t>
  </si>
  <si>
    <t xml:space="preserve">      TOTAL ACCOUNT 549</t>
  </si>
  <si>
    <t xml:space="preserve">    TOTAL OPERATION</t>
  </si>
  <si>
    <t xml:space="preserve">      551-SUPERVISION</t>
  </si>
  <si>
    <t xml:space="preserve">      552-STRUCTURES</t>
  </si>
  <si>
    <t xml:space="preserve">      TOTAL ACCOUNT 552</t>
  </si>
  <si>
    <t xml:space="preserve">      553-ELECTRIC PLANT</t>
  </si>
  <si>
    <t xml:space="preserve">      TOTAL ACCOUNT 553</t>
  </si>
  <si>
    <t xml:space="preserve">      554-MISCELLANEOUS PLANT</t>
  </si>
  <si>
    <t xml:space="preserve">      TOTAL ACCOUNT 554</t>
  </si>
  <si>
    <t xml:space="preserve">  TOTAL OTHER GEN. EXPENSE</t>
  </si>
  <si>
    <t xml:space="preserve">  TOTAL GENERATION EXPENSES</t>
  </si>
  <si>
    <t>OTHER PRODUCTION EXPENSE</t>
  </si>
  <si>
    <t xml:space="preserve">    555-PURCHASED POWER</t>
  </si>
  <si>
    <t xml:space="preserve">              DEMAND</t>
  </si>
  <si>
    <t xml:space="preserve">              ENERGY</t>
  </si>
  <si>
    <t xml:space="preserve">              FUEL REMOVAL</t>
  </si>
  <si>
    <t xml:space="preserve">          NET ENERGY</t>
  </si>
  <si>
    <t xml:space="preserve">    NET TOTAL ACCOUNT 555</t>
  </si>
  <si>
    <t xml:space="preserve">    556-SYSTEM CONTROL</t>
  </si>
  <si>
    <t xml:space="preserve">    TOTAL ACCOUNT 556</t>
  </si>
  <si>
    <t xml:space="preserve">    557-OTHER EXPENSES</t>
  </si>
  <si>
    <t xml:space="preserve">    TOTAL ACCOUNT 557</t>
  </si>
  <si>
    <t xml:space="preserve">  TOTAL OTHER PROD. EXPENSE</t>
  </si>
  <si>
    <t xml:space="preserve">  TOTAL PRODUCTION EXPENSES</t>
  </si>
  <si>
    <t>TRANSMISSION O &amp; M EXPENSE</t>
  </si>
  <si>
    <t xml:space="preserve">  OPERATION</t>
  </si>
  <si>
    <t xml:space="preserve">        561-LOAD DISPATCHING</t>
  </si>
  <si>
    <t xml:space="preserve">        562-STATION</t>
  </si>
  <si>
    <t xml:space="preserve">        563-OVERHEAD LINES</t>
  </si>
  <si>
    <t xml:space="preserve">        564-UNDERGROUND LINES</t>
  </si>
  <si>
    <t xml:space="preserve">        565-TRANS. OF ELEC. BY OTHERS</t>
  </si>
  <si>
    <t xml:space="preserve">      SUBTOTAL</t>
  </si>
  <si>
    <t xml:space="preserve">        560-SUPERVISION</t>
  </si>
  <si>
    <t xml:space="preserve">        566-MISCELLANEOUS</t>
  </si>
  <si>
    <t xml:space="preserve">        567-RENTS</t>
  </si>
  <si>
    <t xml:space="preserve">  TOTAL OPERATIONS</t>
  </si>
  <si>
    <t xml:space="preserve">  MAINTENANCE</t>
  </si>
  <si>
    <t xml:space="preserve">        569-STRUCTURES</t>
  </si>
  <si>
    <t xml:space="preserve">        570-STATION EQUIPMENT</t>
  </si>
  <si>
    <t xml:space="preserve">        571-OVERHEAD LINES</t>
  </si>
  <si>
    <t xml:space="preserve">    568-SUPERVISION</t>
  </si>
  <si>
    <t xml:space="preserve">    573-MISCELLANEOUS</t>
  </si>
  <si>
    <t xml:space="preserve">  TOTAL MAINTENANCE</t>
  </si>
  <si>
    <t xml:space="preserve">  TOTAL TRANSMISSION EXPENSE</t>
  </si>
  <si>
    <t>DISTRIBUTION O &amp; M EXPENSE</t>
  </si>
  <si>
    <t xml:space="preserve">  OPERATIONS</t>
  </si>
  <si>
    <t xml:space="preserve">        581-LOAD DISPATCHING</t>
  </si>
  <si>
    <t xml:space="preserve">        582-STATION</t>
  </si>
  <si>
    <t xml:space="preserve">        583-OVERHEAD LINES</t>
  </si>
  <si>
    <t xml:space="preserve">    TOTAL ACCOUNT 583</t>
  </si>
  <si>
    <t xml:space="preserve">        584-UNDERGROUND LINES</t>
  </si>
  <si>
    <t xml:space="preserve">    TOTAL ACCOUNT 584</t>
  </si>
  <si>
    <t xml:space="preserve">        585-STREET LIGHTING</t>
  </si>
  <si>
    <t xml:space="preserve">        586-METER</t>
  </si>
  <si>
    <t xml:space="preserve">        586-OTHER MISC. REVS.</t>
  </si>
  <si>
    <t xml:space="preserve">    TOTAL ACCOUNT 586</t>
  </si>
  <si>
    <t xml:space="preserve">        587-CUSTOMER INSTAL.</t>
  </si>
  <si>
    <t xml:space="preserve">        587-OTHER MISC. REVS.</t>
  </si>
  <si>
    <t xml:space="preserve">    TOTAL ACCOUNT 587</t>
  </si>
  <si>
    <t xml:space="preserve">  SUBTOTAL</t>
  </si>
  <si>
    <t xml:space="preserve">    580-SUPERVISION</t>
  </si>
  <si>
    <t xml:space="preserve">    TOTAL ACCOUNT 580</t>
  </si>
  <si>
    <t xml:space="preserve">    588-MISCELLANEOUS</t>
  </si>
  <si>
    <t xml:space="preserve">    TOTAL ACCOUNT 588</t>
  </si>
  <si>
    <t xml:space="preserve">    589-RENTS</t>
  </si>
  <si>
    <t xml:space="preserve">    TOTAL ACCOUNT 589</t>
  </si>
  <si>
    <t xml:space="preserve">  TOTAL OPERATION</t>
  </si>
  <si>
    <t xml:space="preserve">        591-STRUCTURES</t>
  </si>
  <si>
    <t xml:space="preserve">        592-STATION EQUIPMENT</t>
  </si>
  <si>
    <t xml:space="preserve">        593-OVHD LINES - MISC REVS</t>
  </si>
  <si>
    <t xml:space="preserve">    593-OVERHEAD LINES</t>
  </si>
  <si>
    <t xml:space="preserve">    SUBTOTAL OVERHEAD LINES</t>
  </si>
  <si>
    <t xml:space="preserve">  TOTAL ACCOUNT 593</t>
  </si>
  <si>
    <t xml:space="preserve">    594-UNDERGROUND LINES</t>
  </si>
  <si>
    <t xml:space="preserve">    TOTAL ACCOUNT 594</t>
  </si>
  <si>
    <t xml:space="preserve">    595-LINE TRANSFORMERS</t>
  </si>
  <si>
    <t xml:space="preserve">    TOTAL ACCOUNT 595</t>
  </si>
  <si>
    <t xml:space="preserve">    596-STREET LIGHTING</t>
  </si>
  <si>
    <t xml:space="preserve">    597-METERS</t>
  </si>
  <si>
    <t xml:space="preserve">    590-SUPERVISION</t>
  </si>
  <si>
    <t xml:space="preserve">    TOTAL ACCOUNT 590</t>
  </si>
  <si>
    <t xml:space="preserve">    598-MISCELLANEOUS</t>
  </si>
  <si>
    <t xml:space="preserve">    TOTAL ACCOUNT 598</t>
  </si>
  <si>
    <t xml:space="preserve">  TOTAL DISTRIBUTION EXPENSE</t>
  </si>
  <si>
    <t xml:space="preserve">        TOTAL DEMAND</t>
  </si>
  <si>
    <t xml:space="preserve">        TOTAL CUSTOMER</t>
  </si>
  <si>
    <t xml:space="preserve">  CUSTOMER ACCOUNTS EXPENSE</t>
  </si>
  <si>
    <t>CUSTOMER ASSISTANCE EXPENSE</t>
  </si>
  <si>
    <t xml:space="preserve">    907/911-SUPERVISION</t>
  </si>
  <si>
    <t xml:space="preserve">    908/912-CUSTOMER ASSISTANCE</t>
  </si>
  <si>
    <t xml:space="preserve">        RESIDENTIAL </t>
  </si>
  <si>
    <t xml:space="preserve">        COMMERCIAL</t>
  </si>
  <si>
    <t xml:space="preserve">        TOTAL INDUSTRIAL</t>
  </si>
  <si>
    <t xml:space="preserve">        INDUSTRIAL - GULF POWER ENERGY SERVICES</t>
  </si>
  <si>
    <t xml:space="preserve">        NET INDUSTRIAL OF GULF POWER ENERGY SVS</t>
  </si>
  <si>
    <t xml:space="preserve">        STREET LIGHTING</t>
  </si>
  <si>
    <t xml:space="preserve">    TOTAL ACCOUNT 908/912</t>
  </si>
  <si>
    <t xml:space="preserve">    909/913-ADVERTISING</t>
  </si>
  <si>
    <t xml:space="preserve">    910-MISCELLANEOUS</t>
  </si>
  <si>
    <t xml:space="preserve">        ENERGY CONSERVATION</t>
  </si>
  <si>
    <t xml:space="preserve">        ECCR ADJUSTMENT</t>
  </si>
  <si>
    <t xml:space="preserve">    NET ENERGY COST CONSER.</t>
  </si>
  <si>
    <t xml:space="preserve">  TOTAL CUSTOMER ASSISTANCE</t>
  </si>
  <si>
    <t>ADMIN. &amp; GENERAL EXPENSE</t>
  </si>
  <si>
    <t xml:space="preserve">    924-PROPERTY INSURANCE</t>
  </si>
  <si>
    <t xml:space="preserve">      PRODUCTION</t>
  </si>
  <si>
    <t xml:space="preserve">      TRANSMISSION</t>
  </si>
  <si>
    <t xml:space="preserve">      DISTRIBUTION</t>
  </si>
  <si>
    <t xml:space="preserve">            CUSTOMER</t>
  </si>
  <si>
    <t xml:space="preserve">      CUSTOMER ACCOUNTS</t>
  </si>
  <si>
    <t xml:space="preserve">      CUSTOMER ASSISTANCE</t>
  </si>
  <si>
    <t xml:space="preserve">    TOTAL ACCOUNT 924</t>
  </si>
  <si>
    <t xml:space="preserve">    REG. COMM. EXP. &amp; UNCOLL.</t>
  </si>
  <si>
    <t xml:space="preserve">          STATE &amp; FEDERAL</t>
  </si>
  <si>
    <t xml:space="preserve">          UNCOLLECTIBLE EXP.</t>
  </si>
  <si>
    <t xml:space="preserve">    TOTAL REG. COMM. &amp; UNCOLL.</t>
  </si>
  <si>
    <t xml:space="preserve">    OTHER INDUSTRY DUES</t>
  </si>
  <si>
    <t xml:space="preserve">    MISC. A &amp; G - OTHER REVS.</t>
  </si>
  <si>
    <t xml:space="preserve">    MISC. A &amp; G - GULF POWER ENERGY SRVC OH</t>
  </si>
  <si>
    <t xml:space="preserve">    MISCELLANEOUS A &amp; G</t>
  </si>
  <si>
    <t xml:space="preserve">    TOTAL MISCELLANEOUS A &amp; G</t>
  </si>
  <si>
    <t xml:space="preserve">  TOTAL ADMIN. &amp; GENERAL</t>
  </si>
  <si>
    <t xml:space="preserve">  TOTAL OPER. &amp; MAINTENANCE</t>
  </si>
  <si>
    <t xml:space="preserve">        REVENUE</t>
  </si>
  <si>
    <t xml:space="preserve">    TOTAL PRODUCTION </t>
  </si>
  <si>
    <t xml:space="preserve">    </t>
  </si>
  <si>
    <t xml:space="preserve">    GENERAL PLANT</t>
  </si>
  <si>
    <t xml:space="preserve">  TOTAL DEPR. EXPENSE</t>
  </si>
  <si>
    <t>REAL &amp; PERSONAL PROPERTY</t>
  </si>
  <si>
    <t xml:space="preserve">  TOTAL ELECTRIC PROP. TAXES</t>
  </si>
  <si>
    <t>PAYROLL TAXES</t>
  </si>
  <si>
    <t xml:space="preserve">    SUBTOTAL ELEC. PAYROLL TAXES</t>
  </si>
  <si>
    <t xml:space="preserve">    ECCR PAYROLL ADJUSTMENT</t>
  </si>
  <si>
    <t xml:space="preserve">  NET ELEC. PAYROLL TAXES</t>
  </si>
  <si>
    <t>REVENUE TAXES</t>
  </si>
  <si>
    <t xml:space="preserve">      GROSS RECEIPTS TAX</t>
  </si>
  <si>
    <t xml:space="preserve">      FLA REG. COMM. ASSESSMENT</t>
  </si>
  <si>
    <t xml:space="preserve">      FUEL &amp; ECCR REL. REV TAXES</t>
  </si>
  <si>
    <t xml:space="preserve">      FRANCHISE FEE REV. ADJ.</t>
  </si>
  <si>
    <t xml:space="preserve">  TOTAL REVENUE TAXES</t>
  </si>
  <si>
    <t>OTHER TAXES</t>
  </si>
  <si>
    <t xml:space="preserve">    MISS. STATE FRAN. TAX</t>
  </si>
  <si>
    <t xml:space="preserve">    FRANCHISE FEE</t>
  </si>
  <si>
    <t xml:space="preserve">    MISCELLANEOUS TAXES</t>
  </si>
  <si>
    <t xml:space="preserve">  TOTAL OTHER TAXES</t>
  </si>
  <si>
    <t xml:space="preserve">  FRANCHISE FEE ADJUSTMENT</t>
  </si>
  <si>
    <t xml:space="preserve">  TOTAL TAXES OTHER THAN INC.</t>
  </si>
  <si>
    <t>INVESTMENT</t>
  </si>
  <si>
    <t xml:space="preserve">      ELECTRIC GROSS PLANT</t>
  </si>
  <si>
    <t xml:space="preserve">      ACCUMULATED DEPRECIATION</t>
  </si>
  <si>
    <t xml:space="preserve">    NET PLANT</t>
  </si>
  <si>
    <t xml:space="preserve">    MATERIALS AND SUPPLIES</t>
  </si>
  <si>
    <t xml:space="preserve">    OTHER WORKING CAPITAL</t>
  </si>
  <si>
    <t xml:space="preserve">    CONST. WORK IN PROGRESS</t>
  </si>
  <si>
    <t xml:space="preserve">    CWIP - NOT BEARING INTEREST</t>
  </si>
  <si>
    <t xml:space="preserve">    PLANT HELD FOR FUTURE USE</t>
  </si>
  <si>
    <t xml:space="preserve">    UNAMORT. PLANT ACQ. ADJUST.</t>
  </si>
  <si>
    <t xml:space="preserve">    INJURIES AND DAMAGES RESERVE</t>
  </si>
  <si>
    <t xml:space="preserve">  TOTAL ELECTRIC INVESTMENT</t>
  </si>
  <si>
    <t>REVENUES</t>
  </si>
  <si>
    <t xml:space="preserve">    REVENUE FROM SALES</t>
  </si>
  <si>
    <t xml:space="preserve">    OTHER OPERATING REVENUES</t>
  </si>
  <si>
    <t xml:space="preserve">    REVENUE-NONASSOCIATED SALES</t>
  </si>
  <si>
    <t xml:space="preserve">    ADJUSTMENTS TO REVENUE</t>
  </si>
  <si>
    <t xml:space="preserve">  TOTAL ADJUSTED REVENUE</t>
  </si>
  <si>
    <t>EXPENSE</t>
  </si>
  <si>
    <t xml:space="preserve">    OPERATIONS &amp; MAINTENANCE</t>
  </si>
  <si>
    <t xml:space="preserve">    DEPRECIATION</t>
  </si>
  <si>
    <t xml:space="preserve">    AMORT. OF INV. TAX CREDIT</t>
  </si>
  <si>
    <t xml:space="preserve">    OTHER AMORTIZATION</t>
  </si>
  <si>
    <t xml:space="preserve">    REAL &amp; PERSONAL PROP. TAX</t>
  </si>
  <si>
    <t xml:space="preserve">    PAYROLL TAX</t>
  </si>
  <si>
    <t xml:space="preserve">    REVENUE TAX</t>
  </si>
  <si>
    <t xml:space="preserve">    OTHER TAXES</t>
  </si>
  <si>
    <t xml:space="preserve">    ADJUSTMENT TO OTHER TAXES</t>
  </si>
  <si>
    <t xml:space="preserve">  EXPENSES EXCL. INC. TAX</t>
  </si>
  <si>
    <t xml:space="preserve">  OPERATING INCOME</t>
  </si>
  <si>
    <t xml:space="preserve">    STATE &amp; FEDERAL INCOME TAX</t>
  </si>
  <si>
    <t xml:space="preserve">    INTEREST SYNCHRONIZATION</t>
  </si>
  <si>
    <t xml:space="preserve">  TOTAL INCOME TAXES</t>
  </si>
  <si>
    <t xml:space="preserve">  NET OPERATING INCOME</t>
  </si>
  <si>
    <t xml:space="preserve">  RATE OF RETURN</t>
  </si>
  <si>
    <t xml:space="preserve">  RATE OF RETURN INDEX</t>
  </si>
  <si>
    <t/>
  </si>
  <si>
    <t xml:space="preserve">                                                                                                </t>
  </si>
  <si>
    <t>REVENUE</t>
  </si>
  <si>
    <t xml:space="preserve">      PRESENT REVENUE</t>
  </si>
  <si>
    <t xml:space="preserve">      PROPOSED REVENUE</t>
  </si>
  <si>
    <t xml:space="preserve">  TOTAL REVENUE</t>
  </si>
  <si>
    <t xml:space="preserve">      PRESENT OPERATING EXPENSES</t>
  </si>
  <si>
    <t xml:space="preserve">      PROPOSED EXPENSE INCREASE</t>
  </si>
  <si>
    <t xml:space="preserve">  TOTAL EXPENSES</t>
  </si>
  <si>
    <t>INCOME TAXES</t>
  </si>
  <si>
    <t xml:space="preserve">      PRESENT INCOME TAXES</t>
  </si>
  <si>
    <t xml:space="preserve">      PROPOSED INC. TAX INCREASE</t>
  </si>
  <si>
    <t>SCHEDULE 1.01 - EQUAL RATE OF RETURN SUMMARY - PRESENT RATES</t>
  </si>
  <si>
    <t xml:space="preserve">      EQUAL RATE OF RETURN</t>
  </si>
  <si>
    <t xml:space="preserve">      PRESENT SYSTEM OPERATING INCOME</t>
  </si>
  <si>
    <t xml:space="preserve">      CURRENT OPERATING INCOME</t>
  </si>
  <si>
    <t xml:space="preserve">      CHANGE IN OPERATING INCOME</t>
  </si>
  <si>
    <t xml:space="preserve">      CHANGE IN INCOME TAXES</t>
  </si>
  <si>
    <t xml:space="preserve">      CURRENT INCOME TAXES</t>
  </si>
  <si>
    <t xml:space="preserve">      CHANGE IN EXPENSES</t>
  </si>
  <si>
    <t xml:space="preserve">      CURRENT EXPENSES</t>
  </si>
  <si>
    <t xml:space="preserve">      REV REQ - EQUAL SYSTEM ROR - PRESENT RATES</t>
  </si>
  <si>
    <t xml:space="preserve">      PRESENT REVENUE REQUIREMENTS</t>
  </si>
  <si>
    <t xml:space="preserve">      REVENUE EXCESS / DEFICIENCY </t>
  </si>
  <si>
    <t xml:space="preserve">      REV REQ INDEX - EQUAL SYSTEM ROR - PRES. RATES</t>
  </si>
  <si>
    <t>SCHEDULE 1.11 - EQUAL RATE OF RETURN SUMMARY - PROPOSED RATES</t>
  </si>
  <si>
    <t xml:space="preserve">      PROPOSED OPERATING INCOME</t>
  </si>
  <si>
    <t xml:space="preserve">      PRESENT EXPENSES</t>
  </si>
  <si>
    <t xml:space="preserve">      REV REQ - EQUAL SYSTEM ROR - PROPOSED RATES</t>
  </si>
  <si>
    <t xml:space="preserve">      REV REQ INDEX - EQUAL SYSTEM ROR - PROP. RATES</t>
  </si>
  <si>
    <t>ENERGY - LEVEL 1</t>
  </si>
  <si>
    <t>%</t>
  </si>
  <si>
    <t>MWH SALES</t>
  </si>
  <si>
    <t>CP DEMAND</t>
  </si>
  <si>
    <t>LEVELS 1 &amp; 2</t>
  </si>
  <si>
    <t>LEVEL 3</t>
  </si>
  <si>
    <t>NCP DEMAND</t>
  </si>
  <si>
    <t>LEVEL 4</t>
  </si>
  <si>
    <t>LEVEL 5</t>
  </si>
  <si>
    <t>AVERAGE NO. OF CUSTOMERS</t>
  </si>
  <si>
    <t>LEVEL 4 and BELOW</t>
  </si>
  <si>
    <t xml:space="preserve">  SALARIES AND WAGES</t>
  </si>
  <si>
    <t xml:space="preserve">      12/13 DEMAND RELATED</t>
  </si>
  <si>
    <t xml:space="preserve">      1/13 ENERGY RELATED</t>
  </si>
  <si>
    <t xml:space="preserve">    TOTAL CUSTOMER ASST.</t>
  </si>
  <si>
    <t xml:space="preserve">  SUBTOTAL SALARIES &amp; WAGES</t>
  </si>
  <si>
    <t xml:space="preserve">  ADMINISTRATIVE &amp; GENERAL</t>
  </si>
  <si>
    <t xml:space="preserve">  TOTAL SALARIES &amp; WAGES</t>
  </si>
  <si>
    <t>OTHER OPERATING REVENUES WORK REPORT</t>
  </si>
  <si>
    <t xml:space="preserve">      RESTORATION FEE - CACC</t>
  </si>
  <si>
    <t xml:space="preserve">      AFTER HOURS FEE - CACC</t>
  </si>
  <si>
    <t xml:space="preserve">      INACCURATE METER FEE - CACC</t>
  </si>
  <si>
    <t xml:space="preserve">      CUST. RECONNECTION FEES</t>
  </si>
  <si>
    <t xml:space="preserve">            DIST. - CUSTOMER</t>
  </si>
  <si>
    <t xml:space="preserve">            CUSTOMER ACCOUNTING</t>
  </si>
  <si>
    <t xml:space="preserve">      FRANCHISE CHARGES - REV.</t>
  </si>
  <si>
    <t xml:space="preserve">      INSTALL. &amp; REM.-TEMP SER</t>
  </si>
  <si>
    <t xml:space="preserve">      CUST. CONNECTION FEES</t>
  </si>
  <si>
    <t xml:space="preserve">      COLLECTION CHARGES -CACC</t>
  </si>
  <si>
    <t xml:space="preserve">      INVESTIGATIVE CHARGES</t>
  </si>
  <si>
    <t xml:space="preserve">      RETURN CHECK FEE - CACC</t>
  </si>
  <si>
    <t xml:space="preserve">            REVENUE</t>
  </si>
  <si>
    <t xml:space="preserve">      EQUIPMENT RENTAL</t>
  </si>
  <si>
    <t xml:space="preserve">        DISTRIBUTION</t>
  </si>
  <si>
    <t xml:space="preserve">            LEVEL 3 DEMAND</t>
  </si>
  <si>
    <t xml:space="preserve">      POLE ATTACHMENT RENTAL</t>
  </si>
  <si>
    <t xml:space="preserve">            LEVEL 4 COMMON</t>
  </si>
  <si>
    <t xml:space="preserve">            LEVEL 4 CUSTOMER</t>
  </si>
  <si>
    <t xml:space="preserve">      METER TREATER RENTAL - LEVEL 5 CUSTOMER</t>
  </si>
  <si>
    <t xml:space="preserve">      RENT FROM PLANT DANIEL </t>
  </si>
  <si>
    <t xml:space="preserve">        RETAIL JURISDICTION</t>
  </si>
  <si>
    <t>COMBINED EFFECTIVE TAX RATE</t>
  </si>
  <si>
    <t>K FACTOR</t>
  </si>
  <si>
    <t>PROP EXPENSE % FOR TOTAL BASE REV INCREASE</t>
  </si>
  <si>
    <t>PROP EXPENSE % FOR TOTAL SRVC CHG INCREASE</t>
  </si>
  <si>
    <t xml:space="preserve">      MICROWAVE TRANSPORT</t>
  </si>
  <si>
    <t xml:space="preserve">        PRODUCTION PLANT</t>
  </si>
  <si>
    <t xml:space="preserve">      MISCELLANEOUS RENTS</t>
  </si>
  <si>
    <t xml:space="preserve">          LEVEL 1 DEMAND</t>
  </si>
  <si>
    <t xml:space="preserve">          LEVEL 2 TRAN</t>
  </si>
  <si>
    <t xml:space="preserve">          LEVEL 3 TRAN</t>
  </si>
  <si>
    <t xml:space="preserve">          LEVEL 2 DIST</t>
  </si>
  <si>
    <t xml:space="preserve">          LEVEL 3 DIST</t>
  </si>
  <si>
    <t xml:space="preserve">          LEVEL 4 DIST</t>
  </si>
  <si>
    <t xml:space="preserve">          LEVEL 5 DIST</t>
  </si>
  <si>
    <t xml:space="preserve">          CUSTOMER - DIST</t>
  </si>
  <si>
    <t xml:space="preserve">          CUSTOMER ACCOUNTS</t>
  </si>
  <si>
    <t xml:space="preserve">          CUSTOMER ASSISTANCE</t>
  </si>
  <si>
    <t xml:space="preserve">    456-OTHER ELECTRIC REVENUE</t>
  </si>
  <si>
    <t xml:space="preserve">    C.S. WHLING REV-WHOLESALE</t>
  </si>
  <si>
    <t xml:space="preserve">    456-GULF POWER ENERGY SOLUTIONS REV.</t>
  </si>
  <si>
    <t xml:space="preserve">          PRODUCTION PLANT-DEMAND</t>
  </si>
  <si>
    <t xml:space="preserve">          REV. NONASSOC. CO.-ENERGY</t>
  </si>
  <si>
    <t xml:space="preserve">  OTHER OPERATING REVENUES</t>
  </si>
  <si>
    <t xml:space="preserve">          REVENUE</t>
  </si>
  <si>
    <t>ADJUSTMENTS TO RETAIL REVENUES</t>
  </si>
  <si>
    <t>TOTAL ADJUSTED OTHER REVENUES</t>
  </si>
  <si>
    <t>ACCOUNT 451 WORK REPORT</t>
  </si>
  <si>
    <t xml:space="preserve">  451-MISC. SERVICE REVENUES</t>
  </si>
  <si>
    <t xml:space="preserve">        CUST. CONNEC. FEES - 586</t>
  </si>
  <si>
    <t xml:space="preserve">        CUST. CONNEC. FEES - CACC</t>
  </si>
  <si>
    <t xml:space="preserve">    TOTAL CUST. CONNEC. FEES </t>
  </si>
  <si>
    <t xml:space="preserve">        CUST. RECONNEC. FEES - 586</t>
  </si>
  <si>
    <t xml:space="preserve">        CUST. RECONNEC. FEES-CACC</t>
  </si>
  <si>
    <t xml:space="preserve">    TOTL CUST. RECONNEC. FEES</t>
  </si>
  <si>
    <t xml:space="preserve">    RESTORATION FEE - CACC</t>
  </si>
  <si>
    <t xml:space="preserve">    RETURN CHECK FEES - CACC</t>
  </si>
  <si>
    <t xml:space="preserve">        INST &amp; REM-TEMP SERV-593</t>
  </si>
  <si>
    <t xml:space="preserve">        INST &amp; REM-TEMP SERV-CACC</t>
  </si>
  <si>
    <t xml:space="preserve">    TOTAL INST &amp; REM-TEMP SERV</t>
  </si>
  <si>
    <t xml:space="preserve">        INVESTIGATIVE CHGE - 586</t>
  </si>
  <si>
    <t xml:space="preserve">        INVESTIGATIVE CHGE - 587</t>
  </si>
  <si>
    <t xml:space="preserve">        INVESTIGATIVE CHGE - A&amp;G</t>
  </si>
  <si>
    <t xml:space="preserve">        INVESTIGATIVE CHGE - CACC</t>
  </si>
  <si>
    <t xml:space="preserve">    TOTAL INVESTIGATIVE CHARGES</t>
  </si>
  <si>
    <t xml:space="preserve">    COLLECTION CHARGES - CACC</t>
  </si>
  <si>
    <t xml:space="preserve">    AFTER HOURS FEES - CACC</t>
  </si>
  <si>
    <t xml:space="preserve">    INACCURATE METERING FEES - CACC</t>
  </si>
  <si>
    <t xml:space="preserve">  TOTAL ACCOUNT 451</t>
  </si>
  <si>
    <t xml:space="preserve">        ACCOUNT 586</t>
  </si>
  <si>
    <t xml:space="preserve">        ACCOUNT 587</t>
  </si>
  <si>
    <t xml:space="preserve">        A&amp;G</t>
  </si>
  <si>
    <t xml:space="preserve">        ACCOUNT 593</t>
  </si>
  <si>
    <t xml:space="preserve">        CUST. ACCOUNTING</t>
  </si>
  <si>
    <t>OTHER PROPOSED OPERATING REVENUES WORK REPORT</t>
  </si>
  <si>
    <t xml:space="preserve">           RESTORATION FEE - CACC</t>
  </si>
  <si>
    <t xml:space="preserve">           AFTER HOURS FEE - CACC</t>
  </si>
  <si>
    <t xml:space="preserve">           INACCESSIBLE METERING FEE - CACC</t>
  </si>
  <si>
    <t xml:space="preserve">           CUST. CONNECTION FEES</t>
  </si>
  <si>
    <t xml:space="preserve">           DIST. - CUSTOMER</t>
  </si>
  <si>
    <t xml:space="preserve">           CUSTOMER ACCOUNTING</t>
  </si>
  <si>
    <t xml:space="preserve">           CUST. RECONNECTION FEES</t>
  </si>
  <si>
    <t xml:space="preserve">           BAD CHECK FEE - CACC</t>
  </si>
  <si>
    <t xml:space="preserve">           FRANCHISE CHARGES - REV.</t>
  </si>
  <si>
    <t xml:space="preserve">          INVESTIGATIVE CHARGES</t>
  </si>
  <si>
    <t xml:space="preserve">          DIST. - CUSTOMER</t>
  </si>
  <si>
    <t xml:space="preserve">          CUSTOMER ACCOUNTING</t>
  </si>
  <si>
    <t xml:space="preserve">          COLLECTION CHARGES -CACC</t>
  </si>
  <si>
    <t xml:space="preserve">      FRANCHISE FEE REVENUES</t>
  </si>
  <si>
    <t>PROPOSED ACCOUNT 451 WORK REPORT</t>
  </si>
  <si>
    <t>DATA RECEIVED FROM GULF PRICING ON ANALYSIS OF PROPOSED REVENUE BY RATE</t>
  </si>
  <si>
    <t>DATA RECEIVED FROM RWG ON ANALYSIS OF PROPOSED REVENUE BY RATE</t>
  </si>
  <si>
    <t xml:space="preserve">    AFTER HOURS  FEE - CACC</t>
  </si>
  <si>
    <t xml:space="preserve">    INACCURATE METERING  FEE - CACC</t>
  </si>
  <si>
    <t xml:space="preserve">    CUST. RECONNEC. FEES - 586</t>
  </si>
  <si>
    <t xml:space="preserve">    CUST. RECONNEC. FEES-CACC</t>
  </si>
  <si>
    <t xml:space="preserve">    TOTAL CUST. RECONNEC. FEES</t>
  </si>
  <si>
    <t xml:space="preserve">    CUST. CONNEC. FEES - 586</t>
  </si>
  <si>
    <t xml:space="preserve">    CUST. CONNEC. FEES - CACC</t>
  </si>
  <si>
    <t xml:space="preserve">    INVESTIGATIVE CHGE - 586</t>
  </si>
  <si>
    <t xml:space="preserve">    INVESTIGATIVE CHGE - 587</t>
  </si>
  <si>
    <t xml:space="preserve">    INVESTIGATIVE CHGE - A&amp;G</t>
  </si>
  <si>
    <t xml:space="preserve">    INVESTIGATIVE CHGE - CACC</t>
  </si>
  <si>
    <t xml:space="preserve">    BAD CHECK FEES - CACC</t>
  </si>
  <si>
    <t xml:space="preserve">    ACCOUNT 586</t>
  </si>
  <si>
    <t xml:space="preserve">    ACCOUNT 587</t>
  </si>
  <si>
    <t xml:space="preserve">    A&amp;G</t>
  </si>
  <si>
    <t xml:space="preserve">    CUST. ACCOUNTING</t>
  </si>
  <si>
    <t>COMPONENT COSTS BY FUNCTION--RETAIL REVENUE REQUIREMENT</t>
  </si>
  <si>
    <t xml:space="preserve">    REVENUE REQUIREMENTS</t>
  </si>
  <si>
    <t xml:space="preserve">   INCLUDING REV. RELATED</t>
  </si>
  <si>
    <t xml:space="preserve">          (000's)</t>
  </si>
  <si>
    <t xml:space="preserve">    DEMAND COMPONENT</t>
  </si>
  <si>
    <t xml:space="preserve">          PRODUCTION</t>
  </si>
  <si>
    <t xml:space="preserve">          TRANSMISSION</t>
  </si>
  <si>
    <t xml:space="preserve">          DISTRIBUTION</t>
  </si>
  <si>
    <t xml:space="preserve">    TOTAL</t>
  </si>
  <si>
    <t xml:space="preserve">    ENERGY COMPONENT</t>
  </si>
  <si>
    <t xml:space="preserve">      BILLING DETERMINANTS</t>
  </si>
  <si>
    <t xml:space="preserve">          DEMAND (KW)</t>
  </si>
  <si>
    <t xml:space="preserve">          100% RATCHED DEMAND (KW)</t>
  </si>
  <si>
    <t xml:space="preserve">          ENERGY (MWH)</t>
  </si>
  <si>
    <t xml:space="preserve">  TOTAL REVENUE REQUIREMENT</t>
  </si>
  <si>
    <t xml:space="preserve">   UNIT REVENUE REQUIREMENT</t>
  </si>
  <si>
    <t xml:space="preserve">         RETAIL RATES</t>
  </si>
  <si>
    <t xml:space="preserve">          RETAIL RATES</t>
  </si>
  <si>
    <t xml:space="preserve">           (000's $)</t>
  </si>
  <si>
    <t xml:space="preserve">      PRODUCTION DEMAND RELATED</t>
  </si>
  <si>
    <t xml:space="preserve">      TRANSMISSION DEMAND RELATED </t>
  </si>
  <si>
    <t xml:space="preserve">    SUBTOTAL</t>
  </si>
  <si>
    <t xml:space="preserve">      DISTRIBUTION DEMAND RELATED</t>
  </si>
  <si>
    <t xml:space="preserve">   ANNUAL BILLING DETERMINANTS (NCP)</t>
  </si>
  <si>
    <t xml:space="preserve">   PRODUCTION AND TRANSMISSION UNIT</t>
  </si>
  <si>
    <t xml:space="preserve">   REVENUE REQ. PER BILLING KW ($/KW)</t>
  </si>
  <si>
    <t xml:space="preserve">  DISTRIBUTION UNIT REVENUE</t>
  </si>
  <si>
    <t xml:space="preserve">        REQ. PER BILLING KW ($/KW) - RATE GSD</t>
  </si>
  <si>
    <t xml:space="preserve">          RATE LP &amp; LPT</t>
  </si>
  <si>
    <t xml:space="preserve">          RATE PXT</t>
  </si>
  <si>
    <t xml:space="preserve">  ENERGY COMPONENT</t>
  </si>
  <si>
    <t xml:space="preserve">  ANNUAL BILLING MWH</t>
  </si>
  <si>
    <t xml:space="preserve">  ENERGY UNIT REVENUE</t>
  </si>
  <si>
    <t xml:space="preserve">        REQUIREMENT PER BILLING KWH ($/KWH)</t>
  </si>
  <si>
    <t xml:space="preserve">  12MCP KW AT THE METER</t>
  </si>
  <si>
    <t xml:space="preserve">  PRODUCTION FUNCTION</t>
  </si>
  <si>
    <t xml:space="preserve">        REVENUE REQ. PER 12 MCP PER MONTH ($/KW)</t>
  </si>
  <si>
    <t xml:space="preserve">  TRANSMISSION FUNCTION</t>
  </si>
  <si>
    <t xml:space="preserve">         REVENUE REQ. PER 12 MCP PER MONTH ($/KW)</t>
  </si>
  <si>
    <t xml:space="preserve">  PRODUCTION AND TRANSMISSION FUNCTION</t>
  </si>
  <si>
    <t>Cost of Service Data</t>
  </si>
  <si>
    <t>ANALYSIS OF MATERIALS AND SUPPLIES WORK REPORT</t>
  </si>
  <si>
    <t>Functional Percentage of M&amp;S Balances</t>
  </si>
  <si>
    <t>FI 20 (b)</t>
  </si>
  <si>
    <t>December 31, 2010</t>
  </si>
  <si>
    <t>TRANS. *</t>
  </si>
  <si>
    <t>CUST.</t>
  </si>
  <si>
    <t>Class</t>
  </si>
  <si>
    <t>Description</t>
  </si>
  <si>
    <t>Production</t>
  </si>
  <si>
    <t>Transmission</t>
  </si>
  <si>
    <t>Distribution</t>
  </si>
  <si>
    <t>Other</t>
  </si>
  <si>
    <t>PROD.</t>
  </si>
  <si>
    <t>TRANS.</t>
  </si>
  <si>
    <t>LINES</t>
  </si>
  <si>
    <t>SUBS</t>
  </si>
  <si>
    <t>DIST.</t>
  </si>
  <si>
    <t>ACCTS.</t>
  </si>
  <si>
    <t>ASST.</t>
  </si>
  <si>
    <t>M&amp;S</t>
  </si>
  <si>
    <t>22-27, 29, 30, 31, 90-96</t>
  </si>
  <si>
    <t>Plant Repair Parts</t>
  </si>
  <si>
    <t>20</t>
  </si>
  <si>
    <t>Safety Supplies</t>
  </si>
  <si>
    <t xml:space="preserve">  GENERAL PLANT REPAIRS</t>
  </si>
  <si>
    <t>07</t>
  </si>
  <si>
    <t>Poles &amp; Arms</t>
  </si>
  <si>
    <t>08</t>
  </si>
  <si>
    <t>Insulators</t>
  </si>
  <si>
    <t xml:space="preserve">  POLES &amp; ARMS (364)</t>
  </si>
  <si>
    <t>05</t>
  </si>
  <si>
    <t>Duct Lines and Manhole Materials</t>
  </si>
  <si>
    <t>01-03</t>
  </si>
  <si>
    <t>Wire &amp; Cable</t>
  </si>
  <si>
    <t xml:space="preserve">  INSULATORS (365)</t>
  </si>
  <si>
    <t>06</t>
  </si>
  <si>
    <t>Line Hardware</t>
  </si>
  <si>
    <t>09</t>
  </si>
  <si>
    <t>Protective &amp; Sectionalizing Equip.</t>
  </si>
  <si>
    <t xml:space="preserve">  DUCT LINES (366)</t>
  </si>
  <si>
    <t>10</t>
  </si>
  <si>
    <t>Metering Equipment</t>
  </si>
  <si>
    <t>11</t>
  </si>
  <si>
    <t>Street Lighting Equipment</t>
  </si>
  <si>
    <t xml:space="preserve">  WIRE &amp; CABLE (365 &amp; 367)</t>
  </si>
  <si>
    <t>04, 12-14, 17, 19</t>
  </si>
  <si>
    <t>Other Electric Dept. Supplies</t>
  </si>
  <si>
    <t>16</t>
  </si>
  <si>
    <t>Auto Repair Parts and Supplies</t>
  </si>
  <si>
    <t xml:space="preserve">  LINE HARDWARE (365)</t>
  </si>
  <si>
    <t>78</t>
  </si>
  <si>
    <t>Advanced Energy Management Eq.</t>
  </si>
  <si>
    <t xml:space="preserve">  PROT. &amp; SECT. EQUIP. (365)</t>
  </si>
  <si>
    <t xml:space="preserve">  METERING EQUIP. (370)</t>
  </si>
  <si>
    <t xml:space="preserve">  STREET LIGHTING EQUIP. (373)</t>
  </si>
  <si>
    <t xml:space="preserve">  OTHER ELECTRIC SUPPLIES</t>
  </si>
  <si>
    <t>Percentage of M&amp;S Balances Applicable to Transmission Lines and Substations</t>
  </si>
  <si>
    <t>FI 20 (c)</t>
  </si>
  <si>
    <t xml:space="preserve">  AEM EQUIPMENT</t>
  </si>
  <si>
    <t xml:space="preserve">  AUTO REPAIR PARTS</t>
  </si>
  <si>
    <t xml:space="preserve">  MEDICAL SUPPLIES</t>
  </si>
  <si>
    <t>115/230/500 KV</t>
  </si>
  <si>
    <t>44/69 KV</t>
  </si>
  <si>
    <t xml:space="preserve">Lines </t>
  </si>
  <si>
    <t>Lines</t>
  </si>
  <si>
    <t>Substations</t>
  </si>
  <si>
    <t xml:space="preserve">  TOTAL MATERIAL &amp; SUPPLIES</t>
  </si>
  <si>
    <t>GENERAL PLANT REPAIR PARTS</t>
  </si>
  <si>
    <t>POLES &amp; ARMS (364)</t>
  </si>
  <si>
    <t>LINES (365)</t>
  </si>
  <si>
    <t>ACCOUNTS 365 &amp; 367</t>
  </si>
  <si>
    <t>AEM EQUIPMENT</t>
  </si>
  <si>
    <t>ACCOUNT 366</t>
  </si>
  <si>
    <t>TOTAL DEMAND RELATED</t>
  </si>
  <si>
    <t>OTHER ELECTRIC SUPPLIES</t>
  </si>
  <si>
    <t>AUTO REPAIR PARTS</t>
  </si>
  <si>
    <t>MEDICAL SUPPLIES</t>
  </si>
  <si>
    <t>TOTAL OTHER SUPPLIES</t>
  </si>
  <si>
    <t xml:space="preserve">  *  TRANS. M&amp;S IS SPLIT TO LINES &amp; SUBS ON FI 20 P. 3 OF 4  FI 20(c).</t>
  </si>
  <si>
    <t>PROPERTY INSURANCE EXPENSE WORK REPORT</t>
  </si>
  <si>
    <t>NET OF</t>
  </si>
  <si>
    <t>NET</t>
  </si>
  <si>
    <t>FUNCTION</t>
  </si>
  <si>
    <t>S &amp; W</t>
  </si>
  <si>
    <t>PROP. INS. *</t>
  </si>
  <si>
    <t>UPS *</t>
  </si>
  <si>
    <t>ACCT 924</t>
  </si>
  <si>
    <t xml:space="preserve">  PRODUCTION</t>
  </si>
  <si>
    <t xml:space="preserve">  TRANSMISSION</t>
  </si>
  <si>
    <t xml:space="preserve">  DISTRIBUTION</t>
  </si>
  <si>
    <t xml:space="preserve">  CUST. ACCTS.</t>
  </si>
  <si>
    <t xml:space="preserve">  CUST. ASST.</t>
  </si>
  <si>
    <t xml:space="preserve">  GENERAL</t>
  </si>
  <si>
    <t xml:space="preserve">  TOTAL</t>
  </si>
  <si>
    <t xml:space="preserve">  *  GENERAL ALLOC. PER APPROPRIATE S &amp; W.</t>
  </si>
  <si>
    <t>REAL &amp; PERSONAL PROPERTY TAX  WORK REPORT</t>
  </si>
  <si>
    <t>NOI ADJUST.</t>
  </si>
  <si>
    <t>PROP.</t>
  </si>
  <si>
    <t>M &amp; S</t>
  </si>
  <si>
    <t># 29 &amp; 32</t>
  </si>
  <si>
    <t>TAXES</t>
  </si>
  <si>
    <t>TO FUNC.</t>
  </si>
  <si>
    <t>PROP. TXS. *</t>
  </si>
  <si>
    <t>ECCR &amp; CCR</t>
  </si>
  <si>
    <t>PROP. TAXES</t>
  </si>
  <si>
    <t xml:space="preserve">  M &amp; S</t>
  </si>
  <si>
    <t>PAYROLL TAXES WORK REPORT</t>
  </si>
  <si>
    <t>ALLOC.</t>
  </si>
  <si>
    <t>ECCR</t>
  </si>
  <si>
    <t>NET CO.</t>
  </si>
  <si>
    <t>PAYROLL</t>
  </si>
  <si>
    <t>GENERAL</t>
  </si>
  <si>
    <t xml:space="preserve">  ECCR</t>
  </si>
  <si>
    <t>UPS TRANS. O &amp; M ALLOCATION</t>
  </si>
  <si>
    <t>TOTAL CO.</t>
  </si>
  <si>
    <t>ALLOC. UPS</t>
  </si>
  <si>
    <t>SUBTOTAL</t>
  </si>
  <si>
    <t>SCH. E</t>
  </si>
  <si>
    <t>TOTAL UPS</t>
  </si>
  <si>
    <t>TRAN. O &amp; M</t>
  </si>
  <si>
    <t>ASSIGNED</t>
  </si>
  <si>
    <t>TOTAL ALLOC.</t>
  </si>
  <si>
    <t>BAY CO. &amp; AEC</t>
  </si>
  <si>
    <t xml:space="preserve">Portion of </t>
  </si>
  <si>
    <t>ACCOUNT</t>
  </si>
  <si>
    <t>COMPANY</t>
  </si>
  <si>
    <t>RELATED</t>
  </si>
  <si>
    <t>&amp; ASSIGNED</t>
  </si>
  <si>
    <t>REV. CREDIT</t>
  </si>
  <si>
    <t>INCL. REV. CR.</t>
  </si>
  <si>
    <t>NOI Adj. # 17</t>
  </si>
  <si>
    <t xml:space="preserve">    561</t>
  </si>
  <si>
    <t xml:space="preserve">    562</t>
  </si>
  <si>
    <t xml:space="preserve">    563</t>
  </si>
  <si>
    <t xml:space="preserve">    564</t>
  </si>
  <si>
    <t xml:space="preserve">    565</t>
  </si>
  <si>
    <t xml:space="preserve">    560</t>
  </si>
  <si>
    <t xml:space="preserve">    566</t>
  </si>
  <si>
    <t xml:space="preserve">    567</t>
  </si>
  <si>
    <t xml:space="preserve">  TOTAL OPERATING EXP.</t>
  </si>
  <si>
    <t xml:space="preserve">    569</t>
  </si>
  <si>
    <t xml:space="preserve">    570</t>
  </si>
  <si>
    <t xml:space="preserve">    571</t>
  </si>
  <si>
    <t xml:space="preserve">    568</t>
  </si>
  <si>
    <t xml:space="preserve">    573</t>
  </si>
  <si>
    <t xml:space="preserve">  TOTAL MAINTENANCE EXP.</t>
  </si>
  <si>
    <t xml:space="preserve">  TOTAL TRANSMISSION O&amp;M</t>
  </si>
  <si>
    <t>WORKSHEETS FOR FI-15 &amp; FI-17</t>
  </si>
  <si>
    <t>Total Co.</t>
  </si>
  <si>
    <t>Incl. UPS</t>
  </si>
  <si>
    <t>FUNCTION:</t>
  </si>
  <si>
    <t>Excl. A &amp; G</t>
  </si>
  <si>
    <t>CUSTOMER ACCOUNTING</t>
  </si>
  <si>
    <t>CUSTOMER ASSISTANCE &amp; SALES</t>
  </si>
  <si>
    <t>INJURIES &amp; DAMAGES RESERVE</t>
  </si>
  <si>
    <t>TOTAL*</t>
  </si>
  <si>
    <t>OTHER INVESTMENTS</t>
  </si>
  <si>
    <t>TOTAL**</t>
  </si>
  <si>
    <t>* Totals per FI-15, allocated per S &amp; W</t>
  </si>
  <si>
    <t>** Totals per FI-17, allocated per S &amp; W</t>
  </si>
  <si>
    <t>UPS allocated per S &amp; W</t>
  </si>
  <si>
    <t>FX -06 WORK PAPER NET UPS</t>
  </si>
  <si>
    <t>$</t>
  </si>
  <si>
    <t>PERCENT</t>
  </si>
  <si>
    <t>AMOUNT</t>
  </si>
  <si>
    <t>OF P. T. D.</t>
  </si>
  <si>
    <t>NET OF UPS</t>
  </si>
  <si>
    <t>CUSTOMER SERVICE &amp; SALES</t>
  </si>
  <si>
    <t>ADMIN. &amp; GENERAL</t>
  </si>
  <si>
    <t>ECRC-A&amp;G</t>
  </si>
  <si>
    <t>ECRC - PRODUCTION</t>
  </si>
  <si>
    <t>FI-13 WORK PAPER (WORK NOT BEARING INTEREST)</t>
  </si>
  <si>
    <t>ALLOCATED</t>
  </si>
  <si>
    <t>000'S</t>
  </si>
  <si>
    <t>GEN. PLT.</t>
  </si>
  <si>
    <t>Scherer 3 - UPS</t>
  </si>
  <si>
    <t>ALLOCATE GEN. PLT. TO PROD. ,TRANS. &amp; DIST. ON SALARIES &amp; WAGES</t>
  </si>
  <si>
    <t xml:space="preserve">     GULF POWER COMPANY</t>
  </si>
  <si>
    <t xml:space="preserve">     DISTRIBUTION</t>
  </si>
  <si>
    <t xml:space="preserve">     CUSTOMER / DEMAND SPLITS</t>
  </si>
  <si>
    <t>LEVEL F</t>
  </si>
  <si>
    <t>LEVEL G</t>
  </si>
  <si>
    <t>CUSTOMER</t>
  </si>
  <si>
    <t>DEMAND</t>
  </si>
  <si>
    <t>---------</t>
  </si>
  <si>
    <t>--------</t>
  </si>
  <si>
    <t>------</t>
  </si>
  <si>
    <t>-----</t>
  </si>
  <si>
    <t>364</t>
  </si>
  <si>
    <t>365</t>
  </si>
  <si>
    <t>366</t>
  </si>
  <si>
    <t>367</t>
  </si>
  <si>
    <t>368</t>
  </si>
  <si>
    <t>Gulf Power Company</t>
  </si>
  <si>
    <t xml:space="preserve">Source: </t>
  </si>
  <si>
    <t>GPC Response to Staff POD 20</t>
  </si>
  <si>
    <t>Level 4 Customer</t>
  </si>
  <si>
    <t>Level 5 Customer</t>
  </si>
  <si>
    <t>Customer Allocated</t>
  </si>
  <si>
    <t>Level 4 Common</t>
  </si>
  <si>
    <t>Level 5 Common</t>
  </si>
  <si>
    <t>Mississippi Power Company</t>
  </si>
  <si>
    <t>Northern States Power Company</t>
  </si>
  <si>
    <t>Niagara Mohawk</t>
  </si>
  <si>
    <t>Minnesota Power</t>
  </si>
  <si>
    <t>Progress Energy Carolina</t>
  </si>
  <si>
    <t>Ameren Missouri</t>
  </si>
  <si>
    <t>Central Hudson Gas &amp; Electric Company</t>
  </si>
  <si>
    <t>Denotes Southern Company affiliate.</t>
  </si>
  <si>
    <t>18117 &amp; 18416</t>
  </si>
  <si>
    <t>110138-EI</t>
  </si>
  <si>
    <t>FERC Account No.</t>
  </si>
  <si>
    <t xml:space="preserve">  TOTAL GROSS PLANT</t>
  </si>
  <si>
    <t xml:space="preserve">    WHOLESALE BLOCK POWER SALES</t>
  </si>
  <si>
    <t xml:space="preserve">    DALTON</t>
  </si>
  <si>
    <t xml:space="preserve">    UNIT POWER SALES</t>
  </si>
  <si>
    <t xml:space="preserve">  GROSS PLANT</t>
  </si>
  <si>
    <t xml:space="preserve">  TOTAL GROSS PLANT ARO</t>
  </si>
  <si>
    <t xml:space="preserve">    ARO GROSS PLANT - GENERAL</t>
  </si>
  <si>
    <t xml:space="preserve">    ARO GROSS PLANT - DISTRIBUTION</t>
  </si>
  <si>
    <t xml:space="preserve">    ARO GROSS PLANT - TRANSMISSION</t>
  </si>
  <si>
    <t xml:space="preserve">    ARO GROSS PLANT - HYDRO</t>
  </si>
  <si>
    <t xml:space="preserve">    ARO GROSS PLANT - NUCLEAR</t>
  </si>
  <si>
    <t xml:space="preserve">    ARO GROSS PLANT - STEAM</t>
  </si>
  <si>
    <t>-------------------------------------------------------</t>
  </si>
  <si>
    <t xml:space="preserve">  ASSET RETIREMENT OBLIGATION - ARO</t>
  </si>
  <si>
    <t xml:space="preserve">  TOTAL INTANGIBLE PLANT</t>
  </si>
  <si>
    <t xml:space="preserve">  INTANGIBLE PLANT</t>
  </si>
  <si>
    <t xml:space="preserve">    SALES</t>
  </si>
  <si>
    <t xml:space="preserve">    CUSTOMER ACCOUNTING</t>
  </si>
  <si>
    <t xml:space="preserve">  INTANGIBLE PLANT </t>
  </si>
  <si>
    <t xml:space="preserve">  GENERAL PLANT</t>
  </si>
  <si>
    <t xml:space="preserve">  TOTAL DISTRIBUTION PLANT</t>
  </si>
  <si>
    <t xml:space="preserve">    ACCOUNT 373 - STREET LIGHT</t>
  </si>
  <si>
    <t xml:space="preserve">    ACCOUNT 372 - LEASED PROP.</t>
  </si>
  <si>
    <t xml:space="preserve">    ACCOUNT 371 - INST ON CUST PREM.</t>
  </si>
  <si>
    <t xml:space="preserve">    TOTAL ACCOUNT 370</t>
  </si>
  <si>
    <t xml:space="preserve">      THREE PHASE METERS</t>
  </si>
  <si>
    <t xml:space="preserve">      SINGLE PHASE METERS</t>
  </si>
  <si>
    <t xml:space="preserve">    ACCOUNT 370 - METERS</t>
  </si>
  <si>
    <t xml:space="preserve">      TOTAL PAD SERVICE</t>
  </si>
  <si>
    <t xml:space="preserve">        4 WIRE</t>
  </si>
  <si>
    <t xml:space="preserve">        2 AND 3 WIRE</t>
  </si>
  <si>
    <t xml:space="preserve">      PAD SERVICE</t>
  </si>
  <si>
    <t xml:space="preserve">      TOTAL OVERHEAD SERVICE</t>
  </si>
  <si>
    <t xml:space="preserve">      OVERHEAD SERVICE</t>
  </si>
  <si>
    <t xml:space="preserve">      POWER PANELS</t>
  </si>
  <si>
    <t xml:space="preserve">    ACCOUNT 369 - SERVICES</t>
  </si>
  <si>
    <t xml:space="preserve">             OVERHEAD THREE PHASE</t>
  </si>
  <si>
    <t xml:space="preserve">             OVERHEAD SINGLE PHASE</t>
  </si>
  <si>
    <t xml:space="preserve">             PAD MOUNTED THREE PHASE</t>
  </si>
  <si>
    <t xml:space="preserve">             PAD MOUNTED SINGLE PHASE</t>
  </si>
  <si>
    <t xml:space="preserve">    ACCOUNT 368 - LINE TRANSFORMERS</t>
  </si>
  <si>
    <t xml:space="preserve">    ACCOUNT 367 - UNDG. CONDUCTORS</t>
  </si>
  <si>
    <t xml:space="preserve">    ACCOUNT 365 - OVHD. CONDUCTORS</t>
  </si>
  <si>
    <t xml:space="preserve">        LEVEL E</t>
  </si>
  <si>
    <t xml:space="preserve">        LEVEL D</t>
  </si>
  <si>
    <t xml:space="preserve">        LEVEL C</t>
  </si>
  <si>
    <t xml:space="preserve">    ACCOUNT 362 - STATION EQUIPMENT</t>
  </si>
  <si>
    <t xml:space="preserve">        LEVEL F </t>
  </si>
  <si>
    <t xml:space="preserve">    ACCOUNT 361 - STRUCTURES</t>
  </si>
  <si>
    <t xml:space="preserve">      LINES - LEVEL F</t>
  </si>
  <si>
    <t xml:space="preserve">      TOTAL SUBSTATIONS</t>
  </si>
  <si>
    <t xml:space="preserve">      SUBSTATIONS</t>
  </si>
  <si>
    <t xml:space="preserve">    ACCOUNT 360 - LAND</t>
  </si>
  <si>
    <t xml:space="preserve">  DISTRIBUTION PLANT</t>
  </si>
  <si>
    <t xml:space="preserve">  TOTAL TRANSMISSION PLANT</t>
  </si>
  <si>
    <t xml:space="preserve">  TRANSMISSION PLANT</t>
  </si>
  <si>
    <t xml:space="preserve">    REMOVE UPS OTHER TRANS.</t>
  </si>
  <si>
    <t xml:space="preserve">    REMOVE UPS B-1 </t>
  </si>
  <si>
    <t xml:space="preserve">    TOTAL ACCOUNT 359</t>
  </si>
  <si>
    <t xml:space="preserve">      LEVEL D</t>
  </si>
  <si>
    <t xml:space="preserve">      LEVEL B-2</t>
  </si>
  <si>
    <t xml:space="preserve">    ACCOUNT 359 - ROADS &amp; TRAILS</t>
  </si>
  <si>
    <t xml:space="preserve">    TOTAL ACCOUNT 358</t>
  </si>
  <si>
    <t xml:space="preserve">    ACCOUNT 358 - UNDG. CONDUCTORS</t>
  </si>
  <si>
    <t xml:space="preserve">    TOTAL ACCOUNT 357</t>
  </si>
  <si>
    <t xml:space="preserve">    ACCOUNT 357 - UNDG. CONDUIT</t>
  </si>
  <si>
    <t xml:space="preserve">    TOTAL ACCOUNT 356</t>
  </si>
  <si>
    <t xml:space="preserve">    ACCOUNT 356 - OVHD. CONDUCTORS</t>
  </si>
  <si>
    <t xml:space="preserve">    TOTAL ACCOUNT 355</t>
  </si>
  <si>
    <t xml:space="preserve">    ACCOUNT 355 - POLES &amp; FIXTURES</t>
  </si>
  <si>
    <t xml:space="preserve">    TOTAL ACCOUNT 354</t>
  </si>
  <si>
    <t xml:space="preserve">    ACCOUNT 354 - TOWERS &amp; FIXTURES</t>
  </si>
  <si>
    <t xml:space="preserve">    TOTAL ACCOUNTS 352 &amp; 353</t>
  </si>
  <si>
    <t xml:space="preserve">      LEVEL F</t>
  </si>
  <si>
    <t xml:space="preserve">      LEVEL E</t>
  </si>
  <si>
    <t xml:space="preserve">      LEVEL C</t>
  </si>
  <si>
    <t xml:space="preserve">      LEVEL B-1</t>
  </si>
  <si>
    <t xml:space="preserve">    ACCOUNTS 352 &amp; 353</t>
  </si>
  <si>
    <t xml:space="preserve">    TOTAL ACCOUNT 350</t>
  </si>
  <si>
    <t xml:space="preserve">      TOTAL LINES</t>
  </si>
  <si>
    <t xml:space="preserve">        LEVEL B-2</t>
  </si>
  <si>
    <t xml:space="preserve">      LINES</t>
  </si>
  <si>
    <t xml:space="preserve">    ACCOUNT 350 - LAND</t>
  </si>
  <si>
    <t xml:space="preserve">  PRODUCTION PLANT</t>
  </si>
  <si>
    <t xml:space="preserve">    TOTAL EQUIPMENT</t>
  </si>
  <si>
    <t xml:space="preserve">      OTHER</t>
  </si>
  <si>
    <t xml:space="preserve">      HYDRO</t>
  </si>
  <si>
    <t xml:space="preserve">      NUCLEAR</t>
  </si>
  <si>
    <t xml:space="preserve">      STEAM</t>
  </si>
  <si>
    <t xml:space="preserve">    EQUIPMENT</t>
  </si>
  <si>
    <t xml:space="preserve">    TOTAL LAND</t>
  </si>
  <si>
    <t xml:space="preserve">    LAND</t>
  </si>
  <si>
    <t>MARGINAL</t>
  </si>
  <si>
    <t>LIGHTING</t>
  </si>
  <si>
    <t>INSTITUTION</t>
  </si>
  <si>
    <t>AGRICULTURAL</t>
  </si>
  <si>
    <t>BUSINESS</t>
  </si>
  <si>
    <t>DOMESTIC</t>
  </si>
  <si>
    <t>GROSS PLANT</t>
  </si>
  <si>
    <t>ALL OTHER</t>
  </si>
  <si>
    <t>GOVERNMENT/</t>
  </si>
  <si>
    <t>LARGE</t>
  </si>
  <si>
    <t>MEDIUM</t>
  </si>
  <si>
    <t>SMALL</t>
  </si>
  <si>
    <t>SCHEDULE 2.00 - ANALYSIS OF GROSS PLANT  (AMOUNTS IN THOUSANDS)</t>
  </si>
  <si>
    <t>COST OF SERVICE STUDY FOR TEST YEAR ENDING JULY 31, 2011</t>
  </si>
  <si>
    <t>GEORGIA POWER COMPANY</t>
  </si>
  <si>
    <t>E002/GR-10-971</t>
  </si>
  <si>
    <t>May 2010</t>
  </si>
  <si>
    <t>Docket No. 10-E-0050</t>
  </si>
  <si>
    <t xml:space="preserve">Total Account 364 </t>
  </si>
  <si>
    <t>Total Account 366</t>
  </si>
  <si>
    <t>Utilities that Classify a Portion of their Distribution Network Investment as Customer-Related</t>
  </si>
  <si>
    <t>10-E-0050</t>
  </si>
  <si>
    <t>D-31958</t>
  </si>
  <si>
    <t xml:space="preserve">364-POLES AND FIXTURES </t>
  </si>
  <si>
    <t xml:space="preserve">LEVEL 4 COMMON </t>
  </si>
  <si>
    <t xml:space="preserve">LEVEL 4 CUSTOMER· OTHER </t>
  </si>
  <si>
    <t xml:space="preserve">LEVEL 4 CUSTOMER· STREET LIGHTING </t>
  </si>
  <si>
    <t xml:space="preserve">TOTAL ACCOUNT 364 </t>
  </si>
  <si>
    <t xml:space="preserve">LEVEL 4 CUSTOMER </t>
  </si>
  <si>
    <t xml:space="preserve">LEVEL 5 COMMON </t>
  </si>
  <si>
    <t xml:space="preserve">LEVEL 5 CUSTOMER </t>
  </si>
  <si>
    <t xml:space="preserve">TOTAL ACCOUNT 365 </t>
  </si>
  <si>
    <t xml:space="preserve">366-UNDERGROUND CONDUIT </t>
  </si>
  <si>
    <t xml:space="preserve">TRANSFORMER VAULTS </t>
  </si>
  <si>
    <t xml:space="preserve">TOTAL ACCOUNT 386 </t>
  </si>
  <si>
    <t xml:space="preserve">367-UNDERGROUND CONDo </t>
  </si>
  <si>
    <t xml:space="preserve">TOTAL ACCOUNT 367 </t>
  </si>
  <si>
    <t xml:space="preserve">368·L1NE TRANSFORMERS </t>
  </si>
  <si>
    <t xml:space="preserve">OVERHEAD SINGLE PHASE </t>
  </si>
  <si>
    <t xml:space="preserve">PAD MOUNT SINGLE PHASE </t>
  </si>
  <si>
    <t xml:space="preserve">PAD MOUNT THREE PHASE </t>
  </si>
  <si>
    <t xml:space="preserve">TOTAL LEVEL 5 COMMON </t>
  </si>
  <si>
    <t xml:space="preserve">TOTAL LEVEL 5 CUSTOMER </t>
  </si>
  <si>
    <t xml:space="preserve">VAULT TRANSFORMERS </t>
  </si>
  <si>
    <t xml:space="preserve">TOTAL ACCOUNT 368 </t>
  </si>
  <si>
    <t xml:space="preserve">365 OVERHEADCONDUCTORS </t>
  </si>
  <si>
    <t>Total Cust %</t>
  </si>
  <si>
    <t>368 Cust %</t>
  </si>
  <si>
    <t>366 &amp; 367 Cust %</t>
  </si>
  <si>
    <t>364 &amp; 365 Cust %</t>
  </si>
  <si>
    <t>Source:  MN Power COSS pg 179</t>
  </si>
  <si>
    <t>368 Total</t>
  </si>
  <si>
    <t>366 &amp; 367 Total</t>
  </si>
  <si>
    <t>364 &amp; 365 Total</t>
  </si>
  <si>
    <t>Total Cust</t>
  </si>
  <si>
    <t>368 Cust</t>
  </si>
  <si>
    <t>366 &amp; 367 Cust</t>
  </si>
  <si>
    <t>364 &amp; 365 Cust</t>
  </si>
  <si>
    <t>7 TOTAL DISTRIBUTION PLANT</t>
  </si>
  <si>
    <t>DDPSADP</t>
  </si>
  <si>
    <t>6 DIST PRIMARY SPECIFIC ASSIGN</t>
  </si>
  <si>
    <t>DSUBSATP</t>
  </si>
  <si>
    <t>5 01ST BULK DEL SPECIFIC ASSIGN</t>
  </si>
  <si>
    <t>DDISPSUB</t>
  </si>
  <si>
    <t>4 DISTRIBUTION SUBSTATIONS</t>
  </si>
  <si>
    <t>DSUB46</t>
  </si>
  <si>
    <t>3 DISTRIBUTION BULK DELIVERY</t>
  </si>
  <si>
    <t>DPROD</t>
  </si>
  <si>
    <t>2 PRODUCTION - DEMAND</t>
  </si>
  <si>
    <t>CLIGHT</t>
  </si>
  <si>
    <t>1 STREET LIGHTING</t>
  </si>
  <si>
    <t>CDDISTSPLP</t>
  </si>
  <si>
    <t>33 LEASED PROPERTY</t>
  </si>
  <si>
    <t>CDISTPI</t>
  </si>
  <si>
    <t>32 CUSTOMER INSTALLATION</t>
  </si>
  <si>
    <t>CMETERS</t>
  </si>
  <si>
    <t>31 METERS</t>
  </si>
  <si>
    <t>CDISTSUS</t>
  </si>
  <si>
    <t>30 UNGRD SERVICES- GUST</t>
  </si>
  <si>
    <t>DDISTSUS</t>
  </si>
  <si>
    <t>29 UNGRD SERVICES. DEM</t>
  </si>
  <si>
    <t>CDISTSOS</t>
  </si>
  <si>
    <t>28 OVERHEAD SERVICES - CUST</t>
  </si>
  <si>
    <t>DDISTSOS</t>
  </si>
  <si>
    <t>27 OVHD SERVICES - DEMAND</t>
  </si>
  <si>
    <t>CDISTSUT</t>
  </si>
  <si>
    <t>26 UNGRD LINE TRANSFRMS - CUST</t>
  </si>
  <si>
    <t>DDISTSUT</t>
  </si>
  <si>
    <t>25 UNGRD LINE TRANSFRMS - DEM</t>
  </si>
  <si>
    <t>CDISTSOT</t>
  </si>
  <si>
    <t>24 OVHD LINE TRANSFRMS - CUST</t>
  </si>
  <si>
    <t>DDISTSOT</t>
  </si>
  <si>
    <t>23 OVHD LINE TRANSFRM - DEM</t>
  </si>
  <si>
    <t>CDISTSUL</t>
  </si>
  <si>
    <t>366 &amp; 367</t>
  </si>
  <si>
    <t>22 UNGRD LINES - CUST</t>
  </si>
  <si>
    <t>DDISTSUL</t>
  </si>
  <si>
    <t>21 UNGRD LINES - DEMAND</t>
  </si>
  <si>
    <t>CDISTSOL</t>
  </si>
  <si>
    <t>364 &amp; 365</t>
  </si>
  <si>
    <t>20 OVHD LINES - CUST</t>
  </si>
  <si>
    <t>DDISTSOL</t>
  </si>
  <si>
    <t>19 OVHD LINES- DEMAND</t>
  </si>
  <si>
    <t>SECONDARY</t>
  </si>
  <si>
    <t>CDISTPUL</t>
  </si>
  <si>
    <t>18 UNGRD LINES - CUST</t>
  </si>
  <si>
    <t>DDISTPUL</t>
  </si>
  <si>
    <t>17 UNGRD LINES - DEMAND</t>
  </si>
  <si>
    <t>CDISTPOL</t>
  </si>
  <si>
    <t>16 OVERHEAD LINES - CUST</t>
  </si>
  <si>
    <t>DDISTPOL</t>
  </si>
  <si>
    <t>15 OVERHEAD LINES - DEMAND</t>
  </si>
  <si>
    <t>Account</t>
  </si>
  <si>
    <t>PRIMARY</t>
  </si>
  <si>
    <t>Total Retail</t>
  </si>
  <si>
    <t>Total Company</t>
  </si>
  <si>
    <t>Development of Rate Base</t>
  </si>
  <si>
    <t>Compliance CCOSS</t>
  </si>
  <si>
    <t>Minnesota Power D-E-015 / GR-09-1151</t>
  </si>
  <si>
    <t xml:space="preserve">SUBSTATIONS </t>
  </si>
  <si>
    <t xml:space="preserve">Bulk </t>
  </si>
  <si>
    <t xml:space="preserve">Direct Assignment </t>
  </si>
  <si>
    <t xml:space="preserve">Sub-Total Substations </t>
  </si>
  <si>
    <t xml:space="preserve">OVERHEAD LINES </t>
  </si>
  <si>
    <t xml:space="preserve">Primary - Customer Comp </t>
  </si>
  <si>
    <t xml:space="preserve">TOTAL ACCOUNT 360 </t>
  </si>
  <si>
    <t xml:space="preserve">361-363 SUBSTATIONS </t>
  </si>
  <si>
    <t xml:space="preserve">TOTAL ACCOUNTS 361-363 </t>
  </si>
  <si>
    <t xml:space="preserve">364-365 OVERHEAD LINES </t>
  </si>
  <si>
    <t xml:space="preserve">PRIMARY FUNCTION </t>
  </si>
  <si>
    <t xml:space="preserve">Capacity Component </t>
  </si>
  <si>
    <t xml:space="preserve">SECONDARY FUNCTION </t>
  </si>
  <si>
    <t xml:space="preserve">Customer Component </t>
  </si>
  <si>
    <t xml:space="preserve">TOTAL ACCOUNTS 364-365 </t>
  </si>
  <si>
    <t xml:space="preserve">Primary Function </t>
  </si>
  <si>
    <t xml:space="preserve">Secondary Function </t>
  </si>
  <si>
    <t xml:space="preserve">TOTAL ACCOUNTS 366-367 </t>
  </si>
  <si>
    <t xml:space="preserve">368 - TRANSFORMERS </t>
  </si>
  <si>
    <t xml:space="preserve">Bulk Power Transmission </t>
  </si>
  <si>
    <r>
      <t xml:space="preserve">DISTRIBUTION </t>
    </r>
    <r>
      <rPr>
        <b/>
        <sz val="10"/>
        <color rgb="FF000000"/>
        <rFont val="Arial"/>
        <family val="2"/>
      </rPr>
      <t xml:space="preserve">PLANT </t>
    </r>
  </si>
  <si>
    <t xml:space="preserve">360 - LAND &amp; LAND RIGHTS </t>
  </si>
  <si>
    <t xml:space="preserve">366-367 UNDERGROUND liNES </t>
  </si>
  <si>
    <t>2009-489-E</t>
  </si>
  <si>
    <t>South Carolina Electric &amp; Gas Company</t>
  </si>
  <si>
    <t>D-E-015/GR-09-1151</t>
  </si>
  <si>
    <t>ER-2011-0028</t>
  </si>
  <si>
    <t>AMEREN MISSOURI CASE ER-2011-0028</t>
  </si>
  <si>
    <t>Plant</t>
  </si>
  <si>
    <t>NORB</t>
  </si>
  <si>
    <t>($1,000s)</t>
  </si>
  <si>
    <t>(%)</t>
  </si>
  <si>
    <t xml:space="preserve">$  173,205 </t>
  </si>
  <si>
    <t xml:space="preserve"> $    38,859 </t>
  </si>
  <si>
    <t xml:space="preserve">$  134,346 </t>
  </si>
  <si>
    <t xml:space="preserve">$  775,576 </t>
  </si>
  <si>
    <t xml:space="preserve"> $  314,020 </t>
  </si>
  <si>
    <t xml:space="preserve">$  461,557 </t>
  </si>
  <si>
    <t xml:space="preserve">$  186,409 </t>
  </si>
  <si>
    <t xml:space="preserve"> $  126,460 </t>
  </si>
  <si>
    <t xml:space="preserve">$    59,948 </t>
  </si>
  <si>
    <t xml:space="preserve">$  391,115 </t>
  </si>
  <si>
    <t xml:space="preserve"> $  265,334 </t>
  </si>
  <si>
    <t xml:space="preserve">$  125,781 </t>
  </si>
  <si>
    <t xml:space="preserve">$  283,119 </t>
  </si>
  <si>
    <t xml:space="preserve"> $  161,573 </t>
  </si>
  <si>
    <t xml:space="preserve">$  121,546 </t>
  </si>
  <si>
    <t>Account 364/365-Cust</t>
  </si>
  <si>
    <t>Account 366/367-Cust</t>
  </si>
  <si>
    <t>Total Account 364/365</t>
  </si>
  <si>
    <t>Total Account 366/367</t>
  </si>
  <si>
    <t>E-2,Sub 537A</t>
  </si>
  <si>
    <t>Sec Cust</t>
  </si>
  <si>
    <t>Sec UG lines</t>
  </si>
  <si>
    <t>Sec Demand</t>
  </si>
  <si>
    <t>Pri UG lines</t>
  </si>
  <si>
    <t>Pri Dmd</t>
  </si>
  <si>
    <t xml:space="preserve">Comparison UG lines allocation </t>
  </si>
  <si>
    <t>09-E-0588</t>
  </si>
  <si>
    <t>368 Line Transformers</t>
  </si>
  <si>
    <t>365 OH Conductors &amp; Devices</t>
  </si>
  <si>
    <t>366 UG Conduit</t>
  </si>
  <si>
    <t>367 UG Conductors &amp; Devices</t>
  </si>
  <si>
    <t>364 Poles, Towers &amp; Fixtures</t>
  </si>
  <si>
    <t>Primary Lines</t>
  </si>
  <si>
    <t>Line Transformers</t>
  </si>
  <si>
    <t>Secondary Lines</t>
  </si>
  <si>
    <t>Note 1</t>
  </si>
  <si>
    <t>Note 1:  Source: Gulf's Response to Staff's Sixth Request for Production of Documents, No. 22.</t>
  </si>
  <si>
    <t>Dec 2010</t>
  </si>
  <si>
    <t>Original Plant in Service</t>
  </si>
  <si>
    <t>Alloc</t>
  </si>
  <si>
    <t>Summer Peak</t>
  </si>
  <si>
    <t>D10S</t>
  </si>
  <si>
    <t>WInter Peak</t>
  </si>
  <si>
    <t>D10W</t>
  </si>
  <si>
    <t>Total Peak</t>
  </si>
  <si>
    <t>[D10C]</t>
  </si>
  <si>
    <t>Base Load</t>
  </si>
  <si>
    <t>E8760</t>
  </si>
  <si>
    <t>Nuclear Fuel</t>
  </si>
  <si>
    <t>Gen Step Up Base</t>
  </si>
  <si>
    <t>Gen Step Up Peak</t>
  </si>
  <si>
    <t>D10C</t>
  </si>
  <si>
    <t>Total Gen Step Up</t>
  </si>
  <si>
    <t>Bulk Transmission</t>
  </si>
  <si>
    <t>D10T</t>
  </si>
  <si>
    <t>Distrib Function</t>
  </si>
  <si>
    <t>D60Sub</t>
  </si>
  <si>
    <t>Direct Assign</t>
  </si>
  <si>
    <t>Dir Assign</t>
  </si>
  <si>
    <t>Distribution:</t>
  </si>
  <si>
    <t>Generat Step Up</t>
  </si>
  <si>
    <t>STRATH</t>
  </si>
  <si>
    <t>Overhead Lines</t>
  </si>
  <si>
    <t>Primary Capacity</t>
  </si>
  <si>
    <t>D61PS</t>
  </si>
  <si>
    <t>Primary Customer</t>
  </si>
  <si>
    <t>C61PS</t>
  </si>
  <si>
    <t>Total Primary</t>
  </si>
  <si>
    <t>Second Capacity</t>
  </si>
  <si>
    <t>D62SecL</t>
  </si>
  <si>
    <t>Second Customer</t>
  </si>
  <si>
    <t>C62Sec</t>
  </si>
  <si>
    <t>Total Secondary</t>
  </si>
  <si>
    <t>Street Lighting</t>
  </si>
  <si>
    <t>DASL</t>
  </si>
  <si>
    <t>Underground Lines</t>
  </si>
  <si>
    <t>NSP (MN) - Electric Utility - State of Minnesota  ($000)</t>
  </si>
  <si>
    <t>Page 4 - 2</t>
  </si>
  <si>
    <t>Page 4- 3</t>
  </si>
  <si>
    <t>Page 4</t>
  </si>
  <si>
    <t>Class Cost of Service Study: Proposed - Level CCOSS; TY2011</t>
  </si>
  <si>
    <t>1=2+3+10</t>
  </si>
  <si>
    <t>2</t>
  </si>
  <si>
    <t>3=4+5</t>
  </si>
  <si>
    <t>4</t>
  </si>
  <si>
    <t>5=6 to 9</t>
  </si>
  <si>
    <t>6</t>
  </si>
  <si>
    <t>7</t>
  </si>
  <si>
    <t>8</t>
  </si>
  <si>
    <t>9</t>
  </si>
  <si>
    <t>MN</t>
  </si>
  <si>
    <t>Res</t>
  </si>
  <si>
    <t>C&amp;I Tot</t>
  </si>
  <si>
    <t>Sm Non-D</t>
  </si>
  <si>
    <t>Second</t>
  </si>
  <si>
    <t>Tr Transf</t>
  </si>
  <si>
    <t>Trans</t>
  </si>
  <si>
    <t>St Ltg</t>
  </si>
</sst>
</file>

<file path=xl/styles.xml><?xml version="1.0" encoding="utf-8"?>
<styleSheet xmlns="http://schemas.openxmlformats.org/spreadsheetml/2006/main">
  <numFmts count="2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dd\-mmm\-yy_)"/>
    <numFmt numFmtId="167" formatCode="#,##0.0000000_);\(#,##0.0000000\)"/>
    <numFmt numFmtId="168" formatCode="_(* #,##0.000000000_);_(* \(#,##0.000000000\);_(* &quot;-&quot;??_);_(@_)"/>
    <numFmt numFmtId="169" formatCode="#,##0.000000_);\(#,##0.000000\)"/>
    <numFmt numFmtId="170" formatCode="#,##0.00000_);\(#,##0.00000\)"/>
    <numFmt numFmtId="171" formatCode=";;;"/>
    <numFmt numFmtId="172" formatCode="0_)"/>
    <numFmt numFmtId="173" formatCode="0.00000000_)"/>
    <numFmt numFmtId="174" formatCode="hh:mm\ AM/PM_)"/>
    <numFmt numFmtId="175" formatCode="#,##0.0000000000_);\(#,##0.0000000000\)"/>
    <numFmt numFmtId="176" formatCode="0.0000000%"/>
    <numFmt numFmtId="177" formatCode="0.00_)"/>
    <numFmt numFmtId="178" formatCode="0.0000000_)"/>
    <numFmt numFmtId="179" formatCode="mmmm\ d\,\ yyyy"/>
    <numFmt numFmtId="180" formatCode="0.000%"/>
    <numFmt numFmtId="181" formatCode="#,##0.0000_);\(#,##0.0000\)"/>
    <numFmt numFmtId="182" formatCode="#,##0.0_);\(#,##0.0\)"/>
    <numFmt numFmtId="183" formatCode="0.00_);\(0.00\)"/>
    <numFmt numFmtId="184" formatCode="_(* #,##0.0_);_(* \(#,##0.0\);_(* &quot;-&quot;??_);_(@_)"/>
  </numFmts>
  <fonts count="5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 MT"/>
    </font>
    <font>
      <u/>
      <sz val="10"/>
      <name val="Arial"/>
      <family val="2"/>
    </font>
    <font>
      <sz val="10"/>
      <color rgb="FF00B050"/>
      <name val="Arial"/>
      <family val="2"/>
    </font>
    <font>
      <b/>
      <sz val="10"/>
      <name val="Arial"/>
      <family val="2"/>
    </font>
    <font>
      <sz val="11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indexed="81"/>
      <name val="Arial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1"/>
      <color indexed="12"/>
      <name val="Arial"/>
      <family val="2"/>
    </font>
    <font>
      <sz val="11"/>
      <color indexed="17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b/>
      <sz val="8"/>
      <color indexed="81"/>
      <name val="Tahoma"/>
      <family val="2"/>
    </font>
    <font>
      <b/>
      <sz val="10"/>
      <color rgb="FF000000"/>
      <name val="Arial"/>
      <family val="2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9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12"/>
      </right>
      <top/>
      <bottom/>
      <diagonal/>
    </border>
  </borders>
  <cellStyleXfs count="17">
    <xf numFmtId="0" fontId="0" fillId="0" borderId="0"/>
    <xf numFmtId="43" fontId="13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37" fontId="19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37" fontId="31" fillId="0" borderId="0"/>
    <xf numFmtId="43" fontId="32" fillId="0" borderId="0" applyFont="0" applyFill="0" applyBorder="0" applyAlignment="0" applyProtection="0"/>
    <xf numFmtId="0" fontId="32" fillId="0" borderId="0"/>
    <xf numFmtId="0" fontId="4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0" fillId="0" borderId="2" xfId="0" applyBorder="1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0" fontId="0" fillId="0" borderId="0" xfId="0" applyNumberFormat="1"/>
    <xf numFmtId="10" fontId="10" fillId="0" borderId="0" xfId="0" applyNumberFormat="1" applyFont="1"/>
    <xf numFmtId="0" fontId="0" fillId="2" borderId="0" xfId="0" applyFill="1"/>
    <xf numFmtId="0" fontId="10" fillId="2" borderId="0" xfId="0" applyFont="1" applyFill="1"/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/>
    <xf numFmtId="0" fontId="0" fillId="3" borderId="0" xfId="0" applyFill="1"/>
    <xf numFmtId="10" fontId="10" fillId="3" borderId="0" xfId="0" applyNumberFormat="1" applyFont="1" applyFill="1"/>
    <xf numFmtId="0" fontId="12" fillId="3" borderId="0" xfId="0" applyFont="1" applyFill="1" applyAlignment="1">
      <alignment horizontal="center"/>
    </xf>
    <xf numFmtId="0" fontId="0" fillId="4" borderId="0" xfId="0" applyFill="1"/>
    <xf numFmtId="10" fontId="10" fillId="4" borderId="0" xfId="0" applyNumberFormat="1" applyFont="1" applyFill="1"/>
    <xf numFmtId="0" fontId="12" fillId="4" borderId="0" xfId="0" applyFont="1" applyFill="1" applyAlignment="1">
      <alignment horizontal="center"/>
    </xf>
    <xf numFmtId="0" fontId="0" fillId="5" borderId="0" xfId="0" applyFill="1"/>
    <xf numFmtId="0" fontId="10" fillId="5" borderId="0" xfId="0" applyFont="1" applyFill="1"/>
    <xf numFmtId="0" fontId="12" fillId="5" borderId="0" xfId="0" applyFont="1" applyFill="1" applyAlignment="1">
      <alignment horizontal="center"/>
    </xf>
    <xf numFmtId="0" fontId="0" fillId="5" borderId="0" xfId="0" applyFill="1" applyAlignment="1">
      <alignment horizontal="right"/>
    </xf>
    <xf numFmtId="10" fontId="10" fillId="5" borderId="0" xfId="0" applyNumberFormat="1" applyFont="1" applyFill="1"/>
    <xf numFmtId="0" fontId="0" fillId="6" borderId="0" xfId="0" applyFill="1"/>
    <xf numFmtId="10" fontId="10" fillId="6" borderId="0" xfId="0" applyNumberFormat="1" applyFont="1" applyFill="1"/>
    <xf numFmtId="0" fontId="12" fillId="6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10" fillId="6" borderId="0" xfId="0" applyFont="1" applyFill="1"/>
    <xf numFmtId="10" fontId="10" fillId="2" borderId="1" xfId="0" applyNumberFormat="1" applyFont="1" applyFill="1" applyBorder="1" applyAlignment="1">
      <alignment horizontal="center"/>
    </xf>
    <xf numFmtId="10" fontId="10" fillId="2" borderId="0" xfId="0" applyNumberFormat="1" applyFont="1" applyFill="1" applyBorder="1" applyAlignment="1">
      <alignment horizontal="center"/>
    </xf>
    <xf numFmtId="10" fontId="0" fillId="2" borderId="0" xfId="0" applyNumberFormat="1" applyFill="1"/>
    <xf numFmtId="10" fontId="10" fillId="2" borderId="2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2" borderId="2" xfId="0" applyFill="1" applyBorder="1"/>
    <xf numFmtId="0" fontId="9" fillId="0" borderId="0" xfId="2"/>
    <xf numFmtId="164" fontId="0" fillId="0" borderId="0" xfId="3" applyNumberFormat="1" applyFont="1"/>
    <xf numFmtId="165" fontId="0" fillId="0" borderId="0" xfId="4" applyNumberFormat="1" applyFont="1"/>
    <xf numFmtId="37" fontId="15" fillId="0" borderId="0" xfId="2" applyNumberFormat="1" applyFont="1"/>
    <xf numFmtId="37" fontId="15" fillId="0" borderId="0" xfId="2" applyNumberFormat="1" applyFont="1" applyProtection="1"/>
    <xf numFmtId="37" fontId="16" fillId="0" borderId="0" xfId="2" applyNumberFormat="1" applyFont="1"/>
    <xf numFmtId="10" fontId="15" fillId="0" borderId="0" xfId="3" applyNumberFormat="1" applyFont="1"/>
    <xf numFmtId="37" fontId="15" fillId="0" borderId="0" xfId="2" applyNumberFormat="1" applyFont="1" applyAlignment="1">
      <alignment horizontal="center"/>
    </xf>
    <xf numFmtId="165" fontId="0" fillId="5" borderId="0" xfId="1" applyNumberFormat="1" applyFont="1" applyFill="1"/>
    <xf numFmtId="165" fontId="0" fillId="3" borderId="0" xfId="1" applyNumberFormat="1" applyFont="1" applyFill="1"/>
    <xf numFmtId="165" fontId="0" fillId="6" borderId="0" xfId="1" applyNumberFormat="1" applyFont="1" applyFill="1"/>
    <xf numFmtId="165" fontId="0" fillId="2" borderId="0" xfId="1" applyNumberFormat="1" applyFont="1" applyFill="1"/>
    <xf numFmtId="0" fontId="9" fillId="0" borderId="0" xfId="2" applyBorder="1"/>
    <xf numFmtId="0" fontId="14" fillId="0" borderId="0" xfId="2" applyFont="1"/>
    <xf numFmtId="0" fontId="14" fillId="0" borderId="0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37" fontId="14" fillId="0" borderId="0" xfId="2" applyNumberFormat="1" applyFont="1" applyAlignment="1">
      <alignment horizontal="center" vertical="top"/>
    </xf>
    <xf numFmtId="37" fontId="14" fillId="0" borderId="0" xfId="2" applyNumberFormat="1" applyFont="1" applyBorder="1" applyAlignment="1">
      <alignment horizontal="center" vertical="top"/>
    </xf>
    <xf numFmtId="0" fontId="7" fillId="0" borderId="0" xfId="2" applyFont="1"/>
    <xf numFmtId="0" fontId="7" fillId="0" borderId="0" xfId="2" applyFont="1" applyAlignment="1"/>
    <xf numFmtId="0" fontId="9" fillId="0" borderId="0" xfId="2" applyAlignment="1"/>
    <xf numFmtId="0" fontId="14" fillId="0" borderId="0" xfId="2" applyFont="1" applyBorder="1" applyAlignment="1"/>
    <xf numFmtId="9" fontId="6" fillId="0" borderId="0" xfId="3" applyFont="1"/>
    <xf numFmtId="9" fontId="6" fillId="0" borderId="0" xfId="3" applyFont="1" applyBorder="1"/>
    <xf numFmtId="9" fontId="6" fillId="0" borderId="0" xfId="3" applyNumberFormat="1" applyFont="1"/>
    <xf numFmtId="9" fontId="6" fillId="0" borderId="0" xfId="3" applyNumberFormat="1" applyFont="1" applyBorder="1"/>
    <xf numFmtId="0" fontId="5" fillId="0" borderId="0" xfId="2" applyFont="1"/>
    <xf numFmtId="37" fontId="16" fillId="0" borderId="0" xfId="6" applyFont="1" applyFill="1" applyAlignment="1">
      <alignment horizontal="center"/>
    </xf>
    <xf numFmtId="37" fontId="16" fillId="0" borderId="0" xfId="6" applyFont="1" applyFill="1"/>
    <xf numFmtId="37" fontId="16" fillId="0" borderId="1" xfId="6" applyFont="1" applyFill="1" applyBorder="1" applyAlignment="1">
      <alignment horizontal="center"/>
    </xf>
    <xf numFmtId="37" fontId="20" fillId="0" borderId="0" xfId="6" applyFont="1" applyFill="1" applyAlignment="1">
      <alignment horizontal="center"/>
    </xf>
    <xf numFmtId="37" fontId="16" fillId="0" borderId="0" xfId="6" quotePrefix="1" applyNumberFormat="1" applyFont="1" applyFill="1" applyAlignment="1" applyProtection="1">
      <alignment horizontal="left"/>
    </xf>
    <xf numFmtId="37" fontId="16" fillId="0" borderId="0" xfId="6" quotePrefix="1" applyFont="1" applyFill="1" applyAlignment="1">
      <alignment horizontal="center"/>
    </xf>
    <xf numFmtId="37" fontId="16" fillId="0" borderId="0" xfId="6" quotePrefix="1" applyFont="1" applyFill="1" applyAlignment="1">
      <alignment horizontal="left"/>
    </xf>
    <xf numFmtId="166" fontId="16" fillId="0" borderId="0" xfId="6" applyNumberFormat="1" applyFont="1" applyFill="1" applyProtection="1"/>
    <xf numFmtId="167" fontId="16" fillId="0" borderId="0" xfId="6" applyNumberFormat="1" applyFont="1" applyFill="1" applyProtection="1"/>
    <xf numFmtId="37" fontId="16" fillId="0" borderId="0" xfId="6" applyFont="1" applyFill="1" applyAlignment="1">
      <alignment horizontal="center" vertical="center"/>
    </xf>
    <xf numFmtId="168" fontId="16" fillId="0" borderId="0" xfId="7" applyNumberFormat="1" applyFont="1" applyFill="1"/>
    <xf numFmtId="167" fontId="16" fillId="0" borderId="0" xfId="6" applyNumberFormat="1" applyFont="1" applyFill="1" applyAlignment="1" applyProtection="1">
      <alignment horizontal="center"/>
    </xf>
    <xf numFmtId="167" fontId="16" fillId="0" borderId="0" xfId="6" quotePrefix="1" applyNumberFormat="1" applyFont="1" applyFill="1" applyAlignment="1" applyProtection="1">
      <alignment horizontal="center"/>
    </xf>
    <xf numFmtId="37" fontId="16" fillId="0" borderId="0" xfId="6" applyNumberFormat="1" applyFont="1" applyFill="1" applyProtection="1">
      <protection locked="0"/>
    </xf>
    <xf numFmtId="37" fontId="16" fillId="0" borderId="0" xfId="6" applyNumberFormat="1" applyFont="1" applyFill="1" applyProtection="1"/>
    <xf numFmtId="37" fontId="16" fillId="0" borderId="0" xfId="6" applyNumberFormat="1" applyFont="1" applyFill="1" applyAlignment="1" applyProtection="1">
      <alignment horizontal="center"/>
    </xf>
    <xf numFmtId="167" fontId="16" fillId="0" borderId="0" xfId="6" applyNumberFormat="1" applyFont="1" applyFill="1" applyAlignment="1" applyProtection="1">
      <alignment horizontal="right"/>
    </xf>
    <xf numFmtId="169" fontId="16" fillId="0" borderId="0" xfId="6" applyNumberFormat="1" applyFont="1" applyFill="1" applyProtection="1"/>
    <xf numFmtId="37" fontId="16" fillId="0" borderId="0" xfId="6" applyFont="1" applyFill="1" applyAlignment="1">
      <alignment horizontal="fill"/>
    </xf>
    <xf numFmtId="170" fontId="16" fillId="0" borderId="0" xfId="6" applyNumberFormat="1" applyFont="1" applyFill="1" applyProtection="1"/>
    <xf numFmtId="171" fontId="16" fillId="0" borderId="0" xfId="6" applyNumberFormat="1" applyFont="1" applyFill="1" applyAlignment="1" applyProtection="1">
      <alignment horizontal="center"/>
    </xf>
    <xf numFmtId="37" fontId="16" fillId="0" borderId="0" xfId="6" applyFont="1" applyFill="1" applyAlignment="1">
      <alignment horizontal="left"/>
    </xf>
    <xf numFmtId="37" fontId="16" fillId="0" borderId="0" xfId="6" quotePrefix="1" applyNumberFormat="1" applyFont="1" applyFill="1" applyAlignment="1" applyProtection="1">
      <alignment horizontal="center"/>
    </xf>
    <xf numFmtId="37" fontId="16" fillId="0" borderId="0" xfId="6" applyFont="1" applyFill="1" applyProtection="1"/>
    <xf numFmtId="37" fontId="16" fillId="0" borderId="0" xfId="6" applyFont="1" applyFill="1" applyBorder="1" applyAlignment="1">
      <alignment horizontal="center"/>
    </xf>
    <xf numFmtId="10" fontId="16" fillId="0" borderId="0" xfId="8" applyNumberFormat="1" applyFont="1" applyFill="1" applyProtection="1"/>
    <xf numFmtId="37" fontId="21" fillId="0" borderId="0" xfId="6" applyNumberFormat="1" applyFont="1" applyFill="1" applyProtection="1"/>
    <xf numFmtId="172" fontId="16" fillId="0" borderId="0" xfId="6" applyNumberFormat="1" applyFont="1" applyFill="1" applyProtection="1"/>
    <xf numFmtId="10" fontId="16" fillId="0" borderId="0" xfId="6" applyNumberFormat="1" applyFont="1" applyFill="1" applyProtection="1"/>
    <xf numFmtId="10" fontId="16" fillId="0" borderId="0" xfId="6" applyNumberFormat="1" applyFont="1" applyFill="1" applyAlignment="1" applyProtection="1">
      <alignment horizontal="center"/>
    </xf>
    <xf numFmtId="37" fontId="16" fillId="0" borderId="0" xfId="6" applyFont="1" applyFill="1" applyAlignment="1">
      <alignment horizontal="right"/>
    </xf>
    <xf numFmtId="10" fontId="16" fillId="0" borderId="0" xfId="6" applyNumberFormat="1" applyFont="1" applyFill="1"/>
    <xf numFmtId="10" fontId="16" fillId="0" borderId="0" xfId="8" applyNumberFormat="1" applyFont="1" applyFill="1"/>
    <xf numFmtId="9" fontId="16" fillId="0" borderId="0" xfId="8" applyFont="1" applyFill="1"/>
    <xf numFmtId="37" fontId="16" fillId="0" borderId="0" xfId="6" applyFont="1" applyFill="1" applyAlignment="1">
      <alignment horizontal="centerContinuous"/>
    </xf>
    <xf numFmtId="165" fontId="16" fillId="0" borderId="0" xfId="6" applyNumberFormat="1" applyFont="1" applyFill="1" applyProtection="1">
      <protection locked="0"/>
    </xf>
    <xf numFmtId="165" fontId="22" fillId="0" borderId="0" xfId="6" applyNumberFormat="1" applyFont="1" applyFill="1" applyProtection="1"/>
    <xf numFmtId="173" fontId="16" fillId="0" borderId="0" xfId="6" applyNumberFormat="1" applyFont="1" applyFill="1" applyProtection="1"/>
    <xf numFmtId="174" fontId="16" fillId="0" borderId="0" xfId="6" applyNumberFormat="1" applyFont="1" applyFill="1" applyProtection="1"/>
    <xf numFmtId="167" fontId="16" fillId="0" borderId="0" xfId="6" applyNumberFormat="1" applyFont="1" applyFill="1"/>
    <xf numFmtId="37" fontId="16" fillId="0" borderId="0" xfId="6" applyNumberFormat="1" applyFont="1" applyFill="1" applyAlignment="1" applyProtection="1">
      <alignment horizontal="centerContinuous"/>
    </xf>
    <xf numFmtId="175" fontId="16" fillId="0" borderId="0" xfId="6" applyNumberFormat="1" applyFont="1" applyFill="1" applyProtection="1"/>
    <xf numFmtId="169" fontId="16" fillId="0" borderId="0" xfId="6" applyNumberFormat="1" applyFont="1" applyFill="1" applyProtection="1">
      <protection locked="0"/>
    </xf>
    <xf numFmtId="176" fontId="16" fillId="0" borderId="0" xfId="6" applyNumberFormat="1" applyFont="1" applyFill="1" applyAlignment="1" applyProtection="1">
      <alignment horizontal="right"/>
    </xf>
    <xf numFmtId="41" fontId="16" fillId="0" borderId="0" xfId="6" applyNumberFormat="1" applyFont="1" applyFill="1" applyProtection="1"/>
    <xf numFmtId="177" fontId="16" fillId="0" borderId="0" xfId="6" applyNumberFormat="1" applyFont="1" applyFill="1" applyProtection="1"/>
    <xf numFmtId="178" fontId="16" fillId="0" borderId="0" xfId="6" applyNumberFormat="1" applyFont="1" applyFill="1" applyProtection="1"/>
    <xf numFmtId="0" fontId="16" fillId="0" borderId="0" xfId="6" applyNumberFormat="1" applyFont="1" applyFill="1"/>
    <xf numFmtId="0" fontId="16" fillId="0" borderId="0" xfId="6" applyNumberFormat="1" applyFont="1" applyFill="1" applyProtection="1"/>
    <xf numFmtId="0" fontId="16" fillId="0" borderId="0" xfId="6" applyNumberFormat="1" applyFont="1" applyFill="1" applyAlignment="1" applyProtection="1">
      <alignment horizontal="center"/>
    </xf>
    <xf numFmtId="0" fontId="16" fillId="0" borderId="0" xfId="6" applyNumberFormat="1" applyFont="1" applyFill="1" applyAlignment="1">
      <alignment horizontal="center"/>
    </xf>
    <xf numFmtId="0" fontId="16" fillId="0" borderId="0" xfId="6" applyNumberFormat="1" applyFont="1" applyFill="1" applyAlignment="1" applyProtection="1">
      <alignment horizontal="centerContinuous"/>
    </xf>
    <xf numFmtId="49" fontId="16" fillId="0" borderId="0" xfId="6" applyNumberFormat="1" applyFont="1" applyFill="1" applyAlignment="1">
      <alignment horizontal="center"/>
    </xf>
    <xf numFmtId="49" fontId="16" fillId="0" borderId="0" xfId="6" applyNumberFormat="1" applyFont="1" applyFill="1"/>
    <xf numFmtId="179" fontId="16" fillId="0" borderId="0" xfId="6" applyNumberFormat="1" applyFont="1" applyFill="1" applyAlignment="1">
      <alignment horizontal="center"/>
    </xf>
    <xf numFmtId="44" fontId="16" fillId="0" borderId="0" xfId="6" applyNumberFormat="1" applyFont="1" applyFill="1"/>
    <xf numFmtId="44" fontId="16" fillId="0" borderId="0" xfId="6" applyNumberFormat="1" applyFont="1" applyFill="1" applyAlignment="1">
      <alignment horizontal="center"/>
    </xf>
    <xf numFmtId="9" fontId="16" fillId="0" borderId="0" xfId="6" applyNumberFormat="1" applyFont="1" applyFill="1" applyAlignment="1">
      <alignment horizontal="center"/>
    </xf>
    <xf numFmtId="9" fontId="16" fillId="0" borderId="0" xfId="6" applyNumberFormat="1" applyFont="1" applyFill="1"/>
    <xf numFmtId="180" fontId="16" fillId="0" borderId="0" xfId="6" applyNumberFormat="1" applyFont="1" applyFill="1" applyAlignment="1">
      <alignment horizontal="right"/>
    </xf>
    <xf numFmtId="181" fontId="16" fillId="0" borderId="0" xfId="6" applyNumberFormat="1" applyFont="1" applyFill="1" applyProtection="1">
      <protection locked="0"/>
    </xf>
    <xf numFmtId="49" fontId="16" fillId="0" borderId="0" xfId="6" quotePrefix="1" applyNumberFormat="1" applyFont="1" applyFill="1" applyAlignment="1" applyProtection="1">
      <alignment horizontal="left"/>
    </xf>
    <xf numFmtId="180" fontId="16" fillId="0" borderId="0" xfId="6" applyNumberFormat="1" applyFont="1" applyFill="1" applyAlignment="1" applyProtection="1">
      <alignment horizontal="right"/>
    </xf>
    <xf numFmtId="37" fontId="16" fillId="0" borderId="0" xfId="6" applyFont="1" applyFill="1" applyProtection="1">
      <protection locked="0"/>
    </xf>
    <xf numFmtId="49" fontId="16" fillId="0" borderId="0" xfId="6" applyNumberFormat="1" applyFont="1" applyFill="1" applyProtection="1"/>
    <xf numFmtId="179" fontId="16" fillId="0" borderId="0" xfId="6" applyNumberFormat="1" applyFont="1" applyFill="1" applyProtection="1"/>
    <xf numFmtId="179" fontId="16" fillId="0" borderId="0" xfId="6" applyNumberFormat="1" applyFont="1" applyFill="1"/>
    <xf numFmtId="179" fontId="16" fillId="0" borderId="0" xfId="6" applyNumberFormat="1" applyFont="1" applyFill="1" applyAlignment="1" applyProtection="1">
      <alignment horizontal="center"/>
    </xf>
    <xf numFmtId="9" fontId="16" fillId="0" borderId="0" xfId="6" applyNumberFormat="1" applyFont="1" applyFill="1" applyProtection="1"/>
    <xf numFmtId="9" fontId="16" fillId="0" borderId="0" xfId="6" applyNumberFormat="1" applyFont="1" applyFill="1" applyAlignment="1" applyProtection="1">
      <alignment horizontal="center"/>
    </xf>
    <xf numFmtId="37" fontId="16" fillId="0" borderId="3" xfId="6" applyNumberFormat="1" applyFont="1" applyFill="1" applyBorder="1" applyProtection="1"/>
    <xf numFmtId="164" fontId="16" fillId="0" borderId="0" xfId="6" applyNumberFormat="1" applyFont="1" applyFill="1" applyProtection="1"/>
    <xf numFmtId="164" fontId="16" fillId="0" borderId="0" xfId="6" applyNumberFormat="1" applyFont="1" applyFill="1" applyAlignment="1" applyProtection="1">
      <alignment horizontal="center"/>
    </xf>
    <xf numFmtId="164" fontId="16" fillId="0" borderId="0" xfId="6" applyNumberFormat="1" applyFont="1" applyFill="1"/>
    <xf numFmtId="164" fontId="16" fillId="0" borderId="0" xfId="6" applyNumberFormat="1" applyFont="1" applyFill="1" applyAlignment="1">
      <alignment horizontal="center"/>
    </xf>
    <xf numFmtId="166" fontId="16" fillId="0" borderId="0" xfId="6" applyNumberFormat="1" applyFont="1" applyFill="1" applyAlignment="1" applyProtection="1">
      <alignment horizontal="centerContinuous"/>
    </xf>
    <xf numFmtId="37" fontId="16" fillId="0" borderId="4" xfId="6" applyNumberFormat="1" applyFont="1" applyFill="1" applyBorder="1" applyProtection="1"/>
    <xf numFmtId="37" fontId="16" fillId="0" borderId="0" xfId="6" applyNumberFormat="1" applyFont="1" applyFill="1" applyBorder="1" applyProtection="1"/>
    <xf numFmtId="37" fontId="16" fillId="0" borderId="5" xfId="6" applyNumberFormat="1" applyFont="1" applyFill="1" applyBorder="1" applyProtection="1">
      <protection locked="0"/>
    </xf>
    <xf numFmtId="37" fontId="16" fillId="0" borderId="5" xfId="6" applyNumberFormat="1" applyFont="1" applyFill="1" applyBorder="1" applyProtection="1"/>
    <xf numFmtId="5" fontId="16" fillId="0" borderId="0" xfId="6" applyNumberFormat="1" applyFont="1" applyFill="1" applyProtection="1">
      <protection locked="0"/>
    </xf>
    <xf numFmtId="5" fontId="16" fillId="0" borderId="0" xfId="6" applyNumberFormat="1" applyFont="1" applyFill="1" applyProtection="1"/>
    <xf numFmtId="37" fontId="16" fillId="0" borderId="6" xfId="6" applyFont="1" applyFill="1" applyBorder="1"/>
    <xf numFmtId="182" fontId="16" fillId="0" borderId="0" xfId="6" applyNumberFormat="1" applyFont="1" applyFill="1" applyProtection="1">
      <protection locked="0"/>
    </xf>
    <xf numFmtId="183" fontId="16" fillId="0" borderId="0" xfId="6" applyNumberFormat="1" applyFont="1" applyFill="1" applyProtection="1">
      <protection locked="0"/>
    </xf>
    <xf numFmtId="184" fontId="16" fillId="0" borderId="0" xfId="7" applyNumberFormat="1" applyFont="1" applyFill="1" applyProtection="1">
      <protection locked="0"/>
    </xf>
    <xf numFmtId="37" fontId="22" fillId="0" borderId="0" xfId="6" applyFont="1" applyFill="1" applyAlignment="1">
      <alignment horizontal="center"/>
    </xf>
    <xf numFmtId="37" fontId="28" fillId="0" borderId="0" xfId="10" applyNumberFormat="1" applyFont="1" applyFill="1" applyAlignment="1" applyProtection="1"/>
    <xf numFmtId="37" fontId="22" fillId="0" borderId="0" xfId="6" applyFont="1" applyFill="1" applyAlignment="1">
      <alignment horizontal="left"/>
    </xf>
    <xf numFmtId="37" fontId="22" fillId="0" borderId="0" xfId="6" applyFont="1" applyFill="1"/>
    <xf numFmtId="37" fontId="16" fillId="0" borderId="2" xfId="6" applyNumberFormat="1" applyFont="1" applyFill="1" applyBorder="1" applyProtection="1"/>
    <xf numFmtId="164" fontId="16" fillId="0" borderId="0" xfId="9" applyNumberFormat="1" applyFont="1" applyFill="1" applyProtection="1"/>
    <xf numFmtId="9" fontId="9" fillId="0" borderId="0" xfId="9" applyFont="1"/>
    <xf numFmtId="0" fontId="14" fillId="0" borderId="1" xfId="2" applyFont="1" applyBorder="1" applyAlignment="1">
      <alignment horizontal="center"/>
    </xf>
    <xf numFmtId="0" fontId="6" fillId="7" borderId="0" xfId="2" applyFont="1" applyFill="1"/>
    <xf numFmtId="0" fontId="9" fillId="7" borderId="0" xfId="2" applyFont="1" applyFill="1"/>
    <xf numFmtId="0" fontId="5" fillId="7" borderId="0" xfId="2" applyFont="1" applyFill="1"/>
    <xf numFmtId="0" fontId="5" fillId="0" borderId="0" xfId="2" applyFont="1" applyFill="1"/>
    <xf numFmtId="0" fontId="6" fillId="0" borderId="0" xfId="2" applyFont="1" applyFill="1"/>
    <xf numFmtId="0" fontId="9" fillId="0" borderId="7" xfId="2" applyFont="1" applyBorder="1"/>
    <xf numFmtId="0" fontId="9" fillId="0" borderId="0" xfId="2" applyFont="1" applyFill="1"/>
    <xf numFmtId="0" fontId="9" fillId="0" borderId="0" xfId="2" applyFont="1" applyBorder="1"/>
    <xf numFmtId="0" fontId="9" fillId="0" borderId="0" xfId="2" applyAlignment="1">
      <alignment horizontal="center"/>
    </xf>
    <xf numFmtId="0" fontId="14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9" fillId="0" borderId="0" xfId="2" applyFont="1" applyFill="1" applyAlignment="1">
      <alignment horizontal="center"/>
    </xf>
    <xf numFmtId="0" fontId="9" fillId="0" borderId="0" xfId="2" applyFill="1"/>
    <xf numFmtId="0" fontId="14" fillId="0" borderId="0" xfId="2" applyFont="1" applyFill="1" applyAlignment="1">
      <alignment horizontal="center"/>
    </xf>
    <xf numFmtId="37" fontId="15" fillId="0" borderId="0" xfId="0" applyNumberFormat="1" applyFont="1"/>
    <xf numFmtId="37" fontId="29" fillId="0" borderId="0" xfId="0" applyNumberFormat="1" applyFont="1" applyProtection="1">
      <protection locked="0"/>
    </xf>
    <xf numFmtId="37" fontId="30" fillId="0" borderId="0" xfId="0" applyNumberFormat="1" applyFont="1" applyFill="1" applyProtection="1"/>
    <xf numFmtId="37" fontId="30" fillId="0" borderId="0" xfId="0" applyNumberFormat="1" applyFont="1" applyProtection="1"/>
    <xf numFmtId="37" fontId="30" fillId="0" borderId="0" xfId="0" applyNumberFormat="1" applyFont="1"/>
    <xf numFmtId="37" fontId="15" fillId="0" borderId="0" xfId="0" quotePrefix="1" applyNumberFormat="1" applyFont="1" applyAlignment="1">
      <alignment horizontal="center"/>
    </xf>
    <xf numFmtId="37" fontId="15" fillId="0" borderId="0" xfId="0" applyNumberFormat="1" applyFont="1" applyAlignment="1">
      <alignment horizontal="center"/>
    </xf>
    <xf numFmtId="37" fontId="30" fillId="0" borderId="0" xfId="0" applyNumberFormat="1" applyFont="1" applyProtection="1">
      <protection locked="0"/>
    </xf>
    <xf numFmtId="37" fontId="15" fillId="0" borderId="0" xfId="0" applyNumberFormat="1" applyFont="1" applyProtection="1"/>
    <xf numFmtId="37" fontId="15" fillId="0" borderId="0" xfId="0" applyNumberFormat="1" applyFont="1" applyFill="1"/>
    <xf numFmtId="37" fontId="29" fillId="0" borderId="0" xfId="0" applyNumberFormat="1" applyFont="1"/>
    <xf numFmtId="37" fontId="16" fillId="0" borderId="0" xfId="0" applyNumberFormat="1" applyFont="1"/>
    <xf numFmtId="37" fontId="0" fillId="0" borderId="0" xfId="0" applyNumberFormat="1"/>
    <xf numFmtId="37" fontId="15" fillId="0" borderId="0" xfId="0" applyNumberFormat="1" applyFont="1" applyFill="1" applyProtection="1"/>
    <xf numFmtId="37" fontId="15" fillId="0" borderId="0" xfId="0" applyNumberFormat="1" applyFont="1" applyProtection="1">
      <protection locked="0"/>
    </xf>
    <xf numFmtId="174" fontId="15" fillId="0" borderId="0" xfId="0" applyNumberFormat="1" applyFont="1" applyFill="1" applyProtection="1"/>
    <xf numFmtId="166" fontId="15" fillId="0" borderId="0" xfId="0" applyNumberFormat="1" applyFont="1" applyFill="1" applyProtection="1"/>
    <xf numFmtId="17" fontId="5" fillId="0" borderId="0" xfId="2" quotePrefix="1" applyNumberFormat="1" applyFont="1"/>
    <xf numFmtId="0" fontId="5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33" fillId="0" borderId="8" xfId="0" applyFont="1" applyBorder="1" applyAlignment="1">
      <alignment wrapText="1"/>
    </xf>
    <xf numFmtId="0" fontId="33" fillId="0" borderId="9" xfId="0" applyFont="1" applyBorder="1" applyAlignment="1">
      <alignment horizontal="center" wrapText="1"/>
    </xf>
    <xf numFmtId="0" fontId="33" fillId="0" borderId="10" xfId="0" applyFont="1" applyBorder="1" applyAlignment="1">
      <alignment wrapText="1"/>
    </xf>
    <xf numFmtId="3" fontId="33" fillId="0" borderId="0" xfId="0" applyNumberFormat="1" applyFont="1" applyBorder="1" applyAlignment="1"/>
    <xf numFmtId="3" fontId="33" fillId="0" borderId="0" xfId="0" applyNumberFormat="1" applyFont="1" applyBorder="1" applyAlignment="1">
      <alignment wrapText="1"/>
    </xf>
    <xf numFmtId="0" fontId="33" fillId="0" borderId="11" xfId="0" applyFont="1" applyBorder="1" applyAlignment="1">
      <alignment wrapText="1"/>
    </xf>
    <xf numFmtId="3" fontId="33" fillId="0" borderId="7" xfId="0" applyNumberFormat="1" applyFont="1" applyBorder="1" applyAlignment="1">
      <alignment wrapText="1"/>
    </xf>
    <xf numFmtId="3" fontId="33" fillId="0" borderId="7" xfId="0" applyNumberFormat="1" applyFont="1" applyBorder="1" applyAlignment="1">
      <alignment horizontal="right" wrapText="1"/>
    </xf>
    <xf numFmtId="0" fontId="33" fillId="0" borderId="10" xfId="0" applyFont="1" applyBorder="1" applyAlignment="1">
      <alignment horizontal="left" wrapText="1"/>
    </xf>
    <xf numFmtId="0" fontId="33" fillId="0" borderId="10" xfId="0" applyFont="1" applyBorder="1" applyAlignment="1">
      <alignment horizontal="left"/>
    </xf>
    <xf numFmtId="0" fontId="33" fillId="0" borderId="11" xfId="0" applyFont="1" applyBorder="1" applyAlignment="1"/>
    <xf numFmtId="0" fontId="33" fillId="0" borderId="8" xfId="0" applyFont="1" applyBorder="1" applyAlignment="1"/>
    <xf numFmtId="0" fontId="33" fillId="0" borderId="0" xfId="0" applyFont="1" applyBorder="1" applyAlignment="1">
      <alignment horizontal="center" wrapText="1"/>
    </xf>
    <xf numFmtId="0" fontId="33" fillId="0" borderId="10" xfId="0" applyFont="1" applyBorder="1" applyAlignment="1"/>
    <xf numFmtId="0" fontId="33" fillId="0" borderId="10" xfId="0" applyFont="1" applyBorder="1" applyAlignment="1">
      <alignment horizontal="left" indent="1"/>
    </xf>
    <xf numFmtId="0" fontId="4" fillId="0" borderId="0" xfId="0" applyFont="1"/>
    <xf numFmtId="9" fontId="4" fillId="0" borderId="0" xfId="9" applyFont="1"/>
    <xf numFmtId="9" fontId="16" fillId="0" borderId="0" xfId="9" applyFont="1" applyFill="1"/>
    <xf numFmtId="0" fontId="14" fillId="0" borderId="0" xfId="2" applyFont="1" applyFill="1" applyBorder="1" applyAlignment="1">
      <alignment horizontal="center"/>
    </xf>
    <xf numFmtId="9" fontId="9" fillId="0" borderId="0" xfId="9" applyFont="1" applyFill="1"/>
    <xf numFmtId="0" fontId="9" fillId="0" borderId="0" xfId="2" applyFill="1" applyBorder="1"/>
    <xf numFmtId="37" fontId="14" fillId="0" borderId="0" xfId="2" applyNumberFormat="1" applyFont="1" applyFill="1" applyBorder="1" applyAlignment="1">
      <alignment horizontal="center" vertical="top"/>
    </xf>
    <xf numFmtId="9" fontId="9" fillId="0" borderId="0" xfId="9" applyFont="1" applyFill="1" applyBorder="1"/>
    <xf numFmtId="0" fontId="9" fillId="0" borderId="0" xfId="2" applyFont="1" applyFill="1" applyBorder="1"/>
    <xf numFmtId="3" fontId="4" fillId="0" borderId="0" xfId="0" applyNumberFormat="1" applyFont="1"/>
    <xf numFmtId="0" fontId="16" fillId="0" borderId="0" xfId="14" applyFont="1"/>
    <xf numFmtId="0" fontId="16" fillId="0" borderId="0" xfId="14" applyFont="1" applyAlignment="1">
      <alignment vertical="center"/>
    </xf>
    <xf numFmtId="0" fontId="34" fillId="0" borderId="0" xfId="15" applyFont="1" applyAlignment="1">
      <alignment horizontal="left" wrapText="1" indent="3"/>
    </xf>
    <xf numFmtId="0" fontId="34" fillId="0" borderId="0" xfId="15" applyFont="1" applyAlignment="1">
      <alignment horizontal="left" wrapText="1" indent="1"/>
    </xf>
    <xf numFmtId="37" fontId="16" fillId="0" borderId="0" xfId="14" applyNumberFormat="1" applyFont="1" applyAlignment="1">
      <alignment vertical="center"/>
    </xf>
    <xf numFmtId="0" fontId="35" fillId="0" borderId="0" xfId="14" applyFont="1" applyFill="1" applyAlignment="1">
      <alignment horizontal="right" wrapText="1" indent="15"/>
    </xf>
    <xf numFmtId="9" fontId="16" fillId="0" borderId="12" xfId="11" applyFont="1" applyBorder="1" applyAlignment="1">
      <alignment vertical="center"/>
    </xf>
    <xf numFmtId="0" fontId="4" fillId="0" borderId="0" xfId="15" applyFont="1" applyAlignment="1">
      <alignment horizontal="left"/>
    </xf>
    <xf numFmtId="0" fontId="34" fillId="0" borderId="0" xfId="15" applyFont="1" applyAlignment="1">
      <alignment horizontal="left" wrapText="1" indent="2"/>
    </xf>
    <xf numFmtId="9" fontId="16" fillId="0" borderId="0" xfId="11" applyFont="1" applyAlignment="1">
      <alignment vertical="center"/>
    </xf>
    <xf numFmtId="37" fontId="16" fillId="0" borderId="0" xfId="13" applyNumberFormat="1" applyFont="1" applyAlignment="1">
      <alignment vertical="center"/>
    </xf>
    <xf numFmtId="37" fontId="16" fillId="0" borderId="12" xfId="13" applyNumberFormat="1" applyFont="1" applyBorder="1" applyAlignment="1">
      <alignment vertical="center"/>
    </xf>
    <xf numFmtId="0" fontId="36" fillId="0" borderId="0" xfId="16" applyFont="1" applyAlignment="1" applyProtection="1">
      <alignment vertical="center"/>
    </xf>
    <xf numFmtId="37" fontId="16" fillId="0" borderId="0" xfId="13" applyNumberFormat="1" applyFont="1" applyFill="1" applyAlignment="1">
      <alignment vertical="center"/>
    </xf>
    <xf numFmtId="0" fontId="16" fillId="0" borderId="0" xfId="14" applyFont="1" applyFill="1" applyAlignment="1">
      <alignment horizontal="left" vertical="top"/>
    </xf>
    <xf numFmtId="0" fontId="16" fillId="0" borderId="0" xfId="14" applyFont="1" applyFill="1" applyAlignment="1">
      <alignment horizontal="left" vertical="center" wrapText="1" indent="1"/>
    </xf>
    <xf numFmtId="0" fontId="16" fillId="0" borderId="0" xfId="14" applyFont="1" applyFill="1" applyAlignment="1">
      <alignment horizontal="left" vertical="center" wrapText="1"/>
    </xf>
    <xf numFmtId="0" fontId="16" fillId="0" borderId="0" xfId="14" applyFont="1" applyAlignment="1"/>
    <xf numFmtId="0" fontId="4" fillId="0" borderId="0" xfId="15" applyFont="1" applyAlignment="1">
      <alignment horizontal="left" wrapText="1" indent="4"/>
    </xf>
    <xf numFmtId="0" fontId="22" fillId="0" borderId="0" xfId="14" applyFont="1" applyAlignment="1">
      <alignment horizontal="center" vertical="center"/>
    </xf>
    <xf numFmtId="0" fontId="4" fillId="0" borderId="0" xfId="15" applyFont="1" applyAlignment="1">
      <alignment horizontal="left" wrapText="1" indent="3"/>
    </xf>
    <xf numFmtId="0" fontId="22" fillId="0" borderId="0" xfId="14" applyFont="1" applyAlignment="1">
      <alignment vertical="center"/>
    </xf>
    <xf numFmtId="9" fontId="0" fillId="0" borderId="0" xfId="9" applyFont="1"/>
    <xf numFmtId="0" fontId="33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3" fontId="33" fillId="0" borderId="0" xfId="0" applyNumberFormat="1" applyFont="1" applyAlignment="1">
      <alignment horizontal="right" wrapText="1"/>
    </xf>
    <xf numFmtId="0" fontId="33" fillId="0" borderId="7" xfId="0" applyFont="1" applyBorder="1" applyAlignment="1">
      <alignment horizontal="right" wrapText="1"/>
    </xf>
    <xf numFmtId="0" fontId="9" fillId="0" borderId="7" xfId="2" applyFont="1" applyBorder="1" applyAlignment="1">
      <alignment horizontal="center"/>
    </xf>
    <xf numFmtId="9" fontId="6" fillId="0" borderId="0" xfId="3" applyFont="1" applyFill="1"/>
    <xf numFmtId="9" fontId="6" fillId="0" borderId="0" xfId="3" applyFont="1" applyFill="1" applyBorder="1"/>
    <xf numFmtId="0" fontId="39" fillId="0" borderId="0" xfId="0" applyFont="1" applyAlignment="1">
      <alignment horizontal="left" indent="5"/>
    </xf>
    <xf numFmtId="0" fontId="39" fillId="0" borderId="0" xfId="0" applyFont="1"/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0" fillId="0" borderId="0" xfId="0" applyFont="1"/>
    <xf numFmtId="10" fontId="40" fillId="0" borderId="0" xfId="0" applyNumberFormat="1" applyFont="1" applyAlignment="1">
      <alignment horizontal="right"/>
    </xf>
    <xf numFmtId="3" fontId="40" fillId="0" borderId="0" xfId="0" applyNumberFormat="1" applyFont="1"/>
    <xf numFmtId="0" fontId="3" fillId="0" borderId="0" xfId="0" quotePrefix="1" applyFont="1"/>
    <xf numFmtId="0" fontId="3" fillId="0" borderId="0" xfId="0" applyFont="1"/>
    <xf numFmtId="0" fontId="3" fillId="0" borderId="0" xfId="2" applyFont="1"/>
    <xf numFmtId="165" fontId="3" fillId="0" borderId="0" xfId="4" applyNumberFormat="1" applyFont="1"/>
    <xf numFmtId="164" fontId="3" fillId="0" borderId="0" xfId="3" applyNumberFormat="1" applyFont="1"/>
    <xf numFmtId="165" fontId="3" fillId="0" borderId="0" xfId="1" applyNumberFormat="1" applyFont="1"/>
    <xf numFmtId="165" fontId="44" fillId="0" borderId="0" xfId="1" applyNumberFormat="1" applyFont="1" applyAlignment="1">
      <alignment horizontal="center"/>
    </xf>
    <xf numFmtId="165" fontId="3" fillId="0" borderId="0" xfId="0" applyNumberFormat="1" applyFont="1"/>
    <xf numFmtId="9" fontId="3" fillId="0" borderId="0" xfId="9" applyFont="1"/>
    <xf numFmtId="9" fontId="9" fillId="0" borderId="0" xfId="2" applyNumberFormat="1"/>
    <xf numFmtId="0" fontId="14" fillId="0" borderId="0" xfId="2" applyFont="1" applyFill="1"/>
    <xf numFmtId="0" fontId="15" fillId="0" borderId="0" xfId="2" applyFont="1" applyFill="1"/>
    <xf numFmtId="0" fontId="2" fillId="0" borderId="0" xfId="0" applyFont="1"/>
    <xf numFmtId="0" fontId="2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4" xfId="0" applyFont="1" applyBorder="1"/>
    <xf numFmtId="0" fontId="2" fillId="0" borderId="10" xfId="0" applyFont="1" applyBorder="1"/>
    <xf numFmtId="165" fontId="3" fillId="0" borderId="0" xfId="1" applyNumberFormat="1" applyFont="1" applyBorder="1"/>
    <xf numFmtId="165" fontId="3" fillId="0" borderId="14" xfId="1" applyNumberFormat="1" applyFont="1" applyBorder="1"/>
    <xf numFmtId="9" fontId="3" fillId="0" borderId="0" xfId="9" applyFont="1" applyBorder="1"/>
    <xf numFmtId="9" fontId="3" fillId="0" borderId="14" xfId="9" applyFont="1" applyBorder="1"/>
    <xf numFmtId="0" fontId="3" fillId="0" borderId="11" xfId="0" applyFont="1" applyBorder="1"/>
    <xf numFmtId="0" fontId="3" fillId="0" borderId="7" xfId="0" applyFont="1" applyBorder="1"/>
    <xf numFmtId="9" fontId="3" fillId="0" borderId="7" xfId="9" applyFont="1" applyBorder="1"/>
    <xf numFmtId="9" fontId="3" fillId="0" borderId="15" xfId="9" applyFont="1" applyBorder="1"/>
    <xf numFmtId="165" fontId="3" fillId="0" borderId="9" xfId="1" applyNumberFormat="1" applyFont="1" applyBorder="1"/>
    <xf numFmtId="165" fontId="3" fillId="0" borderId="13" xfId="1" applyNumberFormat="1" applyFont="1" applyBorder="1"/>
    <xf numFmtId="0" fontId="45" fillId="0" borderId="0" xfId="0" applyFont="1" applyAlignment="1">
      <alignment horizontal="center"/>
    </xf>
    <xf numFmtId="165" fontId="0" fillId="0" borderId="0" xfId="1" applyNumberFormat="1" applyFont="1"/>
    <xf numFmtId="0" fontId="15" fillId="0" borderId="0" xfId="2" applyFont="1" applyFill="1" applyAlignment="1">
      <alignment horizontal="center"/>
    </xf>
    <xf numFmtId="0" fontId="15" fillId="0" borderId="0" xfId="10" applyFont="1" applyFill="1" applyAlignment="1" applyProtection="1">
      <alignment horizontal="center"/>
    </xf>
    <xf numFmtId="0" fontId="15" fillId="0" borderId="0" xfId="2" applyFont="1" applyAlignment="1">
      <alignment horizontal="center"/>
    </xf>
    <xf numFmtId="37" fontId="15" fillId="8" borderId="0" xfId="0" applyNumberFormat="1" applyFont="1" applyFill="1" applyAlignment="1" applyProtection="1">
      <alignment horizontal="left"/>
    </xf>
    <xf numFmtId="0" fontId="1" fillId="0" borderId="0" xfId="2" applyNumberFormat="1" applyFont="1" applyAlignment="1">
      <alignment vertical="top"/>
    </xf>
    <xf numFmtId="37" fontId="15" fillId="0" borderId="0" xfId="0" applyNumberFormat="1" applyFont="1" applyFill="1" applyBorder="1" applyAlignment="1" applyProtection="1">
      <alignment horizontal="center"/>
    </xf>
    <xf numFmtId="0" fontId="14" fillId="0" borderId="1" xfId="2" applyFont="1" applyBorder="1" applyAlignment="1">
      <alignment horizontal="center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65" fontId="43" fillId="0" borderId="1" xfId="1" applyNumberFormat="1" applyFont="1" applyBorder="1" applyAlignment="1">
      <alignment horizontal="center"/>
    </xf>
    <xf numFmtId="0" fontId="4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37" fontId="46" fillId="8" borderId="0" xfId="0" applyNumberFormat="1" applyFont="1" applyFill="1" applyAlignment="1" applyProtection="1">
      <alignment horizontal="left"/>
    </xf>
    <xf numFmtId="37" fontId="15" fillId="8" borderId="0" xfId="8" applyNumberFormat="1" applyFont="1" applyFill="1" applyBorder="1" applyAlignment="1" applyProtection="1">
      <alignment horizontal="center"/>
    </xf>
    <xf numFmtId="37" fontId="46" fillId="8" borderId="17" xfId="0" applyNumberFormat="1" applyFont="1" applyFill="1" applyBorder="1" applyAlignment="1" applyProtection="1">
      <alignment horizontal="center"/>
    </xf>
    <xf numFmtId="37" fontId="15" fillId="8" borderId="18" xfId="0" applyNumberFormat="1" applyFont="1" applyFill="1" applyBorder="1" applyAlignment="1" applyProtection="1">
      <alignment horizontal="center"/>
    </xf>
    <xf numFmtId="37" fontId="15" fillId="8" borderId="0" xfId="0" applyNumberFormat="1" applyFont="1" applyFill="1" applyBorder="1" applyAlignment="1" applyProtection="1">
      <alignment horizontal="center"/>
    </xf>
    <xf numFmtId="37" fontId="15" fillId="8" borderId="0" xfId="0" quotePrefix="1" applyNumberFormat="1" applyFont="1" applyFill="1" applyBorder="1" applyAlignment="1" applyProtection="1">
      <alignment horizontal="center"/>
    </xf>
    <xf numFmtId="37" fontId="47" fillId="8" borderId="22" xfId="0" applyNumberFormat="1" applyFont="1" applyFill="1" applyBorder="1" applyAlignment="1" applyProtection="1">
      <alignment horizontal="center"/>
    </xf>
    <xf numFmtId="37" fontId="47" fillId="8" borderId="0" xfId="0" applyNumberFormat="1" applyFont="1" applyFill="1" applyBorder="1" applyAlignment="1" applyProtection="1">
      <alignment horizontal="center"/>
    </xf>
    <xf numFmtId="37" fontId="47" fillId="0" borderId="0" xfId="0" applyNumberFormat="1" applyFont="1" applyBorder="1" applyAlignment="1">
      <alignment horizontal="center"/>
    </xf>
    <xf numFmtId="37" fontId="47" fillId="8" borderId="0" xfId="0" applyNumberFormat="1" applyFont="1" applyFill="1" applyBorder="1" applyProtection="1"/>
    <xf numFmtId="37" fontId="47" fillId="8" borderId="23" xfId="0" applyNumberFormat="1" applyFont="1" applyFill="1" applyBorder="1" applyAlignment="1" applyProtection="1">
      <alignment horizontal="left"/>
    </xf>
    <xf numFmtId="37" fontId="47" fillId="0" borderId="0" xfId="0" applyNumberFormat="1" applyFont="1" applyFill="1" applyBorder="1" applyAlignment="1" applyProtection="1">
      <alignment horizontal="center"/>
    </xf>
    <xf numFmtId="37" fontId="48" fillId="8" borderId="0" xfId="0" applyNumberFormat="1" applyFont="1" applyFill="1" applyBorder="1" applyProtection="1"/>
    <xf numFmtId="37" fontId="48" fillId="8" borderId="23" xfId="0" applyNumberFormat="1" applyFont="1" applyFill="1" applyBorder="1" applyAlignment="1" applyProtection="1">
      <alignment horizontal="left"/>
    </xf>
    <xf numFmtId="37" fontId="48" fillId="8" borderId="22" xfId="0" applyNumberFormat="1" applyFont="1" applyFill="1" applyBorder="1" applyAlignment="1" applyProtection="1">
      <alignment horizontal="center"/>
    </xf>
    <xf numFmtId="37" fontId="48" fillId="8" borderId="0" xfId="0" applyNumberFormat="1" applyFont="1" applyFill="1" applyBorder="1" applyAlignment="1" applyProtection="1">
      <alignment horizontal="center"/>
    </xf>
    <xf numFmtId="37" fontId="48" fillId="0" borderId="0" xfId="0" applyNumberFormat="1" applyFont="1" applyFill="1" applyBorder="1" applyAlignment="1" applyProtection="1">
      <alignment horizontal="center"/>
    </xf>
    <xf numFmtId="37" fontId="15" fillId="8" borderId="0" xfId="0" applyNumberFormat="1" applyFont="1" applyFill="1" applyBorder="1" applyProtection="1"/>
    <xf numFmtId="37" fontId="15" fillId="8" borderId="23" xfId="0" applyNumberFormat="1" applyFont="1" applyFill="1" applyBorder="1" applyAlignment="1" applyProtection="1">
      <alignment horizontal="left"/>
    </xf>
    <xf numFmtId="164" fontId="15" fillId="8" borderId="23" xfId="8" applyNumberFormat="1" applyFont="1" applyFill="1" applyBorder="1" applyAlignment="1" applyProtection="1">
      <alignment horizontal="left"/>
    </xf>
    <xf numFmtId="37" fontId="48" fillId="0" borderId="22" xfId="0" applyNumberFormat="1" applyFont="1" applyFill="1" applyBorder="1" applyAlignment="1" applyProtection="1">
      <alignment horizontal="center"/>
    </xf>
    <xf numFmtId="37" fontId="48" fillId="8" borderId="23" xfId="0" applyNumberFormat="1" applyFont="1" applyFill="1" applyBorder="1" applyProtection="1"/>
    <xf numFmtId="37" fontId="48" fillId="8" borderId="0" xfId="0" applyNumberFormat="1" applyFont="1" applyFill="1" applyBorder="1" applyAlignment="1" applyProtection="1">
      <alignment horizontal="left"/>
    </xf>
    <xf numFmtId="164" fontId="15" fillId="0" borderId="23" xfId="8" applyNumberFormat="1" applyFont="1" applyBorder="1"/>
    <xf numFmtId="37" fontId="47" fillId="0" borderId="22" xfId="0" applyNumberFormat="1" applyFont="1" applyFill="1" applyBorder="1" applyAlignment="1" applyProtection="1">
      <alignment horizontal="center"/>
    </xf>
    <xf numFmtId="37" fontId="47" fillId="0" borderId="0" xfId="0" applyNumberFormat="1" applyFont="1" applyFill="1" applyBorder="1" applyAlignment="1">
      <alignment horizontal="center"/>
    </xf>
    <xf numFmtId="37" fontId="15" fillId="8" borderId="0" xfId="0" applyNumberFormat="1" applyFont="1" applyFill="1" applyProtection="1"/>
    <xf numFmtId="37" fontId="15" fillId="0" borderId="0" xfId="0" applyNumberFormat="1" applyFont="1" applyFill="1" applyBorder="1" applyAlignment="1">
      <alignment horizontal="center"/>
    </xf>
    <xf numFmtId="37" fontId="15" fillId="0" borderId="0" xfId="0" applyNumberFormat="1" applyFont="1" applyBorder="1" applyAlignment="1">
      <alignment horizontal="center"/>
    </xf>
    <xf numFmtId="39" fontId="15" fillId="0" borderId="0" xfId="0" applyNumberFormat="1" applyFont="1" applyFill="1" applyBorder="1" applyAlignment="1" applyProtection="1">
      <alignment horizontal="center"/>
    </xf>
    <xf numFmtId="0" fontId="49" fillId="0" borderId="0" xfId="0" applyFont="1"/>
    <xf numFmtId="0" fontId="15" fillId="0" borderId="0" xfId="0" applyFont="1"/>
    <xf numFmtId="37" fontId="15" fillId="8" borderId="0" xfId="0" applyNumberFormat="1" applyFont="1" applyFill="1" applyBorder="1" applyAlignment="1" applyProtection="1">
      <alignment horizontal="right"/>
    </xf>
    <xf numFmtId="37" fontId="46" fillId="8" borderId="0" xfId="0" applyNumberFormat="1" applyFont="1" applyFill="1" applyProtection="1"/>
    <xf numFmtId="37" fontId="15" fillId="8" borderId="19" xfId="0" applyNumberFormat="1" applyFont="1" applyFill="1" applyBorder="1" applyProtection="1"/>
    <xf numFmtId="37" fontId="15" fillId="8" borderId="20" xfId="0" applyNumberFormat="1" applyFont="1" applyFill="1" applyBorder="1" applyProtection="1"/>
    <xf numFmtId="37" fontId="15" fillId="8" borderId="21" xfId="0" applyNumberFormat="1" applyFont="1" applyFill="1" applyBorder="1" applyProtection="1"/>
    <xf numFmtId="37" fontId="15" fillId="8" borderId="16" xfId="0" applyNumberFormat="1" applyFont="1" applyFill="1" applyBorder="1" applyProtection="1"/>
    <xf numFmtId="37" fontId="15" fillId="8" borderId="16" xfId="0" applyNumberFormat="1" applyFont="1" applyFill="1" applyBorder="1" applyAlignment="1" applyProtection="1">
      <alignment horizontal="center"/>
    </xf>
    <xf numFmtId="37" fontId="15" fillId="8" borderId="22" xfId="0" applyNumberFormat="1" applyFont="1" applyFill="1" applyBorder="1" applyAlignment="1" applyProtection="1">
      <alignment horizontal="center"/>
    </xf>
    <xf numFmtId="10" fontId="15" fillId="8" borderId="23" xfId="8" applyNumberFormat="1" applyFont="1" applyFill="1" applyBorder="1" applyAlignment="1" applyProtection="1">
      <alignment horizontal="left"/>
    </xf>
    <xf numFmtId="37" fontId="15" fillId="0" borderId="22" xfId="0" applyNumberFormat="1" applyFont="1" applyFill="1" applyBorder="1" applyAlignment="1" applyProtection="1">
      <alignment horizontal="center"/>
    </xf>
    <xf numFmtId="9" fontId="15" fillId="0" borderId="0" xfId="9" applyFont="1"/>
    <xf numFmtId="37" fontId="15" fillId="8" borderId="23" xfId="0" applyNumberFormat="1" applyFont="1" applyFill="1" applyBorder="1" applyProtection="1"/>
    <xf numFmtId="37" fontId="15" fillId="8" borderId="0" xfId="0" applyNumberFormat="1" applyFont="1" applyFill="1" applyBorder="1" applyAlignment="1" applyProtection="1">
      <alignment horizontal="left"/>
    </xf>
  </cellXfs>
  <cellStyles count="17">
    <cellStyle name="Comma" xfId="1" builtinId="3"/>
    <cellStyle name="Comma 2" xfId="4"/>
    <cellStyle name="Comma 3" xfId="7"/>
    <cellStyle name="Comma 4" xfId="13"/>
    <cellStyle name="Hyperlink" xfId="10" builtinId="8"/>
    <cellStyle name="Hyperlink 2" xfId="16"/>
    <cellStyle name="Normal" xfId="0" builtinId="0"/>
    <cellStyle name="Normal 2" xfId="2"/>
    <cellStyle name="Normal 2 2" xfId="15"/>
    <cellStyle name="Normal 3" xfId="6"/>
    <cellStyle name="Normal 4" xfId="12"/>
    <cellStyle name="Normal 5" xfId="14"/>
    <cellStyle name="Normal 7" xfId="5"/>
    <cellStyle name="Percent" xfId="9" builtinId="5"/>
    <cellStyle name="Percent 2" xfId="3"/>
    <cellStyle name="Percent 3" xfId="8"/>
    <cellStyle name="Percent 4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ALL%20PROJECTS/110703/110138/Confidential/Gulfs%20Discovery%20Responses/STAFF%20POD%2020%20With%20MDS%20COSS%20con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LOADS"/>
      <sheetName val="STUDY"/>
      <sheetName val="Compon_Anal"/>
      <sheetName val="B-6"/>
      <sheetName val="C-4"/>
      <sheetName val="E-1"/>
      <sheetName val="E-2"/>
      <sheetName val="E-3"/>
      <sheetName val="E-4"/>
      <sheetName val="E-5"/>
      <sheetName val="E-6"/>
      <sheetName val="E-9"/>
      <sheetName val="E-10"/>
      <sheetName val="E-16"/>
      <sheetName val="E-19"/>
      <sheetName val="MAC"/>
      <sheetName val="UPS"/>
      <sheetName val="M&amp;S CACC &amp; CASS"/>
      <sheetName val="Substation Summary"/>
      <sheetName val="meter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101201/10-971/Confidential/Discovery/Response/Xcel/OES/OES-701/MN%20CCOSS%20Model%20TY2011%20as%20FILED.xl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..\Confidential\Gulfs%20Discovery%20Responses\STAFF%20POD%2020%20With%20MDS%20COSS%20conf.xlsx" TargetMode="Externa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N%20Power%20CCOSS%20Workpapers%20200911-43469-09%5b1%5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9"/>
  <sheetViews>
    <sheetView tabSelected="1" zoomScaleNormal="100" zoomScalePageLayoutView="80" workbookViewId="0">
      <selection activeCell="A8" sqref="A8"/>
    </sheetView>
  </sheetViews>
  <sheetFormatPr defaultColWidth="9.140625" defaultRowHeight="14.25"/>
  <cols>
    <col min="1" max="1" width="6.7109375" style="37" customWidth="1"/>
    <col min="2" max="2" width="1.7109375" style="37" customWidth="1"/>
    <col min="3" max="3" width="37.85546875" style="37" customWidth="1"/>
    <col min="4" max="4" width="1.7109375" style="37" customWidth="1"/>
    <col min="5" max="5" width="20.28515625" style="167" customWidth="1"/>
    <col min="6" max="6" width="0.85546875" style="167" customWidth="1"/>
    <col min="7" max="7" width="9.7109375" style="37" customWidth="1"/>
    <col min="8" max="8" width="0.85546875" style="49" customWidth="1"/>
    <col min="9" max="9" width="9.7109375" style="37" customWidth="1"/>
    <col min="10" max="10" width="0.85546875" style="49" customWidth="1"/>
    <col min="11" max="11" width="9.7109375" style="37" customWidth="1"/>
    <col min="12" max="12" width="0.85546875" style="49" customWidth="1"/>
    <col min="13" max="13" width="9.7109375" style="37" customWidth="1"/>
    <col min="14" max="14" width="0.85546875" style="49" customWidth="1"/>
    <col min="15" max="15" width="9.7109375" style="37" customWidth="1"/>
    <col min="16" max="16" width="0.85546875" style="216" customWidth="1"/>
    <col min="17" max="17" width="9.7109375" style="37" customWidth="1"/>
    <col min="18" max="18" width="9.140625" style="172"/>
    <col min="19" max="16384" width="9.140625" style="37"/>
  </cols>
  <sheetData>
    <row r="1" spans="1:24" ht="18">
      <c r="A1" s="299" t="s">
        <v>80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24" ht="19.899999999999999" customHeight="1">
      <c r="A2" s="300" t="s">
        <v>1100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4" spans="1:24" ht="15">
      <c r="G4" s="59"/>
      <c r="H4" s="59"/>
      <c r="I4" s="59"/>
      <c r="J4" s="59"/>
      <c r="K4" s="59"/>
      <c r="L4" s="59"/>
      <c r="M4" s="59"/>
      <c r="N4" s="59"/>
    </row>
    <row r="5" spans="1:24" s="50" customFormat="1" ht="15">
      <c r="E5" s="168"/>
      <c r="F5" s="168"/>
      <c r="G5" s="298" t="s">
        <v>987</v>
      </c>
      <c r="H5" s="298"/>
      <c r="I5" s="298"/>
      <c r="J5" s="298"/>
      <c r="K5" s="298"/>
      <c r="L5" s="298"/>
      <c r="M5" s="298"/>
      <c r="N5" s="298"/>
      <c r="O5" s="298"/>
      <c r="P5" s="214"/>
      <c r="Q5" s="51"/>
      <c r="R5" s="270"/>
    </row>
    <row r="6" spans="1:24" s="50" customFormat="1" ht="15">
      <c r="A6" s="158" t="s">
        <v>74</v>
      </c>
      <c r="B6" s="168"/>
      <c r="C6" s="158" t="s">
        <v>73</v>
      </c>
      <c r="D6" s="173"/>
      <c r="E6" s="158" t="s">
        <v>76</v>
      </c>
      <c r="F6" s="168"/>
      <c r="G6" s="158">
        <v>364</v>
      </c>
      <c r="H6" s="51"/>
      <c r="I6" s="158">
        <v>365</v>
      </c>
      <c r="J6" s="51"/>
      <c r="K6" s="158">
        <v>366</v>
      </c>
      <c r="L6" s="51"/>
      <c r="M6" s="158">
        <v>367</v>
      </c>
      <c r="N6" s="51"/>
      <c r="O6" s="158">
        <v>368</v>
      </c>
      <c r="P6" s="214"/>
      <c r="Q6" s="158" t="s">
        <v>19</v>
      </c>
      <c r="R6" s="270"/>
    </row>
    <row r="7" spans="1:24" ht="20.25" customHeight="1">
      <c r="D7" s="172"/>
      <c r="G7" s="54">
        <v>-1</v>
      </c>
      <c r="H7" s="55"/>
      <c r="I7" s="54">
        <f>G7-1</f>
        <v>-2</v>
      </c>
      <c r="J7" s="55"/>
      <c r="K7" s="54">
        <f>I7-1</f>
        <v>-3</v>
      </c>
      <c r="L7" s="55"/>
      <c r="M7" s="54">
        <f>K7-1</f>
        <v>-4</v>
      </c>
      <c r="N7" s="55"/>
      <c r="O7" s="54">
        <f>M7-1</f>
        <v>-5</v>
      </c>
      <c r="P7" s="217"/>
      <c r="Q7" s="54">
        <f>O7-1</f>
        <v>-6</v>
      </c>
    </row>
    <row r="8" spans="1:24" ht="20.25" customHeight="1">
      <c r="A8" s="52">
        <v>1</v>
      </c>
      <c r="B8" s="52"/>
      <c r="C8" s="159" t="s">
        <v>75</v>
      </c>
      <c r="D8" s="163"/>
      <c r="E8" s="192" t="s">
        <v>985</v>
      </c>
      <c r="F8" s="170"/>
      <c r="G8" s="60">
        <f>APC!C18</f>
        <v>1</v>
      </c>
      <c r="H8" s="61"/>
      <c r="I8" s="60">
        <f>APC!C20</f>
        <v>0.5</v>
      </c>
      <c r="J8" s="61"/>
      <c r="K8" s="60">
        <f>APC!C23</f>
        <v>1</v>
      </c>
      <c r="L8" s="61"/>
      <c r="M8" s="60">
        <f>APC!C25</f>
        <v>0.50000000108216014</v>
      </c>
      <c r="N8" s="61"/>
      <c r="O8" s="157">
        <f>APC!C28</f>
        <v>0.28427371851776734</v>
      </c>
      <c r="P8" s="218"/>
      <c r="Q8" s="157">
        <f>APC!C32</f>
        <v>0.57135264736207025</v>
      </c>
    </row>
    <row r="9" spans="1:24" ht="20.25" customHeight="1">
      <c r="A9" s="52">
        <f t="shared" ref="A9:A22" si="0">A8+1</f>
        <v>2</v>
      </c>
      <c r="B9" s="52"/>
      <c r="C9" s="162" t="s">
        <v>982</v>
      </c>
      <c r="D9" s="162"/>
      <c r="E9" s="193" t="s">
        <v>1225</v>
      </c>
      <c r="F9" s="169"/>
      <c r="G9" s="60">
        <f>UE!D6</f>
        <v>0.224</v>
      </c>
      <c r="H9" s="61"/>
      <c r="I9" s="60">
        <f>UE!D7</f>
        <v>0.40500000000000003</v>
      </c>
      <c r="J9" s="61"/>
      <c r="K9" s="60">
        <f>UE!D8</f>
        <v>0.67800000000000005</v>
      </c>
      <c r="L9" s="61"/>
      <c r="M9" s="60">
        <f>UE!D9</f>
        <v>0.67800000000000005</v>
      </c>
      <c r="N9" s="61"/>
      <c r="O9" s="157">
        <f>UE!D10</f>
        <v>0.57099999999999995</v>
      </c>
      <c r="P9" s="218"/>
      <c r="Q9" s="157">
        <f>UE!D17</f>
        <v>0.50084778360406401</v>
      </c>
      <c r="S9" s="296"/>
      <c r="T9" s="296"/>
      <c r="U9" s="296"/>
      <c r="V9" s="296"/>
      <c r="W9" s="296"/>
      <c r="X9" s="296"/>
    </row>
    <row r="10" spans="1:24" ht="20.25" customHeight="1">
      <c r="A10" s="52">
        <f t="shared" si="0"/>
        <v>3</v>
      </c>
      <c r="B10" s="52"/>
      <c r="C10" s="162" t="s">
        <v>983</v>
      </c>
      <c r="D10" s="162"/>
      <c r="E10" s="193" t="s">
        <v>1257</v>
      </c>
      <c r="F10" s="169"/>
      <c r="G10" s="60">
        <f>CenHud!E10</f>
        <v>0.69607560587934103</v>
      </c>
      <c r="H10" s="61"/>
      <c r="I10" s="60">
        <f>CenHud!E11</f>
        <v>0.71077587295919309</v>
      </c>
      <c r="J10" s="61"/>
      <c r="K10" s="60">
        <f>CenHud!E12</f>
        <v>0.76921162731263437</v>
      </c>
      <c r="L10" s="61"/>
      <c r="M10" s="60">
        <f>CenHud!E13</f>
        <v>0.7492519927312522</v>
      </c>
      <c r="N10" s="61"/>
      <c r="O10" s="157">
        <f>CenHud!E14</f>
        <v>0.53376986362116952</v>
      </c>
      <c r="P10" s="218"/>
      <c r="Q10" s="157">
        <f>CenHud!E15</f>
        <v>0.67247469636054757</v>
      </c>
      <c r="S10" s="296"/>
      <c r="T10" s="296"/>
      <c r="U10" s="296"/>
      <c r="V10" s="296"/>
      <c r="W10" s="296"/>
      <c r="X10" s="296"/>
    </row>
    <row r="11" spans="1:24" ht="20.25" customHeight="1">
      <c r="A11" s="52">
        <f t="shared" si="0"/>
        <v>4</v>
      </c>
      <c r="B11" s="52"/>
      <c r="C11" s="160" t="s">
        <v>68</v>
      </c>
      <c r="D11" s="165"/>
      <c r="E11" s="192" t="s">
        <v>1102</v>
      </c>
      <c r="F11" s="169"/>
      <c r="G11" s="60">
        <f>SUM('GPC 2011'!C127,'GPC 2011'!C131)/'GPC 2011'!C134</f>
        <v>0.73800168141768663</v>
      </c>
      <c r="H11" s="61"/>
      <c r="I11" s="60">
        <f>SUM('GPC 2011'!C138,'GPC 2011'!C142)/'GPC 2011'!C145</f>
        <v>0.29458923836324152</v>
      </c>
      <c r="J11" s="61"/>
      <c r="K11" s="60">
        <f>SUM('GPC 2011'!C149,'GPC 2011'!C153)/'GPC 2011'!C156</f>
        <v>7.0002283689951872E-2</v>
      </c>
      <c r="L11" s="61"/>
      <c r="M11" s="60">
        <f>SUM('GPC 2011'!C160,'GPC 2011'!C164)/'GPC 2011'!C167</f>
        <v>7.6000055538341924E-2</v>
      </c>
      <c r="N11" s="61"/>
      <c r="O11" s="157">
        <f>SUM('GPC 2011'!C171,'GPC 2011'!C180)/'GPC 2011'!C183</f>
        <v>0.15350420113958252</v>
      </c>
      <c r="P11" s="218"/>
      <c r="Q11" s="157">
        <f>'GPC 2011'!D185</f>
        <v>0.26450060120763552</v>
      </c>
      <c r="S11" s="296"/>
      <c r="T11" s="296"/>
      <c r="U11" s="296"/>
      <c r="V11" s="296"/>
      <c r="W11" s="296"/>
      <c r="X11" s="296"/>
    </row>
    <row r="12" spans="1:24" ht="20.25" customHeight="1">
      <c r="A12" s="52">
        <f t="shared" si="0"/>
        <v>5</v>
      </c>
      <c r="B12" s="52"/>
      <c r="C12" s="161" t="s">
        <v>969</v>
      </c>
      <c r="D12" s="162"/>
      <c r="E12" s="192" t="s">
        <v>986</v>
      </c>
      <c r="F12" s="170"/>
      <c r="G12" s="60">
        <f>SUM('Gulf STUDY'!C112,'Gulf STUDY'!C114)/'Gulf STUDY'!C115</f>
        <v>0.65200346790304953</v>
      </c>
      <c r="H12" s="61"/>
      <c r="I12" s="157">
        <f>SUM('Gulf STUDY'!C119,'Gulf STUDY'!C121)/'Gulf STUDY'!C122</f>
        <v>0.13199495008171264</v>
      </c>
      <c r="J12" s="61"/>
      <c r="K12" s="60">
        <f>SUM('Gulf STUDY'!C126,'Gulf STUDY'!C128)/'Gulf STUDY'!C129</f>
        <v>3.9565554693560899E-2</v>
      </c>
      <c r="L12" s="61"/>
      <c r="M12" s="60">
        <f>SUM('Gulf STUDY'!C133,'Gulf STUDY'!C135)/'Gulf STUDY'!C136</f>
        <v>4.8000383236592704E-2</v>
      </c>
      <c r="N12" s="61"/>
      <c r="O12" s="157">
        <f>SUM('Gulf STUDY'!C150,'Gulf STUDY'!C152)/'Gulf STUDY'!C153</f>
        <v>0.25400026604075571</v>
      </c>
      <c r="P12" s="218"/>
      <c r="Q12" s="157">
        <f>'Gulf STUDY'!G2316</f>
        <v>0.2716447168302108</v>
      </c>
      <c r="S12" s="296"/>
      <c r="T12" s="296"/>
      <c r="U12" s="296"/>
      <c r="V12" s="296"/>
      <c r="W12" s="296"/>
      <c r="X12" s="296"/>
    </row>
    <row r="13" spans="1:24" ht="20.25" customHeight="1">
      <c r="A13" s="52">
        <f t="shared" si="0"/>
        <v>6</v>
      </c>
      <c r="B13" s="52"/>
      <c r="C13" s="162" t="s">
        <v>980</v>
      </c>
      <c r="D13" s="162"/>
      <c r="E13" s="292" t="s">
        <v>1224</v>
      </c>
      <c r="F13" s="170"/>
      <c r="G13" s="60">
        <f>'MN Power'!$E$50</f>
        <v>0.35130174942510328</v>
      </c>
      <c r="H13" s="61"/>
      <c r="I13" s="157">
        <f>G13</f>
        <v>0.35130174942510328</v>
      </c>
      <c r="J13" s="61"/>
      <c r="K13" s="60">
        <f>'MN Power'!$E$51</f>
        <v>0.25558391889026183</v>
      </c>
      <c r="L13" s="61"/>
      <c r="M13" s="60">
        <f>K13</f>
        <v>0.25558391889026183</v>
      </c>
      <c r="N13" s="61"/>
      <c r="O13" s="157">
        <f>'MN Power'!$E$52</f>
        <v>0.22462394104331243</v>
      </c>
      <c r="P13" s="218"/>
      <c r="Q13" s="157">
        <f>'MN Power'!$E$53</f>
        <v>0.29019858552647154</v>
      </c>
      <c r="R13" s="271"/>
      <c r="S13" s="296"/>
      <c r="T13" s="296"/>
      <c r="U13" s="296"/>
      <c r="V13" s="296"/>
      <c r="W13" s="296"/>
      <c r="X13" s="296"/>
    </row>
    <row r="14" spans="1:24" ht="20.25" customHeight="1">
      <c r="A14" s="52">
        <f t="shared" si="0"/>
        <v>7</v>
      </c>
      <c r="B14" s="52"/>
      <c r="C14" s="161" t="s">
        <v>977</v>
      </c>
      <c r="D14" s="162"/>
      <c r="E14" s="292" t="s">
        <v>1266</v>
      </c>
      <c r="F14" s="170"/>
      <c r="G14" s="60">
        <f>MPC!C6</f>
        <v>0.50069909665298251</v>
      </c>
      <c r="H14" s="61"/>
      <c r="I14" s="157">
        <f>MPC!C12</f>
        <v>0.5312000030413937</v>
      </c>
      <c r="J14" s="61"/>
      <c r="K14" s="60">
        <f>MPC!C19</f>
        <v>0.45739910313901344</v>
      </c>
      <c r="L14" s="61"/>
      <c r="M14" s="60">
        <f>MPC!C25</f>
        <v>0.58840000444757634</v>
      </c>
      <c r="N14" s="61"/>
      <c r="O14" s="157">
        <f>MPC!C39</f>
        <v>0.50755760934498617</v>
      </c>
      <c r="P14" s="218"/>
      <c r="Q14" s="157">
        <f>MPC!C42</f>
        <v>0.52233140141220358</v>
      </c>
      <c r="S14" s="296"/>
      <c r="T14" s="296"/>
      <c r="U14" s="296"/>
      <c r="V14" s="296"/>
      <c r="W14" s="296"/>
      <c r="X14" s="296"/>
    </row>
    <row r="15" spans="1:24" ht="20.25" customHeight="1">
      <c r="A15" s="52">
        <f t="shared" si="0"/>
        <v>8</v>
      </c>
      <c r="B15" s="52"/>
      <c r="C15" s="64" t="s">
        <v>979</v>
      </c>
      <c r="D15" s="162"/>
      <c r="E15" s="292" t="s">
        <v>1101</v>
      </c>
      <c r="F15" s="170"/>
      <c r="G15" s="250">
        <f>NiMO!C4</f>
        <v>0.50204149386932861</v>
      </c>
      <c r="H15" s="251"/>
      <c r="I15" s="250">
        <f>NiMO!C7</f>
        <v>0.50127344894632042</v>
      </c>
      <c r="J15" s="251"/>
      <c r="K15" s="250">
        <f>NiMO!C10</f>
        <v>0.53688285280519887</v>
      </c>
      <c r="L15" s="251"/>
      <c r="M15" s="250">
        <f>NiMO!C13</f>
        <v>0.53318512373125238</v>
      </c>
      <c r="N15" s="251"/>
      <c r="O15" s="215">
        <f>NiMO!C16</f>
        <v>0</v>
      </c>
      <c r="P15" s="218"/>
      <c r="Q15" s="215">
        <f>NiMO!C19</f>
        <v>0.39167256284979668</v>
      </c>
      <c r="S15" s="296"/>
      <c r="T15" s="296"/>
      <c r="U15" s="296"/>
      <c r="V15" s="296"/>
      <c r="W15" s="296"/>
      <c r="X15" s="296"/>
    </row>
    <row r="16" spans="1:24" ht="20.25" customHeight="1">
      <c r="A16" s="52">
        <f t="shared" si="0"/>
        <v>9</v>
      </c>
      <c r="B16" s="52"/>
      <c r="C16" s="64" t="s">
        <v>978</v>
      </c>
      <c r="D16" s="162"/>
      <c r="E16" s="293" t="s">
        <v>1095</v>
      </c>
      <c r="F16" s="170"/>
      <c r="G16" s="60">
        <f>NSP!AM26</f>
        <v>0.4465267604025952</v>
      </c>
      <c r="H16" s="61"/>
      <c r="I16" s="157">
        <f>G16</f>
        <v>0.4465267604025952</v>
      </c>
      <c r="J16" s="61"/>
      <c r="K16" s="60">
        <f>NSP!AM28</f>
        <v>0.71304993167977548</v>
      </c>
      <c r="L16" s="61"/>
      <c r="M16" s="60">
        <f>K16</f>
        <v>0.71304993167977548</v>
      </c>
      <c r="N16" s="61"/>
      <c r="O16" s="157">
        <f>NSP!AM30</f>
        <v>0.46159996743542331</v>
      </c>
      <c r="P16" s="218"/>
      <c r="Q16" s="157">
        <f>NSP!AM31</f>
        <v>0.61</v>
      </c>
      <c r="S16" s="296"/>
      <c r="T16" s="296"/>
      <c r="U16" s="296"/>
      <c r="V16" s="296"/>
      <c r="W16" s="296"/>
      <c r="X16" s="296"/>
    </row>
    <row r="17" spans="1:24" ht="20.25" customHeight="1">
      <c r="A17" s="52">
        <f t="shared" si="0"/>
        <v>10</v>
      </c>
      <c r="B17" s="52"/>
      <c r="C17" s="64" t="s">
        <v>981</v>
      </c>
      <c r="D17" s="64"/>
      <c r="E17" s="294" t="s">
        <v>1250</v>
      </c>
      <c r="F17" s="37"/>
      <c r="G17" s="269">
        <f>Progress!C4</f>
        <v>0.56368330095163277</v>
      </c>
      <c r="H17" s="37"/>
      <c r="I17" s="269">
        <f>G17</f>
        <v>0.56368330095163277</v>
      </c>
      <c r="J17" s="37"/>
      <c r="K17" s="269">
        <f>Progress!C7</f>
        <v>0</v>
      </c>
      <c r="L17" s="37"/>
      <c r="M17" s="269">
        <f>K17</f>
        <v>0</v>
      </c>
      <c r="N17" s="37"/>
      <c r="O17" s="269">
        <f>Progress!C11</f>
        <v>0.30192140381763455</v>
      </c>
      <c r="P17" s="37"/>
      <c r="Q17" s="269">
        <f>Progress!C14</f>
        <v>0.31599288396100644</v>
      </c>
      <c r="S17" s="296"/>
      <c r="T17" s="296"/>
      <c r="U17" s="296"/>
      <c r="V17" s="296"/>
      <c r="W17" s="296"/>
      <c r="X17" s="296"/>
    </row>
    <row r="18" spans="1:24" ht="20.25" customHeight="1">
      <c r="A18" s="52">
        <f>A17+1</f>
        <v>11</v>
      </c>
      <c r="B18" s="52"/>
      <c r="C18" s="64" t="s">
        <v>1223</v>
      </c>
      <c r="D18" s="64"/>
      <c r="E18" s="292" t="s">
        <v>1222</v>
      </c>
      <c r="F18" s="170"/>
      <c r="G18" s="60">
        <f>'South Carolina'!D23</f>
        <v>0.4004998306372925</v>
      </c>
      <c r="H18" s="61"/>
      <c r="I18" s="157">
        <f>G18</f>
        <v>0.4004998306372925</v>
      </c>
      <c r="J18" s="61"/>
      <c r="K18" s="60">
        <f>'South Carolina'!D28</f>
        <v>0.40549878013409996</v>
      </c>
      <c r="L18" s="61"/>
      <c r="M18" s="60">
        <f>K18</f>
        <v>0.40549878013409996</v>
      </c>
      <c r="N18" s="61"/>
      <c r="O18" s="157">
        <f>'South Carolina'!D36</f>
        <v>0.26694897077478386</v>
      </c>
      <c r="P18" s="218"/>
      <c r="Q18" s="157">
        <f>'South Carolina'!D39</f>
        <v>0.36760179984757452</v>
      </c>
      <c r="S18" s="296"/>
      <c r="T18" s="296"/>
      <c r="U18" s="296"/>
      <c r="V18" s="296"/>
      <c r="W18" s="296"/>
      <c r="X18" s="296"/>
    </row>
    <row r="19" spans="1:24" ht="20.25" customHeight="1">
      <c r="A19" s="52">
        <f t="shared" si="0"/>
        <v>12</v>
      </c>
      <c r="B19" s="52"/>
      <c r="C19" s="53" t="s">
        <v>71</v>
      </c>
      <c r="D19" s="53"/>
      <c r="E19" s="294" t="s">
        <v>24</v>
      </c>
      <c r="F19" s="170"/>
      <c r="G19" s="62">
        <f>'KAT''s calculations'!I40</f>
        <v>0.78918968081975815</v>
      </c>
      <c r="H19" s="63"/>
      <c r="I19" s="60">
        <f>'KAT''s calculations'!I40</f>
        <v>0.78918968081975815</v>
      </c>
      <c r="J19" s="63"/>
      <c r="K19" s="62">
        <f>'KAT''s calculations'!I43</f>
        <v>0.78918968042098225</v>
      </c>
      <c r="L19" s="63"/>
      <c r="M19" s="62">
        <f>'KAT''s calculations'!I43</f>
        <v>0.78918968042098225</v>
      </c>
      <c r="N19" s="63"/>
      <c r="O19" s="157">
        <f>'KAT''s calculations'!F45</f>
        <v>0.4787988801187183</v>
      </c>
      <c r="P19" s="218"/>
      <c r="Q19" s="157">
        <f>'KAT''s calculations'!I45</f>
        <v>0.68565227709117293</v>
      </c>
      <c r="S19" s="296"/>
      <c r="T19" s="296"/>
      <c r="U19" s="296"/>
      <c r="V19" s="296"/>
      <c r="W19" s="296"/>
      <c r="X19" s="296"/>
    </row>
    <row r="20" spans="1:24" ht="20.25" customHeight="1">
      <c r="A20" s="52">
        <f t="shared" si="0"/>
        <v>13</v>
      </c>
      <c r="B20" s="52"/>
      <c r="C20" s="53" t="s">
        <v>70</v>
      </c>
      <c r="D20" s="53"/>
      <c r="E20" s="170" t="s">
        <v>28</v>
      </c>
      <c r="F20" s="170"/>
      <c r="G20" s="60">
        <f>'KAT''s calculations'!I51</f>
        <v>0.6055754689403664</v>
      </c>
      <c r="H20" s="61"/>
      <c r="I20" s="60">
        <f>'KAT''s calculations'!I51</f>
        <v>0.6055754689403664</v>
      </c>
      <c r="J20" s="61"/>
      <c r="K20" s="60">
        <f>'KAT''s calculations'!I54</f>
        <v>0.62647258736810341</v>
      </c>
      <c r="L20" s="61"/>
      <c r="M20" s="60">
        <f>'KAT''s calculations'!I54</f>
        <v>0.62647258736810341</v>
      </c>
      <c r="N20" s="61"/>
      <c r="O20" s="157">
        <f>'KAT''s calculations'!F56</f>
        <v>0.48750348146587086</v>
      </c>
      <c r="P20" s="218"/>
      <c r="Q20" s="157">
        <f>'KAT''s calculations'!I56</f>
        <v>0.58845002419524461</v>
      </c>
      <c r="S20" s="296"/>
      <c r="T20" s="296"/>
      <c r="U20" s="296"/>
      <c r="V20" s="296"/>
      <c r="W20" s="296"/>
      <c r="X20" s="296"/>
    </row>
    <row r="21" spans="1:24" ht="20.25" customHeight="1">
      <c r="A21" s="52">
        <f t="shared" si="0"/>
        <v>14</v>
      </c>
      <c r="B21" s="52"/>
      <c r="C21" s="53" t="s">
        <v>69</v>
      </c>
      <c r="D21" s="53"/>
      <c r="E21" s="170" t="s">
        <v>22</v>
      </c>
      <c r="F21" s="170"/>
      <c r="G21" s="60">
        <f>'KAT''s calculations'!I62</f>
        <v>0.44679555692806278</v>
      </c>
      <c r="H21" s="61"/>
      <c r="I21" s="60">
        <f>'KAT''s calculations'!I65</f>
        <v>0.1954193486748862</v>
      </c>
      <c r="J21" s="61"/>
      <c r="K21" s="60">
        <f>'KAT''s calculations'!F68</f>
        <v>0.17270209941602394</v>
      </c>
      <c r="L21" s="61"/>
      <c r="M21" s="60">
        <f>'KAT''s calculations'!F71</f>
        <v>0.17270209897426755</v>
      </c>
      <c r="N21" s="61"/>
      <c r="O21" s="157">
        <f>'KAT''s calculations'!F73</f>
        <v>0.10084503249667642</v>
      </c>
      <c r="P21" s="218"/>
      <c r="Q21" s="157">
        <f>'KAT''s calculations'!I73</f>
        <v>0.19182188469698067</v>
      </c>
      <c r="S21" s="296"/>
      <c r="T21" s="296"/>
      <c r="U21" s="296"/>
      <c r="V21" s="296"/>
      <c r="W21" s="296"/>
      <c r="X21" s="296"/>
    </row>
    <row r="22" spans="1:24" ht="20.25" customHeight="1">
      <c r="A22" s="52">
        <f t="shared" si="0"/>
        <v>15</v>
      </c>
      <c r="B22" s="52"/>
      <c r="C22" s="53" t="s">
        <v>72</v>
      </c>
      <c r="D22" s="53"/>
      <c r="E22" s="170" t="s">
        <v>18</v>
      </c>
      <c r="F22" s="170"/>
      <c r="G22" s="62">
        <f>'KAT''s calculations'!I6</f>
        <v>0.49351572282035783</v>
      </c>
      <c r="H22" s="63"/>
      <c r="I22" s="60">
        <f>'KAT''s calculations'!I9</f>
        <v>0.70513882732692335</v>
      </c>
      <c r="J22" s="63"/>
      <c r="K22" s="62">
        <v>0</v>
      </c>
      <c r="L22" s="63"/>
      <c r="M22" s="62">
        <f>'KAT''s calculations'!I12</f>
        <v>0.71985798006341561</v>
      </c>
      <c r="N22" s="63"/>
      <c r="O22" s="157">
        <f>'KAT''s calculations'!F15</f>
        <v>0.64489784122067906</v>
      </c>
      <c r="P22" s="218"/>
      <c r="Q22" s="157">
        <f>'KAT''s calculations'!I15</f>
        <v>0.58833685369187183</v>
      </c>
      <c r="S22" s="296"/>
      <c r="T22" s="296"/>
      <c r="U22" s="296"/>
      <c r="V22" s="296"/>
      <c r="W22" s="296"/>
      <c r="X22" s="296"/>
    </row>
    <row r="23" spans="1:24" s="53" customFormat="1" ht="27" customHeight="1" thickBot="1">
      <c r="C23" s="164"/>
      <c r="D23" s="164"/>
      <c r="E23" s="249"/>
      <c r="F23" s="249"/>
      <c r="G23" s="164"/>
      <c r="H23" s="164"/>
      <c r="I23" s="164"/>
      <c r="N23" s="166"/>
      <c r="P23" s="219"/>
      <c r="R23" s="165"/>
      <c r="S23" s="296"/>
      <c r="T23" s="296"/>
      <c r="U23" s="296"/>
      <c r="V23" s="296"/>
      <c r="W23" s="296"/>
      <c r="X23" s="296"/>
    </row>
    <row r="24" spans="1:24" s="53" customFormat="1" ht="27" customHeight="1">
      <c r="C24" s="161" t="s">
        <v>984</v>
      </c>
      <c r="D24" s="162"/>
      <c r="E24" s="171"/>
      <c r="F24" s="171"/>
      <c r="G24" s="165"/>
      <c r="N24" s="166"/>
      <c r="P24" s="219"/>
      <c r="R24" s="165"/>
      <c r="S24" s="296"/>
      <c r="T24" s="296"/>
      <c r="U24" s="296"/>
      <c r="V24" s="296"/>
      <c r="W24" s="296"/>
      <c r="X24" s="296"/>
    </row>
    <row r="25" spans="1:24" ht="19.899999999999999" customHeight="1">
      <c r="C25" s="37" t="s">
        <v>1267</v>
      </c>
      <c r="E25" s="169"/>
      <c r="F25" s="169"/>
    </row>
    <row r="26" spans="1:24">
      <c r="E26" s="169"/>
      <c r="F26" s="169"/>
    </row>
    <row r="27" spans="1:24">
      <c r="E27" s="169"/>
      <c r="F27" s="169"/>
    </row>
    <row r="28" spans="1:24">
      <c r="C28" s="57"/>
      <c r="D28" s="57"/>
      <c r="E28" s="169"/>
      <c r="F28" s="169"/>
      <c r="G28" s="58"/>
    </row>
    <row r="29" spans="1:24">
      <c r="C29" s="56"/>
      <c r="D29" s="56"/>
      <c r="E29" s="169"/>
      <c r="F29" s="169"/>
    </row>
  </sheetData>
  <mergeCells count="3">
    <mergeCell ref="G5:O5"/>
    <mergeCell ref="A1:Q1"/>
    <mergeCell ref="A2:Q2"/>
  </mergeCells>
  <hyperlinks>
    <hyperlink ref="E16" r:id="rId1"/>
  </hyperlinks>
  <printOptions horizontalCentered="1"/>
  <pageMargins left="0.5" right="0.75" top="1.5" bottom="0.5" header="0.75" footer="0.25"/>
  <pageSetup scale="96" orientation="landscape" verticalDpi="300" r:id="rId2"/>
  <headerFooter scaleWithDoc="0" alignWithMargins="0">
    <oddHeader>&amp;R&amp;"Arial,Bold"Docket No. 110138-EI        &amp;1.  &amp;11  
 Distribution Classification&amp;1.&amp;11                      
&amp;A               &amp;1.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ColWidth="9.140625" defaultRowHeight="12.75"/>
  <cols>
    <col min="1" max="1" width="19.85546875" style="261" bestFit="1" customWidth="1"/>
    <col min="2" max="2" width="14.28515625" style="261" bestFit="1" customWidth="1"/>
    <col min="3" max="3" width="9.140625" style="261"/>
    <col min="4" max="4" width="4.28515625" style="261" customWidth="1"/>
    <col min="5" max="5" width="9.140625" style="261"/>
    <col min="6" max="6" width="12" style="261" bestFit="1" customWidth="1"/>
    <col min="7" max="8" width="15" style="261" bestFit="1" customWidth="1"/>
    <col min="9" max="9" width="14" style="261" bestFit="1" customWidth="1"/>
    <col min="10" max="11" width="9.140625" style="261"/>
    <col min="12" max="12" width="11" style="261" bestFit="1" customWidth="1"/>
    <col min="13" max="16384" width="9.140625" style="261"/>
  </cols>
  <sheetData>
    <row r="1" spans="1:12">
      <c r="A1" s="260"/>
    </row>
    <row r="2" spans="1:12">
      <c r="A2" s="261" t="s">
        <v>1097</v>
      </c>
    </row>
    <row r="3" spans="1:12">
      <c r="A3" s="262" t="s">
        <v>1246</v>
      </c>
      <c r="B3" s="263">
        <f>223156109+96749140+314871420+66315633</f>
        <v>701092302</v>
      </c>
      <c r="C3" s="264"/>
    </row>
    <row r="4" spans="1:12">
      <c r="A4" s="262" t="s">
        <v>1248</v>
      </c>
      <c r="B4" s="263">
        <v>1243769863</v>
      </c>
      <c r="C4" s="268">
        <f>B3/B4</f>
        <v>0.56368330095163277</v>
      </c>
    </row>
    <row r="5" spans="1:12">
      <c r="A5" s="262"/>
      <c r="B5" s="263"/>
      <c r="C5" s="264"/>
    </row>
    <row r="6" spans="1:12">
      <c r="A6" s="262" t="s">
        <v>1247</v>
      </c>
      <c r="B6" s="263"/>
      <c r="C6" s="264"/>
      <c r="E6" s="272"/>
      <c r="L6" s="268"/>
    </row>
    <row r="7" spans="1:12">
      <c r="A7" s="262" t="s">
        <v>1249</v>
      </c>
      <c r="B7" s="263">
        <v>940253637</v>
      </c>
      <c r="C7" s="268">
        <f>B6/B7</f>
        <v>0</v>
      </c>
    </row>
    <row r="8" spans="1:12">
      <c r="A8" s="262"/>
      <c r="B8" s="263"/>
      <c r="C8" s="264"/>
    </row>
    <row r="9" spans="1:12">
      <c r="A9" s="262"/>
      <c r="B9" s="263"/>
      <c r="C9" s="264"/>
    </row>
    <row r="10" spans="1:12">
      <c r="A10" s="262" t="s">
        <v>61</v>
      </c>
      <c r="B10" s="263">
        <v>235083797</v>
      </c>
      <c r="C10" s="264"/>
    </row>
    <row r="11" spans="1:12">
      <c r="A11" s="262" t="s">
        <v>60</v>
      </c>
      <c r="B11" s="263">
        <v>778625808</v>
      </c>
      <c r="C11" s="268">
        <f>B10/B11</f>
        <v>0.30192140381763455</v>
      </c>
    </row>
    <row r="13" spans="1:12">
      <c r="B13" s="267">
        <f>B3+B6+B10</f>
        <v>936176099</v>
      </c>
    </row>
    <row r="14" spans="1:12">
      <c r="B14" s="267">
        <f>B4+B7+B11</f>
        <v>2962649308</v>
      </c>
      <c r="C14" s="268">
        <f>B13/B14</f>
        <v>0.31599288396100644</v>
      </c>
    </row>
    <row r="16" spans="1:12">
      <c r="G16" s="265"/>
      <c r="H16" s="265"/>
      <c r="I16" s="265"/>
    </row>
    <row r="17" spans="6:9" ht="13.5" thickBot="1">
      <c r="G17" s="265"/>
      <c r="H17" s="265"/>
      <c r="I17" s="265"/>
    </row>
    <row r="18" spans="6:9">
      <c r="F18" s="273" t="s">
        <v>1256</v>
      </c>
      <c r="G18" s="274"/>
      <c r="H18" s="274"/>
      <c r="I18" s="275"/>
    </row>
    <row r="19" spans="6:9">
      <c r="F19" s="276"/>
      <c r="G19" s="277"/>
      <c r="H19" s="277"/>
      <c r="I19" s="278"/>
    </row>
    <row r="20" spans="6:9">
      <c r="F20" s="279" t="s">
        <v>1251</v>
      </c>
      <c r="G20" s="280">
        <v>56217114</v>
      </c>
      <c r="H20" s="280">
        <v>46121156</v>
      </c>
      <c r="I20" s="281">
        <v>8055492</v>
      </c>
    </row>
    <row r="21" spans="6:9">
      <c r="F21" s="276"/>
      <c r="G21" s="282"/>
      <c r="H21" s="282">
        <f>H20/$G$20</f>
        <v>0.82041130748903257</v>
      </c>
      <c r="I21" s="283">
        <f>I20/$G$20</f>
        <v>0.14329252120626471</v>
      </c>
    </row>
    <row r="22" spans="6:9" ht="13.5" thickBot="1">
      <c r="F22" s="276"/>
      <c r="G22" s="277"/>
      <c r="H22" s="277"/>
      <c r="I22" s="278"/>
    </row>
    <row r="23" spans="6:9">
      <c r="F23" s="273" t="s">
        <v>1252</v>
      </c>
      <c r="G23" s="288">
        <v>292600354</v>
      </c>
      <c r="H23" s="288">
        <v>227797966</v>
      </c>
      <c r="I23" s="289">
        <v>20733222</v>
      </c>
    </row>
    <row r="24" spans="6:9">
      <c r="F24" s="276"/>
      <c r="G24" s="277"/>
      <c r="H24" s="282">
        <f>H23/$G$23</f>
        <v>0.77852935885374908</v>
      </c>
      <c r="I24" s="283">
        <f>I23/$G$23</f>
        <v>7.0858499371466932E-2</v>
      </c>
    </row>
    <row r="25" spans="6:9">
      <c r="F25" s="276"/>
      <c r="G25" s="277"/>
      <c r="H25" s="277"/>
      <c r="I25" s="278"/>
    </row>
    <row r="26" spans="6:9">
      <c r="F26" s="279" t="s">
        <v>1253</v>
      </c>
      <c r="G26" s="280">
        <v>16982942</v>
      </c>
      <c r="H26" s="280">
        <v>13287085</v>
      </c>
      <c r="I26" s="281">
        <v>1443449</v>
      </c>
    </row>
    <row r="27" spans="6:9" ht="13.5" thickBot="1">
      <c r="F27" s="284"/>
      <c r="G27" s="285"/>
      <c r="H27" s="286">
        <f>H26/$G$26</f>
        <v>0.78237828286759736</v>
      </c>
      <c r="I27" s="287">
        <f>I26/$G$26</f>
        <v>8.499404873431235E-2</v>
      </c>
    </row>
    <row r="28" spans="6:9">
      <c r="F28" s="276"/>
      <c r="G28" s="277"/>
      <c r="H28" s="277"/>
      <c r="I28" s="278"/>
    </row>
    <row r="29" spans="6:9" ht="13.5" thickBot="1">
      <c r="F29" s="276"/>
      <c r="G29" s="277"/>
      <c r="H29" s="277"/>
      <c r="I29" s="278"/>
    </row>
    <row r="30" spans="6:9">
      <c r="F30" s="273" t="s">
        <v>1254</v>
      </c>
      <c r="G30" s="288">
        <v>559775275</v>
      </c>
      <c r="H30" s="288">
        <v>331732332</v>
      </c>
      <c r="I30" s="289">
        <v>38381496</v>
      </c>
    </row>
    <row r="31" spans="6:9">
      <c r="F31" s="276"/>
      <c r="G31" s="277"/>
      <c r="H31" s="282">
        <f>H30/$G$30</f>
        <v>0.59261697830437399</v>
      </c>
      <c r="I31" s="283">
        <f>I30/$G$30</f>
        <v>6.8565900842976674E-2</v>
      </c>
    </row>
    <row r="32" spans="6:9">
      <c r="F32" s="276"/>
      <c r="G32" s="277"/>
      <c r="H32" s="277"/>
      <c r="I32" s="278"/>
    </row>
    <row r="33" spans="6:9">
      <c r="F33" s="279" t="s">
        <v>1255</v>
      </c>
      <c r="G33" s="280">
        <v>137312455</v>
      </c>
      <c r="H33" s="280">
        <v>80094649</v>
      </c>
      <c r="I33" s="281">
        <v>10002450</v>
      </c>
    </row>
    <row r="34" spans="6:9" ht="13.5" thickBot="1">
      <c r="F34" s="284"/>
      <c r="G34" s="285"/>
      <c r="H34" s="286">
        <f>H33/$G$33</f>
        <v>0.58330214109127976</v>
      </c>
      <c r="I34" s="287">
        <f>I33/$G$33</f>
        <v>7.2844448087393099E-2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G20" sqref="G20"/>
    </sheetView>
  </sheetViews>
  <sheetFormatPr defaultColWidth="9.140625" defaultRowHeight="12.75"/>
  <cols>
    <col min="1" max="1" width="19.85546875" style="261" bestFit="1" customWidth="1"/>
    <col min="2" max="2" width="14.28515625" style="261" bestFit="1" customWidth="1"/>
    <col min="3" max="3" width="9.140625" style="261"/>
    <col min="4" max="4" width="4.28515625" style="261" customWidth="1"/>
    <col min="5" max="6" width="9.140625" style="261"/>
    <col min="7" max="7" width="11" style="261" bestFit="1" customWidth="1"/>
    <col min="8" max="16384" width="9.140625" style="261"/>
  </cols>
  <sheetData>
    <row r="1" spans="1:14">
      <c r="A1" s="260" t="s">
        <v>1096</v>
      </c>
    </row>
    <row r="2" spans="1:14">
      <c r="A2" s="261" t="s">
        <v>1097</v>
      </c>
    </row>
    <row r="3" spans="1:14">
      <c r="A3" s="262" t="s">
        <v>67</v>
      </c>
      <c r="B3" s="263">
        <f>I29+K29</f>
        <v>446096.5</v>
      </c>
      <c r="C3" s="264"/>
    </row>
    <row r="4" spans="1:14">
      <c r="A4" s="262" t="s">
        <v>1098</v>
      </c>
      <c r="B4" s="263">
        <f>F20</f>
        <v>888565</v>
      </c>
      <c r="C4" s="268">
        <f>B3/B4</f>
        <v>0.50204149386932861</v>
      </c>
    </row>
    <row r="5" spans="1:14">
      <c r="A5" s="262"/>
      <c r="B5" s="263"/>
      <c r="C5" s="264"/>
    </row>
    <row r="6" spans="1:14">
      <c r="A6" s="262" t="s">
        <v>66</v>
      </c>
      <c r="B6" s="263">
        <f>I30+K30</f>
        <v>491649.5</v>
      </c>
      <c r="C6" s="264"/>
    </row>
    <row r="7" spans="1:14">
      <c r="A7" s="262" t="s">
        <v>65</v>
      </c>
      <c r="B7" s="263">
        <f>F21</f>
        <v>980801</v>
      </c>
      <c r="C7" s="268">
        <f>B6/B7</f>
        <v>0.50127344894632042</v>
      </c>
    </row>
    <row r="8" spans="1:14">
      <c r="A8" s="262"/>
      <c r="B8" s="263"/>
      <c r="C8" s="264"/>
    </row>
    <row r="9" spans="1:14">
      <c r="A9" s="262" t="s">
        <v>64</v>
      </c>
      <c r="B9" s="263">
        <f>I31+K31</f>
        <v>78153.5</v>
      </c>
      <c r="C9" s="264"/>
    </row>
    <row r="10" spans="1:14">
      <c r="A10" s="262" t="s">
        <v>1099</v>
      </c>
      <c r="B10" s="263">
        <f>F22</f>
        <v>145569</v>
      </c>
      <c r="C10" s="268">
        <f>B9/B10</f>
        <v>0.53688285280519887</v>
      </c>
    </row>
    <row r="11" spans="1:14">
      <c r="A11" s="262"/>
      <c r="B11" s="263"/>
      <c r="C11" s="264"/>
    </row>
    <row r="12" spans="1:14">
      <c r="A12" s="262" t="s">
        <v>63</v>
      </c>
      <c r="B12" s="263">
        <f>I32+K32</f>
        <v>246789</v>
      </c>
      <c r="C12" s="264"/>
    </row>
    <row r="13" spans="1:14">
      <c r="A13" s="262" t="s">
        <v>62</v>
      </c>
      <c r="B13" s="263">
        <f>F23</f>
        <v>462858</v>
      </c>
      <c r="C13" s="268">
        <f>B12/B13</f>
        <v>0.53318512373125238</v>
      </c>
    </row>
    <row r="14" spans="1:14">
      <c r="A14" s="262"/>
      <c r="B14" s="263"/>
      <c r="C14" s="264"/>
      <c r="E14" s="265"/>
      <c r="F14" s="265"/>
      <c r="G14" s="265"/>
      <c r="H14" s="265"/>
      <c r="I14" s="265"/>
      <c r="J14" s="265"/>
      <c r="K14" s="265"/>
      <c r="L14" s="265"/>
      <c r="M14" s="265"/>
      <c r="N14" s="265"/>
    </row>
    <row r="15" spans="1:14">
      <c r="A15" s="262" t="s">
        <v>61</v>
      </c>
      <c r="B15" s="263">
        <f>I33+K33</f>
        <v>0</v>
      </c>
      <c r="C15" s="264"/>
      <c r="E15" s="265"/>
      <c r="F15" s="265"/>
      <c r="G15" s="265"/>
      <c r="H15" s="265"/>
      <c r="I15" s="265"/>
      <c r="J15" s="265"/>
      <c r="K15" s="265"/>
      <c r="L15" s="265"/>
      <c r="M15" s="265"/>
      <c r="N15" s="265"/>
    </row>
    <row r="16" spans="1:14">
      <c r="A16" s="262" t="s">
        <v>60</v>
      </c>
      <c r="B16" s="263">
        <f>F24</f>
        <v>746044</v>
      </c>
      <c r="C16" s="268">
        <f>B15/B16</f>
        <v>0</v>
      </c>
      <c r="E16" s="265"/>
      <c r="F16" s="265"/>
      <c r="G16" s="265"/>
      <c r="H16" s="265"/>
      <c r="I16" s="265"/>
      <c r="J16" s="265"/>
      <c r="K16" s="265"/>
      <c r="L16" s="265"/>
      <c r="M16" s="265"/>
      <c r="N16" s="265"/>
    </row>
    <row r="17" spans="2:14">
      <c r="E17" s="265"/>
      <c r="F17" s="265"/>
      <c r="G17" s="265"/>
      <c r="H17" s="265"/>
      <c r="I17" s="265"/>
      <c r="J17" s="265"/>
      <c r="K17" s="265"/>
      <c r="L17" s="265"/>
      <c r="M17" s="265"/>
      <c r="N17" s="265"/>
    </row>
    <row r="18" spans="2:14">
      <c r="B18" s="267">
        <f>B3+B6+B9+B12+B15</f>
        <v>1262688.5</v>
      </c>
      <c r="E18" s="265"/>
      <c r="F18" s="265"/>
      <c r="G18" s="265"/>
      <c r="H18" s="265"/>
      <c r="I18" s="265"/>
      <c r="J18" s="265"/>
      <c r="K18" s="265"/>
      <c r="L18" s="265"/>
      <c r="M18" s="265"/>
      <c r="N18" s="265"/>
    </row>
    <row r="19" spans="2:14" ht="15">
      <c r="B19" s="267">
        <f>B4+B7+B10+B13+B16</f>
        <v>3223837</v>
      </c>
      <c r="C19" s="268">
        <f>B18/B19</f>
        <v>0.39167256284979668</v>
      </c>
      <c r="E19" s="265"/>
      <c r="F19" s="266" t="s">
        <v>19</v>
      </c>
      <c r="G19" s="266" t="s">
        <v>6</v>
      </c>
      <c r="H19" s="266" t="s">
        <v>9</v>
      </c>
      <c r="I19" s="265"/>
      <c r="J19" s="265"/>
      <c r="K19" s="265"/>
      <c r="L19" s="265"/>
      <c r="M19" s="265"/>
      <c r="N19" s="265"/>
    </row>
    <row r="20" spans="2:14">
      <c r="E20" s="265">
        <v>364</v>
      </c>
      <c r="F20" s="265">
        <v>888565</v>
      </c>
      <c r="G20" s="265">
        <v>619039</v>
      </c>
      <c r="H20" s="265">
        <v>269526</v>
      </c>
      <c r="I20" s="265"/>
      <c r="J20" s="265"/>
      <c r="K20" s="265"/>
      <c r="L20" s="265"/>
      <c r="M20" s="265"/>
      <c r="N20" s="265"/>
    </row>
    <row r="21" spans="2:14">
      <c r="E21" s="265">
        <v>365</v>
      </c>
      <c r="F21" s="265">
        <v>980801</v>
      </c>
      <c r="G21" s="265">
        <v>795235</v>
      </c>
      <c r="H21" s="265">
        <v>185566</v>
      </c>
      <c r="I21" s="265"/>
      <c r="J21" s="265"/>
      <c r="K21" s="265"/>
      <c r="L21" s="265"/>
      <c r="M21" s="265"/>
      <c r="N21" s="265"/>
    </row>
    <row r="22" spans="2:14">
      <c r="E22" s="265">
        <v>366</v>
      </c>
      <c r="F22" s="265">
        <v>145569</v>
      </c>
      <c r="G22" s="265">
        <v>115639</v>
      </c>
      <c r="H22" s="265">
        <v>29930</v>
      </c>
      <c r="I22" s="265"/>
      <c r="J22" s="265"/>
      <c r="K22" s="265"/>
      <c r="L22" s="265"/>
      <c r="M22" s="265"/>
      <c r="N22" s="265"/>
    </row>
    <row r="23" spans="2:14">
      <c r="E23" s="265">
        <v>367</v>
      </c>
      <c r="F23" s="265">
        <v>462858</v>
      </c>
      <c r="G23" s="265">
        <v>377234</v>
      </c>
      <c r="H23" s="265">
        <v>85624</v>
      </c>
      <c r="I23" s="265"/>
      <c r="J23" s="265"/>
      <c r="K23" s="265"/>
      <c r="L23" s="265"/>
      <c r="M23" s="265"/>
      <c r="N23" s="265"/>
    </row>
    <row r="24" spans="2:14">
      <c r="E24" s="265">
        <v>368</v>
      </c>
      <c r="F24" s="265">
        <v>746044</v>
      </c>
      <c r="G24" s="265">
        <v>0</v>
      </c>
      <c r="H24" s="265">
        <v>746044</v>
      </c>
      <c r="I24" s="265"/>
      <c r="J24" s="265"/>
      <c r="K24" s="265"/>
      <c r="L24" s="265"/>
      <c r="M24" s="265"/>
      <c r="N24" s="265"/>
    </row>
    <row r="25" spans="2:14">
      <c r="E25" s="265"/>
      <c r="F25" s="265"/>
      <c r="G25" s="265"/>
      <c r="H25" s="265"/>
      <c r="I25" s="265"/>
      <c r="J25" s="265"/>
      <c r="K25" s="265"/>
      <c r="L25" s="265"/>
      <c r="M25" s="265"/>
      <c r="N25" s="265"/>
    </row>
    <row r="26" spans="2:14">
      <c r="E26" s="265"/>
      <c r="F26" s="265"/>
      <c r="G26" s="265"/>
      <c r="H26" s="265"/>
      <c r="I26" s="265"/>
      <c r="J26" s="265"/>
      <c r="K26" s="265"/>
      <c r="L26" s="265"/>
      <c r="M26" s="265"/>
      <c r="N26" s="265"/>
    </row>
    <row r="27" spans="2:14">
      <c r="E27" s="265"/>
      <c r="F27" s="265"/>
      <c r="G27" s="265"/>
      <c r="H27" s="301" t="s">
        <v>9</v>
      </c>
      <c r="I27" s="301"/>
      <c r="J27" s="301" t="s">
        <v>6</v>
      </c>
      <c r="K27" s="301"/>
      <c r="L27" s="265"/>
      <c r="M27" s="265"/>
      <c r="N27" s="265"/>
    </row>
    <row r="28" spans="2:14" ht="15">
      <c r="E28" s="265"/>
      <c r="F28" s="265"/>
      <c r="G28" s="265"/>
      <c r="H28" s="266" t="s">
        <v>7</v>
      </c>
      <c r="I28" s="266" t="s">
        <v>8</v>
      </c>
      <c r="J28" s="266" t="s">
        <v>7</v>
      </c>
      <c r="K28" s="266" t="s">
        <v>8</v>
      </c>
      <c r="L28" s="265"/>
      <c r="M28" s="265"/>
      <c r="N28" s="265"/>
    </row>
    <row r="29" spans="2:14">
      <c r="E29" s="265"/>
      <c r="F29" s="265"/>
      <c r="G29" s="265"/>
      <c r="H29" s="265">
        <v>132949</v>
      </c>
      <c r="I29" s="265">
        <v>136577</v>
      </c>
      <c r="J29" s="265">
        <f>G20*0.5</f>
        <v>309519.5</v>
      </c>
      <c r="K29" s="265">
        <f>G20*0.5</f>
        <v>309519.5</v>
      </c>
      <c r="L29" s="265"/>
      <c r="M29" s="265"/>
      <c r="N29" s="265"/>
    </row>
    <row r="30" spans="2:14">
      <c r="E30" s="265"/>
      <c r="F30" s="265"/>
      <c r="G30" s="265"/>
      <c r="H30" s="265">
        <v>91534</v>
      </c>
      <c r="I30" s="265">
        <v>94032</v>
      </c>
      <c r="J30" s="265">
        <f t="shared" ref="J30:J33" si="0">G21*0.5</f>
        <v>397617.5</v>
      </c>
      <c r="K30" s="265">
        <f t="shared" ref="K30:K33" si="1">G21*0.5</f>
        <v>397617.5</v>
      </c>
      <c r="L30" s="265"/>
      <c r="M30" s="265"/>
      <c r="N30" s="265"/>
    </row>
    <row r="31" spans="2:14">
      <c r="E31" s="265"/>
      <c r="F31" s="265"/>
      <c r="G31" s="265"/>
      <c r="H31" s="265">
        <v>9596</v>
      </c>
      <c r="I31" s="265">
        <v>20334</v>
      </c>
      <c r="J31" s="265">
        <f t="shared" si="0"/>
        <v>57819.5</v>
      </c>
      <c r="K31" s="265">
        <f t="shared" si="1"/>
        <v>57819.5</v>
      </c>
      <c r="L31" s="265"/>
      <c r="M31" s="265"/>
      <c r="N31" s="265"/>
    </row>
    <row r="32" spans="2:14">
      <c r="E32" s="265"/>
      <c r="F32" s="265"/>
      <c r="G32" s="265"/>
      <c r="H32" s="265">
        <v>27453</v>
      </c>
      <c r="I32" s="265">
        <v>58172</v>
      </c>
      <c r="J32" s="265">
        <f t="shared" si="0"/>
        <v>188617</v>
      </c>
      <c r="K32" s="265">
        <f t="shared" si="1"/>
        <v>188617</v>
      </c>
      <c r="L32" s="265"/>
      <c r="M32" s="265"/>
      <c r="N32" s="265"/>
    </row>
    <row r="33" spans="5:14">
      <c r="E33" s="265"/>
      <c r="F33" s="265"/>
      <c r="G33" s="265"/>
      <c r="H33" s="265">
        <v>746044</v>
      </c>
      <c r="I33" s="265">
        <v>0</v>
      </c>
      <c r="J33" s="265">
        <f t="shared" si="0"/>
        <v>0</v>
      </c>
      <c r="K33" s="265">
        <f t="shared" si="1"/>
        <v>0</v>
      </c>
      <c r="L33" s="265"/>
      <c r="M33" s="265"/>
      <c r="N33" s="265"/>
    </row>
    <row r="34" spans="5:14">
      <c r="E34" s="265"/>
      <c r="F34" s="265"/>
      <c r="G34" s="265"/>
      <c r="H34" s="265"/>
      <c r="I34" s="265"/>
      <c r="J34" s="265"/>
      <c r="K34" s="265"/>
      <c r="L34" s="265"/>
      <c r="M34" s="265"/>
      <c r="N34" s="265"/>
    </row>
    <row r="35" spans="5:14">
      <c r="E35" s="265"/>
      <c r="F35" s="265"/>
      <c r="G35" s="265"/>
      <c r="H35" s="265"/>
      <c r="I35" s="265"/>
      <c r="J35" s="265"/>
      <c r="K35" s="265"/>
      <c r="L35" s="265"/>
      <c r="M35" s="265"/>
      <c r="N35" s="265"/>
    </row>
    <row r="36" spans="5:14">
      <c r="E36" s="265"/>
      <c r="F36" s="265"/>
      <c r="G36" s="265"/>
      <c r="H36" s="265"/>
      <c r="I36" s="265"/>
      <c r="J36" s="265"/>
      <c r="K36" s="265"/>
      <c r="L36" s="265"/>
      <c r="M36" s="265"/>
      <c r="N36" s="265"/>
    </row>
    <row r="37" spans="5:14">
      <c r="E37" s="265"/>
      <c r="F37" s="265"/>
      <c r="G37" s="265"/>
      <c r="H37" s="265"/>
      <c r="I37" s="265"/>
      <c r="J37" s="265"/>
      <c r="K37" s="265"/>
      <c r="L37" s="265"/>
      <c r="M37" s="265"/>
      <c r="N37" s="265"/>
    </row>
    <row r="38" spans="5:14">
      <c r="E38" s="265"/>
      <c r="F38" s="265"/>
      <c r="G38" s="265"/>
      <c r="H38" s="265"/>
      <c r="I38" s="265"/>
      <c r="J38" s="265"/>
      <c r="K38" s="265"/>
      <c r="L38" s="265"/>
      <c r="M38" s="265"/>
      <c r="N38" s="265"/>
    </row>
    <row r="39" spans="5:14">
      <c r="E39" s="265"/>
      <c r="F39" s="265"/>
      <c r="G39" s="265"/>
      <c r="H39" s="265"/>
      <c r="I39" s="265"/>
      <c r="J39" s="265"/>
      <c r="K39" s="265"/>
      <c r="L39" s="265"/>
      <c r="M39" s="265"/>
      <c r="N39" s="265"/>
    </row>
    <row r="40" spans="5:14">
      <c r="E40" s="265"/>
      <c r="F40" s="265"/>
      <c r="G40" s="265"/>
      <c r="H40" s="265"/>
      <c r="I40" s="265"/>
      <c r="J40" s="265"/>
      <c r="K40" s="265"/>
      <c r="L40" s="265"/>
      <c r="M40" s="265"/>
      <c r="N40" s="265"/>
    </row>
    <row r="41" spans="5:14">
      <c r="E41" s="265"/>
      <c r="F41" s="265"/>
      <c r="G41" s="265"/>
      <c r="H41" s="265"/>
      <c r="I41" s="265"/>
      <c r="J41" s="265"/>
      <c r="K41" s="265"/>
      <c r="L41" s="265"/>
      <c r="M41" s="265"/>
      <c r="N41" s="265"/>
    </row>
    <row r="42" spans="5:14">
      <c r="E42" s="265"/>
      <c r="F42" s="265"/>
      <c r="G42" s="265"/>
      <c r="H42" s="265"/>
      <c r="I42" s="265"/>
      <c r="J42" s="265"/>
      <c r="K42" s="265"/>
      <c r="L42" s="265"/>
      <c r="M42" s="265"/>
      <c r="N42" s="265"/>
    </row>
    <row r="43" spans="5:14">
      <c r="E43" s="265"/>
      <c r="F43" s="265"/>
      <c r="G43" s="265"/>
      <c r="H43" s="265"/>
      <c r="I43" s="265"/>
      <c r="J43" s="265"/>
      <c r="K43" s="265"/>
      <c r="L43" s="265"/>
      <c r="M43" s="265"/>
      <c r="N43" s="265"/>
    </row>
  </sheetData>
  <mergeCells count="2">
    <mergeCell ref="H27:I27"/>
    <mergeCell ref="J27:K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O54"/>
  <sheetViews>
    <sheetView zoomScaleNormal="100" workbookViewId="0">
      <selection activeCell="AM31" sqref="AM31"/>
    </sheetView>
  </sheetViews>
  <sheetFormatPr defaultRowHeight="15"/>
  <cols>
    <col min="1" max="1" width="7.140625" style="334" customWidth="1"/>
    <col min="2" max="2" width="40.42578125" style="334" customWidth="1"/>
    <col min="3" max="3" width="16.140625" style="334" customWidth="1"/>
    <col min="4" max="4" width="25.42578125" style="334" customWidth="1"/>
    <col min="5" max="5" width="20" style="334" customWidth="1"/>
    <col min="6" max="8" width="0" style="334" hidden="1" customWidth="1"/>
    <col min="9" max="10" width="19.7109375" style="334" customWidth="1"/>
    <col min="11" max="11" width="14.85546875" style="334" customWidth="1"/>
    <col min="12" max="12" width="0" style="334" hidden="1" customWidth="1"/>
    <col min="13" max="13" width="14.7109375" style="334" customWidth="1"/>
    <col min="14" max="14" width="16.85546875" style="334" bestFit="1" customWidth="1"/>
    <col min="15" max="16" width="16" style="334" customWidth="1"/>
    <col min="17" max="33" width="0" style="334" hidden="1" customWidth="1"/>
    <col min="34" max="34" width="15.140625" style="334" customWidth="1"/>
    <col min="35" max="36" width="9.140625" style="334"/>
    <col min="37" max="37" width="9.140625" style="335"/>
    <col min="38" max="39" width="11.140625" style="335" bestFit="1" customWidth="1"/>
    <col min="40" max="41" width="9.140625" style="335"/>
    <col min="42" max="16384" width="9.140625" style="334"/>
  </cols>
  <sheetData>
    <row r="1" spans="1:34">
      <c r="A1" s="304" t="s">
        <v>1307</v>
      </c>
      <c r="B1" s="330"/>
      <c r="C1" s="330"/>
      <c r="D1" s="305"/>
      <c r="E1" s="308"/>
      <c r="F1" s="297"/>
      <c r="G1" s="297"/>
      <c r="H1" s="331"/>
      <c r="I1" s="297"/>
      <c r="J1" s="297"/>
      <c r="K1" s="332"/>
      <c r="L1" s="332"/>
      <c r="M1" s="331"/>
      <c r="N1" s="308" t="s">
        <v>577</v>
      </c>
      <c r="O1" s="308"/>
      <c r="P1" s="308"/>
      <c r="Q1" s="308"/>
      <c r="R1" s="297"/>
      <c r="S1" s="333"/>
      <c r="T1" s="331"/>
      <c r="U1" s="297"/>
      <c r="V1" s="297"/>
      <c r="W1" s="297" t="s">
        <v>1308</v>
      </c>
      <c r="X1" s="297"/>
      <c r="Y1" s="331"/>
      <c r="Z1" s="297"/>
      <c r="AA1" s="297"/>
      <c r="AB1" s="297"/>
      <c r="AC1" s="297"/>
      <c r="AD1" s="297" t="s">
        <v>1309</v>
      </c>
      <c r="AE1" s="297"/>
      <c r="AF1" s="297"/>
      <c r="AG1" s="297"/>
      <c r="AH1" s="308" t="s">
        <v>1310</v>
      </c>
    </row>
    <row r="2" spans="1:34">
      <c r="A2" s="304" t="s">
        <v>1311</v>
      </c>
      <c r="B2" s="330"/>
      <c r="C2" s="330"/>
      <c r="D2" s="308"/>
      <c r="E2" s="308"/>
      <c r="F2" s="297"/>
      <c r="G2" s="297"/>
      <c r="H2" s="331"/>
      <c r="I2" s="297"/>
      <c r="J2" s="297"/>
      <c r="K2" s="332"/>
      <c r="L2" s="332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336"/>
    </row>
    <row r="3" spans="1:34">
      <c r="A3" s="295" t="s">
        <v>577</v>
      </c>
      <c r="B3" s="330"/>
      <c r="C3" s="337" t="s">
        <v>577</v>
      </c>
      <c r="D3" s="308"/>
      <c r="E3" s="308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</row>
    <row r="4" spans="1:34">
      <c r="A4" s="306" t="s">
        <v>1269</v>
      </c>
      <c r="B4" s="306"/>
      <c r="C4" s="306"/>
      <c r="D4" s="307" t="s">
        <v>1312</v>
      </c>
      <c r="E4" s="308" t="s">
        <v>1313</v>
      </c>
      <c r="F4" s="308" t="s">
        <v>577</v>
      </c>
      <c r="G4" s="308" t="s">
        <v>577</v>
      </c>
      <c r="H4" s="308" t="s">
        <v>577</v>
      </c>
      <c r="I4" s="309" t="s">
        <v>1314</v>
      </c>
      <c r="J4" s="309" t="s">
        <v>1315</v>
      </c>
      <c r="K4" s="309" t="s">
        <v>1316</v>
      </c>
      <c r="L4" s="309" t="s">
        <v>577</v>
      </c>
      <c r="M4" s="309" t="s">
        <v>1317</v>
      </c>
      <c r="N4" s="309" t="s">
        <v>1318</v>
      </c>
      <c r="O4" s="309" t="s">
        <v>1319</v>
      </c>
      <c r="P4" s="309" t="s">
        <v>1320</v>
      </c>
      <c r="Q4" s="309" t="s">
        <v>577</v>
      </c>
      <c r="R4" s="309" t="s">
        <v>577</v>
      </c>
      <c r="S4" s="309" t="s">
        <v>577</v>
      </c>
      <c r="T4" s="309" t="s">
        <v>577</v>
      </c>
      <c r="U4" s="309" t="s">
        <v>577</v>
      </c>
      <c r="V4" s="309" t="s">
        <v>577</v>
      </c>
      <c r="W4" s="309" t="s">
        <v>577</v>
      </c>
      <c r="X4" s="309" t="s">
        <v>577</v>
      </c>
      <c r="Y4" s="309" t="s">
        <v>577</v>
      </c>
      <c r="Z4" s="309" t="s">
        <v>577</v>
      </c>
      <c r="AA4" s="309" t="s">
        <v>577</v>
      </c>
      <c r="AB4" s="309" t="s">
        <v>577</v>
      </c>
      <c r="AC4" s="309" t="s">
        <v>577</v>
      </c>
      <c r="AD4" s="309" t="s">
        <v>577</v>
      </c>
      <c r="AE4" s="309" t="s">
        <v>577</v>
      </c>
      <c r="AF4" s="309" t="s">
        <v>577</v>
      </c>
      <c r="AG4" s="309" t="s">
        <v>577</v>
      </c>
      <c r="AH4" s="309" t="s">
        <v>816</v>
      </c>
    </row>
    <row r="5" spans="1:34">
      <c r="A5" s="338"/>
      <c r="B5" s="339"/>
      <c r="C5" s="340"/>
      <c r="D5" s="310"/>
      <c r="E5" s="311"/>
      <c r="F5" s="311"/>
      <c r="G5" s="311"/>
      <c r="H5" s="311"/>
      <c r="I5" s="311"/>
      <c r="J5" s="311"/>
      <c r="K5" s="308"/>
      <c r="L5" s="308"/>
      <c r="M5" s="311"/>
      <c r="N5" s="308"/>
      <c r="O5" s="308"/>
      <c r="P5" s="308"/>
      <c r="Q5" s="308"/>
      <c r="R5" s="312"/>
      <c r="S5" s="311"/>
      <c r="T5" s="312"/>
      <c r="U5" s="312"/>
      <c r="V5" s="312"/>
      <c r="W5" s="332"/>
      <c r="X5" s="332"/>
      <c r="Y5" s="312"/>
      <c r="Z5" s="311"/>
      <c r="AA5" s="311"/>
      <c r="AB5" s="311"/>
      <c r="AC5" s="308"/>
      <c r="AD5" s="311"/>
      <c r="AE5" s="332"/>
      <c r="AF5" s="311"/>
      <c r="AG5" s="311"/>
      <c r="AH5" s="311"/>
    </row>
    <row r="6" spans="1:34">
      <c r="A6" s="341"/>
      <c r="B6" s="313" t="s">
        <v>784</v>
      </c>
      <c r="C6" s="314" t="s">
        <v>1270</v>
      </c>
      <c r="D6" s="310" t="s">
        <v>1321</v>
      </c>
      <c r="E6" s="311" t="s">
        <v>1322</v>
      </c>
      <c r="F6" s="315" t="s">
        <v>577</v>
      </c>
      <c r="G6" s="315" t="s">
        <v>577</v>
      </c>
      <c r="H6" s="315" t="s">
        <v>577</v>
      </c>
      <c r="I6" s="315" t="s">
        <v>1323</v>
      </c>
      <c r="J6" s="315" t="s">
        <v>1324</v>
      </c>
      <c r="K6" s="315" t="s">
        <v>7</v>
      </c>
      <c r="L6" s="315" t="s">
        <v>577</v>
      </c>
      <c r="M6" s="315" t="s">
        <v>1325</v>
      </c>
      <c r="N6" s="315" t="s">
        <v>6</v>
      </c>
      <c r="O6" s="315" t="s">
        <v>1326</v>
      </c>
      <c r="P6" s="315" t="s">
        <v>1327</v>
      </c>
      <c r="Q6" s="315" t="s">
        <v>577</v>
      </c>
      <c r="R6" s="315" t="s">
        <v>577</v>
      </c>
      <c r="S6" s="315" t="s">
        <v>577</v>
      </c>
      <c r="T6" s="315" t="s">
        <v>577</v>
      </c>
      <c r="U6" s="315" t="s">
        <v>577</v>
      </c>
      <c r="V6" s="315" t="s">
        <v>577</v>
      </c>
      <c r="W6" s="315" t="s">
        <v>577</v>
      </c>
      <c r="X6" s="315" t="s">
        <v>577</v>
      </c>
      <c r="Y6" s="315" t="s">
        <v>577</v>
      </c>
      <c r="Z6" s="315" t="s">
        <v>577</v>
      </c>
      <c r="AA6" s="315" t="s">
        <v>577</v>
      </c>
      <c r="AB6" s="315" t="s">
        <v>577</v>
      </c>
      <c r="AC6" s="315" t="s">
        <v>577</v>
      </c>
      <c r="AD6" s="315" t="s">
        <v>577</v>
      </c>
      <c r="AE6" s="315" t="s">
        <v>577</v>
      </c>
      <c r="AF6" s="315" t="s">
        <v>577</v>
      </c>
      <c r="AG6" s="315" t="s">
        <v>577</v>
      </c>
      <c r="AH6" s="315" t="s">
        <v>1328</v>
      </c>
    </row>
    <row r="7" spans="1:34">
      <c r="A7" s="342">
        <v>1</v>
      </c>
      <c r="B7" s="321" t="s">
        <v>1271</v>
      </c>
      <c r="C7" s="322" t="s">
        <v>1272</v>
      </c>
      <c r="D7" s="343">
        <v>1714050</v>
      </c>
      <c r="E7" s="308">
        <v>597052.45859114872</v>
      </c>
      <c r="F7" s="297">
        <v>0</v>
      </c>
      <c r="G7" s="297">
        <v>0</v>
      </c>
      <c r="H7" s="297">
        <v>0</v>
      </c>
      <c r="I7" s="297">
        <v>1116997.5414088513</v>
      </c>
      <c r="J7" s="297">
        <v>58390.053104593448</v>
      </c>
      <c r="K7" s="297">
        <v>1058607.4883042579</v>
      </c>
      <c r="L7" s="297">
        <v>0</v>
      </c>
      <c r="M7" s="297">
        <v>789380.9495431399</v>
      </c>
      <c r="N7" s="297">
        <v>189034.0346720838</v>
      </c>
      <c r="O7" s="297">
        <v>61632.512473961353</v>
      </c>
      <c r="P7" s="297">
        <v>18559.991615072831</v>
      </c>
      <c r="Q7" s="297">
        <v>0</v>
      </c>
      <c r="R7" s="297">
        <v>0</v>
      </c>
      <c r="S7" s="297">
        <v>0</v>
      </c>
      <c r="T7" s="297">
        <v>0</v>
      </c>
      <c r="U7" s="297">
        <v>0</v>
      </c>
      <c r="V7" s="297">
        <v>0</v>
      </c>
      <c r="W7" s="297">
        <v>0</v>
      </c>
      <c r="X7" s="297">
        <v>0</v>
      </c>
      <c r="Y7" s="297">
        <v>0</v>
      </c>
      <c r="Z7" s="297">
        <v>0</v>
      </c>
      <c r="AA7" s="297">
        <v>0</v>
      </c>
      <c r="AB7" s="297">
        <v>0</v>
      </c>
      <c r="AC7" s="297">
        <v>0</v>
      </c>
      <c r="AD7" s="297">
        <v>0</v>
      </c>
      <c r="AE7" s="297">
        <v>0</v>
      </c>
      <c r="AF7" s="297">
        <v>0</v>
      </c>
      <c r="AG7" s="297">
        <v>0</v>
      </c>
      <c r="AH7" s="297">
        <v>0</v>
      </c>
    </row>
    <row r="8" spans="1:34">
      <c r="A8" s="342">
        <v>2</v>
      </c>
      <c r="B8" s="316" t="s">
        <v>1273</v>
      </c>
      <c r="C8" s="317" t="s">
        <v>1274</v>
      </c>
      <c r="D8" s="318">
        <v>691989.60800000001</v>
      </c>
      <c r="E8" s="319">
        <v>232332.69329277016</v>
      </c>
      <c r="F8" s="320">
        <v>0</v>
      </c>
      <c r="G8" s="320">
        <v>0</v>
      </c>
      <c r="H8" s="320">
        <v>0</v>
      </c>
      <c r="I8" s="320">
        <v>453699.28348051524</v>
      </c>
      <c r="J8" s="320">
        <v>23365.511198508248</v>
      </c>
      <c r="K8" s="320">
        <v>430333.77228200698</v>
      </c>
      <c r="L8" s="320">
        <v>0</v>
      </c>
      <c r="M8" s="320">
        <v>305298.56346816261</v>
      </c>
      <c r="N8" s="320">
        <v>80168.522270103524</v>
      </c>
      <c r="O8" s="320">
        <v>34513.672814726146</v>
      </c>
      <c r="P8" s="320">
        <v>10353.013729014699</v>
      </c>
      <c r="Q8" s="320">
        <v>0</v>
      </c>
      <c r="R8" s="320">
        <v>0</v>
      </c>
      <c r="S8" s="320">
        <v>0</v>
      </c>
      <c r="T8" s="320">
        <v>0</v>
      </c>
      <c r="U8" s="320">
        <v>0</v>
      </c>
      <c r="V8" s="320">
        <v>0</v>
      </c>
      <c r="W8" s="320">
        <v>0</v>
      </c>
      <c r="X8" s="320">
        <v>0</v>
      </c>
      <c r="Y8" s="320">
        <v>0</v>
      </c>
      <c r="Z8" s="320">
        <v>0</v>
      </c>
      <c r="AA8" s="320">
        <v>0</v>
      </c>
      <c r="AB8" s="320">
        <v>0</v>
      </c>
      <c r="AC8" s="320">
        <v>0</v>
      </c>
      <c r="AD8" s="320">
        <v>0</v>
      </c>
      <c r="AE8" s="320">
        <v>0</v>
      </c>
      <c r="AF8" s="320">
        <v>0</v>
      </c>
      <c r="AG8" s="320">
        <v>0</v>
      </c>
      <c r="AH8" s="320">
        <v>5957.6312267147368</v>
      </c>
    </row>
    <row r="9" spans="1:34">
      <c r="A9" s="342">
        <v>3</v>
      </c>
      <c r="B9" s="321" t="s">
        <v>1275</v>
      </c>
      <c r="C9" s="322" t="s">
        <v>1276</v>
      </c>
      <c r="D9" s="343">
        <v>2406039.608</v>
      </c>
      <c r="E9" s="308">
        <v>829385.15188391891</v>
      </c>
      <c r="F9" s="297">
        <v>0</v>
      </c>
      <c r="G9" s="297">
        <v>0</v>
      </c>
      <c r="H9" s="297">
        <v>0</v>
      </c>
      <c r="I9" s="297">
        <v>1570696.8248893665</v>
      </c>
      <c r="J9" s="297">
        <v>81755.564303101695</v>
      </c>
      <c r="K9" s="297">
        <v>1488941.2605862648</v>
      </c>
      <c r="L9" s="297">
        <v>0</v>
      </c>
      <c r="M9" s="297">
        <v>1094679.5130113026</v>
      </c>
      <c r="N9" s="297">
        <v>269202.55694218731</v>
      </c>
      <c r="O9" s="297">
        <v>96146.185288687499</v>
      </c>
      <c r="P9" s="297">
        <v>28913.005344087531</v>
      </c>
      <c r="Q9" s="297">
        <v>0</v>
      </c>
      <c r="R9" s="297">
        <v>0</v>
      </c>
      <c r="S9" s="297">
        <v>0</v>
      </c>
      <c r="T9" s="297">
        <v>0</v>
      </c>
      <c r="U9" s="297">
        <v>0</v>
      </c>
      <c r="V9" s="297">
        <v>0</v>
      </c>
      <c r="W9" s="297">
        <v>0</v>
      </c>
      <c r="X9" s="297">
        <v>0</v>
      </c>
      <c r="Y9" s="297">
        <v>0</v>
      </c>
      <c r="Z9" s="297">
        <v>0</v>
      </c>
      <c r="AA9" s="297">
        <v>0</v>
      </c>
      <c r="AB9" s="297">
        <v>0</v>
      </c>
      <c r="AC9" s="297">
        <v>0</v>
      </c>
      <c r="AD9" s="297">
        <v>0</v>
      </c>
      <c r="AE9" s="297">
        <v>0</v>
      </c>
      <c r="AF9" s="297">
        <v>0</v>
      </c>
      <c r="AG9" s="297">
        <v>0</v>
      </c>
      <c r="AH9" s="297">
        <v>5957.6312267147368</v>
      </c>
    </row>
    <row r="10" spans="1:34">
      <c r="A10" s="342">
        <v>4</v>
      </c>
      <c r="B10" s="321" t="s">
        <v>1277</v>
      </c>
      <c r="C10" s="322" t="s">
        <v>1278</v>
      </c>
      <c r="D10" s="343">
        <v>2997584.392</v>
      </c>
      <c r="E10" s="308">
        <v>862282.22926340695</v>
      </c>
      <c r="F10" s="297">
        <v>0</v>
      </c>
      <c r="G10" s="297">
        <v>0</v>
      </c>
      <c r="H10" s="297">
        <v>0</v>
      </c>
      <c r="I10" s="297">
        <v>2122865.5330784037</v>
      </c>
      <c r="J10" s="297">
        <v>102081.58200617178</v>
      </c>
      <c r="K10" s="297">
        <v>2020783.9510722323</v>
      </c>
      <c r="L10" s="297">
        <v>0</v>
      </c>
      <c r="M10" s="297">
        <v>1418012.410446852</v>
      </c>
      <c r="N10" s="297">
        <v>381877.87929129967</v>
      </c>
      <c r="O10" s="297">
        <v>181519.79706037766</v>
      </c>
      <c r="P10" s="297">
        <v>39373.864273702988</v>
      </c>
      <c r="Q10" s="297">
        <v>0</v>
      </c>
      <c r="R10" s="297">
        <v>0</v>
      </c>
      <c r="S10" s="297">
        <v>0</v>
      </c>
      <c r="T10" s="297">
        <v>0</v>
      </c>
      <c r="U10" s="297">
        <v>0</v>
      </c>
      <c r="V10" s="297">
        <v>0</v>
      </c>
      <c r="W10" s="297">
        <v>0</v>
      </c>
      <c r="X10" s="297">
        <v>0</v>
      </c>
      <c r="Y10" s="297">
        <v>0</v>
      </c>
      <c r="Z10" s="297">
        <v>0</v>
      </c>
      <c r="AA10" s="297">
        <v>0</v>
      </c>
      <c r="AB10" s="297">
        <v>0</v>
      </c>
      <c r="AC10" s="297">
        <v>0</v>
      </c>
      <c r="AD10" s="297">
        <v>0</v>
      </c>
      <c r="AE10" s="297">
        <v>0</v>
      </c>
      <c r="AF10" s="297">
        <v>0</v>
      </c>
      <c r="AG10" s="297">
        <v>0</v>
      </c>
      <c r="AH10" s="297">
        <v>12436.629658188795</v>
      </c>
    </row>
    <row r="11" spans="1:34">
      <c r="A11" s="342">
        <v>5</v>
      </c>
      <c r="B11" s="316" t="s">
        <v>1279</v>
      </c>
      <c r="C11" s="317" t="s">
        <v>1278</v>
      </c>
      <c r="D11" s="318">
        <v>1562928.5</v>
      </c>
      <c r="E11" s="319">
        <v>449590.50185744115</v>
      </c>
      <c r="F11" s="320">
        <v>0</v>
      </c>
      <c r="G11" s="320">
        <v>0</v>
      </c>
      <c r="H11" s="320">
        <v>0</v>
      </c>
      <c r="I11" s="320">
        <v>1106853.5892336373</v>
      </c>
      <c r="J11" s="320">
        <v>53224.928134911723</v>
      </c>
      <c r="K11" s="320">
        <v>1053628.6610987256</v>
      </c>
      <c r="L11" s="320">
        <v>0</v>
      </c>
      <c r="M11" s="320">
        <v>739345.99324571167</v>
      </c>
      <c r="N11" s="320">
        <v>199109.59726665539</v>
      </c>
      <c r="O11" s="320">
        <v>94643.695402548139</v>
      </c>
      <c r="P11" s="320">
        <v>20529.375183810407</v>
      </c>
      <c r="Q11" s="320">
        <v>0</v>
      </c>
      <c r="R11" s="320">
        <v>0</v>
      </c>
      <c r="S11" s="320">
        <v>0</v>
      </c>
      <c r="T11" s="320">
        <v>0</v>
      </c>
      <c r="U11" s="320">
        <v>0</v>
      </c>
      <c r="V11" s="320">
        <v>0</v>
      </c>
      <c r="W11" s="320">
        <v>0</v>
      </c>
      <c r="X11" s="320">
        <v>0</v>
      </c>
      <c r="Y11" s="320">
        <v>0</v>
      </c>
      <c r="Z11" s="320">
        <v>0</v>
      </c>
      <c r="AA11" s="320">
        <v>0</v>
      </c>
      <c r="AB11" s="320">
        <v>0</v>
      </c>
      <c r="AC11" s="320">
        <v>0</v>
      </c>
      <c r="AD11" s="320">
        <v>0</v>
      </c>
      <c r="AE11" s="320">
        <v>0</v>
      </c>
      <c r="AF11" s="320">
        <v>0</v>
      </c>
      <c r="AG11" s="320">
        <v>0</v>
      </c>
      <c r="AH11" s="320">
        <v>6484.4089089213958</v>
      </c>
    </row>
    <row r="12" spans="1:34">
      <c r="A12" s="342">
        <v>6</v>
      </c>
      <c r="B12" s="321" t="s">
        <v>19</v>
      </c>
      <c r="C12" s="344">
        <v>0.44526406870648289</v>
      </c>
      <c r="D12" s="343">
        <v>6966552.5</v>
      </c>
      <c r="E12" s="308">
        <v>2141257.8830047669</v>
      </c>
      <c r="F12" s="297">
        <v>0</v>
      </c>
      <c r="G12" s="297">
        <v>0</v>
      </c>
      <c r="H12" s="297">
        <v>0</v>
      </c>
      <c r="I12" s="297">
        <v>4800415.9472014075</v>
      </c>
      <c r="J12" s="297">
        <v>237062.07444418521</v>
      </c>
      <c r="K12" s="297">
        <v>4563353.8727572225</v>
      </c>
      <c r="L12" s="297">
        <v>0</v>
      </c>
      <c r="M12" s="297">
        <v>3252037.9167038659</v>
      </c>
      <c r="N12" s="297">
        <v>850190.0335001424</v>
      </c>
      <c r="O12" s="297">
        <v>372309.67775161326</v>
      </c>
      <c r="P12" s="297">
        <v>88816.244801600929</v>
      </c>
      <c r="Q12" s="297">
        <v>0</v>
      </c>
      <c r="R12" s="297">
        <v>0</v>
      </c>
      <c r="S12" s="297">
        <v>0</v>
      </c>
      <c r="T12" s="297">
        <v>0</v>
      </c>
      <c r="U12" s="297">
        <v>0</v>
      </c>
      <c r="V12" s="297">
        <v>0</v>
      </c>
      <c r="W12" s="297">
        <v>0</v>
      </c>
      <c r="X12" s="297">
        <v>0</v>
      </c>
      <c r="Y12" s="297">
        <v>0</v>
      </c>
      <c r="Z12" s="297">
        <v>0</v>
      </c>
      <c r="AA12" s="297">
        <v>0</v>
      </c>
      <c r="AB12" s="297">
        <v>0</v>
      </c>
      <c r="AC12" s="297">
        <v>0</v>
      </c>
      <c r="AD12" s="297">
        <v>0</v>
      </c>
      <c r="AE12" s="297">
        <v>0</v>
      </c>
      <c r="AF12" s="297">
        <v>0</v>
      </c>
      <c r="AG12" s="297">
        <v>0</v>
      </c>
      <c r="AH12" s="297">
        <v>24878.669793824927</v>
      </c>
    </row>
    <row r="13" spans="1:34">
      <c r="A13" s="342"/>
      <c r="B13" s="321"/>
      <c r="C13" s="322"/>
      <c r="D13" s="343"/>
      <c r="E13" s="308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</row>
    <row r="14" spans="1:34">
      <c r="A14" s="342"/>
      <c r="B14" s="313" t="s">
        <v>785</v>
      </c>
      <c r="C14" s="323"/>
      <c r="D14" s="343"/>
      <c r="E14" s="308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</row>
    <row r="15" spans="1:34">
      <c r="A15" s="342">
        <v>7</v>
      </c>
      <c r="B15" s="321" t="s">
        <v>1280</v>
      </c>
      <c r="C15" s="322" t="s">
        <v>1278</v>
      </c>
      <c r="D15" s="343">
        <v>19432</v>
      </c>
      <c r="E15" s="308">
        <v>5589.7903404370682</v>
      </c>
      <c r="F15" s="297">
        <v>0</v>
      </c>
      <c r="G15" s="297">
        <v>0</v>
      </c>
      <c r="H15" s="297">
        <v>0</v>
      </c>
      <c r="I15" s="297">
        <v>13761.588547389108</v>
      </c>
      <c r="J15" s="297">
        <v>661.74927612978115</v>
      </c>
      <c r="K15" s="297">
        <v>13099.839271259329</v>
      </c>
      <c r="L15" s="297">
        <v>0</v>
      </c>
      <c r="M15" s="297">
        <v>9192.3407505529958</v>
      </c>
      <c r="N15" s="297">
        <v>2475.5436311294134</v>
      </c>
      <c r="O15" s="297">
        <v>1176.7117235768083</v>
      </c>
      <c r="P15" s="297">
        <v>255.24316600011056</v>
      </c>
      <c r="Q15" s="297">
        <v>0</v>
      </c>
      <c r="R15" s="297">
        <v>0</v>
      </c>
      <c r="S15" s="297">
        <v>0</v>
      </c>
      <c r="T15" s="297">
        <v>0</v>
      </c>
      <c r="U15" s="297">
        <v>0</v>
      </c>
      <c r="V15" s="297">
        <v>0</v>
      </c>
      <c r="W15" s="297">
        <v>0</v>
      </c>
      <c r="X15" s="297">
        <v>0</v>
      </c>
      <c r="Y15" s="297">
        <v>0</v>
      </c>
      <c r="Z15" s="297">
        <v>0</v>
      </c>
      <c r="AA15" s="297">
        <v>0</v>
      </c>
      <c r="AB15" s="297">
        <v>0</v>
      </c>
      <c r="AC15" s="297">
        <v>0</v>
      </c>
      <c r="AD15" s="297">
        <v>0</v>
      </c>
      <c r="AE15" s="297">
        <v>0</v>
      </c>
      <c r="AF15" s="297">
        <v>0</v>
      </c>
      <c r="AG15" s="297">
        <v>0</v>
      </c>
      <c r="AH15" s="297">
        <v>80.621112173820208</v>
      </c>
    </row>
    <row r="16" spans="1:34">
      <c r="A16" s="342">
        <v>8</v>
      </c>
      <c r="B16" s="316" t="s">
        <v>1281</v>
      </c>
      <c r="C16" s="317" t="s">
        <v>1282</v>
      </c>
      <c r="D16" s="318">
        <v>50344</v>
      </c>
      <c r="E16" s="319">
        <v>17354.064308672019</v>
      </c>
      <c r="F16" s="320">
        <v>0</v>
      </c>
      <c r="G16" s="320">
        <v>0</v>
      </c>
      <c r="H16" s="320">
        <v>0</v>
      </c>
      <c r="I16" s="320">
        <v>32865.278148085359</v>
      </c>
      <c r="J16" s="320">
        <v>1710.6543531495147</v>
      </c>
      <c r="K16" s="320">
        <v>31154.623794935844</v>
      </c>
      <c r="L16" s="320">
        <v>0</v>
      </c>
      <c r="M16" s="320">
        <v>22905.086524677452</v>
      </c>
      <c r="N16" s="320">
        <v>5632.7973494846465</v>
      </c>
      <c r="O16" s="320">
        <v>2011.7638695886687</v>
      </c>
      <c r="P16" s="320">
        <v>604.97605118508204</v>
      </c>
      <c r="Q16" s="320">
        <v>0</v>
      </c>
      <c r="R16" s="320">
        <v>0</v>
      </c>
      <c r="S16" s="320">
        <v>0</v>
      </c>
      <c r="T16" s="320">
        <v>0</v>
      </c>
      <c r="U16" s="320">
        <v>0</v>
      </c>
      <c r="V16" s="320">
        <v>0</v>
      </c>
      <c r="W16" s="320">
        <v>0</v>
      </c>
      <c r="X16" s="320">
        <v>0</v>
      </c>
      <c r="Y16" s="320">
        <v>0</v>
      </c>
      <c r="Z16" s="320">
        <v>0</v>
      </c>
      <c r="AA16" s="320">
        <v>0</v>
      </c>
      <c r="AB16" s="320">
        <v>0</v>
      </c>
      <c r="AC16" s="320">
        <v>0</v>
      </c>
      <c r="AD16" s="320">
        <v>0</v>
      </c>
      <c r="AE16" s="320">
        <v>0</v>
      </c>
      <c r="AF16" s="320">
        <v>0</v>
      </c>
      <c r="AG16" s="320">
        <v>0</v>
      </c>
      <c r="AH16" s="320">
        <v>124.65754324262426</v>
      </c>
    </row>
    <row r="17" spans="1:39">
      <c r="A17" s="342">
        <v>9</v>
      </c>
      <c r="B17" s="321" t="s">
        <v>1283</v>
      </c>
      <c r="C17" s="322"/>
      <c r="D17" s="343">
        <v>69776</v>
      </c>
      <c r="E17" s="308">
        <v>22943.854649109089</v>
      </c>
      <c r="F17" s="297">
        <v>0</v>
      </c>
      <c r="G17" s="297">
        <v>0</v>
      </c>
      <c r="H17" s="297">
        <v>0</v>
      </c>
      <c r="I17" s="297">
        <v>46626.866695474469</v>
      </c>
      <c r="J17" s="297">
        <v>2372.4036292792957</v>
      </c>
      <c r="K17" s="297">
        <v>44254.463066195174</v>
      </c>
      <c r="L17" s="297">
        <v>0</v>
      </c>
      <c r="M17" s="297">
        <v>32097.427275230446</v>
      </c>
      <c r="N17" s="297">
        <v>8108.3409806140598</v>
      </c>
      <c r="O17" s="297">
        <v>3188.4755931654772</v>
      </c>
      <c r="P17" s="297">
        <v>860.21921718519263</v>
      </c>
      <c r="Q17" s="297">
        <v>0</v>
      </c>
      <c r="R17" s="297">
        <v>0</v>
      </c>
      <c r="S17" s="297">
        <v>0</v>
      </c>
      <c r="T17" s="297">
        <v>0</v>
      </c>
      <c r="U17" s="297">
        <v>0</v>
      </c>
      <c r="V17" s="297">
        <v>0</v>
      </c>
      <c r="W17" s="297">
        <v>0</v>
      </c>
      <c r="X17" s="297">
        <v>0</v>
      </c>
      <c r="Y17" s="297">
        <v>0</v>
      </c>
      <c r="Z17" s="297">
        <v>0</v>
      </c>
      <c r="AA17" s="297">
        <v>0</v>
      </c>
      <c r="AB17" s="297">
        <v>0</v>
      </c>
      <c r="AC17" s="297">
        <v>0</v>
      </c>
      <c r="AD17" s="297">
        <v>0</v>
      </c>
      <c r="AE17" s="297">
        <v>0</v>
      </c>
      <c r="AF17" s="297">
        <v>0</v>
      </c>
      <c r="AG17" s="297">
        <v>0</v>
      </c>
      <c r="AH17" s="297">
        <v>205.27865541644445</v>
      </c>
    </row>
    <row r="18" spans="1:39">
      <c r="A18" s="342">
        <v>10</v>
      </c>
      <c r="B18" s="321" t="s">
        <v>1284</v>
      </c>
      <c r="C18" s="322" t="s">
        <v>1285</v>
      </c>
      <c r="D18" s="343">
        <v>1573213</v>
      </c>
      <c r="E18" s="308">
        <v>539465.49252771167</v>
      </c>
      <c r="F18" s="297">
        <v>0</v>
      </c>
      <c r="G18" s="297">
        <v>0</v>
      </c>
      <c r="H18" s="297">
        <v>0</v>
      </c>
      <c r="I18" s="297">
        <v>1027911.3828585579</v>
      </c>
      <c r="J18" s="297">
        <v>53389.101112932512</v>
      </c>
      <c r="K18" s="297">
        <v>974522.28174562531</v>
      </c>
      <c r="L18" s="297">
        <v>0</v>
      </c>
      <c r="M18" s="297">
        <v>711406.29240283323</v>
      </c>
      <c r="N18" s="297">
        <v>177275.6887954667</v>
      </c>
      <c r="O18" s="297">
        <v>66003.598162758455</v>
      </c>
      <c r="P18" s="297">
        <v>19836.702384567019</v>
      </c>
      <c r="Q18" s="297">
        <v>0</v>
      </c>
      <c r="R18" s="297">
        <v>0</v>
      </c>
      <c r="S18" s="297">
        <v>0</v>
      </c>
      <c r="T18" s="297">
        <v>0</v>
      </c>
      <c r="U18" s="297">
        <v>0</v>
      </c>
      <c r="V18" s="297">
        <v>0</v>
      </c>
      <c r="W18" s="297">
        <v>0</v>
      </c>
      <c r="X18" s="297">
        <v>0</v>
      </c>
      <c r="Y18" s="297">
        <v>0</v>
      </c>
      <c r="Z18" s="297">
        <v>0</v>
      </c>
      <c r="AA18" s="297">
        <v>0</v>
      </c>
      <c r="AB18" s="297">
        <v>0</v>
      </c>
      <c r="AC18" s="297">
        <v>0</v>
      </c>
      <c r="AD18" s="297">
        <v>0</v>
      </c>
      <c r="AE18" s="297">
        <v>0</v>
      </c>
      <c r="AF18" s="297">
        <v>0</v>
      </c>
      <c r="AG18" s="297">
        <v>0</v>
      </c>
      <c r="AH18" s="297">
        <v>5836.1246137303979</v>
      </c>
    </row>
    <row r="19" spans="1:39">
      <c r="A19" s="342">
        <v>11</v>
      </c>
      <c r="B19" s="321" t="s">
        <v>1286</v>
      </c>
      <c r="C19" s="322" t="s">
        <v>1287</v>
      </c>
      <c r="D19" s="343">
        <v>0</v>
      </c>
      <c r="E19" s="308">
        <v>0</v>
      </c>
      <c r="F19" s="297">
        <v>0</v>
      </c>
      <c r="G19" s="297">
        <v>0</v>
      </c>
      <c r="H19" s="297">
        <v>0</v>
      </c>
      <c r="I19" s="297">
        <v>0</v>
      </c>
      <c r="J19" s="297">
        <v>0</v>
      </c>
      <c r="K19" s="297">
        <v>0</v>
      </c>
      <c r="L19" s="297">
        <v>0</v>
      </c>
      <c r="M19" s="297">
        <v>0</v>
      </c>
      <c r="N19" s="297">
        <v>0</v>
      </c>
      <c r="O19" s="297">
        <v>0</v>
      </c>
      <c r="P19" s="297">
        <v>0</v>
      </c>
      <c r="Q19" s="297">
        <v>0</v>
      </c>
      <c r="R19" s="297">
        <v>0</v>
      </c>
      <c r="S19" s="297">
        <v>0</v>
      </c>
      <c r="T19" s="297">
        <v>0</v>
      </c>
      <c r="U19" s="297">
        <v>0</v>
      </c>
      <c r="V19" s="297">
        <v>0</v>
      </c>
      <c r="W19" s="297">
        <v>0</v>
      </c>
      <c r="X19" s="297">
        <v>0</v>
      </c>
      <c r="Y19" s="297">
        <v>0</v>
      </c>
      <c r="Z19" s="297">
        <v>0</v>
      </c>
      <c r="AA19" s="297">
        <v>0</v>
      </c>
      <c r="AB19" s="297">
        <v>0</v>
      </c>
      <c r="AC19" s="297">
        <v>0</v>
      </c>
      <c r="AD19" s="297">
        <v>0</v>
      </c>
      <c r="AE19" s="297">
        <v>0</v>
      </c>
      <c r="AF19" s="297">
        <v>0</v>
      </c>
      <c r="AG19" s="297">
        <v>0</v>
      </c>
      <c r="AH19" s="297">
        <v>0</v>
      </c>
    </row>
    <row r="20" spans="1:39">
      <c r="A20" s="342">
        <v>12</v>
      </c>
      <c r="B20" s="316" t="s">
        <v>1288</v>
      </c>
      <c r="C20" s="317" t="s">
        <v>1289</v>
      </c>
      <c r="D20" s="324">
        <v>2046</v>
      </c>
      <c r="E20" s="320">
        <v>0</v>
      </c>
      <c r="F20" s="320">
        <v>0</v>
      </c>
      <c r="G20" s="320">
        <v>0</v>
      </c>
      <c r="H20" s="320">
        <v>0</v>
      </c>
      <c r="I20" s="320">
        <v>2046</v>
      </c>
      <c r="J20" s="320">
        <v>0</v>
      </c>
      <c r="K20" s="320">
        <v>2046</v>
      </c>
      <c r="L20" s="320">
        <v>0</v>
      </c>
      <c r="M20" s="320">
        <v>0</v>
      </c>
      <c r="N20" s="320">
        <v>0</v>
      </c>
      <c r="O20" s="320">
        <v>0</v>
      </c>
      <c r="P20" s="320">
        <v>2046</v>
      </c>
      <c r="Q20" s="320">
        <v>0</v>
      </c>
      <c r="R20" s="320">
        <v>0</v>
      </c>
      <c r="S20" s="320">
        <v>0</v>
      </c>
      <c r="T20" s="320">
        <v>0</v>
      </c>
      <c r="U20" s="320">
        <v>0</v>
      </c>
      <c r="V20" s="320">
        <v>0</v>
      </c>
      <c r="W20" s="320">
        <v>0</v>
      </c>
      <c r="X20" s="320">
        <v>0</v>
      </c>
      <c r="Y20" s="320">
        <v>0</v>
      </c>
      <c r="Z20" s="320">
        <v>0</v>
      </c>
      <c r="AA20" s="320">
        <v>0</v>
      </c>
      <c r="AB20" s="320">
        <v>0</v>
      </c>
      <c r="AC20" s="320">
        <v>0</v>
      </c>
      <c r="AD20" s="320">
        <v>0</v>
      </c>
      <c r="AE20" s="320">
        <v>0</v>
      </c>
      <c r="AF20" s="320">
        <v>0</v>
      </c>
      <c r="AG20" s="320">
        <v>0</v>
      </c>
      <c r="AH20" s="320">
        <v>0</v>
      </c>
    </row>
    <row r="21" spans="1:39">
      <c r="A21" s="342">
        <v>13</v>
      </c>
      <c r="B21" s="321" t="s">
        <v>19</v>
      </c>
      <c r="C21" s="322"/>
      <c r="D21" s="345">
        <v>1645035</v>
      </c>
      <c r="E21" s="297">
        <v>562409.34717682074</v>
      </c>
      <c r="F21" s="297">
        <v>0</v>
      </c>
      <c r="G21" s="297">
        <v>0</v>
      </c>
      <c r="H21" s="297">
        <v>0</v>
      </c>
      <c r="I21" s="297">
        <v>1076584.2495540322</v>
      </c>
      <c r="J21" s="297">
        <v>55761.504742211808</v>
      </c>
      <c r="K21" s="297">
        <v>1020822.7448118204</v>
      </c>
      <c r="L21" s="297">
        <v>0</v>
      </c>
      <c r="M21" s="297">
        <v>743503.71967806364</v>
      </c>
      <c r="N21" s="297">
        <v>185384.02977608077</v>
      </c>
      <c r="O21" s="297">
        <v>69192.073755923935</v>
      </c>
      <c r="P21" s="297">
        <v>22742.921601752212</v>
      </c>
      <c r="Q21" s="297">
        <v>0</v>
      </c>
      <c r="R21" s="297">
        <v>0</v>
      </c>
      <c r="S21" s="297">
        <v>0</v>
      </c>
      <c r="T21" s="297">
        <v>0</v>
      </c>
      <c r="U21" s="297">
        <v>0</v>
      </c>
      <c r="V21" s="297">
        <v>0</v>
      </c>
      <c r="W21" s="297">
        <v>0</v>
      </c>
      <c r="X21" s="297">
        <v>0</v>
      </c>
      <c r="Y21" s="297">
        <v>0</v>
      </c>
      <c r="Z21" s="297">
        <v>0</v>
      </c>
      <c r="AA21" s="297">
        <v>0</v>
      </c>
      <c r="AB21" s="297">
        <v>0</v>
      </c>
      <c r="AC21" s="297">
        <v>0</v>
      </c>
      <c r="AD21" s="297">
        <v>0</v>
      </c>
      <c r="AE21" s="297">
        <v>0</v>
      </c>
      <c r="AF21" s="297">
        <v>0</v>
      </c>
      <c r="AG21" s="297">
        <v>0</v>
      </c>
      <c r="AH21" s="297">
        <v>6041.4032691468419</v>
      </c>
    </row>
    <row r="22" spans="1:39">
      <c r="A22" s="342"/>
      <c r="B22" s="321"/>
      <c r="C22" s="322"/>
      <c r="D22" s="345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</row>
    <row r="23" spans="1:39">
      <c r="A23" s="342"/>
      <c r="B23" s="313" t="s">
        <v>1290</v>
      </c>
      <c r="C23" s="322"/>
      <c r="D23" s="345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</row>
    <row r="24" spans="1:39">
      <c r="A24" s="342"/>
      <c r="B24" s="313" t="s">
        <v>841</v>
      </c>
      <c r="C24" s="322"/>
      <c r="D24" s="345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</row>
    <row r="25" spans="1:39">
      <c r="A25" s="342">
        <v>14</v>
      </c>
      <c r="B25" s="321" t="s">
        <v>1291</v>
      </c>
      <c r="C25" s="322" t="s">
        <v>1292</v>
      </c>
      <c r="D25" s="345">
        <v>3091</v>
      </c>
      <c r="E25" s="297">
        <v>943.179691972157</v>
      </c>
      <c r="F25" s="297">
        <v>0</v>
      </c>
      <c r="G25" s="297">
        <v>0</v>
      </c>
      <c r="H25" s="297">
        <v>0</v>
      </c>
      <c r="I25" s="297">
        <v>2136.5801803582385</v>
      </c>
      <c r="J25" s="297">
        <v>105.19150207102257</v>
      </c>
      <c r="K25" s="297">
        <v>2031.3886782872166</v>
      </c>
      <c r="L25" s="297">
        <v>0</v>
      </c>
      <c r="M25" s="297">
        <v>1445.0813197821678</v>
      </c>
      <c r="N25" s="297">
        <v>379.0918894739998</v>
      </c>
      <c r="O25" s="297">
        <v>167.6736259591834</v>
      </c>
      <c r="P25" s="297">
        <v>39.541843071865451</v>
      </c>
      <c r="Q25" s="297">
        <v>0</v>
      </c>
      <c r="R25" s="297">
        <v>0</v>
      </c>
      <c r="S25" s="297">
        <v>0</v>
      </c>
      <c r="T25" s="297">
        <v>0</v>
      </c>
      <c r="U25" s="297">
        <v>0</v>
      </c>
      <c r="V25" s="297">
        <v>0</v>
      </c>
      <c r="W25" s="297">
        <v>0</v>
      </c>
      <c r="X25" s="297">
        <v>0</v>
      </c>
      <c r="Y25" s="297">
        <v>0</v>
      </c>
      <c r="Z25" s="297">
        <v>0</v>
      </c>
      <c r="AA25" s="297">
        <v>0</v>
      </c>
      <c r="AB25" s="297">
        <v>0</v>
      </c>
      <c r="AC25" s="297">
        <v>0</v>
      </c>
      <c r="AD25" s="297">
        <v>0</v>
      </c>
      <c r="AE25" s="297">
        <v>0</v>
      </c>
      <c r="AF25" s="297">
        <v>0</v>
      </c>
      <c r="AG25" s="297">
        <v>0</v>
      </c>
      <c r="AH25" s="297">
        <v>11.240127669603929</v>
      </c>
      <c r="AL25" s="335" t="s">
        <v>7</v>
      </c>
      <c r="AM25" s="335" t="s">
        <v>8</v>
      </c>
    </row>
    <row r="26" spans="1:39">
      <c r="A26" s="342">
        <v>15</v>
      </c>
      <c r="B26" s="321" t="s">
        <v>1284</v>
      </c>
      <c r="C26" s="322" t="s">
        <v>1285</v>
      </c>
      <c r="D26" s="345">
        <v>1594</v>
      </c>
      <c r="E26" s="297">
        <v>546.59349693218428</v>
      </c>
      <c r="F26" s="297">
        <v>0</v>
      </c>
      <c r="G26" s="297">
        <v>0</v>
      </c>
      <c r="H26" s="297">
        <v>0</v>
      </c>
      <c r="I26" s="297">
        <v>1041.4932652327061</v>
      </c>
      <c r="J26" s="297">
        <v>54.094535942694613</v>
      </c>
      <c r="K26" s="297">
        <v>987.39872929001149</v>
      </c>
      <c r="L26" s="297">
        <v>0</v>
      </c>
      <c r="M26" s="297">
        <v>720.80616552883566</v>
      </c>
      <c r="N26" s="297">
        <v>179.61804786762752</v>
      </c>
      <c r="O26" s="297">
        <v>66.875709437588526</v>
      </c>
      <c r="P26" s="297">
        <v>20.098806455959764</v>
      </c>
      <c r="Q26" s="297">
        <v>0</v>
      </c>
      <c r="R26" s="297">
        <v>0</v>
      </c>
      <c r="S26" s="297">
        <v>0</v>
      </c>
      <c r="T26" s="297">
        <v>0</v>
      </c>
      <c r="U26" s="297">
        <v>0</v>
      </c>
      <c r="V26" s="297">
        <v>0</v>
      </c>
      <c r="W26" s="297">
        <v>0</v>
      </c>
      <c r="X26" s="297">
        <v>0</v>
      </c>
      <c r="Y26" s="297">
        <v>0</v>
      </c>
      <c r="Z26" s="297">
        <v>0</v>
      </c>
      <c r="AA26" s="297">
        <v>0</v>
      </c>
      <c r="AB26" s="297">
        <v>0</v>
      </c>
      <c r="AC26" s="297">
        <v>0</v>
      </c>
      <c r="AD26" s="297">
        <v>0</v>
      </c>
      <c r="AE26" s="297">
        <v>0</v>
      </c>
      <c r="AF26" s="297">
        <v>0</v>
      </c>
      <c r="AG26" s="297">
        <v>0</v>
      </c>
      <c r="AH26" s="297">
        <v>5.9132378351095838</v>
      </c>
      <c r="AK26" s="297">
        <v>364</v>
      </c>
      <c r="AL26" s="346">
        <f>SUM(D32,D35)/D39</f>
        <v>0.51596906679765941</v>
      </c>
      <c r="AM26" s="346">
        <f>SUM(D33,D36)/D39</f>
        <v>0.4465267604025952</v>
      </c>
    </row>
    <row r="27" spans="1:39">
      <c r="A27" s="342">
        <v>16</v>
      </c>
      <c r="B27" s="321" t="s">
        <v>1286</v>
      </c>
      <c r="C27" s="322" t="s">
        <v>1287</v>
      </c>
      <c r="D27" s="345">
        <v>448439</v>
      </c>
      <c r="E27" s="297">
        <v>180064.17257035634</v>
      </c>
      <c r="F27" s="297">
        <v>0</v>
      </c>
      <c r="G27" s="297">
        <v>0</v>
      </c>
      <c r="H27" s="297">
        <v>0</v>
      </c>
      <c r="I27" s="297">
        <v>265430.83180616115</v>
      </c>
      <c r="J27" s="297">
        <v>15667.993775114035</v>
      </c>
      <c r="K27" s="297">
        <v>249762.83803104717</v>
      </c>
      <c r="L27" s="297">
        <v>0</v>
      </c>
      <c r="M27" s="297">
        <v>201808.33005053044</v>
      </c>
      <c r="N27" s="297">
        <v>47954.507980516762</v>
      </c>
      <c r="O27" s="297">
        <v>0</v>
      </c>
      <c r="P27" s="297">
        <v>0</v>
      </c>
      <c r="Q27" s="297">
        <v>0</v>
      </c>
      <c r="R27" s="297">
        <v>0</v>
      </c>
      <c r="S27" s="297">
        <v>0</v>
      </c>
      <c r="T27" s="297">
        <v>0</v>
      </c>
      <c r="U27" s="297">
        <v>0</v>
      </c>
      <c r="V27" s="297">
        <v>0</v>
      </c>
      <c r="W27" s="297">
        <v>0</v>
      </c>
      <c r="X27" s="297">
        <v>0</v>
      </c>
      <c r="Y27" s="297">
        <v>0</v>
      </c>
      <c r="Z27" s="297">
        <v>0</v>
      </c>
      <c r="AA27" s="297">
        <v>0</v>
      </c>
      <c r="AB27" s="297">
        <v>0</v>
      </c>
      <c r="AC27" s="297">
        <v>0</v>
      </c>
      <c r="AD27" s="297">
        <v>0</v>
      </c>
      <c r="AE27" s="297">
        <v>0</v>
      </c>
      <c r="AF27" s="297">
        <v>0</v>
      </c>
      <c r="AG27" s="297">
        <v>0</v>
      </c>
      <c r="AH27" s="297">
        <v>2943.9956234824476</v>
      </c>
      <c r="AK27" s="297">
        <v>365</v>
      </c>
      <c r="AL27" s="346">
        <f>AL26</f>
        <v>0.51596906679765941</v>
      </c>
      <c r="AM27" s="346">
        <f>AM26</f>
        <v>0.4465267604025952</v>
      </c>
    </row>
    <row r="28" spans="1:39">
      <c r="A28" s="342">
        <v>17</v>
      </c>
      <c r="B28" s="316" t="s">
        <v>1288</v>
      </c>
      <c r="C28" s="326" t="s">
        <v>1289</v>
      </c>
      <c r="D28" s="324">
        <v>15608</v>
      </c>
      <c r="E28" s="320">
        <v>0</v>
      </c>
      <c r="F28" s="320">
        <v>0</v>
      </c>
      <c r="G28" s="320">
        <v>0</v>
      </c>
      <c r="H28" s="320">
        <v>0</v>
      </c>
      <c r="I28" s="320">
        <v>15608</v>
      </c>
      <c r="J28" s="320">
        <v>0</v>
      </c>
      <c r="K28" s="320">
        <v>15608</v>
      </c>
      <c r="L28" s="320">
        <v>0</v>
      </c>
      <c r="M28" s="320">
        <v>312.16000000000003</v>
      </c>
      <c r="N28" s="320">
        <v>0</v>
      </c>
      <c r="O28" s="320">
        <v>15295.84</v>
      </c>
      <c r="P28" s="320">
        <v>0</v>
      </c>
      <c r="Q28" s="320">
        <v>0</v>
      </c>
      <c r="R28" s="320">
        <v>0</v>
      </c>
      <c r="S28" s="320">
        <v>0</v>
      </c>
      <c r="T28" s="320">
        <v>0</v>
      </c>
      <c r="U28" s="320">
        <v>0</v>
      </c>
      <c r="V28" s="320">
        <v>0</v>
      </c>
      <c r="W28" s="320">
        <v>0</v>
      </c>
      <c r="X28" s="320">
        <v>0</v>
      </c>
      <c r="Y28" s="320">
        <v>0</v>
      </c>
      <c r="Z28" s="320">
        <v>0</v>
      </c>
      <c r="AA28" s="320">
        <v>0</v>
      </c>
      <c r="AB28" s="320">
        <v>0</v>
      </c>
      <c r="AC28" s="320">
        <v>0</v>
      </c>
      <c r="AD28" s="320">
        <v>0</v>
      </c>
      <c r="AE28" s="320">
        <v>0</v>
      </c>
      <c r="AF28" s="320">
        <v>0</v>
      </c>
      <c r="AG28" s="320">
        <v>0</v>
      </c>
      <c r="AH28" s="320">
        <v>0</v>
      </c>
      <c r="AK28" s="297">
        <v>366</v>
      </c>
      <c r="AL28" s="346">
        <f>SUM(D42,D45)/D48</f>
        <v>0.28695006832022452</v>
      </c>
      <c r="AM28" s="346">
        <f>SUM(D43,D46)/D48</f>
        <v>0.71304993167977548</v>
      </c>
    </row>
    <row r="29" spans="1:39">
      <c r="A29" s="342">
        <v>18</v>
      </c>
      <c r="B29" s="321" t="s">
        <v>19</v>
      </c>
      <c r="C29" s="322"/>
      <c r="D29" s="345">
        <v>468732</v>
      </c>
      <c r="E29" s="297">
        <v>181553.94575926068</v>
      </c>
      <c r="F29" s="297">
        <v>0</v>
      </c>
      <c r="G29" s="297">
        <v>0</v>
      </c>
      <c r="H29" s="297">
        <v>0</v>
      </c>
      <c r="I29" s="297">
        <v>284216.90525175212</v>
      </c>
      <c r="J29" s="297">
        <v>15827.279813127752</v>
      </c>
      <c r="K29" s="297">
        <v>268389.62543862441</v>
      </c>
      <c r="L29" s="297">
        <v>0</v>
      </c>
      <c r="M29" s="297">
        <v>204286.37753584146</v>
      </c>
      <c r="N29" s="297">
        <v>48513.21791785839</v>
      </c>
      <c r="O29" s="297">
        <v>15530.389335396772</v>
      </c>
      <c r="P29" s="297">
        <v>59.640649527825218</v>
      </c>
      <c r="Q29" s="297">
        <v>0</v>
      </c>
      <c r="R29" s="297">
        <v>0</v>
      </c>
      <c r="S29" s="297">
        <v>0</v>
      </c>
      <c r="T29" s="297">
        <v>0</v>
      </c>
      <c r="U29" s="297">
        <v>0</v>
      </c>
      <c r="V29" s="297">
        <v>0</v>
      </c>
      <c r="W29" s="297">
        <v>0</v>
      </c>
      <c r="X29" s="297">
        <v>0</v>
      </c>
      <c r="Y29" s="297">
        <v>0</v>
      </c>
      <c r="Z29" s="297">
        <v>0</v>
      </c>
      <c r="AA29" s="297">
        <v>0</v>
      </c>
      <c r="AB29" s="297">
        <v>0</v>
      </c>
      <c r="AC29" s="297">
        <v>0</v>
      </c>
      <c r="AD29" s="297">
        <v>0</v>
      </c>
      <c r="AE29" s="297">
        <v>0</v>
      </c>
      <c r="AF29" s="297">
        <v>0</v>
      </c>
      <c r="AG29" s="297">
        <v>0</v>
      </c>
      <c r="AH29" s="297">
        <v>2961.1489889871609</v>
      </c>
      <c r="AK29" s="297">
        <v>367</v>
      </c>
      <c r="AL29" s="346">
        <f>AL28</f>
        <v>0.28695006832022452</v>
      </c>
      <c r="AM29" s="346">
        <f>AM28</f>
        <v>0.71304993167977548</v>
      </c>
    </row>
    <row r="30" spans="1:39">
      <c r="A30" s="342"/>
      <c r="B30" s="321"/>
      <c r="C30" s="322"/>
      <c r="D30" s="345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K30" s="297">
        <v>368</v>
      </c>
      <c r="AL30" s="346">
        <f>SUM(D51,D52)/D54</f>
        <v>0.53840003256457669</v>
      </c>
      <c r="AM30" s="346">
        <f>SUM(D53)/D54</f>
        <v>0.46159996743542331</v>
      </c>
    </row>
    <row r="31" spans="1:39">
      <c r="A31" s="342"/>
      <c r="B31" s="313" t="s">
        <v>1293</v>
      </c>
      <c r="C31" s="322"/>
      <c r="D31" s="345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M31" s="346">
        <f>ROUND(SUM(D33,D36,D43,D46)/SUM(D39,D48),2)</f>
        <v>0.61</v>
      </c>
    </row>
    <row r="32" spans="1:39">
      <c r="A32" s="342">
        <v>19</v>
      </c>
      <c r="B32" s="321" t="s">
        <v>1294</v>
      </c>
      <c r="C32" s="322" t="s">
        <v>1295</v>
      </c>
      <c r="D32" s="345">
        <v>216430</v>
      </c>
      <c r="E32" s="297">
        <v>77280.518676846856</v>
      </c>
      <c r="F32" s="297">
        <v>0</v>
      </c>
      <c r="G32" s="297">
        <v>0</v>
      </c>
      <c r="H32" s="297">
        <v>0</v>
      </c>
      <c r="I32" s="297">
        <v>138075.59951205071</v>
      </c>
      <c r="J32" s="297">
        <v>6626.231025027053</v>
      </c>
      <c r="K32" s="297">
        <v>131449.36848702366</v>
      </c>
      <c r="L32" s="297">
        <v>0</v>
      </c>
      <c r="M32" s="297">
        <v>105920.95479556486</v>
      </c>
      <c r="N32" s="297">
        <v>25528.413691458791</v>
      </c>
      <c r="O32" s="297">
        <v>0</v>
      </c>
      <c r="P32" s="297">
        <v>0</v>
      </c>
      <c r="Q32" s="297">
        <v>0</v>
      </c>
      <c r="R32" s="297">
        <v>0</v>
      </c>
      <c r="S32" s="297">
        <v>0</v>
      </c>
      <c r="T32" s="297">
        <v>0</v>
      </c>
      <c r="U32" s="297">
        <v>0</v>
      </c>
      <c r="V32" s="297">
        <v>0</v>
      </c>
      <c r="W32" s="297">
        <v>0</v>
      </c>
      <c r="X32" s="297">
        <v>0</v>
      </c>
      <c r="Y32" s="297">
        <v>0</v>
      </c>
      <c r="Z32" s="297">
        <v>0</v>
      </c>
      <c r="AA32" s="297">
        <v>0</v>
      </c>
      <c r="AB32" s="297">
        <v>0</v>
      </c>
      <c r="AC32" s="297">
        <v>0</v>
      </c>
      <c r="AD32" s="297">
        <v>0</v>
      </c>
      <c r="AE32" s="297">
        <v>0</v>
      </c>
      <c r="AF32" s="297">
        <v>0</v>
      </c>
      <c r="AG32" s="297">
        <v>0</v>
      </c>
      <c r="AH32" s="297">
        <v>1073.8818111024316</v>
      </c>
    </row>
    <row r="33" spans="1:34">
      <c r="A33" s="342">
        <v>20</v>
      </c>
      <c r="B33" s="316" t="s">
        <v>1296</v>
      </c>
      <c r="C33" s="317" t="s">
        <v>1297</v>
      </c>
      <c r="D33" s="324">
        <v>158381</v>
      </c>
      <c r="E33" s="320">
        <v>141199.04596986997</v>
      </c>
      <c r="F33" s="320">
        <v>0</v>
      </c>
      <c r="G33" s="320">
        <v>0</v>
      </c>
      <c r="H33" s="320">
        <v>0</v>
      </c>
      <c r="I33" s="320">
        <v>16721.83829168084</v>
      </c>
      <c r="J33" s="320">
        <v>11075.894430915369</v>
      </c>
      <c r="K33" s="320">
        <v>5645.9438607654729</v>
      </c>
      <c r="L33" s="320">
        <v>0</v>
      </c>
      <c r="M33" s="320">
        <v>5580.3366509277075</v>
      </c>
      <c r="N33" s="320">
        <v>65.607209837765367</v>
      </c>
      <c r="O33" s="320">
        <v>0</v>
      </c>
      <c r="P33" s="320">
        <v>0</v>
      </c>
      <c r="Q33" s="320">
        <v>0</v>
      </c>
      <c r="R33" s="320">
        <v>0</v>
      </c>
      <c r="S33" s="320">
        <v>0</v>
      </c>
      <c r="T33" s="320">
        <v>0</v>
      </c>
      <c r="U33" s="320">
        <v>0</v>
      </c>
      <c r="V33" s="320">
        <v>0</v>
      </c>
      <c r="W33" s="320">
        <v>0</v>
      </c>
      <c r="X33" s="320">
        <v>0</v>
      </c>
      <c r="Y33" s="320">
        <v>0</v>
      </c>
      <c r="Z33" s="320">
        <v>0</v>
      </c>
      <c r="AA33" s="320">
        <v>0</v>
      </c>
      <c r="AB33" s="320">
        <v>0</v>
      </c>
      <c r="AC33" s="320">
        <v>0</v>
      </c>
      <c r="AD33" s="320">
        <v>0</v>
      </c>
      <c r="AE33" s="320">
        <v>0</v>
      </c>
      <c r="AF33" s="320">
        <v>0</v>
      </c>
      <c r="AG33" s="320">
        <v>0</v>
      </c>
      <c r="AH33" s="320">
        <v>460.1157384491741</v>
      </c>
    </row>
    <row r="34" spans="1:34">
      <c r="A34" s="342">
        <v>21</v>
      </c>
      <c r="B34" s="321" t="s">
        <v>1298</v>
      </c>
      <c r="C34" s="322"/>
      <c r="D34" s="345">
        <v>374811</v>
      </c>
      <c r="E34" s="297">
        <v>218479.56464671681</v>
      </c>
      <c r="F34" s="297">
        <v>0</v>
      </c>
      <c r="G34" s="297">
        <v>0</v>
      </c>
      <c r="H34" s="297">
        <v>0</v>
      </c>
      <c r="I34" s="297">
        <v>154797.43780373156</v>
      </c>
      <c r="J34" s="297">
        <v>17702.12545594242</v>
      </c>
      <c r="K34" s="297">
        <v>137095.31234778912</v>
      </c>
      <c r="L34" s="297">
        <v>0</v>
      </c>
      <c r="M34" s="297">
        <v>111501.29144649257</v>
      </c>
      <c r="N34" s="297">
        <v>25594.020901296557</v>
      </c>
      <c r="O34" s="297">
        <v>0</v>
      </c>
      <c r="P34" s="297">
        <v>0</v>
      </c>
      <c r="Q34" s="297">
        <v>0</v>
      </c>
      <c r="R34" s="297">
        <v>0</v>
      </c>
      <c r="S34" s="297">
        <v>0</v>
      </c>
      <c r="T34" s="297">
        <v>0</v>
      </c>
      <c r="U34" s="297">
        <v>0</v>
      </c>
      <c r="V34" s="297">
        <v>0</v>
      </c>
      <c r="W34" s="297">
        <v>0</v>
      </c>
      <c r="X34" s="297">
        <v>0</v>
      </c>
      <c r="Y34" s="297">
        <v>0</v>
      </c>
      <c r="Z34" s="297">
        <v>0</v>
      </c>
      <c r="AA34" s="297">
        <v>0</v>
      </c>
      <c r="AB34" s="297">
        <v>0</v>
      </c>
      <c r="AC34" s="297">
        <v>0</v>
      </c>
      <c r="AD34" s="297">
        <v>0</v>
      </c>
      <c r="AE34" s="297">
        <v>0</v>
      </c>
      <c r="AF34" s="297">
        <v>0</v>
      </c>
      <c r="AG34" s="297">
        <v>0</v>
      </c>
      <c r="AH34" s="297">
        <v>1533.9975495516057</v>
      </c>
    </row>
    <row r="35" spans="1:34">
      <c r="A35" s="342">
        <v>22</v>
      </c>
      <c r="B35" s="321" t="s">
        <v>1299</v>
      </c>
      <c r="C35" s="347" t="s">
        <v>1300</v>
      </c>
      <c r="D35" s="345">
        <v>81877</v>
      </c>
      <c r="E35" s="297">
        <v>41707.864924723464</v>
      </c>
      <c r="F35" s="297">
        <v>0</v>
      </c>
      <c r="G35" s="297">
        <v>0</v>
      </c>
      <c r="H35" s="297">
        <v>0</v>
      </c>
      <c r="I35" s="297">
        <v>39792.317612156876</v>
      </c>
      <c r="J35" s="297">
        <v>3402.8644139288185</v>
      </c>
      <c r="K35" s="297">
        <v>36389.453198228061</v>
      </c>
      <c r="L35" s="297">
        <v>0</v>
      </c>
      <c r="M35" s="297">
        <v>36389.453198228061</v>
      </c>
      <c r="N35" s="297">
        <v>0</v>
      </c>
      <c r="O35" s="297">
        <v>0</v>
      </c>
      <c r="P35" s="297">
        <v>0</v>
      </c>
      <c r="Q35" s="297">
        <v>0</v>
      </c>
      <c r="R35" s="297">
        <v>0</v>
      </c>
      <c r="S35" s="297">
        <v>0</v>
      </c>
      <c r="T35" s="297">
        <v>0</v>
      </c>
      <c r="U35" s="297">
        <v>0</v>
      </c>
      <c r="V35" s="297">
        <v>0</v>
      </c>
      <c r="W35" s="297">
        <v>0</v>
      </c>
      <c r="X35" s="297">
        <v>0</v>
      </c>
      <c r="Y35" s="297">
        <v>0</v>
      </c>
      <c r="Z35" s="297">
        <v>0</v>
      </c>
      <c r="AA35" s="297">
        <v>0</v>
      </c>
      <c r="AB35" s="297">
        <v>0</v>
      </c>
      <c r="AC35" s="297">
        <v>0</v>
      </c>
      <c r="AD35" s="297">
        <v>0</v>
      </c>
      <c r="AE35" s="297">
        <v>0</v>
      </c>
      <c r="AF35" s="297">
        <v>0</v>
      </c>
      <c r="AG35" s="297">
        <v>0</v>
      </c>
      <c r="AH35" s="297">
        <v>376.81746311966424</v>
      </c>
    </row>
    <row r="36" spans="1:34">
      <c r="A36" s="342">
        <v>23</v>
      </c>
      <c r="B36" s="316" t="s">
        <v>1301</v>
      </c>
      <c r="C36" s="325" t="s">
        <v>1302</v>
      </c>
      <c r="D36" s="324">
        <v>99778</v>
      </c>
      <c r="E36" s="320">
        <v>88990.452289470326</v>
      </c>
      <c r="F36" s="320">
        <v>0</v>
      </c>
      <c r="G36" s="320">
        <v>0</v>
      </c>
      <c r="H36" s="320">
        <v>0</v>
      </c>
      <c r="I36" s="320">
        <v>10497.560569406685</v>
      </c>
      <c r="J36" s="320">
        <v>6980.5631344556577</v>
      </c>
      <c r="K36" s="320">
        <v>3516.9974349510262</v>
      </c>
      <c r="L36" s="320">
        <v>0</v>
      </c>
      <c r="M36" s="320">
        <v>3516.9974349510262</v>
      </c>
      <c r="N36" s="320">
        <v>0</v>
      </c>
      <c r="O36" s="320">
        <v>0</v>
      </c>
      <c r="P36" s="320">
        <v>0</v>
      </c>
      <c r="Q36" s="320">
        <v>0</v>
      </c>
      <c r="R36" s="320">
        <v>0</v>
      </c>
      <c r="S36" s="320">
        <v>0</v>
      </c>
      <c r="T36" s="320">
        <v>0</v>
      </c>
      <c r="U36" s="320">
        <v>0</v>
      </c>
      <c r="V36" s="320">
        <v>0</v>
      </c>
      <c r="W36" s="320">
        <v>0</v>
      </c>
      <c r="X36" s="320">
        <v>0</v>
      </c>
      <c r="Y36" s="320">
        <v>0</v>
      </c>
      <c r="Z36" s="320">
        <v>0</v>
      </c>
      <c r="AA36" s="320">
        <v>0</v>
      </c>
      <c r="AB36" s="320">
        <v>0</v>
      </c>
      <c r="AC36" s="320">
        <v>0</v>
      </c>
      <c r="AD36" s="320">
        <v>0</v>
      </c>
      <c r="AE36" s="320">
        <v>0</v>
      </c>
      <c r="AF36" s="320">
        <v>0</v>
      </c>
      <c r="AG36" s="320">
        <v>0</v>
      </c>
      <c r="AH36" s="320">
        <v>289.98714112298575</v>
      </c>
    </row>
    <row r="37" spans="1:34">
      <c r="A37" s="342">
        <v>24</v>
      </c>
      <c r="B37" s="321" t="s">
        <v>1303</v>
      </c>
      <c r="C37" s="348"/>
      <c r="D37" s="345">
        <v>181655</v>
      </c>
      <c r="E37" s="297">
        <v>130698.31721419378</v>
      </c>
      <c r="F37" s="297">
        <v>0</v>
      </c>
      <c r="G37" s="297">
        <v>0</v>
      </c>
      <c r="H37" s="297">
        <v>0</v>
      </c>
      <c r="I37" s="297">
        <v>50289.878181563559</v>
      </c>
      <c r="J37" s="297">
        <v>10383.427548384476</v>
      </c>
      <c r="K37" s="297">
        <v>39906.450633179084</v>
      </c>
      <c r="L37" s="297">
        <v>0</v>
      </c>
      <c r="M37" s="297">
        <v>39906.450633179084</v>
      </c>
      <c r="N37" s="297">
        <v>0</v>
      </c>
      <c r="O37" s="297">
        <v>0</v>
      </c>
      <c r="P37" s="297">
        <v>0</v>
      </c>
      <c r="Q37" s="297">
        <v>0</v>
      </c>
      <c r="R37" s="297">
        <v>0</v>
      </c>
      <c r="S37" s="297">
        <v>0</v>
      </c>
      <c r="T37" s="297">
        <v>0</v>
      </c>
      <c r="U37" s="297">
        <v>0</v>
      </c>
      <c r="V37" s="297">
        <v>0</v>
      </c>
      <c r="W37" s="297">
        <v>0</v>
      </c>
      <c r="X37" s="297">
        <v>0</v>
      </c>
      <c r="Y37" s="297">
        <v>0</v>
      </c>
      <c r="Z37" s="297">
        <v>0</v>
      </c>
      <c r="AA37" s="297">
        <v>0</v>
      </c>
      <c r="AB37" s="297">
        <v>0</v>
      </c>
      <c r="AC37" s="297">
        <v>0</v>
      </c>
      <c r="AD37" s="297">
        <v>0</v>
      </c>
      <c r="AE37" s="297">
        <v>0</v>
      </c>
      <c r="AF37" s="297">
        <v>0</v>
      </c>
      <c r="AG37" s="297">
        <v>0</v>
      </c>
      <c r="AH37" s="297">
        <v>666.80460424264993</v>
      </c>
    </row>
    <row r="38" spans="1:34">
      <c r="A38" s="342">
        <v>25</v>
      </c>
      <c r="B38" s="316" t="s">
        <v>1304</v>
      </c>
      <c r="C38" s="326" t="s">
        <v>1305</v>
      </c>
      <c r="D38" s="324">
        <v>21683</v>
      </c>
      <c r="E38" s="320">
        <v>0</v>
      </c>
      <c r="F38" s="320">
        <v>0</v>
      </c>
      <c r="G38" s="320">
        <v>0</v>
      </c>
      <c r="H38" s="320">
        <v>0</v>
      </c>
      <c r="I38" s="320">
        <v>0</v>
      </c>
      <c r="J38" s="320">
        <v>0</v>
      </c>
      <c r="K38" s="320">
        <v>0</v>
      </c>
      <c r="L38" s="320">
        <v>0</v>
      </c>
      <c r="M38" s="320">
        <v>0</v>
      </c>
      <c r="N38" s="320">
        <v>0</v>
      </c>
      <c r="O38" s="320">
        <v>0</v>
      </c>
      <c r="P38" s="320">
        <v>0</v>
      </c>
      <c r="Q38" s="320">
        <v>0</v>
      </c>
      <c r="R38" s="320">
        <v>0</v>
      </c>
      <c r="S38" s="320">
        <v>0</v>
      </c>
      <c r="T38" s="320">
        <v>0</v>
      </c>
      <c r="U38" s="320">
        <v>0</v>
      </c>
      <c r="V38" s="320">
        <v>0</v>
      </c>
      <c r="W38" s="320">
        <v>0</v>
      </c>
      <c r="X38" s="320">
        <v>0</v>
      </c>
      <c r="Y38" s="320">
        <v>0</v>
      </c>
      <c r="Z38" s="320">
        <v>0</v>
      </c>
      <c r="AA38" s="320">
        <v>0</v>
      </c>
      <c r="AB38" s="320">
        <v>0</v>
      </c>
      <c r="AC38" s="320">
        <v>0</v>
      </c>
      <c r="AD38" s="320">
        <v>0</v>
      </c>
      <c r="AE38" s="320">
        <v>0</v>
      </c>
      <c r="AF38" s="320">
        <v>0</v>
      </c>
      <c r="AG38" s="320">
        <v>0</v>
      </c>
      <c r="AH38" s="320">
        <v>21683</v>
      </c>
    </row>
    <row r="39" spans="1:34">
      <c r="A39" s="342">
        <v>26</v>
      </c>
      <c r="B39" s="321" t="s">
        <v>19</v>
      </c>
      <c r="C39" s="322"/>
      <c r="D39" s="345">
        <v>578149</v>
      </c>
      <c r="E39" s="297">
        <v>349177.88186091057</v>
      </c>
      <c r="F39" s="297">
        <v>0</v>
      </c>
      <c r="G39" s="297">
        <v>0</v>
      </c>
      <c r="H39" s="297">
        <v>0</v>
      </c>
      <c r="I39" s="297">
        <v>205087.31598529511</v>
      </c>
      <c r="J39" s="297">
        <v>28085.553004326895</v>
      </c>
      <c r="K39" s="297">
        <v>177001.7629809682</v>
      </c>
      <c r="L39" s="297">
        <v>0</v>
      </c>
      <c r="M39" s="297">
        <v>151407.74207967165</v>
      </c>
      <c r="N39" s="297">
        <v>25594.020901296557</v>
      </c>
      <c r="O39" s="297">
        <v>0</v>
      </c>
      <c r="P39" s="297">
        <v>0</v>
      </c>
      <c r="Q39" s="297">
        <v>0</v>
      </c>
      <c r="R39" s="297">
        <v>0</v>
      </c>
      <c r="S39" s="297">
        <v>0</v>
      </c>
      <c r="T39" s="297">
        <v>0</v>
      </c>
      <c r="U39" s="297">
        <v>0</v>
      </c>
      <c r="V39" s="297">
        <v>0</v>
      </c>
      <c r="W39" s="297">
        <v>0</v>
      </c>
      <c r="X39" s="297">
        <v>0</v>
      </c>
      <c r="Y39" s="297">
        <v>0</v>
      </c>
      <c r="Z39" s="297">
        <v>0</v>
      </c>
      <c r="AA39" s="297">
        <v>0</v>
      </c>
      <c r="AB39" s="297">
        <v>0</v>
      </c>
      <c r="AC39" s="297">
        <v>0</v>
      </c>
      <c r="AD39" s="297">
        <v>0</v>
      </c>
      <c r="AE39" s="297">
        <v>0</v>
      </c>
      <c r="AF39" s="297">
        <v>0</v>
      </c>
      <c r="AG39" s="297">
        <v>0</v>
      </c>
      <c r="AH39" s="297">
        <v>23883.802153794255</v>
      </c>
    </row>
    <row r="40" spans="1:34">
      <c r="A40" s="342"/>
      <c r="B40" s="313"/>
      <c r="C40" s="327"/>
      <c r="D40" s="328"/>
      <c r="E40" s="315"/>
      <c r="F40" s="315"/>
      <c r="G40" s="315"/>
      <c r="H40" s="315"/>
      <c r="I40" s="315"/>
      <c r="J40" s="315"/>
      <c r="K40" s="297"/>
      <c r="L40" s="297"/>
      <c r="M40" s="315"/>
      <c r="N40" s="297"/>
      <c r="O40" s="297"/>
      <c r="P40" s="297"/>
      <c r="Q40" s="297"/>
      <c r="R40" s="329"/>
      <c r="S40" s="315"/>
      <c r="T40" s="331"/>
      <c r="U40" s="329"/>
      <c r="V40" s="329"/>
      <c r="W40" s="331"/>
      <c r="X40" s="331"/>
      <c r="Y40" s="329"/>
      <c r="Z40" s="315"/>
      <c r="AA40" s="315"/>
      <c r="AB40" s="297"/>
      <c r="AC40" s="297"/>
      <c r="AD40" s="315"/>
      <c r="AE40" s="315"/>
      <c r="AF40" s="315"/>
      <c r="AG40" s="315"/>
      <c r="AH40" s="315"/>
    </row>
    <row r="41" spans="1:34">
      <c r="A41" s="342"/>
      <c r="B41" s="313" t="s">
        <v>1306</v>
      </c>
      <c r="C41" s="314"/>
      <c r="D41" s="328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</row>
    <row r="42" spans="1:34">
      <c r="A42" s="342">
        <v>27</v>
      </c>
      <c r="B42" s="321" t="s">
        <v>1294</v>
      </c>
      <c r="C42" s="322" t="s">
        <v>1295</v>
      </c>
      <c r="D42" s="345">
        <v>73849</v>
      </c>
      <c r="E42" s="297">
        <v>26369.214174404948</v>
      </c>
      <c r="F42" s="297">
        <v>0</v>
      </c>
      <c r="G42" s="297">
        <v>0</v>
      </c>
      <c r="H42" s="297">
        <v>0</v>
      </c>
      <c r="I42" s="297">
        <v>47113.362049463722</v>
      </c>
      <c r="J42" s="297">
        <v>2260.9644456277911</v>
      </c>
      <c r="K42" s="297">
        <v>44852.397603835932</v>
      </c>
      <c r="L42" s="297">
        <v>0</v>
      </c>
      <c r="M42" s="297">
        <v>36141.739087454</v>
      </c>
      <c r="N42" s="297">
        <v>8710.6585163819254</v>
      </c>
      <c r="O42" s="297">
        <v>0</v>
      </c>
      <c r="P42" s="297">
        <v>0</v>
      </c>
      <c r="Q42" s="297">
        <v>0</v>
      </c>
      <c r="R42" s="297">
        <v>0</v>
      </c>
      <c r="S42" s="297">
        <v>0</v>
      </c>
      <c r="T42" s="297">
        <v>0</v>
      </c>
      <c r="U42" s="297">
        <v>0</v>
      </c>
      <c r="V42" s="297">
        <v>0</v>
      </c>
      <c r="W42" s="297">
        <v>0</v>
      </c>
      <c r="X42" s="297">
        <v>0</v>
      </c>
      <c r="Y42" s="297">
        <v>0</v>
      </c>
      <c r="Z42" s="297">
        <v>0</v>
      </c>
      <c r="AA42" s="297">
        <v>0</v>
      </c>
      <c r="AB42" s="297">
        <v>0</v>
      </c>
      <c r="AC42" s="297">
        <v>0</v>
      </c>
      <c r="AD42" s="297">
        <v>0</v>
      </c>
      <c r="AE42" s="297">
        <v>0</v>
      </c>
      <c r="AF42" s="297">
        <v>0</v>
      </c>
      <c r="AG42" s="297">
        <v>0</v>
      </c>
      <c r="AH42" s="297">
        <v>366.42377613132868</v>
      </c>
    </row>
    <row r="43" spans="1:34">
      <c r="A43" s="342">
        <v>28</v>
      </c>
      <c r="B43" s="316" t="s">
        <v>1296</v>
      </c>
      <c r="C43" s="317" t="s">
        <v>1297</v>
      </c>
      <c r="D43" s="324">
        <v>450608</v>
      </c>
      <c r="E43" s="320">
        <v>401723.81602838199</v>
      </c>
      <c r="F43" s="320">
        <v>0</v>
      </c>
      <c r="G43" s="320">
        <v>0</v>
      </c>
      <c r="H43" s="320">
        <v>0</v>
      </c>
      <c r="I43" s="320">
        <v>47575.113864274885</v>
      </c>
      <c r="J43" s="320">
        <v>31511.902549711849</v>
      </c>
      <c r="K43" s="320">
        <v>16063.211314563036</v>
      </c>
      <c r="L43" s="320">
        <v>0</v>
      </c>
      <c r="M43" s="320">
        <v>15876.552980478924</v>
      </c>
      <c r="N43" s="320">
        <v>186.65833408411223</v>
      </c>
      <c r="O43" s="320">
        <v>0</v>
      </c>
      <c r="P43" s="320">
        <v>0</v>
      </c>
      <c r="Q43" s="320">
        <v>0</v>
      </c>
      <c r="R43" s="320">
        <v>0</v>
      </c>
      <c r="S43" s="320">
        <v>0</v>
      </c>
      <c r="T43" s="320">
        <v>0</v>
      </c>
      <c r="U43" s="320">
        <v>0</v>
      </c>
      <c r="V43" s="320">
        <v>0</v>
      </c>
      <c r="W43" s="320">
        <v>0</v>
      </c>
      <c r="X43" s="320">
        <v>0</v>
      </c>
      <c r="Y43" s="320">
        <v>0</v>
      </c>
      <c r="Z43" s="320">
        <v>0</v>
      </c>
      <c r="AA43" s="320">
        <v>0</v>
      </c>
      <c r="AB43" s="320">
        <v>0</v>
      </c>
      <c r="AC43" s="320">
        <v>0</v>
      </c>
      <c r="AD43" s="320">
        <v>0</v>
      </c>
      <c r="AE43" s="320">
        <v>0</v>
      </c>
      <c r="AF43" s="320">
        <v>0</v>
      </c>
      <c r="AG43" s="320">
        <v>0</v>
      </c>
      <c r="AH43" s="320">
        <v>1309.0701073430869</v>
      </c>
    </row>
    <row r="44" spans="1:34">
      <c r="A44" s="342">
        <v>29</v>
      </c>
      <c r="B44" s="321" t="s">
        <v>1298</v>
      </c>
      <c r="C44" s="322"/>
      <c r="D44" s="345">
        <v>524457</v>
      </c>
      <c r="E44" s="297">
        <v>428093.03020278696</v>
      </c>
      <c r="F44" s="297">
        <v>0</v>
      </c>
      <c r="G44" s="297">
        <v>0</v>
      </c>
      <c r="H44" s="297">
        <v>0</v>
      </c>
      <c r="I44" s="297">
        <v>94688.475913738599</v>
      </c>
      <c r="J44" s="297">
        <v>33772.866995339638</v>
      </c>
      <c r="K44" s="297">
        <v>60915.608918398968</v>
      </c>
      <c r="L44" s="297">
        <v>0</v>
      </c>
      <c r="M44" s="297">
        <v>52018.292067932925</v>
      </c>
      <c r="N44" s="297">
        <v>8897.3168504660371</v>
      </c>
      <c r="O44" s="297">
        <v>0</v>
      </c>
      <c r="P44" s="297">
        <v>0</v>
      </c>
      <c r="Q44" s="297">
        <v>0</v>
      </c>
      <c r="R44" s="297">
        <v>0</v>
      </c>
      <c r="S44" s="297">
        <v>0</v>
      </c>
      <c r="T44" s="297">
        <v>0</v>
      </c>
      <c r="U44" s="297">
        <v>0</v>
      </c>
      <c r="V44" s="297">
        <v>0</v>
      </c>
      <c r="W44" s="297">
        <v>0</v>
      </c>
      <c r="X44" s="297">
        <v>0</v>
      </c>
      <c r="Y44" s="297">
        <v>0</v>
      </c>
      <c r="Z44" s="297">
        <v>0</v>
      </c>
      <c r="AA44" s="297">
        <v>0</v>
      </c>
      <c r="AB44" s="297">
        <v>0</v>
      </c>
      <c r="AC44" s="297">
        <v>0</v>
      </c>
      <c r="AD44" s="297">
        <v>0</v>
      </c>
      <c r="AE44" s="297">
        <v>0</v>
      </c>
      <c r="AF44" s="297">
        <v>0</v>
      </c>
      <c r="AG44" s="297">
        <v>0</v>
      </c>
      <c r="AH44" s="297">
        <v>1675.4938834744155</v>
      </c>
    </row>
    <row r="45" spans="1:34">
      <c r="A45" s="342">
        <v>30</v>
      </c>
      <c r="B45" s="321" t="s">
        <v>1299</v>
      </c>
      <c r="C45" s="347" t="s">
        <v>1300</v>
      </c>
      <c r="D45" s="345">
        <v>206086</v>
      </c>
      <c r="E45" s="297">
        <v>104979.50646550997</v>
      </c>
      <c r="F45" s="297">
        <v>0</v>
      </c>
      <c r="G45" s="297">
        <v>0</v>
      </c>
      <c r="H45" s="297">
        <v>0</v>
      </c>
      <c r="I45" s="297">
        <v>100158.03665765675</v>
      </c>
      <c r="J45" s="297">
        <v>8565.0758529127161</v>
      </c>
      <c r="K45" s="297">
        <v>91592.960804744042</v>
      </c>
      <c r="L45" s="297">
        <v>0</v>
      </c>
      <c r="M45" s="297">
        <v>91592.960804744042</v>
      </c>
      <c r="N45" s="297">
        <v>0</v>
      </c>
      <c r="O45" s="297">
        <v>0</v>
      </c>
      <c r="P45" s="297">
        <v>0</v>
      </c>
      <c r="Q45" s="297">
        <v>0</v>
      </c>
      <c r="R45" s="297">
        <v>0</v>
      </c>
      <c r="S45" s="297">
        <v>0</v>
      </c>
      <c r="T45" s="297">
        <v>0</v>
      </c>
      <c r="U45" s="297">
        <v>0</v>
      </c>
      <c r="V45" s="297">
        <v>0</v>
      </c>
      <c r="W45" s="297">
        <v>0</v>
      </c>
      <c r="X45" s="297">
        <v>0</v>
      </c>
      <c r="Y45" s="297">
        <v>0</v>
      </c>
      <c r="Z45" s="297">
        <v>0</v>
      </c>
      <c r="AA45" s="297">
        <v>0</v>
      </c>
      <c r="AB45" s="297">
        <v>0</v>
      </c>
      <c r="AC45" s="297">
        <v>0</v>
      </c>
      <c r="AD45" s="297">
        <v>0</v>
      </c>
      <c r="AE45" s="297">
        <v>0</v>
      </c>
      <c r="AF45" s="297">
        <v>0</v>
      </c>
      <c r="AG45" s="297">
        <v>0</v>
      </c>
      <c r="AH45" s="297">
        <v>948.45687683328811</v>
      </c>
    </row>
    <row r="46" spans="1:34">
      <c r="A46" s="342">
        <v>31</v>
      </c>
      <c r="B46" s="316" t="s">
        <v>1301</v>
      </c>
      <c r="C46" s="325" t="s">
        <v>1302</v>
      </c>
      <c r="D46" s="324">
        <v>245010</v>
      </c>
      <c r="E46" s="320">
        <v>218520.62293735216</v>
      </c>
      <c r="F46" s="320">
        <v>0</v>
      </c>
      <c r="G46" s="320">
        <v>0</v>
      </c>
      <c r="H46" s="320">
        <v>0</v>
      </c>
      <c r="I46" s="320">
        <v>25777.29875433795</v>
      </c>
      <c r="J46" s="320">
        <v>17141.13104665338</v>
      </c>
      <c r="K46" s="320">
        <v>8636.1677076845699</v>
      </c>
      <c r="L46" s="320">
        <v>0</v>
      </c>
      <c r="M46" s="320">
        <v>8636.1677076845699</v>
      </c>
      <c r="N46" s="320">
        <v>0</v>
      </c>
      <c r="O46" s="320">
        <v>0</v>
      </c>
      <c r="P46" s="320">
        <v>0</v>
      </c>
      <c r="Q46" s="320">
        <v>0</v>
      </c>
      <c r="R46" s="320">
        <v>0</v>
      </c>
      <c r="S46" s="320">
        <v>0</v>
      </c>
      <c r="T46" s="320">
        <v>0</v>
      </c>
      <c r="U46" s="320">
        <v>0</v>
      </c>
      <c r="V46" s="320">
        <v>0</v>
      </c>
      <c r="W46" s="320">
        <v>0</v>
      </c>
      <c r="X46" s="320">
        <v>0</v>
      </c>
      <c r="Y46" s="320">
        <v>0</v>
      </c>
      <c r="Z46" s="320">
        <v>0</v>
      </c>
      <c r="AA46" s="320">
        <v>0</v>
      </c>
      <c r="AB46" s="320">
        <v>0</v>
      </c>
      <c r="AC46" s="320">
        <v>0</v>
      </c>
      <c r="AD46" s="320">
        <v>0</v>
      </c>
      <c r="AE46" s="320">
        <v>0</v>
      </c>
      <c r="AF46" s="320">
        <v>0</v>
      </c>
      <c r="AG46" s="320">
        <v>0</v>
      </c>
      <c r="AH46" s="320">
        <v>712.0783083098753</v>
      </c>
    </row>
    <row r="47" spans="1:34">
      <c r="A47" s="342">
        <v>32</v>
      </c>
      <c r="B47" s="316" t="s">
        <v>1303</v>
      </c>
      <c r="C47" s="325"/>
      <c r="D47" s="324">
        <v>451096</v>
      </c>
      <c r="E47" s="320">
        <v>323500.12940286216</v>
      </c>
      <c r="F47" s="320">
        <v>0</v>
      </c>
      <c r="G47" s="320">
        <v>0</v>
      </c>
      <c r="H47" s="320">
        <v>0</v>
      </c>
      <c r="I47" s="320">
        <v>125935.33541199469</v>
      </c>
      <c r="J47" s="320">
        <v>25706.206899566096</v>
      </c>
      <c r="K47" s="320">
        <v>100229.12851242861</v>
      </c>
      <c r="L47" s="320">
        <v>0</v>
      </c>
      <c r="M47" s="320">
        <v>100229.12851242861</v>
      </c>
      <c r="N47" s="320">
        <v>0</v>
      </c>
      <c r="O47" s="320">
        <v>0</v>
      </c>
      <c r="P47" s="320">
        <v>0</v>
      </c>
      <c r="Q47" s="320">
        <v>0</v>
      </c>
      <c r="R47" s="320">
        <v>0</v>
      </c>
      <c r="S47" s="320">
        <v>0</v>
      </c>
      <c r="T47" s="320">
        <v>0</v>
      </c>
      <c r="U47" s="320">
        <v>0</v>
      </c>
      <c r="V47" s="320">
        <v>0</v>
      </c>
      <c r="W47" s="320">
        <v>0</v>
      </c>
      <c r="X47" s="320">
        <v>0</v>
      </c>
      <c r="Y47" s="320">
        <v>0</v>
      </c>
      <c r="Z47" s="320">
        <v>0</v>
      </c>
      <c r="AA47" s="320">
        <v>0</v>
      </c>
      <c r="AB47" s="320">
        <v>0</v>
      </c>
      <c r="AC47" s="320">
        <v>0</v>
      </c>
      <c r="AD47" s="320">
        <v>0</v>
      </c>
      <c r="AE47" s="320">
        <v>0</v>
      </c>
      <c r="AF47" s="320">
        <v>0</v>
      </c>
      <c r="AG47" s="320">
        <v>0</v>
      </c>
      <c r="AH47" s="320">
        <v>1660.5351851431633</v>
      </c>
    </row>
    <row r="48" spans="1:34">
      <c r="A48" s="342">
        <v>33</v>
      </c>
      <c r="B48" s="321" t="s">
        <v>19</v>
      </c>
      <c r="C48" s="347"/>
      <c r="D48" s="345">
        <v>975553</v>
      </c>
      <c r="E48" s="297">
        <v>751593.15960564907</v>
      </c>
      <c r="F48" s="297">
        <v>0</v>
      </c>
      <c r="G48" s="297">
        <v>0</v>
      </c>
      <c r="H48" s="297">
        <v>0</v>
      </c>
      <c r="I48" s="297">
        <v>220623.81132573329</v>
      </c>
      <c r="J48" s="297">
        <v>59479.073894905734</v>
      </c>
      <c r="K48" s="297">
        <v>161144.73743082758</v>
      </c>
      <c r="L48" s="297">
        <v>0</v>
      </c>
      <c r="M48" s="297">
        <v>152247.42058036153</v>
      </c>
      <c r="N48" s="297">
        <v>8897.3168504660371</v>
      </c>
      <c r="O48" s="297">
        <v>0</v>
      </c>
      <c r="P48" s="297">
        <v>0</v>
      </c>
      <c r="Q48" s="297">
        <v>0</v>
      </c>
      <c r="R48" s="297">
        <v>0</v>
      </c>
      <c r="S48" s="297">
        <v>0</v>
      </c>
      <c r="T48" s="297">
        <v>0</v>
      </c>
      <c r="U48" s="297">
        <v>0</v>
      </c>
      <c r="V48" s="297">
        <v>0</v>
      </c>
      <c r="W48" s="297">
        <v>0</v>
      </c>
      <c r="X48" s="297">
        <v>0</v>
      </c>
      <c r="Y48" s="297">
        <v>0</v>
      </c>
      <c r="Z48" s="297">
        <v>0</v>
      </c>
      <c r="AA48" s="297">
        <v>0</v>
      </c>
      <c r="AB48" s="297">
        <v>0</v>
      </c>
      <c r="AC48" s="297">
        <v>0</v>
      </c>
      <c r="AD48" s="297">
        <v>0</v>
      </c>
      <c r="AE48" s="297">
        <v>0</v>
      </c>
      <c r="AF48" s="297">
        <v>0</v>
      </c>
      <c r="AG48" s="297">
        <v>0</v>
      </c>
      <c r="AH48" s="297">
        <v>3336.0290686175786</v>
      </c>
    </row>
    <row r="49" spans="1:34">
      <c r="A49" s="342"/>
      <c r="B49" s="321"/>
      <c r="C49" s="347"/>
      <c r="D49" s="345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</row>
    <row r="50" spans="1:34">
      <c r="A50" s="342"/>
      <c r="B50" s="313" t="s">
        <v>1264</v>
      </c>
      <c r="C50" s="347"/>
      <c r="D50" s="345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</row>
    <row r="51" spans="1:34">
      <c r="A51" s="342">
        <v>34</v>
      </c>
      <c r="B51" s="321" t="s">
        <v>6</v>
      </c>
      <c r="C51" s="322" t="s">
        <v>1295</v>
      </c>
      <c r="D51" s="345">
        <v>18435</v>
      </c>
      <c r="E51" s="297">
        <v>6582.5734039073677</v>
      </c>
      <c r="F51" s="297">
        <v>0</v>
      </c>
      <c r="G51" s="297">
        <v>0</v>
      </c>
      <c r="H51" s="297">
        <v>0</v>
      </c>
      <c r="I51" s="297">
        <v>11760.955861038927</v>
      </c>
      <c r="J51" s="297">
        <v>564.4068241296203</v>
      </c>
      <c r="K51" s="297">
        <v>11196.549036909306</v>
      </c>
      <c r="L51" s="297">
        <v>0</v>
      </c>
      <c r="M51" s="297">
        <v>9022.0986076617774</v>
      </c>
      <c r="N51" s="297">
        <v>2174.4504292475294</v>
      </c>
      <c r="O51" s="297">
        <v>0</v>
      </c>
      <c r="P51" s="297">
        <v>0</v>
      </c>
      <c r="Q51" s="297">
        <v>0</v>
      </c>
      <c r="R51" s="297">
        <v>0</v>
      </c>
      <c r="S51" s="297">
        <v>0</v>
      </c>
      <c r="T51" s="297">
        <v>0</v>
      </c>
      <c r="U51" s="297">
        <v>0</v>
      </c>
      <c r="V51" s="297">
        <v>0</v>
      </c>
      <c r="W51" s="297">
        <v>0</v>
      </c>
      <c r="X51" s="297">
        <v>0</v>
      </c>
      <c r="Y51" s="297">
        <v>0</v>
      </c>
      <c r="Z51" s="297">
        <v>0</v>
      </c>
      <c r="AA51" s="297">
        <v>0</v>
      </c>
      <c r="AB51" s="297">
        <v>0</v>
      </c>
      <c r="AC51" s="297">
        <v>0</v>
      </c>
      <c r="AD51" s="297">
        <v>0</v>
      </c>
      <c r="AE51" s="297">
        <v>0</v>
      </c>
      <c r="AF51" s="297">
        <v>0</v>
      </c>
      <c r="AG51" s="297">
        <v>0</v>
      </c>
      <c r="AH51" s="297">
        <v>91.470735053704772</v>
      </c>
    </row>
    <row r="52" spans="1:34">
      <c r="A52" s="342">
        <v>35</v>
      </c>
      <c r="B52" s="321" t="s">
        <v>1299</v>
      </c>
      <c r="C52" s="347" t="s">
        <v>1300</v>
      </c>
      <c r="D52" s="345">
        <v>166738</v>
      </c>
      <c r="E52" s="297">
        <v>84935.769285862218</v>
      </c>
      <c r="F52" s="297">
        <v>0</v>
      </c>
      <c r="G52" s="297">
        <v>0</v>
      </c>
      <c r="H52" s="297">
        <v>0</v>
      </c>
      <c r="I52" s="297">
        <v>81034.862708890316</v>
      </c>
      <c r="J52" s="297">
        <v>6929.745919484877</v>
      </c>
      <c r="K52" s="297">
        <v>74105.116789405452</v>
      </c>
      <c r="L52" s="297">
        <v>0</v>
      </c>
      <c r="M52" s="297">
        <v>74105.116789405452</v>
      </c>
      <c r="N52" s="297">
        <v>0</v>
      </c>
      <c r="O52" s="297">
        <v>0</v>
      </c>
      <c r="P52" s="297">
        <v>0</v>
      </c>
      <c r="Q52" s="297">
        <v>0</v>
      </c>
      <c r="R52" s="297">
        <v>0</v>
      </c>
      <c r="S52" s="297">
        <v>0</v>
      </c>
      <c r="T52" s="297">
        <v>0</v>
      </c>
      <c r="U52" s="297">
        <v>0</v>
      </c>
      <c r="V52" s="297">
        <v>0</v>
      </c>
      <c r="W52" s="297">
        <v>0</v>
      </c>
      <c r="X52" s="297">
        <v>0</v>
      </c>
      <c r="Y52" s="297">
        <v>0</v>
      </c>
      <c r="Z52" s="297">
        <v>0</v>
      </c>
      <c r="AA52" s="297">
        <v>0</v>
      </c>
      <c r="AB52" s="297">
        <v>0</v>
      </c>
      <c r="AC52" s="297">
        <v>0</v>
      </c>
      <c r="AD52" s="297">
        <v>0</v>
      </c>
      <c r="AE52" s="297">
        <v>0</v>
      </c>
      <c r="AF52" s="297">
        <v>0</v>
      </c>
      <c r="AG52" s="297">
        <v>0</v>
      </c>
      <c r="AH52" s="297">
        <v>767.36800524746366</v>
      </c>
    </row>
    <row r="53" spans="1:34">
      <c r="A53" s="342">
        <v>36</v>
      </c>
      <c r="B53" s="316" t="s">
        <v>1301</v>
      </c>
      <c r="C53" s="325" t="s">
        <v>1302</v>
      </c>
      <c r="D53" s="324">
        <v>158759</v>
      </c>
      <c r="E53" s="320">
        <v>141594.69236729559</v>
      </c>
      <c r="F53" s="320">
        <v>0</v>
      </c>
      <c r="G53" s="320">
        <v>0</v>
      </c>
      <c r="H53" s="320">
        <v>0</v>
      </c>
      <c r="I53" s="320">
        <v>16702.902628219003</v>
      </c>
      <c r="J53" s="320">
        <v>11106.929610365469</v>
      </c>
      <c r="K53" s="320">
        <v>5595.9730178535347</v>
      </c>
      <c r="L53" s="320">
        <v>0</v>
      </c>
      <c r="M53" s="320">
        <v>5595.9730178535347</v>
      </c>
      <c r="N53" s="320">
        <v>0</v>
      </c>
      <c r="O53" s="320">
        <v>0</v>
      </c>
      <c r="P53" s="320">
        <v>0</v>
      </c>
      <c r="Q53" s="320">
        <v>0</v>
      </c>
      <c r="R53" s="320">
        <v>0</v>
      </c>
      <c r="S53" s="320">
        <v>0</v>
      </c>
      <c r="T53" s="320">
        <v>0</v>
      </c>
      <c r="U53" s="320">
        <v>0</v>
      </c>
      <c r="V53" s="320">
        <v>0</v>
      </c>
      <c r="W53" s="320">
        <v>0</v>
      </c>
      <c r="X53" s="320">
        <v>0</v>
      </c>
      <c r="Y53" s="320">
        <v>0</v>
      </c>
      <c r="Z53" s="320">
        <v>0</v>
      </c>
      <c r="AA53" s="320">
        <v>0</v>
      </c>
      <c r="AB53" s="320">
        <v>0</v>
      </c>
      <c r="AC53" s="320">
        <v>0</v>
      </c>
      <c r="AD53" s="320">
        <v>0</v>
      </c>
      <c r="AE53" s="320">
        <v>0</v>
      </c>
      <c r="AF53" s="320">
        <v>0</v>
      </c>
      <c r="AG53" s="320">
        <v>0</v>
      </c>
      <c r="AH53" s="320">
        <v>461.40500448539848</v>
      </c>
    </row>
    <row r="54" spans="1:34">
      <c r="A54" s="342">
        <v>37</v>
      </c>
      <c r="B54" s="321" t="s">
        <v>19</v>
      </c>
      <c r="C54" s="347"/>
      <c r="D54" s="345">
        <v>343932</v>
      </c>
      <c r="E54" s="297">
        <v>233113.03505706519</v>
      </c>
      <c r="F54" s="297">
        <v>0</v>
      </c>
      <c r="G54" s="297">
        <v>0</v>
      </c>
      <c r="H54" s="297">
        <v>0</v>
      </c>
      <c r="I54" s="297">
        <v>109498.72119814824</v>
      </c>
      <c r="J54" s="297">
        <v>18601.082353979968</v>
      </c>
      <c r="K54" s="297">
        <v>90897.638844168294</v>
      </c>
      <c r="L54" s="297">
        <v>0</v>
      </c>
      <c r="M54" s="297">
        <v>88723.188414920762</v>
      </c>
      <c r="N54" s="297">
        <v>2174.4504292475294</v>
      </c>
      <c r="O54" s="297">
        <v>0</v>
      </c>
      <c r="P54" s="297">
        <v>0</v>
      </c>
      <c r="Q54" s="297">
        <v>0</v>
      </c>
      <c r="R54" s="297">
        <v>0</v>
      </c>
      <c r="S54" s="297">
        <v>0</v>
      </c>
      <c r="T54" s="297">
        <v>0</v>
      </c>
      <c r="U54" s="297">
        <v>0</v>
      </c>
      <c r="V54" s="297">
        <v>0</v>
      </c>
      <c r="W54" s="297">
        <v>0</v>
      </c>
      <c r="X54" s="297">
        <v>0</v>
      </c>
      <c r="Y54" s="297">
        <v>0</v>
      </c>
      <c r="Z54" s="297">
        <v>0</v>
      </c>
      <c r="AA54" s="297">
        <v>0</v>
      </c>
      <c r="AB54" s="297">
        <v>0</v>
      </c>
      <c r="AC54" s="297">
        <v>0</v>
      </c>
      <c r="AD54" s="297">
        <v>0</v>
      </c>
      <c r="AE54" s="297">
        <v>0</v>
      </c>
      <c r="AF54" s="297">
        <v>0</v>
      </c>
      <c r="AG54" s="297">
        <v>0</v>
      </c>
      <c r="AH54" s="297">
        <v>1320.2437447865668</v>
      </c>
    </row>
  </sheetData>
  <mergeCells count="1">
    <mergeCell ref="A4:C4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4:D40"/>
  <sheetViews>
    <sheetView workbookViewId="0">
      <selection activeCell="F28" sqref="F28"/>
    </sheetView>
  </sheetViews>
  <sheetFormatPr defaultColWidth="9.140625" defaultRowHeight="12.75"/>
  <cols>
    <col min="1" max="1" width="9.140625" style="211"/>
    <col min="2" max="2" width="36.140625" style="211" customWidth="1"/>
    <col min="3" max="16384" width="9.140625" style="211"/>
  </cols>
  <sheetData>
    <row r="4" spans="2:3">
      <c r="B4" s="244" t="s">
        <v>1219</v>
      </c>
      <c r="C4" s="245"/>
    </row>
    <row r="5" spans="2:3">
      <c r="B5" s="244" t="s">
        <v>1220</v>
      </c>
      <c r="C5" s="246"/>
    </row>
    <row r="6" spans="2:3">
      <c r="B6" s="244" t="s">
        <v>1199</v>
      </c>
      <c r="C6" s="246"/>
    </row>
    <row r="7" spans="2:3">
      <c r="B7" s="244" t="s">
        <v>1200</v>
      </c>
      <c r="C7" s="247">
        <v>9652</v>
      </c>
    </row>
    <row r="8" spans="2:3" ht="13.5" thickBot="1">
      <c r="B8" s="244" t="s">
        <v>1201</v>
      </c>
      <c r="C8" s="248">
        <v>27</v>
      </c>
    </row>
    <row r="9" spans="2:3">
      <c r="B9" s="244" t="s">
        <v>1202</v>
      </c>
      <c r="C9" s="247">
        <v>9679</v>
      </c>
    </row>
    <row r="10" spans="2:3">
      <c r="B10" s="244" t="s">
        <v>1203</v>
      </c>
      <c r="C10" s="246"/>
    </row>
    <row r="11" spans="2:3" ht="13.5" thickBot="1">
      <c r="B11" s="244" t="s">
        <v>1204</v>
      </c>
      <c r="C11" s="203">
        <v>28295</v>
      </c>
    </row>
    <row r="12" spans="2:3">
      <c r="B12" s="244" t="s">
        <v>1205</v>
      </c>
      <c r="C12" s="247">
        <v>37974</v>
      </c>
    </row>
    <row r="13" spans="2:3">
      <c r="B13" s="244"/>
      <c r="C13" s="247"/>
    </row>
    <row r="14" spans="2:3">
      <c r="B14" s="244" t="s">
        <v>1206</v>
      </c>
      <c r="C14" s="246"/>
    </row>
    <row r="15" spans="2:3">
      <c r="B15" s="244" t="s">
        <v>1200</v>
      </c>
      <c r="C15" s="247">
        <v>205110</v>
      </c>
    </row>
    <row r="16" spans="2:3" ht="13.5" thickBot="1">
      <c r="B16" s="244" t="s">
        <v>1201</v>
      </c>
      <c r="C16" s="203">
        <v>45215</v>
      </c>
    </row>
    <row r="17" spans="2:4">
      <c r="B17" s="244" t="s">
        <v>1207</v>
      </c>
      <c r="C17" s="247">
        <v>250325</v>
      </c>
    </row>
    <row r="18" spans="2:4">
      <c r="B18" s="244" t="s">
        <v>1208</v>
      </c>
      <c r="C18" s="246"/>
    </row>
    <row r="19" spans="2:4">
      <c r="B19" s="244" t="s">
        <v>1209</v>
      </c>
      <c r="C19" s="246"/>
    </row>
    <row r="20" spans="2:4">
      <c r="B20" s="244" t="s">
        <v>1210</v>
      </c>
      <c r="C20" s="247">
        <v>355744</v>
      </c>
    </row>
    <row r="21" spans="2:4">
      <c r="B21" s="244" t="s">
        <v>1211</v>
      </c>
      <c r="C21" s="246"/>
    </row>
    <row r="22" spans="2:4" ht="13.5" thickBot="1">
      <c r="B22" s="244" t="s">
        <v>1212</v>
      </c>
      <c r="C22" s="203">
        <v>237657</v>
      </c>
    </row>
    <row r="23" spans="2:4">
      <c r="B23" s="244" t="s">
        <v>1213</v>
      </c>
      <c r="C23" s="247">
        <v>593401</v>
      </c>
      <c r="D23" s="212">
        <f>C22/C23</f>
        <v>0.4004998306372925</v>
      </c>
    </row>
    <row r="24" spans="2:4">
      <c r="B24" s="244"/>
      <c r="C24" s="247"/>
    </row>
    <row r="25" spans="2:4">
      <c r="B25" s="244" t="s">
        <v>1221</v>
      </c>
      <c r="C25" s="246"/>
    </row>
    <row r="26" spans="2:4">
      <c r="B26" s="244" t="s">
        <v>1214</v>
      </c>
      <c r="C26" s="247">
        <v>209073</v>
      </c>
    </row>
    <row r="27" spans="2:4" ht="13.5" thickBot="1">
      <c r="B27" s="244" t="s">
        <v>1215</v>
      </c>
      <c r="C27" s="203">
        <v>142605</v>
      </c>
    </row>
    <row r="28" spans="2:4">
      <c r="B28" s="244" t="s">
        <v>1216</v>
      </c>
      <c r="C28" s="247">
        <v>351678</v>
      </c>
      <c r="D28" s="212">
        <f>C27/C28</f>
        <v>0.40549878013409996</v>
      </c>
    </row>
    <row r="29" spans="2:4">
      <c r="B29" s="244"/>
      <c r="C29" s="247"/>
    </row>
    <row r="30" spans="2:4">
      <c r="B30" s="244" t="s">
        <v>1217</v>
      </c>
      <c r="C30" s="246"/>
    </row>
    <row r="31" spans="2:4">
      <c r="B31" s="244" t="s">
        <v>1218</v>
      </c>
      <c r="C31" s="247">
        <v>5861</v>
      </c>
    </row>
    <row r="32" spans="2:4">
      <c r="B32" s="244" t="s">
        <v>1214</v>
      </c>
      <c r="C32" s="247">
        <v>16758</v>
      </c>
    </row>
    <row r="33" spans="2:4">
      <c r="B33" s="244" t="s">
        <v>1211</v>
      </c>
      <c r="C33" s="246"/>
    </row>
    <row r="34" spans="2:4">
      <c r="B34" s="244" t="s">
        <v>1210</v>
      </c>
      <c r="C34" s="247">
        <v>216621</v>
      </c>
    </row>
    <row r="35" spans="2:4" ht="13.5" thickBot="1">
      <c r="B35" s="244" t="s">
        <v>1212</v>
      </c>
      <c r="C35" s="203">
        <v>87122</v>
      </c>
    </row>
    <row r="36" spans="2:4">
      <c r="B36" s="244" t="s">
        <v>1124</v>
      </c>
      <c r="C36" s="247">
        <v>326362</v>
      </c>
      <c r="D36" s="212">
        <f>C35/C36</f>
        <v>0.26694897077478386</v>
      </c>
    </row>
    <row r="39" spans="2:4">
      <c r="C39" s="220">
        <f>C22+C35+C27</f>
        <v>467384</v>
      </c>
      <c r="D39" s="212">
        <f>C39/C40</f>
        <v>0.36760179984757452</v>
      </c>
    </row>
    <row r="40" spans="2:4">
      <c r="C40" s="220">
        <f>C23+C28+C36</f>
        <v>1271441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D17" sqref="D17"/>
    </sheetView>
  </sheetViews>
  <sheetFormatPr defaultRowHeight="15"/>
  <sheetData>
    <row r="1" spans="1:6">
      <c r="A1" s="252" t="s">
        <v>1226</v>
      </c>
    </row>
    <row r="2" spans="1:6">
      <c r="A2" s="253"/>
    </row>
    <row r="3" spans="1:6">
      <c r="A3" s="254" t="s">
        <v>1227</v>
      </c>
    </row>
    <row r="4" spans="1:6">
      <c r="A4" s="255" t="s">
        <v>1192</v>
      </c>
      <c r="B4" s="255" t="s">
        <v>1228</v>
      </c>
      <c r="C4" s="302" t="s">
        <v>8</v>
      </c>
      <c r="D4" s="302"/>
      <c r="E4" s="302" t="s">
        <v>7</v>
      </c>
      <c r="F4" s="302"/>
    </row>
    <row r="5" spans="1:6">
      <c r="B5" s="256" t="s">
        <v>1229</v>
      </c>
      <c r="C5" s="256" t="s">
        <v>1229</v>
      </c>
      <c r="D5" s="256" t="s">
        <v>1230</v>
      </c>
      <c r="E5" s="256" t="s">
        <v>1229</v>
      </c>
      <c r="F5" s="256" t="s">
        <v>1230</v>
      </c>
    </row>
    <row r="6" spans="1:6">
      <c r="A6" s="254">
        <v>364</v>
      </c>
      <c r="B6" s="257" t="s">
        <v>1231</v>
      </c>
      <c r="C6" s="257" t="s">
        <v>1232</v>
      </c>
      <c r="D6" s="258">
        <v>0.224</v>
      </c>
      <c r="E6" s="257" t="s">
        <v>1233</v>
      </c>
      <c r="F6" s="258">
        <v>0.77600000000000002</v>
      </c>
    </row>
    <row r="7" spans="1:6">
      <c r="A7" s="254">
        <v>365</v>
      </c>
      <c r="B7" s="257" t="s">
        <v>1234</v>
      </c>
      <c r="C7" s="257" t="s">
        <v>1235</v>
      </c>
      <c r="D7" s="258">
        <v>0.40500000000000003</v>
      </c>
      <c r="E7" s="257" t="s">
        <v>1236</v>
      </c>
      <c r="F7" s="258">
        <v>0.59499999999999997</v>
      </c>
    </row>
    <row r="8" spans="1:6">
      <c r="A8" s="254">
        <v>366</v>
      </c>
      <c r="B8" s="257" t="s">
        <v>1237</v>
      </c>
      <c r="C8" s="257" t="s">
        <v>1238</v>
      </c>
      <c r="D8" s="258">
        <v>0.67800000000000005</v>
      </c>
      <c r="E8" s="257" t="s">
        <v>1239</v>
      </c>
      <c r="F8" s="258">
        <v>0.32200000000000001</v>
      </c>
    </row>
    <row r="9" spans="1:6">
      <c r="A9" s="254">
        <v>367</v>
      </c>
      <c r="B9" s="257" t="s">
        <v>1240</v>
      </c>
      <c r="C9" s="257" t="s">
        <v>1241</v>
      </c>
      <c r="D9" s="258">
        <v>0.67800000000000005</v>
      </c>
      <c r="E9" s="257" t="s">
        <v>1242</v>
      </c>
      <c r="F9" s="258">
        <v>0.32200000000000001</v>
      </c>
    </row>
    <row r="10" spans="1:6">
      <c r="A10" s="254">
        <v>368</v>
      </c>
      <c r="B10" s="257" t="s">
        <v>1243</v>
      </c>
      <c r="C10" s="257" t="s">
        <v>1244</v>
      </c>
      <c r="D10" s="258">
        <v>0.57099999999999995</v>
      </c>
      <c r="E10" s="257" t="s">
        <v>1245</v>
      </c>
      <c r="F10" s="258">
        <v>0.42899999999999999</v>
      </c>
    </row>
    <row r="11" spans="1:6">
      <c r="A11" s="253"/>
    </row>
    <row r="12" spans="1:6">
      <c r="B12" s="259">
        <v>173205</v>
      </c>
      <c r="C12" s="259">
        <v>38859</v>
      </c>
    </row>
    <row r="13" spans="1:6">
      <c r="B13" s="259">
        <v>775576</v>
      </c>
      <c r="C13" s="259">
        <v>314020</v>
      </c>
    </row>
    <row r="14" spans="1:6">
      <c r="B14" s="259">
        <v>186409</v>
      </c>
      <c r="C14" s="259">
        <v>126460</v>
      </c>
    </row>
    <row r="15" spans="1:6">
      <c r="B15" s="259">
        <v>391115</v>
      </c>
      <c r="C15" s="259">
        <v>265334</v>
      </c>
    </row>
    <row r="16" spans="1:6">
      <c r="B16" s="259">
        <v>283119</v>
      </c>
      <c r="C16" s="259">
        <v>161573</v>
      </c>
    </row>
    <row r="17" spans="2:4">
      <c r="B17" s="195">
        <f>SUM(B12:B16)</f>
        <v>1809424</v>
      </c>
      <c r="C17" s="195">
        <f>SUM(C12:C16)</f>
        <v>906246</v>
      </c>
      <c r="D17" s="243">
        <f>C17/B17</f>
        <v>0.50084778360406401</v>
      </c>
    </row>
  </sheetData>
  <mergeCells count="2">
    <mergeCell ref="C4:D4"/>
    <mergeCell ref="E4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C1:L15"/>
  <sheetViews>
    <sheetView workbookViewId="0">
      <selection activeCell="L3" sqref="L3"/>
    </sheetView>
  </sheetViews>
  <sheetFormatPr defaultRowHeight="15"/>
  <cols>
    <col min="3" max="3" width="27.28515625" bestFit="1" customWidth="1"/>
    <col min="4" max="4" width="12.5703125" bestFit="1" customWidth="1"/>
    <col min="5" max="6" width="11.5703125" bestFit="1" customWidth="1"/>
    <col min="7" max="7" width="1" customWidth="1"/>
    <col min="8" max="9" width="11.5703125" bestFit="1" customWidth="1"/>
    <col min="10" max="10" width="1" customWidth="1"/>
    <col min="11" max="12" width="11.5703125" bestFit="1" customWidth="1"/>
  </cols>
  <sheetData>
    <row r="1" spans="3:12" s="1" customFormat="1">
      <c r="E1" s="303" t="s">
        <v>1263</v>
      </c>
      <c r="F1" s="303"/>
      <c r="H1" s="303" t="s">
        <v>1264</v>
      </c>
      <c r="I1" s="303"/>
      <c r="K1" s="303" t="s">
        <v>1265</v>
      </c>
      <c r="L1" s="303"/>
    </row>
    <row r="2" spans="3:12" s="290" customFormat="1" ht="17.25">
      <c r="D2" s="290" t="s">
        <v>19</v>
      </c>
      <c r="E2" s="290" t="s">
        <v>7</v>
      </c>
      <c r="F2" s="290" t="s">
        <v>8</v>
      </c>
      <c r="H2" s="290" t="s">
        <v>7</v>
      </c>
      <c r="I2" s="290" t="s">
        <v>8</v>
      </c>
      <c r="K2" s="290" t="s">
        <v>7</v>
      </c>
      <c r="L2" s="290" t="s">
        <v>8</v>
      </c>
    </row>
    <row r="3" spans="3:12">
      <c r="C3" t="s">
        <v>1262</v>
      </c>
      <c r="D3" s="291">
        <f>SUM(E3:L3)</f>
        <v>116859695</v>
      </c>
      <c r="E3" s="291">
        <v>24549140</v>
      </c>
      <c r="F3" s="291">
        <v>56224699</v>
      </c>
      <c r="G3" s="291"/>
      <c r="H3" s="291">
        <v>0</v>
      </c>
      <c r="I3" s="291">
        <v>0</v>
      </c>
      <c r="J3" s="291"/>
      <c r="K3" s="291">
        <v>10967372</v>
      </c>
      <c r="L3" s="291">
        <v>25118484</v>
      </c>
    </row>
    <row r="4" spans="3:12">
      <c r="C4" t="s">
        <v>1259</v>
      </c>
      <c r="D4" s="291">
        <f t="shared" ref="D4:D7" si="0">SUM(E4:L4)</f>
        <v>118739800</v>
      </c>
      <c r="E4" s="291">
        <v>29430166</v>
      </c>
      <c r="F4" s="291">
        <v>52643209</v>
      </c>
      <c r="G4" s="291"/>
      <c r="H4" s="291">
        <v>0</v>
      </c>
      <c r="I4" s="291">
        <v>0</v>
      </c>
      <c r="J4" s="291"/>
      <c r="K4" s="291">
        <v>4912249</v>
      </c>
      <c r="L4" s="291">
        <v>31754176</v>
      </c>
    </row>
    <row r="5" spans="3:12">
      <c r="C5" t="s">
        <v>1260</v>
      </c>
      <c r="D5" s="291">
        <f t="shared" si="0"/>
        <v>16660978</v>
      </c>
      <c r="E5" s="291">
        <v>1320660</v>
      </c>
      <c r="F5" s="291">
        <v>6603000</v>
      </c>
      <c r="G5" s="291"/>
      <c r="H5" s="291">
        <v>0</v>
      </c>
      <c r="I5" s="291">
        <v>0</v>
      </c>
      <c r="J5" s="291"/>
      <c r="K5" s="291">
        <v>2524500</v>
      </c>
      <c r="L5" s="291">
        <v>6212818</v>
      </c>
    </row>
    <row r="6" spans="3:12">
      <c r="C6" t="s">
        <v>1261</v>
      </c>
      <c r="D6" s="291">
        <f t="shared" si="0"/>
        <v>38708180</v>
      </c>
      <c r="E6" s="291">
        <v>6707829</v>
      </c>
      <c r="F6" s="291">
        <v>22456653</v>
      </c>
      <c r="G6" s="291"/>
      <c r="H6" s="291">
        <v>0</v>
      </c>
      <c r="I6" s="291">
        <v>0</v>
      </c>
      <c r="J6" s="291"/>
      <c r="K6" s="291">
        <v>2998170</v>
      </c>
      <c r="L6" s="291">
        <v>6545528</v>
      </c>
    </row>
    <row r="7" spans="3:12">
      <c r="C7" t="s">
        <v>1258</v>
      </c>
      <c r="D7" s="291">
        <f t="shared" si="0"/>
        <v>85718069</v>
      </c>
      <c r="E7" s="291">
        <v>0</v>
      </c>
      <c r="F7" s="291">
        <v>0</v>
      </c>
      <c r="G7" s="291"/>
      <c r="H7" s="291">
        <v>39964347</v>
      </c>
      <c r="I7" s="291">
        <v>45753722</v>
      </c>
      <c r="J7" s="291"/>
      <c r="K7" s="291">
        <v>0</v>
      </c>
      <c r="L7" s="291">
        <v>0</v>
      </c>
    </row>
    <row r="8" spans="3:12">
      <c r="D8" s="194">
        <f>SUM(D3:D7)</f>
        <v>376686722</v>
      </c>
    </row>
    <row r="10" spans="3:12">
      <c r="C10" t="s">
        <v>1262</v>
      </c>
      <c r="D10" s="194">
        <f>SUM(F3,I3,L3)</f>
        <v>81343183</v>
      </c>
      <c r="E10" s="243">
        <f>D10/D3</f>
        <v>0.69607560587934103</v>
      </c>
    </row>
    <row r="11" spans="3:12">
      <c r="C11" t="s">
        <v>1259</v>
      </c>
      <c r="D11" s="194">
        <f t="shared" ref="D11:D14" si="1">SUM(F4,I4,L4)</f>
        <v>84397385</v>
      </c>
      <c r="E11" s="243">
        <f t="shared" ref="E11:E15" si="2">D11/D4</f>
        <v>0.71077587295919309</v>
      </c>
    </row>
    <row r="12" spans="3:12">
      <c r="C12" t="s">
        <v>1260</v>
      </c>
      <c r="D12" s="194">
        <f t="shared" si="1"/>
        <v>12815818</v>
      </c>
      <c r="E12" s="243">
        <f t="shared" si="2"/>
        <v>0.76921162731263437</v>
      </c>
    </row>
    <row r="13" spans="3:12">
      <c r="C13" t="s">
        <v>1261</v>
      </c>
      <c r="D13" s="194">
        <f t="shared" si="1"/>
        <v>29002181</v>
      </c>
      <c r="E13" s="243">
        <f t="shared" si="2"/>
        <v>0.7492519927312522</v>
      </c>
    </row>
    <row r="14" spans="3:12">
      <c r="C14" t="s">
        <v>1258</v>
      </c>
      <c r="D14" s="194">
        <f t="shared" si="1"/>
        <v>45753722</v>
      </c>
      <c r="E14" s="243">
        <f t="shared" si="2"/>
        <v>0.53376986362116952</v>
      </c>
    </row>
    <row r="15" spans="3:12">
      <c r="D15" s="194">
        <f>SUM(D10:D14)</f>
        <v>253312289</v>
      </c>
      <c r="E15" s="243">
        <f t="shared" si="2"/>
        <v>0.67247469636054757</v>
      </c>
    </row>
  </sheetData>
  <mergeCells count="3">
    <mergeCell ref="E1:F1"/>
    <mergeCell ref="H1:I1"/>
    <mergeCell ref="K1:L1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topLeftCell="A35" workbookViewId="0">
      <selection activeCell="D73" sqref="D73"/>
    </sheetView>
  </sheetViews>
  <sheetFormatPr defaultRowHeight="15"/>
  <cols>
    <col min="1" max="1" width="18.85546875" customWidth="1"/>
    <col min="2" max="2" width="14.28515625" bestFit="1" customWidth="1"/>
    <col min="3" max="3" width="13.140625" customWidth="1"/>
    <col min="4" max="4" width="13.85546875" customWidth="1"/>
    <col min="5" max="5" width="12" style="1" customWidth="1"/>
    <col min="6" max="6" width="15.28515625" style="1" customWidth="1"/>
    <col min="7" max="7" width="12.5703125" bestFit="1" customWidth="1"/>
    <col min="8" max="8" width="14.28515625" bestFit="1" customWidth="1"/>
    <col min="9" max="9" width="9.140625" style="243"/>
    <col min="10" max="10" width="11" bestFit="1" customWidth="1"/>
  </cols>
  <sheetData>
    <row r="1" spans="1:9">
      <c r="A1" s="9" t="s">
        <v>17</v>
      </c>
      <c r="B1" s="9"/>
      <c r="C1" s="9"/>
      <c r="D1" s="9"/>
      <c r="E1" s="10"/>
      <c r="F1" s="10"/>
    </row>
    <row r="2" spans="1:9">
      <c r="A2" s="9" t="s">
        <v>18</v>
      </c>
      <c r="B2" s="9"/>
      <c r="C2" s="9"/>
      <c r="D2" s="9"/>
      <c r="E2" s="10"/>
      <c r="F2" s="10"/>
    </row>
    <row r="3" spans="1:9">
      <c r="A3" s="9"/>
      <c r="B3" s="9"/>
      <c r="C3" s="9"/>
      <c r="D3" s="9"/>
      <c r="E3" s="10"/>
      <c r="F3" s="10"/>
    </row>
    <row r="4" spans="1:9">
      <c r="A4" s="9"/>
      <c r="B4" s="11" t="s">
        <v>7</v>
      </c>
      <c r="C4" s="11" t="s">
        <v>8</v>
      </c>
      <c r="D4" s="11" t="s">
        <v>19</v>
      </c>
      <c r="E4" s="11" t="s">
        <v>20</v>
      </c>
      <c r="F4" s="11" t="s">
        <v>21</v>
      </c>
    </row>
    <row r="5" spans="1:9">
      <c r="A5" s="9">
        <v>364</v>
      </c>
      <c r="B5" s="12"/>
      <c r="C5" s="12"/>
      <c r="D5" s="12"/>
      <c r="E5" s="12"/>
      <c r="F5" s="12"/>
    </row>
    <row r="6" spans="1:9">
      <c r="A6" s="9" t="s">
        <v>6</v>
      </c>
      <c r="B6" s="48">
        <v>4639020</v>
      </c>
      <c r="C6" s="48">
        <v>3985854</v>
      </c>
      <c r="D6" s="48">
        <f>B6+C6</f>
        <v>8624874</v>
      </c>
      <c r="E6" s="13">
        <f>B6/D6</f>
        <v>0.53786524881406961</v>
      </c>
      <c r="F6" s="13">
        <f>C6/D6</f>
        <v>0.46213475118593039</v>
      </c>
      <c r="G6" s="194">
        <f>SUM(C6:C7)</f>
        <v>4861843</v>
      </c>
      <c r="H6" s="194">
        <f>SUM(D6:D7)</f>
        <v>9851445</v>
      </c>
      <c r="I6" s="243">
        <f>G6/H6</f>
        <v>0.49351572282035783</v>
      </c>
    </row>
    <row r="7" spans="1:9">
      <c r="A7" s="9" t="s">
        <v>9</v>
      </c>
      <c r="B7" s="48">
        <v>350582</v>
      </c>
      <c r="C7" s="48">
        <v>875989</v>
      </c>
      <c r="D7" s="48">
        <f>B7+C7</f>
        <v>1226571</v>
      </c>
      <c r="E7" s="13">
        <f>B7/D7</f>
        <v>0.28582283455258606</v>
      </c>
      <c r="F7" s="13">
        <f>C7/D7</f>
        <v>0.71417716544741394</v>
      </c>
    </row>
    <row r="8" spans="1:9">
      <c r="A8" s="9">
        <v>365</v>
      </c>
      <c r="B8" s="48"/>
      <c r="C8" s="48"/>
      <c r="D8" s="48"/>
      <c r="E8" s="13"/>
      <c r="F8" s="13"/>
    </row>
    <row r="9" spans="1:9">
      <c r="A9" s="9" t="s">
        <v>6</v>
      </c>
      <c r="B9" s="48">
        <v>3035705</v>
      </c>
      <c r="C9" s="48">
        <v>7007244</v>
      </c>
      <c r="D9" s="48">
        <f>B9+C9</f>
        <v>10042949</v>
      </c>
      <c r="E9" s="13">
        <f>B9/D9</f>
        <v>0.30227227082403785</v>
      </c>
      <c r="F9" s="13">
        <f>C9/D9</f>
        <v>0.69772772917596215</v>
      </c>
      <c r="G9" s="194">
        <f>SUM(C9:C10)</f>
        <v>7554954</v>
      </c>
      <c r="H9" s="194">
        <f>SUM(D9:D10)</f>
        <v>10714137</v>
      </c>
      <c r="I9" s="243">
        <f>G9/H9</f>
        <v>0.70513882732692335</v>
      </c>
    </row>
    <row r="10" spans="1:9">
      <c r="A10" s="9" t="s">
        <v>9</v>
      </c>
      <c r="B10" s="48">
        <v>123478</v>
      </c>
      <c r="C10" s="48">
        <v>547710</v>
      </c>
      <c r="D10" s="48">
        <f>SUM(B10:C10)</f>
        <v>671188</v>
      </c>
      <c r="E10" s="13">
        <f>B10/D10</f>
        <v>0.18396932007127662</v>
      </c>
      <c r="F10" s="13">
        <f>C10/D10</f>
        <v>0.81603067992872336</v>
      </c>
    </row>
    <row r="11" spans="1:9">
      <c r="A11" s="9">
        <v>367</v>
      </c>
      <c r="B11" s="48"/>
      <c r="C11" s="48"/>
      <c r="D11" s="48"/>
      <c r="E11" s="13"/>
      <c r="F11" s="13"/>
    </row>
    <row r="12" spans="1:9">
      <c r="A12" s="9" t="s">
        <v>6</v>
      </c>
      <c r="B12" s="48">
        <v>679208</v>
      </c>
      <c r="C12" s="48">
        <v>1831914</v>
      </c>
      <c r="D12" s="48">
        <f>SUM(B12:C12)</f>
        <v>2511122</v>
      </c>
      <c r="E12" s="13">
        <f>B12/D12</f>
        <v>0.2704798890695076</v>
      </c>
      <c r="F12" s="13">
        <f>C12/D12</f>
        <v>0.7295201109304924</v>
      </c>
      <c r="G12" s="194">
        <f>SUM(C12:C13)</f>
        <v>2001938</v>
      </c>
      <c r="H12" s="194">
        <f>SUM(D12:D13)</f>
        <v>2781018</v>
      </c>
      <c r="I12" s="243">
        <f>G12/H12</f>
        <v>0.71985798006341561</v>
      </c>
    </row>
    <row r="13" spans="1:9">
      <c r="A13" s="9" t="s">
        <v>9</v>
      </c>
      <c r="B13" s="48">
        <v>99872</v>
      </c>
      <c r="C13" s="48">
        <v>170024</v>
      </c>
      <c r="D13" s="48">
        <f>SUM(B13:C13)</f>
        <v>269896</v>
      </c>
      <c r="E13" s="13">
        <f>B13/D13</f>
        <v>0.37003882977146751</v>
      </c>
      <c r="F13" s="13">
        <f>C13/D13</f>
        <v>0.62996117022853249</v>
      </c>
    </row>
    <row r="14" spans="1:9">
      <c r="A14" s="9">
        <v>368</v>
      </c>
      <c r="B14" s="48"/>
      <c r="C14" s="48"/>
      <c r="D14" s="48"/>
      <c r="E14" s="13"/>
      <c r="F14" s="13"/>
    </row>
    <row r="15" spans="1:9">
      <c r="A15" s="9"/>
      <c r="B15" s="48">
        <v>1179540</v>
      </c>
      <c r="C15" s="48">
        <v>2142152</v>
      </c>
      <c r="D15" s="48">
        <f>SUM(B15:C15)</f>
        <v>3321692</v>
      </c>
      <c r="E15" s="13">
        <f>B15/D15</f>
        <v>0.35510215877932089</v>
      </c>
      <c r="F15" s="13">
        <f>C15/D15</f>
        <v>0.64489784122067906</v>
      </c>
      <c r="G15" s="194">
        <f>C6+C7+C9+C10+C12+C13+C15</f>
        <v>16560887</v>
      </c>
      <c r="H15" s="194">
        <f>D6+D7+D9+D10+D12+D13+D15+875989+255421+8579+37680+162513+1786+79059+18289+41040</f>
        <v>28148648</v>
      </c>
      <c r="I15" s="243">
        <f>G15/H15</f>
        <v>0.58833685369187183</v>
      </c>
    </row>
    <row r="16" spans="1:9" hidden="1">
      <c r="E16" s="8"/>
      <c r="F16" s="8"/>
    </row>
    <row r="17" spans="1:6" hidden="1">
      <c r="A17" s="17" t="s">
        <v>2</v>
      </c>
      <c r="B17" s="17"/>
      <c r="C17" s="17"/>
      <c r="D17" s="17"/>
      <c r="E17" s="18"/>
      <c r="F17" s="18"/>
    </row>
    <row r="18" spans="1:6" hidden="1">
      <c r="A18" s="17" t="s">
        <v>22</v>
      </c>
      <c r="B18" s="17"/>
      <c r="C18" s="17"/>
      <c r="D18" s="17"/>
      <c r="E18" s="18"/>
      <c r="F18" s="18"/>
    </row>
    <row r="19" spans="1:6" hidden="1">
      <c r="A19" s="17"/>
      <c r="B19" s="17"/>
      <c r="C19" s="17"/>
      <c r="D19" s="17"/>
      <c r="E19" s="18"/>
      <c r="F19" s="18"/>
    </row>
    <row r="20" spans="1:6" hidden="1">
      <c r="A20" s="17"/>
      <c r="B20" s="19" t="s">
        <v>7</v>
      </c>
      <c r="C20" s="19" t="s">
        <v>8</v>
      </c>
      <c r="D20" s="19" t="s">
        <v>19</v>
      </c>
      <c r="E20" s="19" t="s">
        <v>20</v>
      </c>
      <c r="F20" s="19" t="s">
        <v>21</v>
      </c>
    </row>
    <row r="21" spans="1:6" hidden="1">
      <c r="A21" s="17">
        <v>364</v>
      </c>
      <c r="B21" s="17"/>
      <c r="C21" s="17"/>
      <c r="D21" s="17"/>
      <c r="E21" s="18"/>
      <c r="F21" s="18"/>
    </row>
    <row r="22" spans="1:6" hidden="1">
      <c r="A22" s="17" t="s">
        <v>6</v>
      </c>
      <c r="B22" s="17">
        <v>3659</v>
      </c>
      <c r="C22" s="17">
        <v>0</v>
      </c>
      <c r="D22" s="17">
        <f>SUM(B22:C22)</f>
        <v>3659</v>
      </c>
      <c r="E22" s="18">
        <f>B22/D22</f>
        <v>1</v>
      </c>
      <c r="F22" s="18">
        <f>C22/D22</f>
        <v>0</v>
      </c>
    </row>
    <row r="23" spans="1:6" hidden="1">
      <c r="A23" s="17" t="s">
        <v>9</v>
      </c>
      <c r="B23" s="17">
        <v>215527</v>
      </c>
      <c r="C23" s="17">
        <v>0</v>
      </c>
      <c r="D23" s="17">
        <f>SUM(B23:C23)</f>
        <v>215527</v>
      </c>
      <c r="E23" s="18">
        <f>B23/D23</f>
        <v>1</v>
      </c>
      <c r="F23" s="18">
        <f>C23/D23</f>
        <v>0</v>
      </c>
    </row>
    <row r="24" spans="1:6" hidden="1">
      <c r="A24" s="17">
        <v>365</v>
      </c>
      <c r="B24" s="17"/>
      <c r="C24" s="17"/>
      <c r="D24" s="17"/>
      <c r="E24" s="18"/>
      <c r="F24" s="18"/>
    </row>
    <row r="25" spans="1:6" hidden="1">
      <c r="A25" s="17" t="s">
        <v>6</v>
      </c>
      <c r="B25" s="17">
        <v>6806</v>
      </c>
      <c r="C25" s="17">
        <v>0</v>
      </c>
      <c r="D25" s="17">
        <f>SUM(B25:C25)</f>
        <v>6806</v>
      </c>
      <c r="E25" s="18">
        <f>B25/D25</f>
        <v>1</v>
      </c>
      <c r="F25" s="18">
        <f>C25/D25</f>
        <v>0</v>
      </c>
    </row>
    <row r="26" spans="1:6" hidden="1">
      <c r="A26" s="17" t="s">
        <v>9</v>
      </c>
      <c r="B26" s="17">
        <v>205896</v>
      </c>
      <c r="C26" s="17">
        <v>0</v>
      </c>
      <c r="D26" s="17">
        <f>SUM(B26:C26)</f>
        <v>205896</v>
      </c>
      <c r="E26" s="18">
        <f>B26/D26</f>
        <v>1</v>
      </c>
      <c r="F26" s="18">
        <f>C26/D26</f>
        <v>0</v>
      </c>
    </row>
    <row r="27" spans="1:6" hidden="1">
      <c r="A27" s="17">
        <v>366</v>
      </c>
      <c r="B27" s="17"/>
      <c r="C27" s="17"/>
      <c r="D27" s="17"/>
      <c r="E27" s="18"/>
      <c r="F27" s="18"/>
    </row>
    <row r="28" spans="1:6" hidden="1">
      <c r="A28" s="17" t="s">
        <v>6</v>
      </c>
      <c r="B28" s="17">
        <v>1555</v>
      </c>
      <c r="C28" s="17">
        <v>0</v>
      </c>
      <c r="D28" s="17">
        <f>SUM(B28:C28)</f>
        <v>1555</v>
      </c>
      <c r="E28" s="18">
        <f>B28/D28</f>
        <v>1</v>
      </c>
      <c r="F28" s="18">
        <f>C28/D28</f>
        <v>0</v>
      </c>
    </row>
    <row r="29" spans="1:6" hidden="1">
      <c r="A29" s="17" t="s">
        <v>9</v>
      </c>
      <c r="B29" s="17">
        <v>65057</v>
      </c>
      <c r="C29" s="17">
        <v>0</v>
      </c>
      <c r="D29" s="17">
        <f>SUM(B29:C29)</f>
        <v>65057</v>
      </c>
      <c r="E29" s="18">
        <f>B29/D29</f>
        <v>1</v>
      </c>
      <c r="F29" s="18">
        <f>C29/D29</f>
        <v>0</v>
      </c>
    </row>
    <row r="30" spans="1:6" hidden="1">
      <c r="A30" s="17">
        <v>367</v>
      </c>
      <c r="B30" s="17"/>
      <c r="C30" s="17"/>
      <c r="D30" s="17"/>
      <c r="E30" s="18"/>
      <c r="F30" s="18"/>
    </row>
    <row r="31" spans="1:6" hidden="1">
      <c r="A31" s="17" t="s">
        <v>6</v>
      </c>
      <c r="B31" s="17">
        <v>5818</v>
      </c>
      <c r="C31" s="17">
        <v>0</v>
      </c>
      <c r="D31" s="17">
        <f>SUM(B31:C31)</f>
        <v>5818</v>
      </c>
      <c r="E31" s="18">
        <f>B31/D31</f>
        <v>1</v>
      </c>
      <c r="F31" s="18">
        <f>C31/D31</f>
        <v>0</v>
      </c>
    </row>
    <row r="32" spans="1:6" hidden="1">
      <c r="A32" s="17" t="s">
        <v>9</v>
      </c>
      <c r="B32" s="17">
        <v>247124</v>
      </c>
      <c r="C32" s="17">
        <v>0</v>
      </c>
      <c r="D32" s="17">
        <f>SUM(B32:C32)</f>
        <v>247124</v>
      </c>
      <c r="E32" s="18">
        <f>B32/D32</f>
        <v>1</v>
      </c>
      <c r="F32" s="18">
        <f>C32/D32</f>
        <v>0</v>
      </c>
    </row>
    <row r="33" spans="1:9" hidden="1">
      <c r="A33" s="17">
        <v>368</v>
      </c>
      <c r="B33" s="17"/>
      <c r="C33" s="17"/>
      <c r="D33" s="17"/>
      <c r="E33" s="18"/>
      <c r="F33" s="18"/>
    </row>
    <row r="34" spans="1:9" hidden="1">
      <c r="A34" s="17"/>
      <c r="B34" s="17">
        <v>150097</v>
      </c>
      <c r="C34" s="17">
        <v>119862</v>
      </c>
      <c r="D34" s="17">
        <f>SUM(B34:C34)</f>
        <v>269959</v>
      </c>
      <c r="E34" s="18">
        <f>B34/D34</f>
        <v>0.5559992443296945</v>
      </c>
      <c r="F34" s="18">
        <f>C34/D34</f>
        <v>0.4440007556703055</v>
      </c>
    </row>
    <row r="35" spans="1:9">
      <c r="E35" s="8"/>
      <c r="F35" s="8"/>
    </row>
    <row r="36" spans="1:9">
      <c r="A36" s="20" t="s">
        <v>23</v>
      </c>
      <c r="B36" s="20"/>
      <c r="C36" s="20"/>
      <c r="D36" s="20"/>
      <c r="E36" s="21"/>
      <c r="F36" s="21"/>
    </row>
    <row r="37" spans="1:9">
      <c r="A37" s="20" t="s">
        <v>24</v>
      </c>
      <c r="B37" s="20"/>
      <c r="C37" s="20"/>
      <c r="D37" s="20"/>
      <c r="E37" s="21"/>
      <c r="F37" s="21"/>
    </row>
    <row r="38" spans="1:9">
      <c r="A38" s="20"/>
      <c r="B38" s="22" t="s">
        <v>7</v>
      </c>
      <c r="C38" s="22" t="s">
        <v>8</v>
      </c>
      <c r="D38" s="22" t="s">
        <v>19</v>
      </c>
      <c r="E38" s="22" t="s">
        <v>20</v>
      </c>
      <c r="F38" s="22" t="s">
        <v>21</v>
      </c>
    </row>
    <row r="39" spans="1:9">
      <c r="A39" s="23" t="s">
        <v>25</v>
      </c>
      <c r="B39" s="20"/>
      <c r="C39" s="20"/>
      <c r="D39" s="20"/>
      <c r="E39" s="21"/>
      <c r="F39" s="21"/>
    </row>
    <row r="40" spans="1:9">
      <c r="A40" s="20" t="s">
        <v>6</v>
      </c>
      <c r="B40" s="45">
        <v>65915008</v>
      </c>
      <c r="C40" s="45">
        <v>246759476</v>
      </c>
      <c r="D40" s="45">
        <f>SUM(B40:C40)</f>
        <v>312674484</v>
      </c>
      <c r="E40" s="24">
        <f>B40/D40</f>
        <v>0.21081031991085017</v>
      </c>
      <c r="F40" s="24">
        <f>C40/D40</f>
        <v>0.7891896800891498</v>
      </c>
      <c r="G40" s="194">
        <f>SUM(C40:C41)</f>
        <v>302836809</v>
      </c>
      <c r="H40" s="194">
        <f>SUM(D40:D41)</f>
        <v>383731334</v>
      </c>
      <c r="I40" s="243">
        <f>G40/H40</f>
        <v>0.78918968081975815</v>
      </c>
    </row>
    <row r="41" spans="1:9">
      <c r="A41" s="20" t="s">
        <v>9</v>
      </c>
      <c r="B41" s="45">
        <v>14979517</v>
      </c>
      <c r="C41" s="45">
        <v>56077333</v>
      </c>
      <c r="D41" s="45">
        <f>SUM(B41:C41)</f>
        <v>71056850</v>
      </c>
      <c r="E41" s="24">
        <f>B41/D41</f>
        <v>0.2108103159653151</v>
      </c>
      <c r="F41" s="24">
        <f>C41/D41</f>
        <v>0.78918968403468492</v>
      </c>
    </row>
    <row r="42" spans="1:9">
      <c r="A42" s="23" t="s">
        <v>26</v>
      </c>
      <c r="B42" s="45"/>
      <c r="C42" s="45"/>
      <c r="D42" s="45"/>
      <c r="E42" s="24"/>
      <c r="F42" s="24"/>
    </row>
    <row r="43" spans="1:9">
      <c r="A43" s="20" t="s">
        <v>6</v>
      </c>
      <c r="B43" s="45">
        <v>14873679</v>
      </c>
      <c r="C43" s="45">
        <v>55681115</v>
      </c>
      <c r="D43" s="45">
        <f>SUM(B43:C43)</f>
        <v>70554794</v>
      </c>
      <c r="E43" s="24">
        <f>B43/D43</f>
        <v>0.21081032424246041</v>
      </c>
      <c r="F43" s="24">
        <f>C43/D43</f>
        <v>0.78918967575753962</v>
      </c>
      <c r="G43" s="194">
        <f>SUM(C43:C44)</f>
        <v>68334929</v>
      </c>
      <c r="H43" s="194">
        <f>SUM(D43:D44)</f>
        <v>86588726</v>
      </c>
      <c r="I43" s="243">
        <f>G43/H43</f>
        <v>0.78918968042098225</v>
      </c>
    </row>
    <row r="44" spans="1:9">
      <c r="A44" s="20" t="s">
        <v>9</v>
      </c>
      <c r="B44" s="45">
        <v>3380118</v>
      </c>
      <c r="C44" s="45">
        <v>12653814</v>
      </c>
      <c r="D44" s="45">
        <f>SUM(B44:C44)</f>
        <v>16033932</v>
      </c>
      <c r="E44" s="24">
        <f>B44/D44</f>
        <v>0.21081029905827217</v>
      </c>
      <c r="F44" s="24">
        <f>C44/D44</f>
        <v>0.7891897009417278</v>
      </c>
    </row>
    <row r="45" spans="1:9">
      <c r="A45" s="20">
        <v>368</v>
      </c>
      <c r="B45" s="45">
        <f>2800333+119896161</f>
        <v>122696494</v>
      </c>
      <c r="C45" s="45">
        <f>2572520+110142357</f>
        <v>112714877</v>
      </c>
      <c r="D45" s="45">
        <f>SUM(A45:C45)</f>
        <v>235411739</v>
      </c>
      <c r="E45" s="24">
        <f>B45/D45</f>
        <v>0.52119955666272022</v>
      </c>
      <c r="F45" s="24">
        <f>C45/D45</f>
        <v>0.4787988801187183</v>
      </c>
      <c r="G45" s="194">
        <f>C40+C41+C43+C44+C45</f>
        <v>483886615</v>
      </c>
      <c r="H45" s="194">
        <f>D40+D41+D43+D44+D45</f>
        <v>705731799</v>
      </c>
      <c r="I45" s="243">
        <f>G45/H45</f>
        <v>0.68565227709117293</v>
      </c>
    </row>
    <row r="46" spans="1:9">
      <c r="E46" s="8"/>
      <c r="F46" s="8"/>
    </row>
    <row r="47" spans="1:9">
      <c r="A47" s="14" t="s">
        <v>27</v>
      </c>
      <c r="B47" s="14"/>
      <c r="C47" s="14"/>
      <c r="D47" s="14"/>
      <c r="E47" s="15"/>
      <c r="F47" s="15"/>
    </row>
    <row r="48" spans="1:9">
      <c r="A48" s="14" t="s">
        <v>28</v>
      </c>
      <c r="B48" s="14"/>
      <c r="C48" s="14"/>
      <c r="D48" s="14"/>
      <c r="E48" s="15"/>
      <c r="F48" s="15"/>
    </row>
    <row r="49" spans="1:9">
      <c r="A49" s="14"/>
      <c r="B49" s="16" t="s">
        <v>7</v>
      </c>
      <c r="C49" s="16" t="s">
        <v>8</v>
      </c>
      <c r="D49" s="16" t="s">
        <v>19</v>
      </c>
      <c r="E49" s="16" t="s">
        <v>20</v>
      </c>
      <c r="F49" s="16" t="s">
        <v>21</v>
      </c>
    </row>
    <row r="50" spans="1:9">
      <c r="A50" s="28" t="s">
        <v>25</v>
      </c>
      <c r="B50" s="14"/>
      <c r="C50" s="14"/>
      <c r="D50" s="14"/>
      <c r="E50" s="15"/>
      <c r="F50" s="15"/>
    </row>
    <row r="51" spans="1:9">
      <c r="A51" s="14" t="s">
        <v>6</v>
      </c>
      <c r="B51" s="46">
        <v>93716003</v>
      </c>
      <c r="C51" s="46">
        <v>143885858</v>
      </c>
      <c r="D51" s="45">
        <f>SUM(B51:C51)</f>
        <v>237601861</v>
      </c>
      <c r="E51" s="24">
        <f>B51/D51</f>
        <v>0.39442453272703953</v>
      </c>
      <c r="F51" s="24">
        <f>C51/D51</f>
        <v>0.60557546727296041</v>
      </c>
      <c r="G51" s="194">
        <f>SUM(C51:C52)</f>
        <v>174920539</v>
      </c>
      <c r="H51" s="194">
        <f>SUM(D51:D52)</f>
        <v>288850107</v>
      </c>
      <c r="I51" s="243">
        <f>G51/H51</f>
        <v>0.6055754689403664</v>
      </c>
    </row>
    <row r="52" spans="1:9">
      <c r="A52" s="14" t="s">
        <v>9</v>
      </c>
      <c r="B52" s="46">
        <v>20213565</v>
      </c>
      <c r="C52" s="46">
        <v>31034681</v>
      </c>
      <c r="D52" s="45">
        <f>SUM(B52:C52)</f>
        <v>51248246</v>
      </c>
      <c r="E52" s="24">
        <f>B52/D52</f>
        <v>0.39442452332905209</v>
      </c>
      <c r="F52" s="24">
        <f>C52/D52</f>
        <v>0.60557547667094791</v>
      </c>
    </row>
    <row r="53" spans="1:9">
      <c r="A53" s="28" t="s">
        <v>26</v>
      </c>
      <c r="B53" s="46"/>
      <c r="C53" s="46"/>
      <c r="D53" s="46"/>
      <c r="E53" s="15"/>
      <c r="F53" s="15"/>
    </row>
    <row r="54" spans="1:9">
      <c r="A54" s="14" t="s">
        <v>6</v>
      </c>
      <c r="B54" s="46">
        <v>46309184</v>
      </c>
      <c r="C54" s="46">
        <v>77668823</v>
      </c>
      <c r="D54" s="45">
        <f>SUM(B54:C54)</f>
        <v>123978007</v>
      </c>
      <c r="E54" s="24">
        <f>B54/D54</f>
        <v>0.37352741119640681</v>
      </c>
      <c r="F54" s="24">
        <f>C54/D54</f>
        <v>0.62647258880359324</v>
      </c>
      <c r="G54" s="194">
        <f>SUM(C54:C55)</f>
        <v>98920534</v>
      </c>
      <c r="H54" s="194">
        <f>SUM(D54:D55)</f>
        <v>157900818</v>
      </c>
      <c r="I54" s="243">
        <f>G54/H54</f>
        <v>0.62647258736810341</v>
      </c>
    </row>
    <row r="55" spans="1:9">
      <c r="A55" s="14" t="s">
        <v>9</v>
      </c>
      <c r="B55" s="46">
        <v>12671100</v>
      </c>
      <c r="C55" s="46">
        <v>21251711</v>
      </c>
      <c r="D55" s="45">
        <f>SUM(B55:C55)</f>
        <v>33922811</v>
      </c>
      <c r="E55" s="24">
        <f>B55/D55</f>
        <v>0.3735274178781941</v>
      </c>
      <c r="F55" s="24">
        <f>C55/D55</f>
        <v>0.6264725821218059</v>
      </c>
    </row>
    <row r="56" spans="1:9">
      <c r="A56" s="14">
        <v>368</v>
      </c>
      <c r="B56" s="46">
        <v>55594604</v>
      </c>
      <c r="C56" s="46">
        <v>52883409</v>
      </c>
      <c r="D56" s="46">
        <f>SUM(B56:C56)</f>
        <v>108478013</v>
      </c>
      <c r="E56" s="15">
        <f>B56/D56</f>
        <v>0.51249651853412914</v>
      </c>
      <c r="F56" s="15">
        <f>C56/D56</f>
        <v>0.48750348146587086</v>
      </c>
      <c r="G56" s="194">
        <f>C51+C52+C54+C55+C56</f>
        <v>326724482</v>
      </c>
      <c r="H56" s="194">
        <f>D51+D52+D54+D55+D56</f>
        <v>555228938</v>
      </c>
      <c r="I56" s="243">
        <f>G56/H56</f>
        <v>0.58845002419524461</v>
      </c>
    </row>
    <row r="58" spans="1:9">
      <c r="A58" s="25" t="s">
        <v>5</v>
      </c>
      <c r="B58" s="25"/>
      <c r="C58" s="25"/>
      <c r="D58" s="25"/>
      <c r="E58" s="29"/>
      <c r="F58" s="29"/>
    </row>
    <row r="59" spans="1:9">
      <c r="A59" s="25" t="s">
        <v>29</v>
      </c>
      <c r="B59" s="25"/>
      <c r="C59" s="25"/>
      <c r="D59" s="25"/>
      <c r="E59" s="29"/>
      <c r="F59" s="29"/>
    </row>
    <row r="60" spans="1:9">
      <c r="A60" s="25"/>
      <c r="B60" s="27" t="s">
        <v>7</v>
      </c>
      <c r="C60" s="27" t="s">
        <v>8</v>
      </c>
      <c r="D60" s="27" t="s">
        <v>19</v>
      </c>
      <c r="E60" s="27" t="s">
        <v>20</v>
      </c>
      <c r="F60" s="27" t="s">
        <v>21</v>
      </c>
    </row>
    <row r="61" spans="1:9">
      <c r="A61" s="25">
        <v>364</v>
      </c>
      <c r="B61" s="25"/>
      <c r="C61" s="25"/>
      <c r="D61" s="25"/>
      <c r="E61" s="29"/>
      <c r="F61" s="29"/>
    </row>
    <row r="62" spans="1:9">
      <c r="A62" s="25" t="s">
        <v>6</v>
      </c>
      <c r="B62" s="47">
        <v>141467666</v>
      </c>
      <c r="C62" s="47">
        <v>120108917</v>
      </c>
      <c r="D62" s="47">
        <f>SUM(B62:C62)</f>
        <v>261576583</v>
      </c>
      <c r="E62" s="26">
        <f>B62/D62</f>
        <v>0.54082695162357097</v>
      </c>
      <c r="F62" s="26">
        <f>C62/D62</f>
        <v>0.45917304837642903</v>
      </c>
      <c r="G62" s="194">
        <f>SUM(C62:C63)</f>
        <v>221066880</v>
      </c>
      <c r="H62" s="194">
        <f>SUM(D62:D63)</f>
        <v>494783076</v>
      </c>
      <c r="I62" s="243">
        <f>G62/H62</f>
        <v>0.44679555692806278</v>
      </c>
    </row>
    <row r="63" spans="1:9">
      <c r="A63" s="25" t="s">
        <v>9</v>
      </c>
      <c r="B63" s="47">
        <v>132248530</v>
      </c>
      <c r="C63" s="47">
        <v>100957963</v>
      </c>
      <c r="D63" s="47">
        <f>SUM(B63:C63)</f>
        <v>233206493</v>
      </c>
      <c r="E63" s="26">
        <f>B63/D63</f>
        <v>0.56708768396084064</v>
      </c>
      <c r="F63" s="26">
        <f>C63/D63</f>
        <v>0.43291231603915936</v>
      </c>
    </row>
    <row r="64" spans="1:9">
      <c r="A64" s="25">
        <v>365</v>
      </c>
      <c r="B64" s="47"/>
      <c r="C64" s="47"/>
      <c r="D64" s="47"/>
      <c r="E64" s="26"/>
      <c r="F64" s="26"/>
    </row>
    <row r="65" spans="1:10">
      <c r="A65" s="25" t="s">
        <v>6</v>
      </c>
      <c r="B65" s="47">
        <v>262417396</v>
      </c>
      <c r="C65" s="47">
        <v>79299441</v>
      </c>
      <c r="D65" s="47">
        <f>SUM(B65:C65)</f>
        <v>341716837</v>
      </c>
      <c r="E65" s="26">
        <f>B65/D65</f>
        <v>0.76793815108384611</v>
      </c>
      <c r="F65" s="26">
        <f>C65/D65</f>
        <v>0.23206184891615395</v>
      </c>
      <c r="G65" s="194">
        <f>SUM(C65:C66)</f>
        <v>142650678</v>
      </c>
      <c r="H65" s="194">
        <f>SUM(D65:D66)</f>
        <v>729972129</v>
      </c>
      <c r="I65" s="243">
        <f>G65/H65</f>
        <v>0.1954193486748862</v>
      </c>
    </row>
    <row r="66" spans="1:10">
      <c r="A66" s="25" t="s">
        <v>9</v>
      </c>
      <c r="B66" s="47">
        <v>324904055</v>
      </c>
      <c r="C66" s="47">
        <v>63351237</v>
      </c>
      <c r="D66" s="47">
        <f>SUM(B66:C66)</f>
        <v>388255292</v>
      </c>
      <c r="E66" s="26">
        <f>B66/D66</f>
        <v>0.83683097615060964</v>
      </c>
      <c r="F66" s="26">
        <f>C66/D66</f>
        <v>0.1631690238493903</v>
      </c>
      <c r="J66" s="7"/>
    </row>
    <row r="67" spans="1:10">
      <c r="A67" s="25">
        <v>366</v>
      </c>
      <c r="B67" s="47"/>
      <c r="C67" s="47"/>
      <c r="D67" s="47"/>
      <c r="E67" s="26"/>
      <c r="F67" s="26"/>
    </row>
    <row r="68" spans="1:10">
      <c r="A68" s="25" t="s">
        <v>6</v>
      </c>
      <c r="B68" s="47">
        <v>176552749</v>
      </c>
      <c r="C68" s="47">
        <v>36856168</v>
      </c>
      <c r="D68" s="47">
        <f>SUM(B68:C68)</f>
        <v>213408917</v>
      </c>
      <c r="E68" s="26">
        <f>B68/D68</f>
        <v>0.82729790058397612</v>
      </c>
      <c r="F68" s="26">
        <f>C68/D68</f>
        <v>0.17270209941602394</v>
      </c>
    </row>
    <row r="69" spans="1:10">
      <c r="A69" s="25" t="s">
        <v>9</v>
      </c>
      <c r="B69" s="47"/>
      <c r="C69" s="47"/>
      <c r="D69" s="47"/>
      <c r="E69" s="26"/>
      <c r="F69" s="26"/>
    </row>
    <row r="70" spans="1:10">
      <c r="A70" s="25">
        <v>367</v>
      </c>
      <c r="B70" s="47"/>
      <c r="C70" s="47"/>
      <c r="D70" s="47"/>
      <c r="E70" s="26"/>
      <c r="F70" s="26"/>
    </row>
    <row r="71" spans="1:10">
      <c r="A71" s="25" t="s">
        <v>6</v>
      </c>
      <c r="B71" s="47">
        <v>1322875809</v>
      </c>
      <c r="C71" s="47">
        <v>276156181</v>
      </c>
      <c r="D71" s="47">
        <f>SUM(B71:C71)</f>
        <v>1599031990</v>
      </c>
      <c r="E71" s="26">
        <f>B71/D71</f>
        <v>0.82729790102573242</v>
      </c>
      <c r="F71" s="26">
        <f>C71/D71</f>
        <v>0.17270209897426755</v>
      </c>
    </row>
    <row r="72" spans="1:10">
      <c r="A72" s="25" t="s">
        <v>9</v>
      </c>
      <c r="B72" s="47"/>
      <c r="C72" s="47"/>
      <c r="D72" s="47"/>
      <c r="E72" s="26"/>
      <c r="F72" s="26"/>
    </row>
    <row r="73" spans="1:10">
      <c r="A73" s="25">
        <v>368</v>
      </c>
      <c r="B73" s="47">
        <v>930310929</v>
      </c>
      <c r="C73" s="47">
        <v>104339340</v>
      </c>
      <c r="D73" s="47">
        <f>SUM(B73:C73)</f>
        <v>1034650269</v>
      </c>
      <c r="E73" s="26">
        <f>B73/D73</f>
        <v>0.89915496750332358</v>
      </c>
      <c r="F73" s="26">
        <f>C73/D73</f>
        <v>0.10084503249667642</v>
      </c>
      <c r="G73" s="194">
        <f>C62+C63+C65+C66+C68+C71+C73</f>
        <v>781069247</v>
      </c>
      <c r="H73" s="194">
        <f>D62+D63+D65+D66+D68+D71+D73</f>
        <v>4071846381</v>
      </c>
      <c r="I73" s="243">
        <f>G73/H73</f>
        <v>0.19182188469698067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workbookViewId="0">
      <selection activeCell="N10" sqref="N10"/>
    </sheetView>
  </sheetViews>
  <sheetFormatPr defaultRowHeight="15"/>
  <cols>
    <col min="1" max="1" width="13.7109375" customWidth="1"/>
    <col min="2" max="2" width="1.42578125" customWidth="1"/>
    <col min="3" max="3" width="24.140625" customWidth="1"/>
    <col min="4" max="4" width="2.42578125" customWidth="1"/>
    <col min="6" max="6" width="11.85546875" style="7" customWidth="1"/>
    <col min="7" max="7" width="0" hidden="1" customWidth="1"/>
    <col min="8" max="8" width="11.28515625" hidden="1" customWidth="1"/>
    <col min="12" max="12" width="10.7109375" customWidth="1"/>
    <col min="14" max="14" width="12.140625" customWidth="1"/>
  </cols>
  <sheetData>
    <row r="1" spans="1:14">
      <c r="A1" t="s">
        <v>35</v>
      </c>
    </row>
    <row r="2" spans="1:14">
      <c r="A2" t="s">
        <v>36</v>
      </c>
    </row>
    <row r="4" spans="1:14">
      <c r="A4" s="2" t="s">
        <v>10</v>
      </c>
      <c r="B4" s="2"/>
      <c r="C4" s="2" t="s">
        <v>0</v>
      </c>
      <c r="D4" s="2"/>
      <c r="E4" s="2" t="s">
        <v>1</v>
      </c>
      <c r="F4" s="30" t="s">
        <v>30</v>
      </c>
      <c r="G4" s="2" t="s">
        <v>2</v>
      </c>
      <c r="H4" s="34" t="s">
        <v>31</v>
      </c>
      <c r="I4" s="2" t="s">
        <v>3</v>
      </c>
      <c r="J4" s="34" t="s">
        <v>32</v>
      </c>
      <c r="K4" s="2" t="s">
        <v>4</v>
      </c>
      <c r="L4" s="34" t="s">
        <v>33</v>
      </c>
      <c r="M4" s="2" t="s">
        <v>5</v>
      </c>
      <c r="N4" s="35" t="s">
        <v>34</v>
      </c>
    </row>
    <row r="5" spans="1:14">
      <c r="A5" s="4"/>
      <c r="B5" s="4"/>
      <c r="C5" s="4"/>
      <c r="D5" s="4"/>
      <c r="E5" s="4"/>
      <c r="F5" s="31"/>
      <c r="G5" s="4"/>
      <c r="H5" s="35"/>
      <c r="I5" s="4"/>
      <c r="J5" s="35"/>
      <c r="K5" s="4"/>
      <c r="L5" s="35"/>
      <c r="M5" s="4"/>
      <c r="N5" s="9"/>
    </row>
    <row r="6" spans="1:14">
      <c r="A6" s="5">
        <v>364</v>
      </c>
      <c r="B6" s="5"/>
      <c r="C6" s="6" t="s">
        <v>11</v>
      </c>
      <c r="F6" s="32"/>
      <c r="H6" s="9"/>
      <c r="J6" s="9"/>
      <c r="L6" s="9"/>
      <c r="N6" s="9"/>
    </row>
    <row r="7" spans="1:14">
      <c r="A7" t="s">
        <v>6</v>
      </c>
      <c r="C7" t="s">
        <v>7</v>
      </c>
      <c r="E7">
        <v>53.8</v>
      </c>
      <c r="F7" s="13">
        <v>0.53790000000000004</v>
      </c>
      <c r="G7">
        <v>100</v>
      </c>
      <c r="H7" s="13">
        <v>1</v>
      </c>
      <c r="I7">
        <v>21.1</v>
      </c>
      <c r="J7" s="13"/>
      <c r="K7">
        <v>39.4</v>
      </c>
      <c r="L7" s="9"/>
      <c r="M7">
        <v>41.7</v>
      </c>
      <c r="N7" s="13">
        <v>0.54079999999999995</v>
      </c>
    </row>
    <row r="8" spans="1:14">
      <c r="C8" t="s">
        <v>8</v>
      </c>
      <c r="E8">
        <v>46.2</v>
      </c>
      <c r="F8" s="13">
        <v>0.46210000000000001</v>
      </c>
      <c r="G8">
        <v>0</v>
      </c>
      <c r="H8" s="13">
        <v>0</v>
      </c>
      <c r="I8">
        <v>78.900000000000006</v>
      </c>
      <c r="J8" s="13"/>
      <c r="K8">
        <v>60.6</v>
      </c>
      <c r="L8" s="9"/>
      <c r="M8">
        <v>58.3</v>
      </c>
      <c r="N8" s="13">
        <v>0.4592</v>
      </c>
    </row>
    <row r="9" spans="1:14">
      <c r="A9" t="s">
        <v>9</v>
      </c>
      <c r="C9" t="s">
        <v>7</v>
      </c>
      <c r="E9">
        <v>28.6</v>
      </c>
      <c r="F9" s="13">
        <v>0.2858</v>
      </c>
      <c r="G9">
        <v>100</v>
      </c>
      <c r="H9" s="13">
        <v>1</v>
      </c>
      <c r="I9">
        <v>21.1</v>
      </c>
      <c r="J9" s="13">
        <v>0.21079999999999999</v>
      </c>
      <c r="K9">
        <v>39.4</v>
      </c>
      <c r="L9" s="9"/>
      <c r="M9">
        <v>52.7</v>
      </c>
      <c r="N9" s="13">
        <v>0.56710000000000005</v>
      </c>
    </row>
    <row r="10" spans="1:14">
      <c r="C10" t="s">
        <v>8</v>
      </c>
      <c r="E10">
        <v>71.400000000000006</v>
      </c>
      <c r="F10" s="13">
        <v>0.71419999999999995</v>
      </c>
      <c r="G10">
        <v>0</v>
      </c>
      <c r="H10" s="13">
        <v>0</v>
      </c>
      <c r="I10">
        <v>78.900000000000006</v>
      </c>
      <c r="J10" s="13">
        <v>0.78920000000000001</v>
      </c>
      <c r="K10">
        <v>60.6</v>
      </c>
      <c r="L10" s="9"/>
      <c r="M10">
        <v>47.3</v>
      </c>
      <c r="N10" s="13">
        <v>0.43290000000000001</v>
      </c>
    </row>
    <row r="11" spans="1:14">
      <c r="A11" s="3"/>
      <c r="B11" s="3"/>
      <c r="C11" s="3"/>
      <c r="D11" s="3"/>
      <c r="E11" s="3"/>
      <c r="F11" s="33"/>
      <c r="G11" s="3"/>
      <c r="H11" s="33"/>
      <c r="I11" s="3"/>
      <c r="J11" s="36"/>
      <c r="K11" s="3"/>
      <c r="L11" s="36"/>
      <c r="M11" s="3"/>
      <c r="N11" s="13"/>
    </row>
    <row r="12" spans="1:14">
      <c r="A12" s="5">
        <v>365</v>
      </c>
      <c r="B12" s="5"/>
      <c r="C12" s="6" t="s">
        <v>12</v>
      </c>
      <c r="F12" s="13"/>
      <c r="H12" s="13"/>
      <c r="J12" s="9"/>
      <c r="L12" s="9"/>
      <c r="N12" s="13"/>
    </row>
    <row r="13" spans="1:14">
      <c r="A13" t="s">
        <v>6</v>
      </c>
      <c r="C13" t="s">
        <v>7</v>
      </c>
      <c r="E13">
        <v>30.2</v>
      </c>
      <c r="F13" s="13">
        <v>0.30230000000000001</v>
      </c>
      <c r="G13">
        <v>100</v>
      </c>
      <c r="H13" s="13">
        <v>1</v>
      </c>
      <c r="I13">
        <v>21.1</v>
      </c>
      <c r="J13" s="13"/>
      <c r="K13">
        <v>39.4</v>
      </c>
      <c r="L13" s="9"/>
      <c r="M13">
        <v>66.8</v>
      </c>
      <c r="N13" s="13">
        <v>0.76790000000000003</v>
      </c>
    </row>
    <row r="14" spans="1:14">
      <c r="C14" t="s">
        <v>8</v>
      </c>
      <c r="E14">
        <v>69.8</v>
      </c>
      <c r="F14" s="13">
        <v>0.69769999999999999</v>
      </c>
      <c r="G14">
        <v>0</v>
      </c>
      <c r="H14" s="13">
        <v>0</v>
      </c>
      <c r="I14">
        <v>78.900000000000006</v>
      </c>
      <c r="J14" s="13"/>
      <c r="K14">
        <v>60.6</v>
      </c>
      <c r="L14" s="9"/>
      <c r="M14">
        <v>33.200000000000003</v>
      </c>
      <c r="N14" s="13">
        <v>0.2321</v>
      </c>
    </row>
    <row r="15" spans="1:14">
      <c r="A15" t="s">
        <v>9</v>
      </c>
      <c r="C15" t="s">
        <v>7</v>
      </c>
      <c r="E15">
        <v>18.399999999999999</v>
      </c>
      <c r="F15" s="13">
        <v>0.184</v>
      </c>
      <c r="G15">
        <v>100</v>
      </c>
      <c r="H15" s="13">
        <v>1</v>
      </c>
      <c r="I15">
        <v>21.1</v>
      </c>
      <c r="J15" s="13">
        <f>J9</f>
        <v>0.21079999999999999</v>
      </c>
      <c r="K15">
        <v>39.4</v>
      </c>
      <c r="L15" s="9"/>
      <c r="M15">
        <v>81.400000000000006</v>
      </c>
      <c r="N15" s="13">
        <v>0.83679999999999999</v>
      </c>
    </row>
    <row r="16" spans="1:14">
      <c r="C16" t="s">
        <v>8</v>
      </c>
      <c r="E16">
        <v>81.599999999999994</v>
      </c>
      <c r="F16" s="13">
        <v>0.81599999999999995</v>
      </c>
      <c r="G16">
        <v>0</v>
      </c>
      <c r="H16" s="13">
        <v>0</v>
      </c>
      <c r="I16">
        <v>78.900000000000006</v>
      </c>
      <c r="J16" s="13">
        <f>J10</f>
        <v>0.78920000000000001</v>
      </c>
      <c r="K16">
        <v>60.6</v>
      </c>
      <c r="L16" s="9"/>
      <c r="M16">
        <v>18.600000000000001</v>
      </c>
      <c r="N16" s="13">
        <v>0.16200000000000001</v>
      </c>
    </row>
    <row r="17" spans="1:14">
      <c r="A17" s="3"/>
      <c r="B17" s="3"/>
      <c r="C17" s="3"/>
      <c r="D17" s="3"/>
      <c r="E17" s="3"/>
      <c r="F17" s="33"/>
      <c r="G17" s="3"/>
      <c r="H17" s="33"/>
      <c r="I17" s="3"/>
      <c r="J17" s="36"/>
      <c r="K17" s="3"/>
      <c r="L17" s="36"/>
      <c r="M17" s="3"/>
      <c r="N17" s="13"/>
    </row>
    <row r="18" spans="1:14">
      <c r="A18" s="5">
        <v>366</v>
      </c>
      <c r="B18" s="5"/>
      <c r="C18" s="6" t="s">
        <v>13</v>
      </c>
      <c r="F18" s="13"/>
      <c r="H18" s="13"/>
      <c r="J18" s="9"/>
      <c r="L18" s="9"/>
      <c r="N18" s="13"/>
    </row>
    <row r="19" spans="1:14">
      <c r="A19" t="s">
        <v>6</v>
      </c>
      <c r="C19" t="s">
        <v>7</v>
      </c>
      <c r="E19">
        <v>100</v>
      </c>
      <c r="F19" s="13"/>
      <c r="G19">
        <v>100</v>
      </c>
      <c r="H19" s="13">
        <v>1</v>
      </c>
      <c r="I19">
        <v>27.9</v>
      </c>
      <c r="K19">
        <v>37.4</v>
      </c>
      <c r="L19" s="9"/>
      <c r="M19">
        <v>73.7</v>
      </c>
      <c r="N19" s="13">
        <v>0.82730000000000004</v>
      </c>
    </row>
    <row r="20" spans="1:14">
      <c r="C20" t="s">
        <v>8</v>
      </c>
      <c r="E20">
        <v>0</v>
      </c>
      <c r="F20" s="13"/>
      <c r="G20">
        <v>0</v>
      </c>
      <c r="H20" s="13">
        <v>0</v>
      </c>
      <c r="I20">
        <v>72.099999999999994</v>
      </c>
      <c r="K20">
        <v>62.6</v>
      </c>
      <c r="L20" s="9"/>
      <c r="M20">
        <v>26.3</v>
      </c>
      <c r="N20" s="13">
        <v>0.17269999999999999</v>
      </c>
    </row>
    <row r="21" spans="1:14">
      <c r="A21" t="s">
        <v>9</v>
      </c>
      <c r="C21" t="s">
        <v>7</v>
      </c>
      <c r="E21">
        <v>100</v>
      </c>
      <c r="F21" s="13"/>
      <c r="G21">
        <v>100</v>
      </c>
      <c r="H21" s="13">
        <v>1</v>
      </c>
      <c r="I21">
        <v>27.9</v>
      </c>
      <c r="J21" s="13">
        <v>0.21079999999999999</v>
      </c>
      <c r="K21">
        <v>37.4</v>
      </c>
      <c r="L21" s="9"/>
      <c r="M21">
        <v>73.7</v>
      </c>
      <c r="N21" s="13"/>
    </row>
    <row r="22" spans="1:14">
      <c r="C22" t="s">
        <v>8</v>
      </c>
      <c r="E22">
        <v>0</v>
      </c>
      <c r="F22" s="13"/>
      <c r="G22">
        <v>0</v>
      </c>
      <c r="H22" s="13">
        <v>0</v>
      </c>
      <c r="I22">
        <v>72.099999999999994</v>
      </c>
      <c r="J22" s="13">
        <v>0.78920000000000001</v>
      </c>
      <c r="K22">
        <v>62.6</v>
      </c>
      <c r="L22" s="9"/>
      <c r="M22">
        <v>26.3</v>
      </c>
      <c r="N22" s="13"/>
    </row>
    <row r="23" spans="1:14">
      <c r="A23" t="s">
        <v>16</v>
      </c>
      <c r="C23" t="s">
        <v>7</v>
      </c>
      <c r="E23">
        <v>100</v>
      </c>
      <c r="F23" s="13"/>
      <c r="H23" s="13"/>
      <c r="J23" s="9"/>
      <c r="L23" s="9"/>
      <c r="M23">
        <v>73.7</v>
      </c>
      <c r="N23" s="13"/>
    </row>
    <row r="24" spans="1:14">
      <c r="C24" t="s">
        <v>8</v>
      </c>
      <c r="E24">
        <v>0</v>
      </c>
      <c r="F24" s="13"/>
      <c r="H24" s="13"/>
      <c r="J24" s="9"/>
      <c r="L24" s="9"/>
      <c r="M24">
        <v>26.3</v>
      </c>
      <c r="N24" s="13"/>
    </row>
    <row r="25" spans="1:14">
      <c r="A25" s="3"/>
      <c r="B25" s="3"/>
      <c r="C25" s="3"/>
      <c r="D25" s="3"/>
      <c r="E25" s="3"/>
      <c r="F25" s="33"/>
      <c r="G25" s="3"/>
      <c r="H25" s="33"/>
      <c r="I25" s="3"/>
      <c r="J25" s="36"/>
      <c r="K25" s="3"/>
      <c r="L25" s="36"/>
      <c r="M25" s="3"/>
      <c r="N25" s="13"/>
    </row>
    <row r="26" spans="1:14">
      <c r="A26" s="5">
        <v>367</v>
      </c>
      <c r="B26" s="5"/>
      <c r="C26" s="6" t="s">
        <v>14</v>
      </c>
      <c r="F26" s="13"/>
      <c r="H26" s="13"/>
      <c r="J26" s="9"/>
      <c r="L26" s="9"/>
      <c r="N26" s="13"/>
    </row>
    <row r="27" spans="1:14">
      <c r="A27" t="s">
        <v>6</v>
      </c>
      <c r="C27" t="s">
        <v>7</v>
      </c>
      <c r="E27">
        <v>27</v>
      </c>
      <c r="F27" s="13">
        <v>0.27050000000000002</v>
      </c>
      <c r="G27">
        <v>100</v>
      </c>
      <c r="H27" s="13">
        <v>1</v>
      </c>
      <c r="I27">
        <v>27.9</v>
      </c>
      <c r="J27" s="9"/>
      <c r="K27">
        <v>37.4</v>
      </c>
      <c r="L27" s="9"/>
      <c r="M27">
        <v>73.7</v>
      </c>
      <c r="N27" s="13">
        <v>0.82730000000000004</v>
      </c>
    </row>
    <row r="28" spans="1:14">
      <c r="C28" t="s">
        <v>8</v>
      </c>
      <c r="E28">
        <v>73</v>
      </c>
      <c r="F28" s="13">
        <v>0.72950000000000004</v>
      </c>
      <c r="G28">
        <v>0</v>
      </c>
      <c r="H28" s="13">
        <v>0</v>
      </c>
      <c r="I28">
        <v>72.099999999999994</v>
      </c>
      <c r="J28" s="9"/>
      <c r="K28">
        <v>62.6</v>
      </c>
      <c r="L28" s="9"/>
      <c r="M28">
        <v>26.3</v>
      </c>
      <c r="N28" s="13">
        <v>0.17269999999999999</v>
      </c>
    </row>
    <row r="29" spans="1:14">
      <c r="A29" t="s">
        <v>9</v>
      </c>
      <c r="C29" t="s">
        <v>7</v>
      </c>
      <c r="E29">
        <v>37</v>
      </c>
      <c r="F29" s="13">
        <v>0.37</v>
      </c>
      <c r="G29">
        <v>100</v>
      </c>
      <c r="H29" s="13">
        <v>1</v>
      </c>
      <c r="I29">
        <v>27.9</v>
      </c>
      <c r="J29" s="13">
        <v>0.21079999999999999</v>
      </c>
      <c r="K29">
        <v>37.4</v>
      </c>
      <c r="L29" s="9"/>
      <c r="M29">
        <v>73.7</v>
      </c>
      <c r="N29" s="9"/>
    </row>
    <row r="30" spans="1:14">
      <c r="C30" t="s">
        <v>8</v>
      </c>
      <c r="E30">
        <v>63</v>
      </c>
      <c r="F30" s="13">
        <v>0.63</v>
      </c>
      <c r="G30">
        <v>0</v>
      </c>
      <c r="H30" s="13">
        <v>0</v>
      </c>
      <c r="I30">
        <v>72.099999999999994</v>
      </c>
      <c r="J30" s="13">
        <v>0.78920000000000001</v>
      </c>
      <c r="K30">
        <v>62.6</v>
      </c>
      <c r="L30" s="9"/>
      <c r="M30">
        <v>26.3</v>
      </c>
      <c r="N30" s="9"/>
    </row>
    <row r="31" spans="1:14">
      <c r="A31" t="s">
        <v>16</v>
      </c>
      <c r="C31" t="s">
        <v>7</v>
      </c>
      <c r="F31" s="13"/>
      <c r="H31" s="13"/>
      <c r="J31" s="9"/>
      <c r="L31" s="9"/>
      <c r="M31">
        <v>73.7</v>
      </c>
      <c r="N31" s="9"/>
    </row>
    <row r="32" spans="1:14">
      <c r="C32" t="s">
        <v>8</v>
      </c>
      <c r="F32" s="13"/>
      <c r="H32" s="13"/>
      <c r="J32" s="9"/>
      <c r="L32" s="9"/>
      <c r="M32">
        <v>26.3</v>
      </c>
      <c r="N32" s="9"/>
    </row>
    <row r="33" spans="1:14" hidden="1">
      <c r="A33" s="3"/>
      <c r="B33" s="3"/>
      <c r="C33" s="3"/>
      <c r="D33" s="3"/>
      <c r="E33" s="3"/>
      <c r="F33" s="33"/>
      <c r="G33" s="3"/>
      <c r="H33" s="33"/>
      <c r="I33" s="3"/>
      <c r="J33" s="36"/>
      <c r="K33" s="3"/>
      <c r="L33" s="36"/>
      <c r="M33" s="3"/>
      <c r="N33" s="9"/>
    </row>
    <row r="34" spans="1:14" hidden="1">
      <c r="A34" s="5">
        <v>368</v>
      </c>
      <c r="B34" s="5"/>
      <c r="C34" s="6" t="s">
        <v>15</v>
      </c>
      <c r="F34" s="13"/>
      <c r="H34" s="13"/>
      <c r="J34" s="9"/>
      <c r="L34" s="9"/>
      <c r="N34" s="9"/>
    </row>
    <row r="35" spans="1:14" hidden="1">
      <c r="C35" t="s">
        <v>7</v>
      </c>
      <c r="E35">
        <v>33.200000000000003</v>
      </c>
      <c r="F35" s="13">
        <v>0.35510000000000003</v>
      </c>
      <c r="G35">
        <v>30.3</v>
      </c>
      <c r="H35" s="13">
        <v>0.55600000000000005</v>
      </c>
      <c r="I35">
        <v>52.1</v>
      </c>
      <c r="J35" s="13">
        <v>0.5212</v>
      </c>
      <c r="K35">
        <v>51.2</v>
      </c>
      <c r="L35" s="13">
        <v>0.51249999999999996</v>
      </c>
      <c r="M35">
        <v>50.8</v>
      </c>
      <c r="N35" s="13">
        <v>0.8992</v>
      </c>
    </row>
    <row r="36" spans="1:14" hidden="1">
      <c r="C36" t="s">
        <v>8</v>
      </c>
      <c r="E36">
        <v>66.8</v>
      </c>
      <c r="F36" s="13">
        <v>0.64490000000000003</v>
      </c>
      <c r="G36">
        <v>69.7</v>
      </c>
      <c r="H36" s="13">
        <v>0.44400000000000001</v>
      </c>
      <c r="I36">
        <v>47.9</v>
      </c>
      <c r="J36" s="13">
        <v>0.4788</v>
      </c>
      <c r="K36">
        <v>48.8</v>
      </c>
      <c r="L36" s="13">
        <v>0.48749999999999999</v>
      </c>
      <c r="M36">
        <v>49.2</v>
      </c>
      <c r="N36" s="13">
        <v>0.1008</v>
      </c>
    </row>
  </sheetData>
  <printOptions horizontalCentered="1" verticalCentered="1"/>
  <pageMargins left="0.5" right="0.5" top="0.5" bottom="0.5" header="0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59"/>
  <sheetViews>
    <sheetView zoomScale="85" zoomScaleNormal="85" workbookViewId="0">
      <selection activeCell="D186" sqref="D186"/>
    </sheetView>
  </sheetViews>
  <sheetFormatPr defaultRowHeight="15"/>
  <cols>
    <col min="1" max="1" width="5.7109375" customWidth="1"/>
    <col min="2" max="2" width="44.140625" customWidth="1"/>
    <col min="3" max="6" width="16" customWidth="1"/>
    <col min="7" max="7" width="18.5703125" customWidth="1"/>
    <col min="8" max="8" width="16.7109375" customWidth="1"/>
    <col min="9" max="9" width="18" customWidth="1"/>
    <col min="10" max="10" width="18.5703125" customWidth="1"/>
    <col min="11" max="11" width="18" customWidth="1"/>
    <col min="12" max="13" width="17.85546875" customWidth="1"/>
    <col min="14" max="14" width="17.42578125" customWidth="1"/>
  </cols>
  <sheetData>
    <row r="1" spans="1:14">
      <c r="A1" s="183"/>
      <c r="B1" s="190"/>
      <c r="C1" s="183"/>
      <c r="D1" s="183" t="s">
        <v>1094</v>
      </c>
      <c r="E1" s="183"/>
      <c r="F1" s="183"/>
      <c r="G1" s="183"/>
      <c r="H1" s="183"/>
      <c r="I1" s="183"/>
      <c r="J1" s="183" t="s">
        <v>1094</v>
      </c>
      <c r="K1" s="183"/>
      <c r="L1" s="183"/>
      <c r="M1" s="183"/>
      <c r="N1" s="183"/>
    </row>
    <row r="2" spans="1:14">
      <c r="A2" s="183"/>
      <c r="B2" s="189"/>
      <c r="C2" s="183"/>
      <c r="D2" s="183" t="s">
        <v>1093</v>
      </c>
      <c r="E2" s="183"/>
      <c r="F2" s="183"/>
      <c r="G2" s="183"/>
      <c r="H2" s="183"/>
      <c r="I2" s="183"/>
      <c r="J2" s="183" t="s">
        <v>1093</v>
      </c>
      <c r="K2" s="183"/>
      <c r="L2" s="183"/>
      <c r="M2" s="183"/>
      <c r="N2" s="183"/>
    </row>
    <row r="3" spans="1:14">
      <c r="A3" s="183"/>
      <c r="B3" s="183"/>
      <c r="C3" s="183"/>
      <c r="D3" s="183" t="s">
        <v>1092</v>
      </c>
      <c r="E3" s="183"/>
      <c r="F3" s="183"/>
      <c r="G3" s="183"/>
      <c r="H3" s="183"/>
      <c r="I3" s="183"/>
      <c r="J3" s="183" t="s">
        <v>1092</v>
      </c>
      <c r="K3" s="183"/>
      <c r="L3" s="183"/>
      <c r="M3" s="183"/>
      <c r="N3" s="183"/>
    </row>
    <row r="4" spans="1:14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4">
      <c r="A5" s="174"/>
      <c r="B5" s="174"/>
      <c r="C5" s="180" t="s">
        <v>59</v>
      </c>
      <c r="D5" s="174"/>
      <c r="E5" s="174"/>
      <c r="F5" s="174"/>
      <c r="G5" s="174"/>
      <c r="H5" s="174"/>
      <c r="I5" s="174"/>
      <c r="J5" s="174"/>
      <c r="K5" s="174"/>
      <c r="L5" s="180" t="s">
        <v>59</v>
      </c>
      <c r="M5" s="180" t="s">
        <v>59</v>
      </c>
      <c r="N5" s="174"/>
    </row>
    <row r="6" spans="1:14">
      <c r="A6" s="180" t="s">
        <v>118</v>
      </c>
      <c r="B6" s="174"/>
      <c r="C6" s="180" t="s">
        <v>58</v>
      </c>
      <c r="D6" s="174"/>
      <c r="E6" s="180" t="s">
        <v>1091</v>
      </c>
      <c r="F6" s="180" t="s">
        <v>1090</v>
      </c>
      <c r="G6" s="180" t="s">
        <v>1089</v>
      </c>
      <c r="H6" s="174"/>
      <c r="I6" s="180" t="s">
        <v>1088</v>
      </c>
      <c r="J6" s="174"/>
      <c r="K6" s="174"/>
      <c r="L6" s="180" t="s">
        <v>116</v>
      </c>
      <c r="M6" s="180" t="s">
        <v>1087</v>
      </c>
      <c r="N6" s="174"/>
    </row>
    <row r="7" spans="1:14">
      <c r="A7" s="180" t="s">
        <v>125</v>
      </c>
      <c r="B7" s="180" t="s">
        <v>1086</v>
      </c>
      <c r="C7" s="180" t="s">
        <v>57</v>
      </c>
      <c r="D7" s="180" t="s">
        <v>1085</v>
      </c>
      <c r="E7" s="180" t="s">
        <v>1084</v>
      </c>
      <c r="F7" s="180" t="s">
        <v>1084</v>
      </c>
      <c r="G7" s="180" t="s">
        <v>1084</v>
      </c>
      <c r="H7" s="180" t="s">
        <v>1083</v>
      </c>
      <c r="I7" s="180" t="s">
        <v>1082</v>
      </c>
      <c r="J7" s="180" t="s">
        <v>1081</v>
      </c>
      <c r="K7" s="180" t="s">
        <v>1080</v>
      </c>
      <c r="L7" s="180" t="s">
        <v>138</v>
      </c>
      <c r="M7" s="180" t="s">
        <v>138</v>
      </c>
      <c r="N7" s="174"/>
    </row>
    <row r="8" spans="1:14">
      <c r="A8" s="174"/>
      <c r="B8" s="174"/>
      <c r="C8" s="180" t="s">
        <v>143</v>
      </c>
      <c r="D8" s="180" t="s">
        <v>144</v>
      </c>
      <c r="E8" s="180">
        <v>-3</v>
      </c>
      <c r="F8" s="180">
        <v>-4</v>
      </c>
      <c r="G8" s="180">
        <v>-5</v>
      </c>
      <c r="H8" s="180">
        <v>-6</v>
      </c>
      <c r="I8" s="180">
        <v>-7</v>
      </c>
      <c r="J8" s="180">
        <v>-8</v>
      </c>
      <c r="K8" s="180">
        <v>-9</v>
      </c>
      <c r="L8" s="180">
        <v>-10</v>
      </c>
      <c r="M8" s="180">
        <v>-11</v>
      </c>
      <c r="N8" s="174"/>
    </row>
    <row r="9" spans="1:14">
      <c r="A9" s="174"/>
      <c r="B9" s="174"/>
      <c r="C9" s="174"/>
      <c r="D9" s="174"/>
      <c r="E9" s="174"/>
      <c r="F9" s="174"/>
      <c r="G9" s="174"/>
      <c r="H9" s="174"/>
      <c r="I9" s="174"/>
      <c r="J9" s="185"/>
      <c r="K9" s="185"/>
      <c r="L9" s="174"/>
      <c r="M9" s="174"/>
      <c r="N9" s="174"/>
    </row>
    <row r="10" spans="1:14">
      <c r="A10" s="174"/>
      <c r="B10" s="180" t="s">
        <v>1071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</row>
    <row r="11" spans="1:14">
      <c r="A11" s="174"/>
      <c r="B11" s="179" t="s">
        <v>1000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</row>
    <row r="12" spans="1:14">
      <c r="A12" s="174"/>
      <c r="B12" s="174" t="s">
        <v>1079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</row>
    <row r="13" spans="1:14">
      <c r="A13" s="174">
        <v>1</v>
      </c>
      <c r="B13" s="174" t="s">
        <v>1076</v>
      </c>
      <c r="C13" s="178">
        <v>23595</v>
      </c>
      <c r="D13" s="174">
        <v>10405</v>
      </c>
      <c r="E13" s="174">
        <v>1768</v>
      </c>
      <c r="F13" s="174">
        <v>3995</v>
      </c>
      <c r="G13" s="174">
        <v>1235</v>
      </c>
      <c r="H13" s="174">
        <v>39</v>
      </c>
      <c r="I13" s="174">
        <v>810</v>
      </c>
      <c r="J13" s="174">
        <v>152</v>
      </c>
      <c r="K13" s="174">
        <v>5180</v>
      </c>
      <c r="L13" s="174">
        <v>23584</v>
      </c>
      <c r="M13" s="174">
        <v>11</v>
      </c>
      <c r="N13" s="174"/>
    </row>
    <row r="14" spans="1:14">
      <c r="A14" s="174">
        <v>2</v>
      </c>
      <c r="B14" s="174" t="s">
        <v>1075</v>
      </c>
      <c r="C14" s="177">
        <v>1104</v>
      </c>
      <c r="D14" s="174">
        <v>486</v>
      </c>
      <c r="E14" s="174">
        <v>83</v>
      </c>
      <c r="F14" s="174">
        <v>187</v>
      </c>
      <c r="G14" s="174">
        <v>58</v>
      </c>
      <c r="H14" s="174">
        <v>2</v>
      </c>
      <c r="I14" s="174">
        <v>38</v>
      </c>
      <c r="J14" s="174">
        <v>7</v>
      </c>
      <c r="K14" s="174">
        <v>242</v>
      </c>
      <c r="L14" s="174">
        <v>1103</v>
      </c>
      <c r="M14" s="174">
        <v>1</v>
      </c>
      <c r="N14" s="174"/>
    </row>
    <row r="15" spans="1:14">
      <c r="A15" s="174">
        <v>3</v>
      </c>
      <c r="B15" s="174" t="s">
        <v>1074</v>
      </c>
      <c r="C15" s="177">
        <v>35488</v>
      </c>
      <c r="D15" s="174">
        <v>15649</v>
      </c>
      <c r="E15" s="174">
        <v>2659</v>
      </c>
      <c r="F15" s="174">
        <v>6009</v>
      </c>
      <c r="G15" s="174">
        <v>1858</v>
      </c>
      <c r="H15" s="174">
        <v>59</v>
      </c>
      <c r="I15" s="174">
        <v>1218</v>
      </c>
      <c r="J15" s="174">
        <v>229</v>
      </c>
      <c r="K15" s="174">
        <v>7790</v>
      </c>
      <c r="L15" s="174">
        <v>35471</v>
      </c>
      <c r="M15" s="174">
        <v>17</v>
      </c>
      <c r="N15" s="174"/>
    </row>
    <row r="16" spans="1:14">
      <c r="A16" s="174">
        <v>4</v>
      </c>
      <c r="B16" s="174" t="s">
        <v>1073</v>
      </c>
      <c r="C16" s="177">
        <v>19601</v>
      </c>
      <c r="D16" s="174">
        <v>8643</v>
      </c>
      <c r="E16" s="174">
        <v>1469</v>
      </c>
      <c r="F16" s="174">
        <v>3319</v>
      </c>
      <c r="G16" s="174">
        <v>1026</v>
      </c>
      <c r="H16" s="174">
        <v>33</v>
      </c>
      <c r="I16" s="174">
        <v>673</v>
      </c>
      <c r="J16" s="174">
        <v>126</v>
      </c>
      <c r="K16" s="174">
        <v>4303</v>
      </c>
      <c r="L16" s="174">
        <v>19592</v>
      </c>
      <c r="M16" s="174">
        <v>9</v>
      </c>
      <c r="N16" s="174"/>
    </row>
    <row r="17" spans="1:14">
      <c r="A17" s="174">
        <v>5</v>
      </c>
      <c r="B17" s="174" t="s">
        <v>1078</v>
      </c>
      <c r="C17" s="174">
        <v>79788</v>
      </c>
      <c r="D17" s="174">
        <v>35183</v>
      </c>
      <c r="E17" s="174">
        <v>5979</v>
      </c>
      <c r="F17" s="174">
        <v>13510</v>
      </c>
      <c r="G17" s="174">
        <v>4177</v>
      </c>
      <c r="H17" s="174">
        <v>133</v>
      </c>
      <c r="I17" s="174">
        <v>2739</v>
      </c>
      <c r="J17" s="174">
        <v>514</v>
      </c>
      <c r="K17" s="174">
        <v>17515</v>
      </c>
      <c r="L17" s="174">
        <v>79750</v>
      </c>
      <c r="M17" s="174">
        <v>38</v>
      </c>
      <c r="N17" s="174"/>
    </row>
    <row r="18" spans="1:14">
      <c r="A18" s="174"/>
      <c r="B18" s="174"/>
      <c r="C18" s="182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</row>
    <row r="19" spans="1:14">
      <c r="A19" s="174"/>
      <c r="B19" s="174" t="s">
        <v>1077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</row>
    <row r="20" spans="1:14">
      <c r="A20" s="174">
        <v>6</v>
      </c>
      <c r="B20" s="174" t="s">
        <v>1076</v>
      </c>
      <c r="C20" s="178">
        <v>6262713</v>
      </c>
      <c r="D20" s="174">
        <v>2761530</v>
      </c>
      <c r="E20" s="174">
        <v>469322</v>
      </c>
      <c r="F20" s="174">
        <v>1060412</v>
      </c>
      <c r="G20" s="174">
        <v>327879</v>
      </c>
      <c r="H20" s="174">
        <v>10458</v>
      </c>
      <c r="I20" s="174">
        <v>214882</v>
      </c>
      <c r="J20" s="174">
        <v>40379</v>
      </c>
      <c r="K20" s="174">
        <v>1374816</v>
      </c>
      <c r="L20" s="174">
        <v>6259678</v>
      </c>
      <c r="M20" s="174">
        <v>3035</v>
      </c>
      <c r="N20" s="174"/>
    </row>
    <row r="21" spans="1:14">
      <c r="A21" s="174">
        <v>7</v>
      </c>
      <c r="B21" s="174" t="s">
        <v>1075</v>
      </c>
      <c r="C21" s="178">
        <v>4224408</v>
      </c>
      <c r="D21" s="174">
        <v>1862743</v>
      </c>
      <c r="E21" s="174">
        <v>316573</v>
      </c>
      <c r="F21" s="174">
        <v>715283</v>
      </c>
      <c r="G21" s="174">
        <v>221166</v>
      </c>
      <c r="H21" s="174">
        <v>7055</v>
      </c>
      <c r="I21" s="174">
        <v>144945</v>
      </c>
      <c r="J21" s="174">
        <v>27237</v>
      </c>
      <c r="K21" s="174">
        <v>927359</v>
      </c>
      <c r="L21" s="174">
        <v>4222361</v>
      </c>
      <c r="M21" s="174">
        <v>2047</v>
      </c>
      <c r="N21" s="174"/>
    </row>
    <row r="22" spans="1:14">
      <c r="A22" s="174">
        <v>8</v>
      </c>
      <c r="B22" s="174" t="s">
        <v>1074</v>
      </c>
      <c r="C22" s="177">
        <v>648135</v>
      </c>
      <c r="D22" s="174">
        <v>285794</v>
      </c>
      <c r="E22" s="174">
        <v>48571</v>
      </c>
      <c r="F22" s="174">
        <v>109743</v>
      </c>
      <c r="G22" s="174">
        <v>33933</v>
      </c>
      <c r="H22" s="174">
        <v>1082</v>
      </c>
      <c r="I22" s="174">
        <v>22238</v>
      </c>
      <c r="J22" s="174">
        <v>4179</v>
      </c>
      <c r="K22" s="174">
        <v>142281</v>
      </c>
      <c r="L22" s="174">
        <v>647821</v>
      </c>
      <c r="M22" s="174">
        <v>314</v>
      </c>
      <c r="N22" s="174"/>
    </row>
    <row r="23" spans="1:14">
      <c r="A23" s="174">
        <v>9</v>
      </c>
      <c r="B23" s="174" t="s">
        <v>1073</v>
      </c>
      <c r="C23" s="177">
        <v>1009861</v>
      </c>
      <c r="D23" s="174">
        <v>445297</v>
      </c>
      <c r="E23" s="174">
        <v>75678</v>
      </c>
      <c r="F23" s="174">
        <v>170991</v>
      </c>
      <c r="G23" s="174">
        <v>52870</v>
      </c>
      <c r="H23" s="174">
        <v>1686</v>
      </c>
      <c r="I23" s="174">
        <v>34650</v>
      </c>
      <c r="J23" s="174">
        <v>6511</v>
      </c>
      <c r="K23" s="174">
        <v>221689</v>
      </c>
      <c r="L23" s="174">
        <v>1009372</v>
      </c>
      <c r="M23" s="174">
        <v>489</v>
      </c>
      <c r="N23" s="174"/>
    </row>
    <row r="24" spans="1:14">
      <c r="A24" s="174">
        <v>10</v>
      </c>
      <c r="B24" s="174" t="s">
        <v>1072</v>
      </c>
      <c r="C24" s="174">
        <v>12145117</v>
      </c>
      <c r="D24" s="174">
        <v>5355364</v>
      </c>
      <c r="E24" s="174">
        <v>910144</v>
      </c>
      <c r="F24" s="174">
        <v>2056429</v>
      </c>
      <c r="G24" s="174">
        <v>635848</v>
      </c>
      <c r="H24" s="174">
        <v>20281</v>
      </c>
      <c r="I24" s="174">
        <v>416715</v>
      </c>
      <c r="J24" s="174">
        <v>78306</v>
      </c>
      <c r="K24" s="174">
        <v>2666145</v>
      </c>
      <c r="L24" s="174">
        <v>12139232</v>
      </c>
      <c r="M24" s="174">
        <v>5885</v>
      </c>
      <c r="N24" s="174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</row>
    <row r="26" spans="1:14">
      <c r="A26" s="174">
        <v>11</v>
      </c>
      <c r="B26" s="174" t="s">
        <v>1071</v>
      </c>
      <c r="C26" s="174">
        <v>12224905</v>
      </c>
      <c r="D26" s="174">
        <v>5390547</v>
      </c>
      <c r="E26" s="174">
        <v>916123</v>
      </c>
      <c r="F26" s="174">
        <v>2069939</v>
      </c>
      <c r="G26" s="174">
        <v>640025</v>
      </c>
      <c r="H26" s="174">
        <v>20414</v>
      </c>
      <c r="I26" s="174">
        <v>419454</v>
      </c>
      <c r="J26" s="174">
        <v>78820</v>
      </c>
      <c r="K26" s="174">
        <v>2683660</v>
      </c>
      <c r="L26" s="174">
        <v>12218982</v>
      </c>
      <c r="M26" s="174">
        <v>5923</v>
      </c>
      <c r="N26" s="174"/>
    </row>
    <row r="27" spans="1:14">
      <c r="A27" s="174">
        <v>12</v>
      </c>
      <c r="B27" s="174" t="s">
        <v>991</v>
      </c>
      <c r="C27" s="181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4">
        <v>0</v>
      </c>
      <c r="N27" s="174"/>
    </row>
    <row r="28" spans="1:14">
      <c r="A28" s="174">
        <v>13</v>
      </c>
      <c r="B28" s="174" t="s">
        <v>990</v>
      </c>
      <c r="C28" s="181">
        <v>82874</v>
      </c>
      <c r="D28" s="174">
        <v>0</v>
      </c>
      <c r="E28" s="174">
        <v>0</v>
      </c>
      <c r="F28" s="174">
        <v>0</v>
      </c>
      <c r="G28" s="174">
        <v>0</v>
      </c>
      <c r="H28" s="174">
        <v>0</v>
      </c>
      <c r="I28" s="174">
        <v>0</v>
      </c>
      <c r="J28" s="174">
        <v>0</v>
      </c>
      <c r="K28" s="174">
        <v>0</v>
      </c>
      <c r="L28" s="174">
        <v>0</v>
      </c>
      <c r="M28" s="174">
        <v>82874</v>
      </c>
      <c r="N28" s="174"/>
    </row>
    <row r="29" spans="1:14">
      <c r="A29" s="174">
        <v>14</v>
      </c>
      <c r="B29" s="174" t="s">
        <v>989</v>
      </c>
      <c r="C29" s="181">
        <v>715924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4">
        <v>0</v>
      </c>
      <c r="K29" s="174">
        <v>0</v>
      </c>
      <c r="L29" s="174">
        <v>0</v>
      </c>
      <c r="M29" s="174">
        <v>715924</v>
      </c>
      <c r="N29" s="174"/>
    </row>
    <row r="30" spans="1:14">
      <c r="A30" s="174">
        <v>15</v>
      </c>
      <c r="B30" s="174" t="s">
        <v>166</v>
      </c>
      <c r="C30" s="174">
        <v>13023703</v>
      </c>
      <c r="D30" s="174">
        <v>5390547</v>
      </c>
      <c r="E30" s="174">
        <v>916123</v>
      </c>
      <c r="F30" s="174">
        <v>2069939</v>
      </c>
      <c r="G30" s="174">
        <v>640025</v>
      </c>
      <c r="H30" s="174">
        <v>20414</v>
      </c>
      <c r="I30" s="174">
        <v>419454</v>
      </c>
      <c r="J30" s="174">
        <v>78820</v>
      </c>
      <c r="K30" s="174">
        <v>2683660</v>
      </c>
      <c r="L30" s="174">
        <v>12218982</v>
      </c>
      <c r="M30" s="174">
        <v>804721</v>
      </c>
      <c r="N30" s="174"/>
    </row>
    <row r="31" spans="1:14">
      <c r="A31" s="174"/>
      <c r="B31" s="183"/>
      <c r="C31" s="183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</row>
    <row r="32" spans="1:14">
      <c r="A32" s="174"/>
      <c r="B32" s="180" t="s">
        <v>1043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</row>
    <row r="33" spans="1:14">
      <c r="A33" s="174"/>
      <c r="B33" s="179" t="s">
        <v>1000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</row>
    <row r="34" spans="1:14">
      <c r="A34" s="174"/>
      <c r="B34" s="174" t="s">
        <v>1070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</row>
    <row r="35" spans="1:14">
      <c r="A35" s="174"/>
      <c r="B35" s="174" t="s">
        <v>1039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</row>
    <row r="36" spans="1:14">
      <c r="A36" s="174">
        <v>16</v>
      </c>
      <c r="B36" s="174" t="s">
        <v>1068</v>
      </c>
      <c r="C36" s="182">
        <v>11511.138505786359</v>
      </c>
      <c r="D36" s="174">
        <v>5236</v>
      </c>
      <c r="E36" s="174">
        <v>958</v>
      </c>
      <c r="F36" s="174">
        <v>2045</v>
      </c>
      <c r="G36" s="174">
        <v>583</v>
      </c>
      <c r="H36" s="174">
        <v>24</v>
      </c>
      <c r="I36" s="174">
        <v>394</v>
      </c>
      <c r="J36" s="174">
        <v>13</v>
      </c>
      <c r="K36" s="174">
        <v>2252</v>
      </c>
      <c r="L36" s="174">
        <v>11505</v>
      </c>
      <c r="M36" s="174">
        <v>6.1385057863590191</v>
      </c>
      <c r="N36" s="174"/>
    </row>
    <row r="37" spans="1:14">
      <c r="A37" s="174">
        <v>17</v>
      </c>
      <c r="B37" s="174" t="s">
        <v>1033</v>
      </c>
      <c r="C37" s="182">
        <v>7255</v>
      </c>
      <c r="D37" s="174">
        <v>3324</v>
      </c>
      <c r="E37" s="174">
        <v>617</v>
      </c>
      <c r="F37" s="174">
        <v>1303</v>
      </c>
      <c r="G37" s="174">
        <v>365</v>
      </c>
      <c r="H37" s="174">
        <v>16</v>
      </c>
      <c r="I37" s="174">
        <v>248</v>
      </c>
      <c r="J37" s="174">
        <v>0</v>
      </c>
      <c r="K37" s="174">
        <v>1378</v>
      </c>
      <c r="L37" s="174">
        <v>7251</v>
      </c>
      <c r="M37" s="174">
        <v>4</v>
      </c>
      <c r="N37" s="174"/>
    </row>
    <row r="38" spans="1:14">
      <c r="A38" s="174">
        <v>18</v>
      </c>
      <c r="B38" s="174" t="s">
        <v>1032</v>
      </c>
      <c r="C38" s="182">
        <v>0.15079237484506791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4">
        <v>0</v>
      </c>
      <c r="M38" s="174">
        <v>0.15079237484506791</v>
      </c>
      <c r="N38" s="174"/>
    </row>
    <row r="39" spans="1:14">
      <c r="A39" s="174">
        <v>19</v>
      </c>
      <c r="B39" s="174" t="s">
        <v>1031</v>
      </c>
      <c r="C39" s="182">
        <v>106.50237210593713</v>
      </c>
      <c r="D39" s="174">
        <v>45</v>
      </c>
      <c r="E39" s="174">
        <v>8</v>
      </c>
      <c r="F39" s="174">
        <v>17</v>
      </c>
      <c r="G39" s="174">
        <v>6</v>
      </c>
      <c r="H39" s="174">
        <v>0</v>
      </c>
      <c r="I39" s="174">
        <v>3</v>
      </c>
      <c r="J39" s="174">
        <v>0</v>
      </c>
      <c r="K39" s="174">
        <v>28</v>
      </c>
      <c r="L39" s="174">
        <v>107</v>
      </c>
      <c r="M39" s="174">
        <v>-0.49762789406287311</v>
      </c>
      <c r="N39" s="174"/>
    </row>
    <row r="40" spans="1:14">
      <c r="A40" s="174">
        <v>20</v>
      </c>
      <c r="B40" s="174" t="s">
        <v>47</v>
      </c>
      <c r="C40" s="182">
        <v>50.823534287663662</v>
      </c>
      <c r="D40" s="174">
        <v>25</v>
      </c>
      <c r="E40" s="174">
        <v>4</v>
      </c>
      <c r="F40" s="174">
        <v>9</v>
      </c>
      <c r="G40" s="174">
        <v>2</v>
      </c>
      <c r="H40" s="174">
        <v>0</v>
      </c>
      <c r="I40" s="174">
        <v>2</v>
      </c>
      <c r="J40" s="174">
        <v>1</v>
      </c>
      <c r="K40" s="174">
        <v>8</v>
      </c>
      <c r="L40" s="174">
        <v>51</v>
      </c>
      <c r="M40" s="174">
        <v>-0.17646571233633779</v>
      </c>
      <c r="N40" s="174"/>
    </row>
    <row r="41" spans="1:14">
      <c r="A41" s="174">
        <v>21</v>
      </c>
      <c r="B41" s="174" t="s">
        <v>1038</v>
      </c>
      <c r="C41" s="174">
        <v>18923.615204554804</v>
      </c>
      <c r="D41" s="174">
        <v>8630</v>
      </c>
      <c r="E41" s="174">
        <v>1587</v>
      </c>
      <c r="F41" s="174">
        <v>3374</v>
      </c>
      <c r="G41" s="174">
        <v>956</v>
      </c>
      <c r="H41" s="174">
        <v>40</v>
      </c>
      <c r="I41" s="174">
        <v>647</v>
      </c>
      <c r="J41" s="174">
        <v>14</v>
      </c>
      <c r="K41" s="174">
        <v>3666</v>
      </c>
      <c r="L41" s="174">
        <v>18914</v>
      </c>
      <c r="M41" s="174">
        <v>9.6152045548042224</v>
      </c>
      <c r="N41" s="174"/>
    </row>
    <row r="42" spans="1:14">
      <c r="A42" s="174"/>
      <c r="B42" s="174" t="s">
        <v>1069</v>
      </c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</row>
    <row r="43" spans="1:14">
      <c r="A43" s="174">
        <v>22</v>
      </c>
      <c r="B43" s="174" t="s">
        <v>1068</v>
      </c>
      <c r="C43" s="182">
        <v>306829</v>
      </c>
      <c r="D43" s="174">
        <v>139554</v>
      </c>
      <c r="E43" s="174">
        <v>25542</v>
      </c>
      <c r="F43" s="174">
        <v>54509</v>
      </c>
      <c r="G43" s="174">
        <v>15542</v>
      </c>
      <c r="H43" s="174">
        <v>637</v>
      </c>
      <c r="I43" s="174">
        <v>10501</v>
      </c>
      <c r="J43" s="174">
        <v>344</v>
      </c>
      <c r="K43" s="174">
        <v>60035</v>
      </c>
      <c r="L43" s="174">
        <v>306664</v>
      </c>
      <c r="M43" s="174">
        <v>165</v>
      </c>
      <c r="N43" s="174"/>
    </row>
    <row r="44" spans="1:14">
      <c r="A44" s="174">
        <v>23</v>
      </c>
      <c r="B44" s="174" t="s">
        <v>1032</v>
      </c>
      <c r="C44" s="182">
        <v>21114</v>
      </c>
      <c r="D44" s="174">
        <v>8300</v>
      </c>
      <c r="E44" s="174">
        <v>1543</v>
      </c>
      <c r="F44" s="174">
        <v>3324</v>
      </c>
      <c r="G44" s="174">
        <v>1233</v>
      </c>
      <c r="H44" s="174">
        <v>40</v>
      </c>
      <c r="I44" s="174">
        <v>631</v>
      </c>
      <c r="J44" s="174">
        <v>0</v>
      </c>
      <c r="K44" s="174">
        <v>6033</v>
      </c>
      <c r="L44" s="174">
        <v>21104</v>
      </c>
      <c r="M44" s="174">
        <v>10</v>
      </c>
      <c r="N44" s="174"/>
    </row>
    <row r="45" spans="1:14">
      <c r="A45" s="174">
        <v>24</v>
      </c>
      <c r="B45" s="174" t="s">
        <v>1067</v>
      </c>
      <c r="C45" s="174">
        <v>327943</v>
      </c>
      <c r="D45" s="174">
        <v>147854</v>
      </c>
      <c r="E45" s="174">
        <v>27085</v>
      </c>
      <c r="F45" s="174">
        <v>57833</v>
      </c>
      <c r="G45" s="174">
        <v>16775</v>
      </c>
      <c r="H45" s="174">
        <v>677</v>
      </c>
      <c r="I45" s="174">
        <v>11132</v>
      </c>
      <c r="J45" s="174">
        <v>344</v>
      </c>
      <c r="K45" s="174">
        <v>66068</v>
      </c>
      <c r="L45" s="174">
        <v>327768</v>
      </c>
      <c r="M45" s="174">
        <v>175</v>
      </c>
      <c r="N45" s="174"/>
    </row>
    <row r="46" spans="1:14">
      <c r="A46" s="174">
        <v>25</v>
      </c>
      <c r="B46" s="174" t="s">
        <v>1066</v>
      </c>
      <c r="C46" s="174">
        <v>346866.61520455481</v>
      </c>
      <c r="D46" s="174">
        <v>156484</v>
      </c>
      <c r="E46" s="174">
        <v>28672</v>
      </c>
      <c r="F46" s="174">
        <v>61207</v>
      </c>
      <c r="G46" s="174">
        <v>17731</v>
      </c>
      <c r="H46" s="174">
        <v>717</v>
      </c>
      <c r="I46" s="174">
        <v>11779</v>
      </c>
      <c r="J46" s="174">
        <v>358</v>
      </c>
      <c r="K46" s="174">
        <v>69734</v>
      </c>
      <c r="L46" s="174">
        <v>346682</v>
      </c>
      <c r="M46" s="174">
        <v>184.61520455480786</v>
      </c>
      <c r="N46" s="174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</row>
    <row r="48" spans="1:14">
      <c r="A48" s="174"/>
      <c r="B48" s="174" t="s">
        <v>1065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</row>
    <row r="49" spans="1:14">
      <c r="A49" s="174">
        <v>26</v>
      </c>
      <c r="B49" s="174" t="s">
        <v>1064</v>
      </c>
      <c r="C49" s="187">
        <v>285912</v>
      </c>
      <c r="D49" s="174">
        <v>126072</v>
      </c>
      <c r="E49" s="174">
        <v>21426</v>
      </c>
      <c r="F49" s="174">
        <v>48411</v>
      </c>
      <c r="G49" s="174">
        <v>14969</v>
      </c>
      <c r="H49" s="174">
        <v>477</v>
      </c>
      <c r="I49" s="174">
        <v>9810</v>
      </c>
      <c r="J49" s="174">
        <v>1843</v>
      </c>
      <c r="K49" s="174">
        <v>62765</v>
      </c>
      <c r="L49" s="174">
        <v>285773</v>
      </c>
      <c r="M49" s="174">
        <v>139</v>
      </c>
      <c r="N49" s="174"/>
    </row>
    <row r="50" spans="1:14">
      <c r="A50" s="174">
        <v>27</v>
      </c>
      <c r="B50" s="174" t="s">
        <v>1048</v>
      </c>
      <c r="C50" s="187">
        <v>810421.32087903447</v>
      </c>
      <c r="D50" s="174">
        <v>368599</v>
      </c>
      <c r="E50" s="174">
        <v>67463</v>
      </c>
      <c r="F50" s="174">
        <v>143974</v>
      </c>
      <c r="G50" s="174">
        <v>41051</v>
      </c>
      <c r="H50" s="174">
        <v>1683</v>
      </c>
      <c r="I50" s="174">
        <v>27737</v>
      </c>
      <c r="J50" s="174">
        <v>909</v>
      </c>
      <c r="K50" s="174">
        <v>158570</v>
      </c>
      <c r="L50" s="174">
        <v>809986</v>
      </c>
      <c r="M50" s="174">
        <v>435.32087903446518</v>
      </c>
      <c r="N50" s="174"/>
    </row>
    <row r="51" spans="1:14">
      <c r="A51" s="174">
        <v>28</v>
      </c>
      <c r="B51" s="174" t="s">
        <v>1063</v>
      </c>
      <c r="C51" s="187">
        <v>428983.63860567892</v>
      </c>
      <c r="D51" s="174">
        <v>196536</v>
      </c>
      <c r="E51" s="174">
        <v>36493</v>
      </c>
      <c r="F51" s="174">
        <v>77029</v>
      </c>
      <c r="G51" s="174">
        <v>21595</v>
      </c>
      <c r="H51" s="174">
        <v>929</v>
      </c>
      <c r="I51" s="174">
        <v>14687</v>
      </c>
      <c r="J51" s="174">
        <v>0</v>
      </c>
      <c r="K51" s="174">
        <v>81480</v>
      </c>
      <c r="L51" s="174">
        <v>428749</v>
      </c>
      <c r="M51" s="174">
        <v>234.6386056789197</v>
      </c>
      <c r="N51" s="174"/>
    </row>
    <row r="52" spans="1:14">
      <c r="A52" s="174">
        <v>29</v>
      </c>
      <c r="B52" s="174" t="s">
        <v>1047</v>
      </c>
      <c r="C52" s="187">
        <v>851.94227324991414</v>
      </c>
      <c r="D52" s="174">
        <v>336</v>
      </c>
      <c r="E52" s="174">
        <v>62</v>
      </c>
      <c r="F52" s="174">
        <v>134</v>
      </c>
      <c r="G52" s="174">
        <v>50</v>
      </c>
      <c r="H52" s="174">
        <v>2</v>
      </c>
      <c r="I52" s="174">
        <v>25</v>
      </c>
      <c r="J52" s="174">
        <v>0</v>
      </c>
      <c r="K52" s="174">
        <v>243</v>
      </c>
      <c r="L52" s="174">
        <v>852</v>
      </c>
      <c r="M52" s="174">
        <v>-5.7726750085862477E-2</v>
      </c>
      <c r="N52" s="174"/>
    </row>
    <row r="53" spans="1:14">
      <c r="A53" s="174">
        <v>30</v>
      </c>
      <c r="B53" s="174" t="s">
        <v>1062</v>
      </c>
      <c r="C53" s="187">
        <v>8260.7092403273073</v>
      </c>
      <c r="D53" s="174">
        <v>3373</v>
      </c>
      <c r="E53" s="174">
        <v>627</v>
      </c>
      <c r="F53" s="174">
        <v>1351</v>
      </c>
      <c r="G53" s="174">
        <v>464</v>
      </c>
      <c r="H53" s="174">
        <v>16</v>
      </c>
      <c r="I53" s="174">
        <v>257</v>
      </c>
      <c r="J53" s="174">
        <v>0</v>
      </c>
      <c r="K53" s="174">
        <v>2169</v>
      </c>
      <c r="L53" s="174">
        <v>8257</v>
      </c>
      <c r="M53" s="174">
        <v>3.7092403273072705</v>
      </c>
      <c r="N53" s="174"/>
    </row>
    <row r="54" spans="1:14">
      <c r="A54" s="174">
        <v>31</v>
      </c>
      <c r="B54" s="174" t="s">
        <v>1061</v>
      </c>
      <c r="C54" s="187">
        <v>3191.3890017096583</v>
      </c>
      <c r="D54" s="174">
        <v>1540</v>
      </c>
      <c r="E54" s="174">
        <v>254</v>
      </c>
      <c r="F54" s="174">
        <v>541</v>
      </c>
      <c r="G54" s="174">
        <v>140</v>
      </c>
      <c r="H54" s="174">
        <v>19</v>
      </c>
      <c r="I54" s="174">
        <v>114</v>
      </c>
      <c r="J54" s="174">
        <v>68</v>
      </c>
      <c r="K54" s="174">
        <v>513</v>
      </c>
      <c r="L54" s="174">
        <v>3189</v>
      </c>
      <c r="M54" s="174">
        <v>2.3890017096582596</v>
      </c>
      <c r="N54" s="174"/>
    </row>
    <row r="55" spans="1:14">
      <c r="A55" s="174">
        <v>32</v>
      </c>
      <c r="B55" s="174" t="s">
        <v>1060</v>
      </c>
      <c r="C55" s="183">
        <v>1537621.0000000002</v>
      </c>
      <c r="D55" s="174">
        <v>696456</v>
      </c>
      <c r="E55" s="174">
        <v>126325</v>
      </c>
      <c r="F55" s="174">
        <v>271440</v>
      </c>
      <c r="G55" s="174">
        <v>78269</v>
      </c>
      <c r="H55" s="174">
        <v>3126</v>
      </c>
      <c r="I55" s="174">
        <v>52630</v>
      </c>
      <c r="J55" s="174">
        <v>2820</v>
      </c>
      <c r="K55" s="174">
        <v>305740</v>
      </c>
      <c r="L55" s="174">
        <v>1536806</v>
      </c>
      <c r="M55" s="174">
        <v>815.00000000023283</v>
      </c>
      <c r="N55" s="174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</row>
    <row r="57" spans="1:14">
      <c r="A57" s="174"/>
      <c r="B57" s="174" t="s">
        <v>1059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</row>
    <row r="58" spans="1:14">
      <c r="A58" s="174">
        <v>33</v>
      </c>
      <c r="B58" s="174" t="s">
        <v>1048</v>
      </c>
      <c r="C58" s="181">
        <v>731160</v>
      </c>
      <c r="D58" s="174">
        <v>332547</v>
      </c>
      <c r="E58" s="174">
        <v>60865</v>
      </c>
      <c r="F58" s="174">
        <v>129893</v>
      </c>
      <c r="G58" s="174">
        <v>37036</v>
      </c>
      <c r="H58" s="174">
        <v>1519</v>
      </c>
      <c r="I58" s="174">
        <v>25025</v>
      </c>
      <c r="J58" s="174">
        <v>820</v>
      </c>
      <c r="K58" s="174">
        <v>143062</v>
      </c>
      <c r="L58" s="174">
        <v>730767</v>
      </c>
      <c r="M58" s="174">
        <v>393</v>
      </c>
      <c r="N58" s="174"/>
    </row>
    <row r="59" spans="1:14">
      <c r="A59" s="174">
        <v>34</v>
      </c>
      <c r="B59" s="174" t="s">
        <v>1047</v>
      </c>
      <c r="C59" s="181">
        <v>15664</v>
      </c>
      <c r="D59" s="174">
        <v>6158</v>
      </c>
      <c r="E59" s="174">
        <v>1144</v>
      </c>
      <c r="F59" s="174">
        <v>2466</v>
      </c>
      <c r="G59" s="174">
        <v>915</v>
      </c>
      <c r="H59" s="174">
        <v>30</v>
      </c>
      <c r="I59" s="174">
        <v>468</v>
      </c>
      <c r="J59" s="174">
        <v>0</v>
      </c>
      <c r="K59" s="174">
        <v>4476</v>
      </c>
      <c r="L59" s="174">
        <v>15657</v>
      </c>
      <c r="M59" s="174">
        <v>7</v>
      </c>
      <c r="N59" s="174"/>
    </row>
    <row r="60" spans="1:14">
      <c r="A60" s="174">
        <v>35</v>
      </c>
      <c r="B60" s="174" t="s">
        <v>1058</v>
      </c>
      <c r="C60" s="174">
        <v>746824</v>
      </c>
      <c r="D60" s="174">
        <v>338705</v>
      </c>
      <c r="E60" s="174">
        <v>62009</v>
      </c>
      <c r="F60" s="174">
        <v>132359</v>
      </c>
      <c r="G60" s="174">
        <v>37951</v>
      </c>
      <c r="H60" s="174">
        <v>1549</v>
      </c>
      <c r="I60" s="174">
        <v>25493</v>
      </c>
      <c r="J60" s="174">
        <v>820</v>
      </c>
      <c r="K60" s="174">
        <v>147538</v>
      </c>
      <c r="L60" s="174">
        <v>746424</v>
      </c>
      <c r="M60" s="174">
        <v>400</v>
      </c>
      <c r="N60" s="174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</row>
    <row r="62" spans="1:14">
      <c r="A62" s="174"/>
      <c r="B62" s="174" t="s">
        <v>1057</v>
      </c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</row>
    <row r="63" spans="1:14">
      <c r="A63" s="174">
        <v>36</v>
      </c>
      <c r="B63" s="174" t="s">
        <v>1048</v>
      </c>
      <c r="C63" s="181">
        <v>392815</v>
      </c>
      <c r="D63" s="174">
        <v>178661</v>
      </c>
      <c r="E63" s="174">
        <v>32700</v>
      </c>
      <c r="F63" s="174">
        <v>69785</v>
      </c>
      <c r="G63" s="174">
        <v>19898</v>
      </c>
      <c r="H63" s="174">
        <v>816</v>
      </c>
      <c r="I63" s="174">
        <v>13444</v>
      </c>
      <c r="J63" s="174">
        <v>440</v>
      </c>
      <c r="K63" s="174">
        <v>76860</v>
      </c>
      <c r="L63" s="174">
        <v>392604</v>
      </c>
      <c r="M63" s="174">
        <v>211</v>
      </c>
      <c r="N63" s="174"/>
    </row>
    <row r="64" spans="1:14">
      <c r="A64" s="174">
        <v>37</v>
      </c>
      <c r="B64" s="174" t="s">
        <v>1047</v>
      </c>
      <c r="C64" s="181">
        <v>114432</v>
      </c>
      <c r="D64" s="174">
        <v>44981</v>
      </c>
      <c r="E64" s="174">
        <v>8361</v>
      </c>
      <c r="F64" s="174">
        <v>18017</v>
      </c>
      <c r="G64" s="174">
        <v>6682</v>
      </c>
      <c r="H64" s="174">
        <v>217</v>
      </c>
      <c r="I64" s="174">
        <v>3422</v>
      </c>
      <c r="J64" s="174">
        <v>0</v>
      </c>
      <c r="K64" s="174">
        <v>32698</v>
      </c>
      <c r="L64" s="174">
        <v>114378</v>
      </c>
      <c r="M64" s="174">
        <v>54</v>
      </c>
      <c r="N64" s="174"/>
    </row>
    <row r="65" spans="1:14">
      <c r="A65" s="174">
        <v>38</v>
      </c>
      <c r="B65" s="174" t="s">
        <v>1056</v>
      </c>
      <c r="C65" s="174">
        <v>507247</v>
      </c>
      <c r="D65" s="174">
        <v>223642</v>
      </c>
      <c r="E65" s="174">
        <v>41061</v>
      </c>
      <c r="F65" s="174">
        <v>87802</v>
      </c>
      <c r="G65" s="174">
        <v>26580</v>
      </c>
      <c r="H65" s="174">
        <v>1033</v>
      </c>
      <c r="I65" s="174">
        <v>16866</v>
      </c>
      <c r="J65" s="174">
        <v>440</v>
      </c>
      <c r="K65" s="174">
        <v>109558</v>
      </c>
      <c r="L65" s="174">
        <v>506982</v>
      </c>
      <c r="M65" s="174">
        <v>265</v>
      </c>
      <c r="N65" s="174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</row>
    <row r="67" spans="1:14">
      <c r="A67" s="174"/>
      <c r="B67" s="174" t="s">
        <v>1055</v>
      </c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</row>
    <row r="68" spans="1:14">
      <c r="A68" s="174">
        <v>39</v>
      </c>
      <c r="B68" s="174" t="s">
        <v>1048</v>
      </c>
      <c r="C68" s="181">
        <v>893090</v>
      </c>
      <c r="D68" s="174">
        <v>406199</v>
      </c>
      <c r="E68" s="174">
        <v>74345</v>
      </c>
      <c r="F68" s="174">
        <v>158660</v>
      </c>
      <c r="G68" s="174">
        <v>45238</v>
      </c>
      <c r="H68" s="174">
        <v>1855</v>
      </c>
      <c r="I68" s="174">
        <v>30567</v>
      </c>
      <c r="J68" s="174">
        <v>1001</v>
      </c>
      <c r="K68" s="174">
        <v>174745</v>
      </c>
      <c r="L68" s="174">
        <v>892610</v>
      </c>
      <c r="M68" s="174">
        <v>480</v>
      </c>
      <c r="N68" s="174"/>
    </row>
    <row r="69" spans="1:14">
      <c r="A69" s="174">
        <v>40</v>
      </c>
      <c r="B69" s="174" t="s">
        <v>1047</v>
      </c>
      <c r="C69" s="181">
        <v>163717</v>
      </c>
      <c r="D69" s="174">
        <v>64354</v>
      </c>
      <c r="E69" s="174">
        <v>11961</v>
      </c>
      <c r="F69" s="174">
        <v>25777</v>
      </c>
      <c r="G69" s="174">
        <v>9560</v>
      </c>
      <c r="H69" s="174">
        <v>311</v>
      </c>
      <c r="I69" s="174">
        <v>4896</v>
      </c>
      <c r="J69" s="174">
        <v>0</v>
      </c>
      <c r="K69" s="174">
        <v>46781</v>
      </c>
      <c r="L69" s="174">
        <v>163640</v>
      </c>
      <c r="M69" s="174">
        <v>77</v>
      </c>
      <c r="N69" s="174"/>
    </row>
    <row r="70" spans="1:14">
      <c r="A70" s="174">
        <v>41</v>
      </c>
      <c r="B70" s="174" t="s">
        <v>1054</v>
      </c>
      <c r="C70" s="174">
        <v>1056807</v>
      </c>
      <c r="D70" s="174">
        <v>470553</v>
      </c>
      <c r="E70" s="174">
        <v>86306</v>
      </c>
      <c r="F70" s="174">
        <v>184437</v>
      </c>
      <c r="G70" s="174">
        <v>54798</v>
      </c>
      <c r="H70" s="174">
        <v>2166</v>
      </c>
      <c r="I70" s="174">
        <v>35463</v>
      </c>
      <c r="J70" s="174">
        <v>1001</v>
      </c>
      <c r="K70" s="174">
        <v>221526</v>
      </c>
      <c r="L70" s="174">
        <v>1056250</v>
      </c>
      <c r="M70" s="174">
        <v>557</v>
      </c>
      <c r="N70" s="174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</row>
    <row r="72" spans="1:14">
      <c r="A72" s="174"/>
      <c r="B72" s="174" t="s">
        <v>1053</v>
      </c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</row>
    <row r="73" spans="1:14">
      <c r="A73" s="174">
        <v>42</v>
      </c>
      <c r="B73" s="174" t="s">
        <v>1048</v>
      </c>
      <c r="C73" s="181">
        <v>3764</v>
      </c>
      <c r="D73" s="174">
        <v>1712</v>
      </c>
      <c r="E73" s="174">
        <v>313</v>
      </c>
      <c r="F73" s="174">
        <v>669</v>
      </c>
      <c r="G73" s="174">
        <v>191</v>
      </c>
      <c r="H73" s="174">
        <v>8</v>
      </c>
      <c r="I73" s="174">
        <v>129</v>
      </c>
      <c r="J73" s="174">
        <v>4</v>
      </c>
      <c r="K73" s="174">
        <v>736</v>
      </c>
      <c r="L73" s="174">
        <v>3762</v>
      </c>
      <c r="M73" s="174">
        <v>2</v>
      </c>
      <c r="N73" s="174"/>
    </row>
    <row r="74" spans="1:14">
      <c r="A74" s="174">
        <v>43</v>
      </c>
      <c r="B74" s="174" t="s">
        <v>1047</v>
      </c>
      <c r="C74" s="181">
        <v>1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  <c r="I74" s="174">
        <v>0</v>
      </c>
      <c r="J74" s="174">
        <v>0</v>
      </c>
      <c r="K74" s="174">
        <v>1</v>
      </c>
      <c r="L74" s="174">
        <v>1</v>
      </c>
      <c r="M74" s="174">
        <v>0</v>
      </c>
      <c r="N74" s="174"/>
    </row>
    <row r="75" spans="1:14">
      <c r="A75" s="174">
        <v>44</v>
      </c>
      <c r="B75" s="174" t="s">
        <v>1052</v>
      </c>
      <c r="C75" s="174">
        <v>3765</v>
      </c>
      <c r="D75" s="174">
        <v>1712</v>
      </c>
      <c r="E75" s="174">
        <v>313</v>
      </c>
      <c r="F75" s="174">
        <v>669</v>
      </c>
      <c r="G75" s="174">
        <v>191</v>
      </c>
      <c r="H75" s="174">
        <v>8</v>
      </c>
      <c r="I75" s="174">
        <v>129</v>
      </c>
      <c r="J75" s="174">
        <v>4</v>
      </c>
      <c r="K75" s="174">
        <v>737</v>
      </c>
      <c r="L75" s="174">
        <v>3763</v>
      </c>
      <c r="M75" s="174">
        <v>2</v>
      </c>
      <c r="N75" s="174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</row>
    <row r="77" spans="1:14">
      <c r="A77" s="174"/>
      <c r="B77" s="174" t="s">
        <v>1051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</row>
    <row r="78" spans="1:14">
      <c r="A78" s="174">
        <v>45</v>
      </c>
      <c r="B78" s="174" t="s">
        <v>1048</v>
      </c>
      <c r="C78" s="181">
        <v>12509</v>
      </c>
      <c r="D78" s="174">
        <v>5689</v>
      </c>
      <c r="E78" s="174">
        <v>1041</v>
      </c>
      <c r="F78" s="174">
        <v>2222</v>
      </c>
      <c r="G78" s="174">
        <v>634</v>
      </c>
      <c r="H78" s="174">
        <v>26</v>
      </c>
      <c r="I78" s="174">
        <v>428</v>
      </c>
      <c r="J78" s="174">
        <v>14</v>
      </c>
      <c r="K78" s="174">
        <v>2448</v>
      </c>
      <c r="L78" s="174">
        <v>12502</v>
      </c>
      <c r="M78" s="174">
        <v>7</v>
      </c>
      <c r="N78" s="174"/>
    </row>
    <row r="79" spans="1:14">
      <c r="A79" s="174">
        <v>46</v>
      </c>
      <c r="B79" s="174" t="s">
        <v>1047</v>
      </c>
      <c r="C79" s="181">
        <v>409</v>
      </c>
      <c r="D79" s="174">
        <v>161</v>
      </c>
      <c r="E79" s="174">
        <v>30</v>
      </c>
      <c r="F79" s="174">
        <v>64</v>
      </c>
      <c r="G79" s="174">
        <v>24</v>
      </c>
      <c r="H79" s="174">
        <v>1</v>
      </c>
      <c r="I79" s="174">
        <v>12</v>
      </c>
      <c r="J79" s="174">
        <v>0</v>
      </c>
      <c r="K79" s="174">
        <v>117</v>
      </c>
      <c r="L79" s="174">
        <v>409</v>
      </c>
      <c r="M79" s="174">
        <v>0</v>
      </c>
      <c r="N79" s="174"/>
    </row>
    <row r="80" spans="1:14">
      <c r="A80" s="174">
        <v>47</v>
      </c>
      <c r="B80" s="174" t="s">
        <v>1050</v>
      </c>
      <c r="C80" s="174">
        <v>12918</v>
      </c>
      <c r="D80" s="174">
        <v>5850</v>
      </c>
      <c r="E80" s="174">
        <v>1071</v>
      </c>
      <c r="F80" s="174">
        <v>2286</v>
      </c>
      <c r="G80" s="174">
        <v>658</v>
      </c>
      <c r="H80" s="174">
        <v>27</v>
      </c>
      <c r="I80" s="174">
        <v>440</v>
      </c>
      <c r="J80" s="174">
        <v>14</v>
      </c>
      <c r="K80" s="174">
        <v>2565</v>
      </c>
      <c r="L80" s="174">
        <v>12911</v>
      </c>
      <c r="M80" s="174">
        <v>7</v>
      </c>
      <c r="N80" s="174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</row>
    <row r="82" spans="1:14">
      <c r="A82" s="174"/>
      <c r="B82" s="174" t="s">
        <v>1049</v>
      </c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</row>
    <row r="83" spans="1:14">
      <c r="A83" s="174">
        <v>48</v>
      </c>
      <c r="B83" s="174" t="s">
        <v>1048</v>
      </c>
      <c r="C83" s="181">
        <v>186</v>
      </c>
      <c r="D83" s="174">
        <v>87</v>
      </c>
      <c r="E83" s="174">
        <v>15</v>
      </c>
      <c r="F83" s="174">
        <v>33</v>
      </c>
      <c r="G83" s="174">
        <v>9</v>
      </c>
      <c r="H83" s="174">
        <v>0</v>
      </c>
      <c r="I83" s="174">
        <v>6</v>
      </c>
      <c r="J83" s="174">
        <v>0</v>
      </c>
      <c r="K83" s="174">
        <v>36</v>
      </c>
      <c r="L83" s="174">
        <v>186</v>
      </c>
      <c r="M83" s="174">
        <v>0</v>
      </c>
      <c r="N83" s="174"/>
    </row>
    <row r="84" spans="1:14">
      <c r="A84" s="174">
        <v>49</v>
      </c>
      <c r="B84" s="174" t="s">
        <v>1047</v>
      </c>
      <c r="C84" s="181">
        <v>205</v>
      </c>
      <c r="D84" s="174">
        <v>81</v>
      </c>
      <c r="E84" s="174">
        <v>15</v>
      </c>
      <c r="F84" s="174">
        <v>32</v>
      </c>
      <c r="G84" s="174">
        <v>12</v>
      </c>
      <c r="H84" s="174">
        <v>0</v>
      </c>
      <c r="I84" s="174">
        <v>6</v>
      </c>
      <c r="J84" s="174">
        <v>0</v>
      </c>
      <c r="K84" s="174">
        <v>59</v>
      </c>
      <c r="L84" s="174">
        <v>205</v>
      </c>
      <c r="M84" s="174">
        <v>0</v>
      </c>
      <c r="N84" s="174"/>
    </row>
    <row r="85" spans="1:14">
      <c r="A85" s="174">
        <v>50</v>
      </c>
      <c r="B85" s="174" t="s">
        <v>1046</v>
      </c>
      <c r="C85" s="174">
        <v>391</v>
      </c>
      <c r="D85" s="174">
        <v>168</v>
      </c>
      <c r="E85" s="174">
        <v>30</v>
      </c>
      <c r="F85" s="174">
        <v>65</v>
      </c>
      <c r="G85" s="174">
        <v>21</v>
      </c>
      <c r="H85" s="174">
        <v>0</v>
      </c>
      <c r="I85" s="174">
        <v>12</v>
      </c>
      <c r="J85" s="174">
        <v>0</v>
      </c>
      <c r="K85" s="174">
        <v>95</v>
      </c>
      <c r="L85" s="174">
        <v>391</v>
      </c>
      <c r="M85" s="174">
        <v>0</v>
      </c>
      <c r="N85" s="174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</row>
    <row r="87" spans="1:14">
      <c r="A87" s="174">
        <v>51</v>
      </c>
      <c r="B87" s="174" t="s">
        <v>1042</v>
      </c>
      <c r="C87" s="174">
        <v>4212439.615204555</v>
      </c>
      <c r="D87" s="174">
        <v>1893570</v>
      </c>
      <c r="E87" s="174">
        <v>345787</v>
      </c>
      <c r="F87" s="174">
        <v>740265</v>
      </c>
      <c r="G87" s="174">
        <v>216199</v>
      </c>
      <c r="H87" s="174">
        <v>8626</v>
      </c>
      <c r="I87" s="174">
        <v>142812</v>
      </c>
      <c r="J87" s="174">
        <v>5457</v>
      </c>
      <c r="K87" s="174">
        <v>857493</v>
      </c>
      <c r="L87" s="174">
        <v>4210209</v>
      </c>
      <c r="M87" s="174">
        <v>2230.6152045549825</v>
      </c>
      <c r="N87" s="174"/>
    </row>
    <row r="88" spans="1:14">
      <c r="A88" s="174">
        <v>52</v>
      </c>
      <c r="B88" s="174" t="s">
        <v>1045</v>
      </c>
      <c r="C88" s="181">
        <v>0</v>
      </c>
      <c r="D88" s="174">
        <v>0</v>
      </c>
      <c r="E88" s="174">
        <v>0</v>
      </c>
      <c r="F88" s="174">
        <v>0</v>
      </c>
      <c r="G88" s="174">
        <v>0</v>
      </c>
      <c r="H88" s="174">
        <v>0</v>
      </c>
      <c r="I88" s="174">
        <v>0</v>
      </c>
      <c r="J88" s="174">
        <v>0</v>
      </c>
      <c r="K88" s="174">
        <v>0</v>
      </c>
      <c r="L88" s="174">
        <v>0</v>
      </c>
      <c r="M88" s="174">
        <v>0</v>
      </c>
      <c r="N88" s="174"/>
    </row>
    <row r="89" spans="1:14">
      <c r="A89" s="174">
        <v>53</v>
      </c>
      <c r="B89" s="174" t="s">
        <v>1044</v>
      </c>
      <c r="C89" s="181">
        <v>-155040</v>
      </c>
      <c r="D89" s="174">
        <v>-70517</v>
      </c>
      <c r="E89" s="174">
        <v>-12906</v>
      </c>
      <c r="F89" s="174">
        <v>-27543</v>
      </c>
      <c r="G89" s="174">
        <v>-7853</v>
      </c>
      <c r="H89" s="174">
        <v>-322</v>
      </c>
      <c r="I89" s="174">
        <v>-5306</v>
      </c>
      <c r="J89" s="174">
        <v>-174</v>
      </c>
      <c r="K89" s="174">
        <v>-30336</v>
      </c>
      <c r="L89" s="174">
        <v>-154957</v>
      </c>
      <c r="M89" s="174">
        <v>-83</v>
      </c>
      <c r="N89" s="174"/>
    </row>
    <row r="90" spans="1:14">
      <c r="A90" s="174">
        <v>54</v>
      </c>
      <c r="B90" s="174" t="s">
        <v>1043</v>
      </c>
      <c r="C90" s="174">
        <v>4057399.615204555</v>
      </c>
      <c r="D90" s="174">
        <v>1823053</v>
      </c>
      <c r="E90" s="174">
        <v>332881</v>
      </c>
      <c r="F90" s="174">
        <v>712722</v>
      </c>
      <c r="G90" s="174">
        <v>208346</v>
      </c>
      <c r="H90" s="174">
        <v>8304</v>
      </c>
      <c r="I90" s="174">
        <v>137506</v>
      </c>
      <c r="J90" s="174">
        <v>5283</v>
      </c>
      <c r="K90" s="174">
        <v>827157</v>
      </c>
      <c r="L90" s="174">
        <v>4055252</v>
      </c>
      <c r="M90" s="174">
        <v>2147.6152045549825</v>
      </c>
      <c r="N90" s="174"/>
    </row>
    <row r="91" spans="1:14">
      <c r="A91" s="174">
        <v>55</v>
      </c>
      <c r="B91" s="174" t="s">
        <v>991</v>
      </c>
      <c r="C91" s="174">
        <v>155040</v>
      </c>
      <c r="D91" s="174">
        <v>0</v>
      </c>
      <c r="E91" s="174">
        <v>0</v>
      </c>
      <c r="F91" s="174">
        <v>0</v>
      </c>
      <c r="G91" s="174">
        <v>0</v>
      </c>
      <c r="H91" s="174">
        <v>0</v>
      </c>
      <c r="I91" s="174">
        <v>0</v>
      </c>
      <c r="J91" s="174">
        <v>0</v>
      </c>
      <c r="K91" s="174">
        <v>0</v>
      </c>
      <c r="L91" s="174">
        <v>0</v>
      </c>
      <c r="M91" s="174">
        <v>155040</v>
      </c>
      <c r="N91" s="174"/>
    </row>
    <row r="92" spans="1:14">
      <c r="A92" s="174">
        <v>56</v>
      </c>
      <c r="B92" s="174" t="s">
        <v>990</v>
      </c>
      <c r="C92" s="188">
        <v>2083</v>
      </c>
      <c r="D92" s="174">
        <v>0</v>
      </c>
      <c r="E92" s="174">
        <v>0</v>
      </c>
      <c r="F92" s="174">
        <v>0</v>
      </c>
      <c r="G92" s="174">
        <v>0</v>
      </c>
      <c r="H92" s="174">
        <v>0</v>
      </c>
      <c r="I92" s="174">
        <v>0</v>
      </c>
      <c r="J92" s="174">
        <v>0</v>
      </c>
      <c r="K92" s="174">
        <v>0</v>
      </c>
      <c r="L92" s="174">
        <v>0</v>
      </c>
      <c r="M92" s="174">
        <v>2083</v>
      </c>
      <c r="N92" s="174"/>
    </row>
    <row r="93" spans="1:14">
      <c r="A93" s="174">
        <v>57</v>
      </c>
      <c r="B93" s="174" t="s">
        <v>989</v>
      </c>
      <c r="C93" s="188">
        <v>17548</v>
      </c>
      <c r="D93" s="174">
        <v>0</v>
      </c>
      <c r="E93" s="174">
        <v>0</v>
      </c>
      <c r="F93" s="174">
        <v>0</v>
      </c>
      <c r="G93" s="174">
        <v>0</v>
      </c>
      <c r="H93" s="174">
        <v>0</v>
      </c>
      <c r="I93" s="174">
        <v>0</v>
      </c>
      <c r="J93" s="174">
        <v>0</v>
      </c>
      <c r="K93" s="174">
        <v>0</v>
      </c>
      <c r="L93" s="174">
        <v>0</v>
      </c>
      <c r="M93" s="174">
        <v>17548</v>
      </c>
      <c r="N93" s="174"/>
    </row>
    <row r="94" spans="1:14">
      <c r="A94" s="174">
        <v>58</v>
      </c>
      <c r="B94" s="174" t="s">
        <v>1042</v>
      </c>
      <c r="C94" s="174">
        <v>4232070.615204555</v>
      </c>
      <c r="D94" s="174">
        <v>1823053</v>
      </c>
      <c r="E94" s="174">
        <v>332881</v>
      </c>
      <c r="F94" s="174">
        <v>712722</v>
      </c>
      <c r="G94" s="174">
        <v>208346</v>
      </c>
      <c r="H94" s="174">
        <v>8304</v>
      </c>
      <c r="I94" s="174">
        <v>137506</v>
      </c>
      <c r="J94" s="174">
        <v>5283</v>
      </c>
      <c r="K94" s="174">
        <v>827157</v>
      </c>
      <c r="L94" s="174">
        <v>4055252</v>
      </c>
      <c r="M94" s="174">
        <v>176818.61520455498</v>
      </c>
      <c r="N94" s="174"/>
    </row>
    <row r="95" spans="1:14">
      <c r="A95" s="183"/>
      <c r="B95" s="183"/>
      <c r="C95" s="183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</row>
    <row r="96" spans="1:14">
      <c r="A96" s="174"/>
      <c r="B96" s="180" t="s">
        <v>1041</v>
      </c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</row>
    <row r="97" spans="1:14">
      <c r="A97" s="174"/>
      <c r="B97" s="179" t="s">
        <v>1000</v>
      </c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</row>
    <row r="98" spans="1:14">
      <c r="A98" s="174"/>
      <c r="B98" s="174" t="s">
        <v>1040</v>
      </c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</row>
    <row r="99" spans="1:14">
      <c r="A99" s="174"/>
      <c r="B99" s="174" t="s">
        <v>1039</v>
      </c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</row>
    <row r="100" spans="1:14">
      <c r="A100" s="174">
        <v>59</v>
      </c>
      <c r="B100" s="174" t="s">
        <v>1033</v>
      </c>
      <c r="C100" s="182">
        <v>57098.419095986981</v>
      </c>
      <c r="D100" s="174">
        <v>26159</v>
      </c>
      <c r="E100" s="174">
        <v>4857</v>
      </c>
      <c r="F100" s="174">
        <v>10253</v>
      </c>
      <c r="G100" s="174">
        <v>2874</v>
      </c>
      <c r="H100" s="174">
        <v>124</v>
      </c>
      <c r="I100" s="174">
        <v>1955</v>
      </c>
      <c r="J100" s="174">
        <v>0</v>
      </c>
      <c r="K100" s="174">
        <v>10845</v>
      </c>
      <c r="L100" s="174">
        <v>57067</v>
      </c>
      <c r="M100" s="174">
        <v>31.419095986981119</v>
      </c>
      <c r="N100" s="174"/>
    </row>
    <row r="101" spans="1:14">
      <c r="A101" s="174">
        <v>60</v>
      </c>
      <c r="B101" s="174" t="s">
        <v>1032</v>
      </c>
      <c r="C101" s="182">
        <v>0</v>
      </c>
      <c r="D101" s="174">
        <v>0</v>
      </c>
      <c r="E101" s="174">
        <v>0</v>
      </c>
      <c r="F101" s="174">
        <v>0</v>
      </c>
      <c r="G101" s="174">
        <v>0</v>
      </c>
      <c r="H101" s="174">
        <v>0</v>
      </c>
      <c r="I101" s="174">
        <v>0</v>
      </c>
      <c r="J101" s="174">
        <v>0</v>
      </c>
      <c r="K101" s="174">
        <v>0</v>
      </c>
      <c r="L101" s="174">
        <v>0</v>
      </c>
      <c r="M101" s="174">
        <v>0</v>
      </c>
      <c r="N101" s="174"/>
    </row>
    <row r="102" spans="1:14">
      <c r="A102" s="174">
        <v>61</v>
      </c>
      <c r="B102" s="174" t="s">
        <v>1031</v>
      </c>
      <c r="C102" s="182">
        <v>2035.0769571575856</v>
      </c>
      <c r="D102" s="174">
        <v>832</v>
      </c>
      <c r="E102" s="174">
        <v>154</v>
      </c>
      <c r="F102" s="174">
        <v>333</v>
      </c>
      <c r="G102" s="174">
        <v>114</v>
      </c>
      <c r="H102" s="174">
        <v>4</v>
      </c>
      <c r="I102" s="174">
        <v>63</v>
      </c>
      <c r="J102" s="174">
        <v>0</v>
      </c>
      <c r="K102" s="174">
        <v>534</v>
      </c>
      <c r="L102" s="174">
        <v>2034</v>
      </c>
      <c r="M102" s="174">
        <v>1.0769571575856389</v>
      </c>
      <c r="N102" s="174"/>
    </row>
    <row r="103" spans="1:14">
      <c r="A103" s="174">
        <v>62</v>
      </c>
      <c r="B103" s="174" t="s">
        <v>1035</v>
      </c>
      <c r="C103" s="182">
        <v>2709.8438582393082</v>
      </c>
      <c r="D103" s="174">
        <v>1308</v>
      </c>
      <c r="E103" s="174">
        <v>216</v>
      </c>
      <c r="F103" s="174">
        <v>459</v>
      </c>
      <c r="G103" s="174">
        <v>119</v>
      </c>
      <c r="H103" s="174">
        <v>16</v>
      </c>
      <c r="I103" s="174">
        <v>97</v>
      </c>
      <c r="J103" s="174">
        <v>58</v>
      </c>
      <c r="K103" s="174">
        <v>436</v>
      </c>
      <c r="L103" s="174">
        <v>2709</v>
      </c>
      <c r="M103" s="174">
        <v>0.84385823930824699</v>
      </c>
      <c r="N103" s="174"/>
    </row>
    <row r="104" spans="1:14">
      <c r="A104" s="174">
        <v>63</v>
      </c>
      <c r="B104" s="174" t="s">
        <v>45</v>
      </c>
      <c r="C104" s="182">
        <v>150.66008861612917</v>
      </c>
      <c r="D104" s="174">
        <v>81</v>
      </c>
      <c r="E104" s="174">
        <v>13</v>
      </c>
      <c r="F104" s="174">
        <v>28</v>
      </c>
      <c r="G104" s="174">
        <v>5</v>
      </c>
      <c r="H104" s="174">
        <v>1</v>
      </c>
      <c r="I104" s="174">
        <v>5</v>
      </c>
      <c r="J104" s="174">
        <v>4</v>
      </c>
      <c r="K104" s="174">
        <v>14</v>
      </c>
      <c r="L104" s="174">
        <v>151</v>
      </c>
      <c r="M104" s="174">
        <v>-0.33991138387082742</v>
      </c>
      <c r="N104" s="174"/>
    </row>
    <row r="105" spans="1:14">
      <c r="A105" s="174">
        <v>64</v>
      </c>
      <c r="B105" s="174" t="s">
        <v>1038</v>
      </c>
      <c r="C105" s="174">
        <v>61994.262954226288</v>
      </c>
      <c r="D105" s="174">
        <v>28380</v>
      </c>
      <c r="E105" s="174">
        <v>5240</v>
      </c>
      <c r="F105" s="174">
        <v>11073</v>
      </c>
      <c r="G105" s="174">
        <v>3112</v>
      </c>
      <c r="H105" s="174">
        <v>145</v>
      </c>
      <c r="I105" s="174">
        <v>2120</v>
      </c>
      <c r="J105" s="174">
        <v>62</v>
      </c>
      <c r="K105" s="174">
        <v>11829</v>
      </c>
      <c r="L105" s="174">
        <v>61961</v>
      </c>
      <c r="M105" s="174">
        <v>33.262954226287547</v>
      </c>
      <c r="N105" s="174"/>
    </row>
    <row r="106" spans="1:14">
      <c r="A106" s="174">
        <v>65</v>
      </c>
      <c r="B106" s="174" t="s">
        <v>1037</v>
      </c>
      <c r="C106" s="182">
        <v>29456</v>
      </c>
      <c r="D106" s="174">
        <v>25452</v>
      </c>
      <c r="E106" s="174">
        <v>2929</v>
      </c>
      <c r="F106" s="174">
        <v>510</v>
      </c>
      <c r="G106" s="174">
        <v>9</v>
      </c>
      <c r="H106" s="174">
        <v>26</v>
      </c>
      <c r="I106" s="174">
        <v>61</v>
      </c>
      <c r="J106" s="174">
        <v>442</v>
      </c>
      <c r="K106" s="174">
        <v>27</v>
      </c>
      <c r="L106" s="174">
        <v>29456</v>
      </c>
      <c r="M106" s="174">
        <v>0</v>
      </c>
      <c r="N106" s="174"/>
    </row>
    <row r="107" spans="1:14">
      <c r="A107" s="174">
        <v>66</v>
      </c>
      <c r="B107" s="174" t="s">
        <v>196</v>
      </c>
      <c r="C107" s="174">
        <v>91450.262954226288</v>
      </c>
      <c r="D107" s="174">
        <v>53832</v>
      </c>
      <c r="E107" s="174">
        <v>8169</v>
      </c>
      <c r="F107" s="174">
        <v>11583</v>
      </c>
      <c r="G107" s="174">
        <v>3121</v>
      </c>
      <c r="H107" s="174">
        <v>171</v>
      </c>
      <c r="I107" s="174">
        <v>2181</v>
      </c>
      <c r="J107" s="174">
        <v>504</v>
      </c>
      <c r="K107" s="174">
        <v>11856</v>
      </c>
      <c r="L107" s="174">
        <v>91417</v>
      </c>
      <c r="M107" s="174">
        <v>33.262954226287547</v>
      </c>
      <c r="N107" s="174"/>
    </row>
    <row r="108" spans="1:14">
      <c r="A108" s="174"/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</row>
    <row r="109" spans="1:14">
      <c r="A109" s="174"/>
      <c r="B109" s="174" t="s">
        <v>1036</v>
      </c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</row>
    <row r="110" spans="1:14">
      <c r="A110" s="174">
        <v>67</v>
      </c>
      <c r="B110" s="174" t="s">
        <v>1033</v>
      </c>
      <c r="C110" s="182">
        <v>118950.09383480638</v>
      </c>
      <c r="D110" s="174">
        <v>54496</v>
      </c>
      <c r="E110" s="174">
        <v>10119</v>
      </c>
      <c r="F110" s="174">
        <v>21359</v>
      </c>
      <c r="G110" s="174">
        <v>5988</v>
      </c>
      <c r="H110" s="174">
        <v>257</v>
      </c>
      <c r="I110" s="174">
        <v>4073</v>
      </c>
      <c r="J110" s="174">
        <v>0</v>
      </c>
      <c r="K110" s="174">
        <v>22593</v>
      </c>
      <c r="L110" s="174">
        <v>118885</v>
      </c>
      <c r="M110" s="174">
        <v>65.093834806379164</v>
      </c>
      <c r="N110" s="174"/>
    </row>
    <row r="111" spans="1:14">
      <c r="A111" s="174">
        <v>68</v>
      </c>
      <c r="B111" s="174" t="s">
        <v>1032</v>
      </c>
      <c r="C111" s="182">
        <v>0.88604794383516516</v>
      </c>
      <c r="D111" s="174">
        <v>1</v>
      </c>
      <c r="E111" s="174">
        <v>0</v>
      </c>
      <c r="F111" s="174">
        <v>0</v>
      </c>
      <c r="G111" s="174">
        <v>0</v>
      </c>
      <c r="H111" s="174">
        <v>0</v>
      </c>
      <c r="I111" s="174">
        <v>0</v>
      </c>
      <c r="J111" s="174">
        <v>0</v>
      </c>
      <c r="K111" s="174">
        <v>0</v>
      </c>
      <c r="L111" s="174">
        <v>1</v>
      </c>
      <c r="M111" s="174">
        <v>-0.11395205616483484</v>
      </c>
      <c r="N111" s="174"/>
    </row>
    <row r="112" spans="1:14">
      <c r="A112" s="174">
        <v>69</v>
      </c>
      <c r="B112" s="174" t="s">
        <v>1031</v>
      </c>
      <c r="C112" s="182">
        <v>6284.6648114784985</v>
      </c>
      <c r="D112" s="174">
        <v>2567</v>
      </c>
      <c r="E112" s="174">
        <v>477</v>
      </c>
      <c r="F112" s="174">
        <v>1028</v>
      </c>
      <c r="G112" s="174">
        <v>353</v>
      </c>
      <c r="H112" s="174">
        <v>12</v>
      </c>
      <c r="I112" s="174">
        <v>195</v>
      </c>
      <c r="J112" s="174">
        <v>0</v>
      </c>
      <c r="K112" s="174">
        <v>1650</v>
      </c>
      <c r="L112" s="174">
        <v>6282</v>
      </c>
      <c r="M112" s="174">
        <v>2.66481147849845</v>
      </c>
      <c r="N112" s="174"/>
    </row>
    <row r="113" spans="1:14">
      <c r="A113" s="174">
        <v>70</v>
      </c>
      <c r="B113" s="174" t="s">
        <v>1035</v>
      </c>
      <c r="C113" s="182">
        <v>2762.9962960112207</v>
      </c>
      <c r="D113" s="174">
        <v>1333</v>
      </c>
      <c r="E113" s="174">
        <v>220</v>
      </c>
      <c r="F113" s="174">
        <v>468</v>
      </c>
      <c r="G113" s="174">
        <v>121</v>
      </c>
      <c r="H113" s="174">
        <v>17</v>
      </c>
      <c r="I113" s="174">
        <v>99</v>
      </c>
      <c r="J113" s="174">
        <v>59</v>
      </c>
      <c r="K113" s="174">
        <v>445</v>
      </c>
      <c r="L113" s="174">
        <v>2762</v>
      </c>
      <c r="M113" s="174">
        <v>0.99629601122069289</v>
      </c>
      <c r="N113" s="174"/>
    </row>
    <row r="114" spans="1:14">
      <c r="A114" s="174">
        <v>71</v>
      </c>
      <c r="B114" s="174" t="s">
        <v>45</v>
      </c>
      <c r="C114" s="182">
        <v>956.35900976005621</v>
      </c>
      <c r="D114" s="174">
        <v>511</v>
      </c>
      <c r="E114" s="174">
        <v>84</v>
      </c>
      <c r="F114" s="174">
        <v>177</v>
      </c>
      <c r="G114" s="174">
        <v>33</v>
      </c>
      <c r="H114" s="174">
        <v>6</v>
      </c>
      <c r="I114" s="174">
        <v>32</v>
      </c>
      <c r="J114" s="174">
        <v>22</v>
      </c>
      <c r="K114" s="174">
        <v>91</v>
      </c>
      <c r="L114" s="174">
        <v>956</v>
      </c>
      <c r="M114" s="174">
        <v>0.35900976005621033</v>
      </c>
      <c r="N114" s="174"/>
    </row>
    <row r="115" spans="1:14">
      <c r="A115" s="174">
        <v>72</v>
      </c>
      <c r="B115" s="174" t="s">
        <v>198</v>
      </c>
      <c r="C115" s="174">
        <v>128954.7549422961</v>
      </c>
      <c r="D115" s="174">
        <v>58908</v>
      </c>
      <c r="E115" s="174">
        <v>10900</v>
      </c>
      <c r="F115" s="174">
        <v>23032</v>
      </c>
      <c r="G115" s="174">
        <v>6495</v>
      </c>
      <c r="H115" s="174">
        <v>292</v>
      </c>
      <c r="I115" s="174">
        <v>4399</v>
      </c>
      <c r="J115" s="174">
        <v>81</v>
      </c>
      <c r="K115" s="174">
        <v>24779</v>
      </c>
      <c r="L115" s="174">
        <v>128886</v>
      </c>
      <c r="M115" s="174">
        <v>68.754942296101945</v>
      </c>
      <c r="N115" s="174"/>
    </row>
    <row r="116" spans="1:14">
      <c r="A116" s="174"/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</row>
    <row r="117" spans="1:14">
      <c r="A117" s="174"/>
      <c r="B117" s="174" t="s">
        <v>1034</v>
      </c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</row>
    <row r="118" spans="1:14">
      <c r="A118" s="174">
        <v>73</v>
      </c>
      <c r="B118" s="174" t="s">
        <v>1033</v>
      </c>
      <c r="C118" s="182">
        <v>901325.76940288988</v>
      </c>
      <c r="D118" s="174">
        <v>412939</v>
      </c>
      <c r="E118" s="174">
        <v>76674</v>
      </c>
      <c r="F118" s="174">
        <v>161843</v>
      </c>
      <c r="G118" s="174">
        <v>45372</v>
      </c>
      <c r="H118" s="174">
        <v>1951</v>
      </c>
      <c r="I118" s="174">
        <v>30859</v>
      </c>
      <c r="J118" s="174">
        <v>0</v>
      </c>
      <c r="K118" s="174">
        <v>171194</v>
      </c>
      <c r="L118" s="174">
        <v>900832</v>
      </c>
      <c r="M118" s="174">
        <v>493.76940288988408</v>
      </c>
      <c r="N118" s="174"/>
    </row>
    <row r="119" spans="1:14">
      <c r="A119" s="174">
        <v>74</v>
      </c>
      <c r="B119" s="174" t="s">
        <v>1032</v>
      </c>
      <c r="C119" s="182">
        <v>46.442122512428547</v>
      </c>
      <c r="D119" s="174">
        <v>19</v>
      </c>
      <c r="E119" s="174">
        <v>3</v>
      </c>
      <c r="F119" s="174">
        <v>7</v>
      </c>
      <c r="G119" s="174">
        <v>3</v>
      </c>
      <c r="H119" s="174">
        <v>0</v>
      </c>
      <c r="I119" s="174">
        <v>1</v>
      </c>
      <c r="J119" s="174">
        <v>0</v>
      </c>
      <c r="K119" s="174">
        <v>13</v>
      </c>
      <c r="L119" s="174">
        <v>46</v>
      </c>
      <c r="M119" s="174">
        <v>0.44212251242854705</v>
      </c>
      <c r="N119" s="174"/>
    </row>
    <row r="120" spans="1:14">
      <c r="A120" s="174">
        <v>75</v>
      </c>
      <c r="B120" s="174" t="s">
        <v>1031</v>
      </c>
      <c r="C120" s="182">
        <v>128973.46903868967</v>
      </c>
      <c r="D120" s="174">
        <v>52658</v>
      </c>
      <c r="E120" s="174">
        <v>9787</v>
      </c>
      <c r="F120" s="174">
        <v>21091</v>
      </c>
      <c r="G120" s="174">
        <v>7249</v>
      </c>
      <c r="H120" s="174">
        <v>254</v>
      </c>
      <c r="I120" s="174">
        <v>4006</v>
      </c>
      <c r="J120" s="174">
        <v>0</v>
      </c>
      <c r="K120" s="174">
        <v>33865</v>
      </c>
      <c r="L120" s="174">
        <v>128910</v>
      </c>
      <c r="M120" s="174">
        <v>63.469038689669105</v>
      </c>
      <c r="N120" s="174"/>
    </row>
    <row r="121" spans="1:14">
      <c r="A121" s="174">
        <v>76</v>
      </c>
      <c r="B121" s="174" t="s">
        <v>47</v>
      </c>
      <c r="C121" s="182">
        <v>49539.475243773966</v>
      </c>
      <c r="D121" s="174">
        <v>23889</v>
      </c>
      <c r="E121" s="174">
        <v>3945</v>
      </c>
      <c r="F121" s="174">
        <v>8398</v>
      </c>
      <c r="G121" s="174">
        <v>2178</v>
      </c>
      <c r="H121" s="174">
        <v>301</v>
      </c>
      <c r="I121" s="174">
        <v>1777</v>
      </c>
      <c r="J121" s="174">
        <v>1055</v>
      </c>
      <c r="K121" s="174">
        <v>7970</v>
      </c>
      <c r="L121" s="174">
        <v>49513</v>
      </c>
      <c r="M121" s="174">
        <v>26.475243773966213</v>
      </c>
      <c r="N121" s="174"/>
    </row>
    <row r="122" spans="1:14">
      <c r="A122" s="174">
        <v>77</v>
      </c>
      <c r="B122" s="174" t="s">
        <v>45</v>
      </c>
      <c r="C122" s="182">
        <v>8216.8441921339927</v>
      </c>
      <c r="D122" s="174">
        <v>4374</v>
      </c>
      <c r="E122" s="174">
        <v>722</v>
      </c>
      <c r="F122" s="174">
        <v>1524</v>
      </c>
      <c r="G122" s="174">
        <v>286</v>
      </c>
      <c r="H122" s="174">
        <v>55</v>
      </c>
      <c r="I122" s="174">
        <v>278</v>
      </c>
      <c r="J122" s="174">
        <v>193</v>
      </c>
      <c r="K122" s="174">
        <v>785</v>
      </c>
      <c r="L122" s="174">
        <v>8217</v>
      </c>
      <c r="M122" s="174">
        <v>-0.15580786600730789</v>
      </c>
      <c r="N122" s="174"/>
    </row>
    <row r="123" spans="1:14">
      <c r="A123" s="174">
        <v>78</v>
      </c>
      <c r="B123" s="174" t="s">
        <v>200</v>
      </c>
      <c r="C123" s="174">
        <v>1088101.5578774875</v>
      </c>
      <c r="D123" s="174">
        <v>493879</v>
      </c>
      <c r="E123" s="174">
        <v>91131</v>
      </c>
      <c r="F123" s="174">
        <v>192863</v>
      </c>
      <c r="G123" s="174">
        <v>55088</v>
      </c>
      <c r="H123" s="174">
        <v>2561</v>
      </c>
      <c r="I123" s="174">
        <v>36921</v>
      </c>
      <c r="J123" s="174">
        <v>1248</v>
      </c>
      <c r="K123" s="174">
        <v>213827</v>
      </c>
      <c r="L123" s="174">
        <v>1087518</v>
      </c>
      <c r="M123" s="174">
        <v>583.55787748750299</v>
      </c>
      <c r="N123" s="174"/>
    </row>
    <row r="124" spans="1:14">
      <c r="A124" s="174"/>
      <c r="B124" s="174"/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</row>
    <row r="125" spans="1:14">
      <c r="A125" s="174"/>
      <c r="B125" s="174" t="s">
        <v>56</v>
      </c>
      <c r="C125" s="17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</row>
    <row r="126" spans="1:14">
      <c r="A126" s="174"/>
      <c r="B126" s="174" t="s">
        <v>47</v>
      </c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</row>
    <row r="127" spans="1:14">
      <c r="A127" s="174">
        <v>79</v>
      </c>
      <c r="B127" s="174" t="s">
        <v>44</v>
      </c>
      <c r="C127" s="182">
        <v>513918.19200000004</v>
      </c>
      <c r="D127" s="174">
        <v>444068</v>
      </c>
      <c r="E127" s="174">
        <v>51095</v>
      </c>
      <c r="F127" s="174">
        <v>8896</v>
      </c>
      <c r="G127" s="174">
        <v>152</v>
      </c>
      <c r="H127" s="174">
        <v>459</v>
      </c>
      <c r="I127" s="174">
        <v>1067</v>
      </c>
      <c r="J127" s="174">
        <v>7714</v>
      </c>
      <c r="K127" s="174">
        <v>467</v>
      </c>
      <c r="L127" s="174">
        <v>513918</v>
      </c>
      <c r="M127" s="174">
        <v>0.19200000003911555</v>
      </c>
      <c r="N127" s="174"/>
    </row>
    <row r="128" spans="1:14">
      <c r="A128" s="174">
        <v>80</v>
      </c>
      <c r="B128" s="174" t="s">
        <v>39</v>
      </c>
      <c r="C128" s="182">
        <v>182181.576</v>
      </c>
      <c r="D128" s="174">
        <v>87853</v>
      </c>
      <c r="E128" s="174">
        <v>14507</v>
      </c>
      <c r="F128" s="174">
        <v>30884</v>
      </c>
      <c r="G128" s="174">
        <v>8009</v>
      </c>
      <c r="H128" s="174">
        <v>1106</v>
      </c>
      <c r="I128" s="174">
        <v>6536</v>
      </c>
      <c r="J128" s="174">
        <v>3880</v>
      </c>
      <c r="K128" s="174">
        <v>29311</v>
      </c>
      <c r="L128" s="174">
        <v>182086</v>
      </c>
      <c r="M128" s="174">
        <v>95.576000000000931</v>
      </c>
      <c r="N128" s="174"/>
    </row>
    <row r="129" spans="1:14">
      <c r="A129" s="174">
        <v>81</v>
      </c>
      <c r="B129" s="174" t="s">
        <v>46</v>
      </c>
      <c r="C129" s="182">
        <v>696098.76800000004</v>
      </c>
      <c r="D129" s="182">
        <v>531921</v>
      </c>
      <c r="E129" s="182">
        <v>65602</v>
      </c>
      <c r="F129" s="182">
        <v>39780</v>
      </c>
      <c r="G129" s="182">
        <v>8161</v>
      </c>
      <c r="H129" s="182">
        <v>1565</v>
      </c>
      <c r="I129" s="182">
        <v>7603</v>
      </c>
      <c r="J129" s="182">
        <v>11594</v>
      </c>
      <c r="K129" s="182">
        <v>29778</v>
      </c>
      <c r="L129" s="182">
        <v>696004</v>
      </c>
      <c r="M129" s="174">
        <v>94.768000000040047</v>
      </c>
      <c r="N129" s="174"/>
    </row>
    <row r="130" spans="1:14">
      <c r="A130" s="174"/>
      <c r="B130" s="174" t="s">
        <v>45</v>
      </c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</row>
    <row r="131" spans="1:14">
      <c r="A131" s="174">
        <v>82</v>
      </c>
      <c r="B131" s="174" t="s">
        <v>44</v>
      </c>
      <c r="C131" s="182">
        <v>154990.296</v>
      </c>
      <c r="D131" s="174">
        <v>133976</v>
      </c>
      <c r="E131" s="174">
        <v>15413</v>
      </c>
      <c r="F131" s="174">
        <v>2674</v>
      </c>
      <c r="G131" s="174">
        <v>39</v>
      </c>
      <c r="H131" s="174">
        <v>138</v>
      </c>
      <c r="I131" s="174">
        <v>318</v>
      </c>
      <c r="J131" s="174">
        <v>2327</v>
      </c>
      <c r="K131" s="174">
        <v>105</v>
      </c>
      <c r="L131" s="174">
        <v>154990</v>
      </c>
      <c r="M131" s="174">
        <v>0.29600000000209548</v>
      </c>
      <c r="N131" s="174"/>
    </row>
    <row r="132" spans="1:14">
      <c r="A132" s="174">
        <v>83</v>
      </c>
      <c r="B132" s="174" t="s">
        <v>39</v>
      </c>
      <c r="C132" s="182">
        <v>55288.936000000002</v>
      </c>
      <c r="D132" s="174">
        <v>29429</v>
      </c>
      <c r="E132" s="174">
        <v>4859</v>
      </c>
      <c r="F132" s="174">
        <v>10253</v>
      </c>
      <c r="G132" s="174">
        <v>1925</v>
      </c>
      <c r="H132" s="174">
        <v>371</v>
      </c>
      <c r="I132" s="174">
        <v>1868</v>
      </c>
      <c r="J132" s="174">
        <v>1300</v>
      </c>
      <c r="K132" s="174">
        <v>5284</v>
      </c>
      <c r="L132" s="174">
        <v>55289</v>
      </c>
      <c r="M132" s="174">
        <v>-6.3999999998486601E-2</v>
      </c>
      <c r="N132" s="174"/>
    </row>
    <row r="133" spans="1:14">
      <c r="A133" s="174">
        <v>84</v>
      </c>
      <c r="B133" s="174" t="s">
        <v>38</v>
      </c>
      <c r="C133" s="182">
        <v>210279.23200000002</v>
      </c>
      <c r="D133" s="182">
        <v>163405</v>
      </c>
      <c r="E133" s="182">
        <v>20272</v>
      </c>
      <c r="F133" s="182">
        <v>12927</v>
      </c>
      <c r="G133" s="182">
        <v>1964</v>
      </c>
      <c r="H133" s="182">
        <v>509</v>
      </c>
      <c r="I133" s="182">
        <v>2186</v>
      </c>
      <c r="J133" s="182">
        <v>3627</v>
      </c>
      <c r="K133" s="182">
        <v>5389</v>
      </c>
      <c r="L133" s="182">
        <v>210279</v>
      </c>
      <c r="M133" s="174">
        <v>0.23200000001816079</v>
      </c>
      <c r="N133" s="174"/>
    </row>
    <row r="134" spans="1:14">
      <c r="A134" s="174">
        <v>85</v>
      </c>
      <c r="B134" s="174" t="s">
        <v>55</v>
      </c>
      <c r="C134" s="182">
        <v>906378</v>
      </c>
      <c r="D134" s="174">
        <v>695326</v>
      </c>
      <c r="E134" s="174">
        <v>85874</v>
      </c>
      <c r="F134" s="174">
        <v>52707</v>
      </c>
      <c r="G134" s="174">
        <v>10125</v>
      </c>
      <c r="H134" s="174">
        <v>2074</v>
      </c>
      <c r="I134" s="174">
        <v>9789</v>
      </c>
      <c r="J134" s="174">
        <v>15221</v>
      </c>
      <c r="K134" s="174">
        <v>35167</v>
      </c>
      <c r="L134" s="174">
        <v>906283</v>
      </c>
      <c r="M134" s="174">
        <v>95</v>
      </c>
      <c r="N134" s="174"/>
    </row>
    <row r="135" spans="1:14">
      <c r="A135" s="174"/>
      <c r="B135" s="174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</row>
    <row r="136" spans="1:14">
      <c r="A136" s="174"/>
      <c r="B136" s="174" t="s">
        <v>1030</v>
      </c>
      <c r="C136" s="174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</row>
    <row r="137" spans="1:14">
      <c r="A137" s="174"/>
      <c r="B137" s="174" t="s">
        <v>47</v>
      </c>
      <c r="C137" s="174"/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</row>
    <row r="138" spans="1:14">
      <c r="A138" s="174">
        <v>86</v>
      </c>
      <c r="B138" s="174" t="s">
        <v>44</v>
      </c>
      <c r="C138" s="182">
        <v>230964.71442885773</v>
      </c>
      <c r="D138" s="174">
        <v>199573</v>
      </c>
      <c r="E138" s="174">
        <v>22963</v>
      </c>
      <c r="F138" s="174">
        <v>3998</v>
      </c>
      <c r="G138" s="174">
        <v>68</v>
      </c>
      <c r="H138" s="174">
        <v>206</v>
      </c>
      <c r="I138" s="174">
        <v>480</v>
      </c>
      <c r="J138" s="174">
        <v>3467</v>
      </c>
      <c r="K138" s="174">
        <v>210</v>
      </c>
      <c r="L138" s="174">
        <v>230965</v>
      </c>
      <c r="M138" s="174">
        <v>-0.28557114227442071</v>
      </c>
      <c r="N138" s="174"/>
    </row>
    <row r="139" spans="1:14">
      <c r="A139" s="174">
        <v>87</v>
      </c>
      <c r="B139" s="174" t="s">
        <v>39</v>
      </c>
      <c r="C139" s="182">
        <v>553149.58917835669</v>
      </c>
      <c r="D139" s="174">
        <v>266740</v>
      </c>
      <c r="E139" s="174">
        <v>44046</v>
      </c>
      <c r="F139" s="174">
        <v>93772</v>
      </c>
      <c r="G139" s="174">
        <v>24319</v>
      </c>
      <c r="H139" s="174">
        <v>3359</v>
      </c>
      <c r="I139" s="174">
        <v>19844</v>
      </c>
      <c r="J139" s="174">
        <v>11780</v>
      </c>
      <c r="K139" s="174">
        <v>88995</v>
      </c>
      <c r="L139" s="174">
        <v>552855</v>
      </c>
      <c r="M139" s="174">
        <v>294.58917835669126</v>
      </c>
      <c r="N139" s="174"/>
    </row>
    <row r="140" spans="1:14">
      <c r="A140" s="174">
        <v>88</v>
      </c>
      <c r="B140" s="174" t="s">
        <v>46</v>
      </c>
      <c r="C140" s="182">
        <v>784115.30360721448</v>
      </c>
      <c r="D140" s="182">
        <v>466313</v>
      </c>
      <c r="E140" s="182">
        <v>67009</v>
      </c>
      <c r="F140" s="182">
        <v>97770</v>
      </c>
      <c r="G140" s="182">
        <v>24387</v>
      </c>
      <c r="H140" s="182">
        <v>3565</v>
      </c>
      <c r="I140" s="182">
        <v>20324</v>
      </c>
      <c r="J140" s="182">
        <v>15247</v>
      </c>
      <c r="K140" s="182">
        <v>89205</v>
      </c>
      <c r="L140" s="182">
        <v>783820</v>
      </c>
      <c r="M140" s="174">
        <v>295.30360721447505</v>
      </c>
      <c r="N140" s="174"/>
    </row>
    <row r="141" spans="1:14">
      <c r="A141" s="174"/>
      <c r="B141" s="174" t="s">
        <v>45</v>
      </c>
      <c r="C141" s="182"/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</row>
    <row r="142" spans="1:14">
      <c r="A142" s="174">
        <v>89</v>
      </c>
      <c r="B142" s="174" t="s">
        <v>44</v>
      </c>
      <c r="C142" s="182">
        <v>54344.521042084169</v>
      </c>
      <c r="D142" s="174">
        <v>46975</v>
      </c>
      <c r="E142" s="174">
        <v>5404</v>
      </c>
      <c r="F142" s="174">
        <v>938</v>
      </c>
      <c r="G142" s="174">
        <v>14</v>
      </c>
      <c r="H142" s="174">
        <v>49</v>
      </c>
      <c r="I142" s="174">
        <v>112</v>
      </c>
      <c r="J142" s="174">
        <v>816</v>
      </c>
      <c r="K142" s="174">
        <v>37</v>
      </c>
      <c r="L142" s="174">
        <v>54345</v>
      </c>
      <c r="M142" s="174">
        <v>-0.47895791583141545</v>
      </c>
      <c r="N142" s="174"/>
    </row>
    <row r="143" spans="1:14">
      <c r="A143" s="174">
        <v>90</v>
      </c>
      <c r="B143" s="174" t="s">
        <v>39</v>
      </c>
      <c r="C143" s="182">
        <v>130038.67535070139</v>
      </c>
      <c r="D143" s="174">
        <v>69218</v>
      </c>
      <c r="E143" s="174">
        <v>11428</v>
      </c>
      <c r="F143" s="174">
        <v>24116</v>
      </c>
      <c r="G143" s="174">
        <v>4527</v>
      </c>
      <c r="H143" s="174">
        <v>872</v>
      </c>
      <c r="I143" s="174">
        <v>4394</v>
      </c>
      <c r="J143" s="174">
        <v>3057</v>
      </c>
      <c r="K143" s="174">
        <v>12427</v>
      </c>
      <c r="L143" s="174">
        <v>130039</v>
      </c>
      <c r="M143" s="174">
        <v>-0.32464929860725533</v>
      </c>
      <c r="N143" s="174"/>
    </row>
    <row r="144" spans="1:14">
      <c r="A144" s="174">
        <v>91</v>
      </c>
      <c r="B144" s="174" t="s">
        <v>38</v>
      </c>
      <c r="C144" s="182">
        <v>184383.19639278555</v>
      </c>
      <c r="D144" s="182">
        <v>116193</v>
      </c>
      <c r="E144" s="182">
        <v>16832</v>
      </c>
      <c r="F144" s="182">
        <v>25054</v>
      </c>
      <c r="G144" s="182">
        <v>4541</v>
      </c>
      <c r="H144" s="182">
        <v>921</v>
      </c>
      <c r="I144" s="182">
        <v>4506</v>
      </c>
      <c r="J144" s="182">
        <v>3873</v>
      </c>
      <c r="K144" s="182">
        <v>12464</v>
      </c>
      <c r="L144" s="182">
        <v>184384</v>
      </c>
      <c r="M144" s="174">
        <v>0.19639278555405326</v>
      </c>
      <c r="N144" s="174"/>
    </row>
    <row r="145" spans="1:14">
      <c r="A145" s="174">
        <v>92</v>
      </c>
      <c r="B145" s="174" t="s">
        <v>53</v>
      </c>
      <c r="C145" s="174">
        <v>968498.5</v>
      </c>
      <c r="D145" s="174">
        <v>582506</v>
      </c>
      <c r="E145" s="174">
        <v>83841</v>
      </c>
      <c r="F145" s="174">
        <v>122824</v>
      </c>
      <c r="G145" s="174">
        <v>28928</v>
      </c>
      <c r="H145" s="174">
        <v>4486</v>
      </c>
      <c r="I145" s="174">
        <v>24830</v>
      </c>
      <c r="J145" s="174">
        <v>19120</v>
      </c>
      <c r="K145" s="174">
        <v>101669</v>
      </c>
      <c r="L145" s="174">
        <v>968204</v>
      </c>
      <c r="M145" s="174">
        <v>294.5</v>
      </c>
      <c r="N145" s="174"/>
    </row>
    <row r="146" spans="1:14">
      <c r="A146" s="174"/>
      <c r="B146" s="174"/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</row>
    <row r="147" spans="1:14">
      <c r="A147" s="174"/>
      <c r="B147" s="174" t="s">
        <v>52</v>
      </c>
      <c r="C147" s="174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</row>
    <row r="148" spans="1:14">
      <c r="A148" s="174"/>
      <c r="B148" s="174" t="s">
        <v>47</v>
      </c>
      <c r="C148" s="174"/>
      <c r="D148" s="174"/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</row>
    <row r="149" spans="1:14">
      <c r="A149" s="174">
        <v>93</v>
      </c>
      <c r="B149" s="174" t="s">
        <v>44</v>
      </c>
      <c r="C149" s="182">
        <v>20158.616000000002</v>
      </c>
      <c r="D149" s="174">
        <v>17419</v>
      </c>
      <c r="E149" s="174">
        <v>2004</v>
      </c>
      <c r="F149" s="174">
        <v>349</v>
      </c>
      <c r="G149" s="174">
        <v>6</v>
      </c>
      <c r="H149" s="174">
        <v>18</v>
      </c>
      <c r="I149" s="174">
        <v>42</v>
      </c>
      <c r="J149" s="174">
        <v>303</v>
      </c>
      <c r="K149" s="174">
        <v>18</v>
      </c>
      <c r="L149" s="174">
        <v>20159</v>
      </c>
      <c r="M149" s="174">
        <v>-0.38399999999819556</v>
      </c>
      <c r="N149" s="174"/>
    </row>
    <row r="150" spans="1:14">
      <c r="A150" s="174">
        <v>94</v>
      </c>
      <c r="B150" s="174" t="s">
        <v>39</v>
      </c>
      <c r="C150" s="182">
        <v>246784.20799999998</v>
      </c>
      <c r="D150" s="174">
        <v>119004</v>
      </c>
      <c r="E150" s="174">
        <v>19651</v>
      </c>
      <c r="F150" s="174">
        <v>41836</v>
      </c>
      <c r="G150" s="174">
        <v>10850</v>
      </c>
      <c r="H150" s="174">
        <v>1498</v>
      </c>
      <c r="I150" s="174">
        <v>8853</v>
      </c>
      <c r="J150" s="174">
        <v>5256</v>
      </c>
      <c r="K150" s="174">
        <v>39705</v>
      </c>
      <c r="L150" s="174">
        <v>246653</v>
      </c>
      <c r="M150" s="174">
        <v>131.20799999998417</v>
      </c>
      <c r="N150" s="174"/>
    </row>
    <row r="151" spans="1:14">
      <c r="A151" s="174">
        <v>95</v>
      </c>
      <c r="B151" s="174" t="s">
        <v>46</v>
      </c>
      <c r="C151" s="182">
        <v>266942.82399999996</v>
      </c>
      <c r="D151" s="182">
        <v>136423</v>
      </c>
      <c r="E151" s="182">
        <v>21655</v>
      </c>
      <c r="F151" s="182">
        <v>42185</v>
      </c>
      <c r="G151" s="182">
        <v>10856</v>
      </c>
      <c r="H151" s="182">
        <v>1516</v>
      </c>
      <c r="I151" s="182">
        <v>8895</v>
      </c>
      <c r="J151" s="182">
        <v>5559</v>
      </c>
      <c r="K151" s="182">
        <v>39723</v>
      </c>
      <c r="L151" s="182">
        <v>266812</v>
      </c>
      <c r="M151" s="174">
        <v>130.82399999996414</v>
      </c>
      <c r="N151" s="174"/>
    </row>
    <row r="152" spans="1:14">
      <c r="A152" s="174"/>
      <c r="B152" s="174" t="s">
        <v>45</v>
      </c>
      <c r="C152" s="182"/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</row>
    <row r="153" spans="1:14">
      <c r="A153" s="174">
        <v>96</v>
      </c>
      <c r="B153" s="174" t="s">
        <v>44</v>
      </c>
      <c r="C153" s="182">
        <v>1221.954</v>
      </c>
      <c r="D153" s="174">
        <v>1056</v>
      </c>
      <c r="E153" s="174">
        <v>122</v>
      </c>
      <c r="F153" s="174">
        <v>21</v>
      </c>
      <c r="G153" s="174">
        <v>0</v>
      </c>
      <c r="H153" s="174">
        <v>1</v>
      </c>
      <c r="I153" s="174">
        <v>3</v>
      </c>
      <c r="J153" s="174">
        <v>18</v>
      </c>
      <c r="K153" s="174">
        <v>1</v>
      </c>
      <c r="L153" s="174">
        <v>1222</v>
      </c>
      <c r="M153" s="174">
        <v>-4.6000000000049113E-2</v>
      </c>
      <c r="N153" s="174"/>
    </row>
    <row r="154" spans="1:14">
      <c r="A154" s="174">
        <v>97</v>
      </c>
      <c r="B154" s="174" t="s">
        <v>39</v>
      </c>
      <c r="C154" s="182">
        <v>37261.972000000002</v>
      </c>
      <c r="D154" s="174">
        <v>19834</v>
      </c>
      <c r="E154" s="174">
        <v>3275</v>
      </c>
      <c r="F154" s="174">
        <v>6910</v>
      </c>
      <c r="G154" s="174">
        <v>1297</v>
      </c>
      <c r="H154" s="174">
        <v>250</v>
      </c>
      <c r="I154" s="174">
        <v>1259</v>
      </c>
      <c r="J154" s="174">
        <v>876</v>
      </c>
      <c r="K154" s="174">
        <v>3561</v>
      </c>
      <c r="L154" s="174">
        <v>37262</v>
      </c>
      <c r="M154" s="174">
        <v>-2.7999999998428393E-2</v>
      </c>
      <c r="N154" s="174"/>
    </row>
    <row r="155" spans="1:14">
      <c r="A155" s="174">
        <v>98</v>
      </c>
      <c r="B155" s="174" t="s">
        <v>38</v>
      </c>
      <c r="C155" s="182">
        <v>38483.925999999999</v>
      </c>
      <c r="D155" s="182">
        <v>20890</v>
      </c>
      <c r="E155" s="182">
        <v>3397</v>
      </c>
      <c r="F155" s="182">
        <v>6931</v>
      </c>
      <c r="G155" s="182">
        <v>1297</v>
      </c>
      <c r="H155" s="182">
        <v>251</v>
      </c>
      <c r="I155" s="182">
        <v>1262</v>
      </c>
      <c r="J155" s="182">
        <v>894</v>
      </c>
      <c r="K155" s="182">
        <v>3562</v>
      </c>
      <c r="L155" s="182">
        <v>38484</v>
      </c>
      <c r="M155" s="174">
        <v>-7.4000000000523869E-2</v>
      </c>
      <c r="N155" s="174"/>
    </row>
    <row r="156" spans="1:14">
      <c r="A156" s="174">
        <v>99</v>
      </c>
      <c r="B156" s="174" t="s">
        <v>51</v>
      </c>
      <c r="C156" s="174">
        <v>305426.74999999994</v>
      </c>
      <c r="D156" s="174">
        <v>157313</v>
      </c>
      <c r="E156" s="174">
        <v>25052</v>
      </c>
      <c r="F156" s="174">
        <v>49116</v>
      </c>
      <c r="G156" s="174">
        <v>12153</v>
      </c>
      <c r="H156" s="174">
        <v>1767</v>
      </c>
      <c r="I156" s="174">
        <v>10157</v>
      </c>
      <c r="J156" s="174">
        <v>6453</v>
      </c>
      <c r="K156" s="174">
        <v>43285</v>
      </c>
      <c r="L156" s="174">
        <v>305296</v>
      </c>
      <c r="M156" s="174">
        <v>130.74999999994179</v>
      </c>
      <c r="N156" s="174"/>
    </row>
    <row r="157" spans="1:14">
      <c r="A157" s="174"/>
      <c r="B157" s="174"/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</row>
    <row r="158" spans="1:14">
      <c r="A158" s="174"/>
      <c r="B158" s="174" t="s">
        <v>1029</v>
      </c>
      <c r="C158" s="174"/>
      <c r="D158" s="174"/>
      <c r="E158" s="174"/>
      <c r="F158" s="174"/>
      <c r="G158" s="174"/>
      <c r="H158" s="174"/>
      <c r="I158" s="174"/>
      <c r="J158" s="174"/>
      <c r="K158" s="174"/>
      <c r="L158" s="174"/>
      <c r="M158" s="174"/>
      <c r="N158" s="174"/>
    </row>
    <row r="159" spans="1:14">
      <c r="A159" s="174"/>
      <c r="B159" s="174" t="s">
        <v>47</v>
      </c>
      <c r="C159" s="174"/>
      <c r="D159" s="174"/>
      <c r="E159" s="174"/>
      <c r="F159" s="174"/>
      <c r="G159" s="174"/>
      <c r="H159" s="174"/>
      <c r="I159" s="174"/>
      <c r="J159" s="174"/>
      <c r="K159" s="174"/>
      <c r="L159" s="174"/>
      <c r="M159" s="174"/>
      <c r="N159" s="174"/>
    </row>
    <row r="160" spans="1:14">
      <c r="A160" s="174">
        <v>100</v>
      </c>
      <c r="B160" s="174" t="s">
        <v>44</v>
      </c>
      <c r="C160" s="182">
        <v>98526.6</v>
      </c>
      <c r="D160" s="174">
        <v>85135</v>
      </c>
      <c r="E160" s="174">
        <v>9796</v>
      </c>
      <c r="F160" s="174">
        <v>1706</v>
      </c>
      <c r="G160" s="174">
        <v>29</v>
      </c>
      <c r="H160" s="174">
        <v>88</v>
      </c>
      <c r="I160" s="174">
        <v>205</v>
      </c>
      <c r="J160" s="174">
        <v>1479</v>
      </c>
      <c r="K160" s="174">
        <v>89</v>
      </c>
      <c r="L160" s="174">
        <v>98527</v>
      </c>
      <c r="M160" s="174">
        <v>-0.39999999999417923</v>
      </c>
      <c r="N160" s="174"/>
    </row>
    <row r="161" spans="1:14">
      <c r="A161" s="174">
        <v>101</v>
      </c>
      <c r="B161" s="174" t="s">
        <v>39</v>
      </c>
      <c r="C161" s="182">
        <v>1198739.2999999998</v>
      </c>
      <c r="D161" s="174">
        <v>578058</v>
      </c>
      <c r="E161" s="174">
        <v>95453</v>
      </c>
      <c r="F161" s="174">
        <v>203215</v>
      </c>
      <c r="G161" s="174">
        <v>52701</v>
      </c>
      <c r="H161" s="174">
        <v>7279</v>
      </c>
      <c r="I161" s="174">
        <v>43003</v>
      </c>
      <c r="J161" s="174">
        <v>25529</v>
      </c>
      <c r="K161" s="174">
        <v>192863</v>
      </c>
      <c r="L161" s="174">
        <v>1198101</v>
      </c>
      <c r="M161" s="174">
        <v>638.29999999981374</v>
      </c>
      <c r="N161" s="174"/>
    </row>
    <row r="162" spans="1:14">
      <c r="A162" s="174">
        <v>102</v>
      </c>
      <c r="B162" s="174" t="s">
        <v>46</v>
      </c>
      <c r="C162" s="182">
        <v>1297265.8999999999</v>
      </c>
      <c r="D162" s="182">
        <v>663193</v>
      </c>
      <c r="E162" s="182">
        <v>105249</v>
      </c>
      <c r="F162" s="182">
        <v>204921</v>
      </c>
      <c r="G162" s="182">
        <v>52730</v>
      </c>
      <c r="H162" s="182">
        <v>7367</v>
      </c>
      <c r="I162" s="182">
        <v>43208</v>
      </c>
      <c r="J162" s="182">
        <v>27008</v>
      </c>
      <c r="K162" s="182">
        <v>192952</v>
      </c>
      <c r="L162" s="182">
        <v>1296628</v>
      </c>
      <c r="M162" s="174">
        <v>637.89999999990687</v>
      </c>
      <c r="N162" s="174"/>
    </row>
    <row r="163" spans="1:14">
      <c r="A163" s="174"/>
      <c r="B163" s="174" t="s">
        <v>45</v>
      </c>
      <c r="C163" s="182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</row>
    <row r="164" spans="1:14">
      <c r="A164" s="174">
        <v>103</v>
      </c>
      <c r="B164" s="174" t="s">
        <v>44</v>
      </c>
      <c r="C164" s="182">
        <v>5473.7</v>
      </c>
      <c r="D164" s="174">
        <v>4733</v>
      </c>
      <c r="E164" s="174">
        <v>544</v>
      </c>
      <c r="F164" s="174">
        <v>94</v>
      </c>
      <c r="G164" s="174">
        <v>1</v>
      </c>
      <c r="H164" s="174">
        <v>5</v>
      </c>
      <c r="I164" s="174">
        <v>11</v>
      </c>
      <c r="J164" s="174">
        <v>82</v>
      </c>
      <c r="K164" s="174">
        <v>4</v>
      </c>
      <c r="L164" s="174">
        <v>5474</v>
      </c>
      <c r="M164" s="174">
        <v>-0.3000000000001819</v>
      </c>
      <c r="N164" s="174"/>
    </row>
    <row r="165" spans="1:14">
      <c r="A165" s="174">
        <v>104</v>
      </c>
      <c r="B165" s="174" t="s">
        <v>39</v>
      </c>
      <c r="C165" s="182">
        <v>65684.399999999994</v>
      </c>
      <c r="D165" s="174">
        <v>34963</v>
      </c>
      <c r="E165" s="174">
        <v>5773</v>
      </c>
      <c r="F165" s="174">
        <v>12181</v>
      </c>
      <c r="G165" s="174">
        <v>2286</v>
      </c>
      <c r="H165" s="174">
        <v>440</v>
      </c>
      <c r="I165" s="174">
        <v>2220</v>
      </c>
      <c r="J165" s="174">
        <v>1544</v>
      </c>
      <c r="K165" s="174">
        <v>6277</v>
      </c>
      <c r="L165" s="174">
        <v>65684</v>
      </c>
      <c r="M165" s="174">
        <v>0.39999999999417923</v>
      </c>
      <c r="N165" s="174"/>
    </row>
    <row r="166" spans="1:14">
      <c r="A166" s="174">
        <v>105</v>
      </c>
      <c r="B166" s="174" t="s">
        <v>38</v>
      </c>
      <c r="C166" s="182">
        <v>71158.099999999991</v>
      </c>
      <c r="D166" s="182">
        <v>39696</v>
      </c>
      <c r="E166" s="182">
        <v>6317</v>
      </c>
      <c r="F166" s="182">
        <v>12275</v>
      </c>
      <c r="G166" s="182">
        <v>2287</v>
      </c>
      <c r="H166" s="182">
        <v>445</v>
      </c>
      <c r="I166" s="182">
        <v>2231</v>
      </c>
      <c r="J166" s="182">
        <v>1626</v>
      </c>
      <c r="K166" s="182">
        <v>6281</v>
      </c>
      <c r="L166" s="182">
        <v>71158</v>
      </c>
      <c r="M166" s="174">
        <v>9.9999999991268851E-2</v>
      </c>
      <c r="N166" s="174"/>
    </row>
    <row r="167" spans="1:14">
      <c r="A167" s="174">
        <v>106</v>
      </c>
      <c r="B167" s="174" t="s">
        <v>49</v>
      </c>
      <c r="C167" s="174">
        <v>1368424</v>
      </c>
      <c r="D167" s="174">
        <v>702889</v>
      </c>
      <c r="E167" s="174">
        <v>111566</v>
      </c>
      <c r="F167" s="174">
        <v>217196</v>
      </c>
      <c r="G167" s="174">
        <v>55017</v>
      </c>
      <c r="H167" s="174">
        <v>7812</v>
      </c>
      <c r="I167" s="174">
        <v>45439</v>
      </c>
      <c r="J167" s="174">
        <v>28634</v>
      </c>
      <c r="K167" s="174">
        <v>199233</v>
      </c>
      <c r="L167" s="174">
        <v>1367786</v>
      </c>
      <c r="M167" s="174">
        <v>638</v>
      </c>
      <c r="N167" s="174"/>
    </row>
    <row r="168" spans="1:14">
      <c r="A168" s="174"/>
      <c r="B168" s="174"/>
      <c r="C168" s="174"/>
      <c r="D168" s="174"/>
      <c r="E168" s="174"/>
      <c r="F168" s="174"/>
      <c r="G168" s="174"/>
      <c r="H168" s="174"/>
      <c r="I168" s="174"/>
      <c r="J168" s="174"/>
      <c r="K168" s="174"/>
      <c r="L168" s="174"/>
      <c r="M168" s="174"/>
      <c r="N168" s="174"/>
    </row>
    <row r="169" spans="1:14">
      <c r="A169" s="174"/>
      <c r="B169" s="174" t="s">
        <v>1028</v>
      </c>
      <c r="C169" s="174"/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</row>
    <row r="170" spans="1:14">
      <c r="A170" s="174"/>
      <c r="B170" s="174" t="s">
        <v>47</v>
      </c>
      <c r="C170" s="174"/>
      <c r="D170" s="174"/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</row>
    <row r="171" spans="1:14">
      <c r="A171" s="174">
        <v>107</v>
      </c>
      <c r="B171" s="174" t="s">
        <v>44</v>
      </c>
      <c r="C171" s="182">
        <v>12848.424917691918</v>
      </c>
      <c r="D171" s="174">
        <v>11102</v>
      </c>
      <c r="E171" s="174">
        <v>1277</v>
      </c>
      <c r="F171" s="174">
        <v>222</v>
      </c>
      <c r="G171" s="174">
        <v>4</v>
      </c>
      <c r="H171" s="174">
        <v>11</v>
      </c>
      <c r="I171" s="174">
        <v>27</v>
      </c>
      <c r="J171" s="174">
        <v>193</v>
      </c>
      <c r="K171" s="174">
        <v>12</v>
      </c>
      <c r="L171" s="174">
        <v>12848</v>
      </c>
      <c r="M171" s="174">
        <v>0.42491769191838102</v>
      </c>
      <c r="N171" s="174"/>
    </row>
    <row r="172" spans="1:14">
      <c r="A172" s="174">
        <v>108</v>
      </c>
      <c r="B172" s="174" t="s">
        <v>39</v>
      </c>
      <c r="C172" s="182">
        <v>121171.4568799698</v>
      </c>
      <c r="D172" s="174">
        <v>58429</v>
      </c>
      <c r="E172" s="174">
        <v>9649</v>
      </c>
      <c r="F172" s="174">
        <v>20542</v>
      </c>
      <c r="G172" s="174">
        <v>5327</v>
      </c>
      <c r="H172" s="174">
        <v>736</v>
      </c>
      <c r="I172" s="174">
        <v>4347</v>
      </c>
      <c r="J172" s="174">
        <v>2581</v>
      </c>
      <c r="K172" s="174">
        <v>19495</v>
      </c>
      <c r="L172" s="174">
        <v>121106</v>
      </c>
      <c r="M172" s="174">
        <v>65.456879969802685</v>
      </c>
      <c r="N172" s="174"/>
    </row>
    <row r="173" spans="1:14">
      <c r="A173" s="174">
        <v>109</v>
      </c>
      <c r="B173" s="174" t="s">
        <v>46</v>
      </c>
      <c r="C173" s="182">
        <v>134019.88179766171</v>
      </c>
      <c r="D173" s="182">
        <v>69531</v>
      </c>
      <c r="E173" s="182">
        <v>10926</v>
      </c>
      <c r="F173" s="182">
        <v>20764</v>
      </c>
      <c r="G173" s="182">
        <v>5331</v>
      </c>
      <c r="H173" s="182">
        <v>747</v>
      </c>
      <c r="I173" s="182">
        <v>4374</v>
      </c>
      <c r="J173" s="182">
        <v>2774</v>
      </c>
      <c r="K173" s="182">
        <v>19507</v>
      </c>
      <c r="L173" s="182">
        <v>133954</v>
      </c>
      <c r="M173" s="174">
        <v>65.88179766171379</v>
      </c>
      <c r="N173" s="174"/>
    </row>
    <row r="174" spans="1:14">
      <c r="A174" s="174"/>
      <c r="B174" s="174" t="s">
        <v>45</v>
      </c>
      <c r="C174" s="182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</row>
    <row r="175" spans="1:14">
      <c r="A175" s="174"/>
      <c r="B175" s="174" t="s">
        <v>44</v>
      </c>
      <c r="C175" s="186"/>
      <c r="D175" s="185"/>
      <c r="E175" s="185"/>
      <c r="F175" s="185"/>
      <c r="G175" s="185"/>
      <c r="H175" s="185"/>
      <c r="I175" s="185"/>
      <c r="J175" s="185"/>
      <c r="K175" s="185"/>
      <c r="L175" s="185"/>
      <c r="M175" s="185"/>
      <c r="N175" s="185"/>
    </row>
    <row r="176" spans="1:14">
      <c r="A176" s="183">
        <v>110</v>
      </c>
      <c r="B176" s="183" t="s">
        <v>1027</v>
      </c>
      <c r="C176" s="187">
        <v>48858.87586903265</v>
      </c>
      <c r="D176" s="183">
        <v>41273</v>
      </c>
      <c r="E176" s="183">
        <v>6432</v>
      </c>
      <c r="F176" s="183">
        <v>920</v>
      </c>
      <c r="G176" s="183">
        <v>19</v>
      </c>
      <c r="H176" s="183">
        <v>39</v>
      </c>
      <c r="I176" s="183">
        <v>82</v>
      </c>
      <c r="J176" s="183">
        <v>9</v>
      </c>
      <c r="K176" s="183">
        <v>85</v>
      </c>
      <c r="L176" s="183">
        <v>48859</v>
      </c>
      <c r="M176" s="183">
        <v>-0.12413096734962892</v>
      </c>
      <c r="N176" s="183"/>
    </row>
    <row r="177" spans="1:14">
      <c r="A177" s="183">
        <v>111</v>
      </c>
      <c r="B177" s="183" t="s">
        <v>1026</v>
      </c>
      <c r="C177" s="187">
        <v>11185.825905821846</v>
      </c>
      <c r="D177" s="183">
        <v>0</v>
      </c>
      <c r="E177" s="183">
        <v>5312</v>
      </c>
      <c r="F177" s="183">
        <v>4841</v>
      </c>
      <c r="G177" s="183">
        <v>151</v>
      </c>
      <c r="H177" s="183">
        <v>86</v>
      </c>
      <c r="I177" s="183">
        <v>399</v>
      </c>
      <c r="J177" s="183">
        <v>0</v>
      </c>
      <c r="K177" s="183">
        <v>397</v>
      </c>
      <c r="L177" s="183">
        <v>11186</v>
      </c>
      <c r="M177" s="183">
        <v>-0.17409417815360939</v>
      </c>
      <c r="N177" s="183"/>
    </row>
    <row r="178" spans="1:14">
      <c r="A178" s="183">
        <v>112</v>
      </c>
      <c r="B178" s="183" t="s">
        <v>1025</v>
      </c>
      <c r="C178" s="187">
        <v>112172.37737002013</v>
      </c>
      <c r="D178" s="183">
        <v>90932</v>
      </c>
      <c r="E178" s="183">
        <v>19553</v>
      </c>
      <c r="F178" s="183">
        <v>1205</v>
      </c>
      <c r="G178" s="183">
        <v>3</v>
      </c>
      <c r="H178" s="183">
        <v>208</v>
      </c>
      <c r="I178" s="183">
        <v>223</v>
      </c>
      <c r="J178" s="183">
        <v>37</v>
      </c>
      <c r="K178" s="183">
        <v>11</v>
      </c>
      <c r="L178" s="183">
        <v>112172</v>
      </c>
      <c r="M178" s="183">
        <v>0.37737002012727316</v>
      </c>
      <c r="N178" s="183"/>
    </row>
    <row r="179" spans="1:14">
      <c r="A179" s="183">
        <v>113</v>
      </c>
      <c r="B179" s="183" t="s">
        <v>1024</v>
      </c>
      <c r="C179" s="187">
        <v>9874.7001074281015</v>
      </c>
      <c r="D179" s="183">
        <v>0</v>
      </c>
      <c r="E179" s="183">
        <v>6648</v>
      </c>
      <c r="F179" s="183">
        <v>2872</v>
      </c>
      <c r="G179" s="183">
        <v>11</v>
      </c>
      <c r="H179" s="183">
        <v>154</v>
      </c>
      <c r="I179" s="183">
        <v>154</v>
      </c>
      <c r="J179" s="183">
        <v>0</v>
      </c>
      <c r="K179" s="183">
        <v>36</v>
      </c>
      <c r="L179" s="183">
        <v>9875</v>
      </c>
      <c r="M179" s="183">
        <v>-0.29989257189845375</v>
      </c>
      <c r="N179" s="183"/>
    </row>
    <row r="180" spans="1:14">
      <c r="A180" s="174">
        <v>114</v>
      </c>
      <c r="B180" s="174" t="s">
        <v>40</v>
      </c>
      <c r="C180" s="182">
        <v>182091.77925230272</v>
      </c>
      <c r="D180" s="174">
        <v>132205</v>
      </c>
      <c r="E180" s="174">
        <v>37945</v>
      </c>
      <c r="F180" s="174">
        <v>9838</v>
      </c>
      <c r="G180" s="174">
        <v>184</v>
      </c>
      <c r="H180" s="174">
        <v>487</v>
      </c>
      <c r="I180" s="174">
        <v>858</v>
      </c>
      <c r="J180" s="174">
        <v>46</v>
      </c>
      <c r="K180" s="174">
        <v>529</v>
      </c>
      <c r="L180" s="174">
        <v>182092</v>
      </c>
      <c r="M180" s="174">
        <v>-0.22074769728351384</v>
      </c>
      <c r="N180" s="174"/>
    </row>
    <row r="181" spans="1:14">
      <c r="A181" s="174">
        <v>115</v>
      </c>
      <c r="B181" s="174" t="s">
        <v>39</v>
      </c>
      <c r="C181" s="182">
        <v>953822.33895003574</v>
      </c>
      <c r="D181" s="174">
        <v>507705</v>
      </c>
      <c r="E181" s="174">
        <v>83827</v>
      </c>
      <c r="F181" s="174">
        <v>176888</v>
      </c>
      <c r="G181" s="174">
        <v>33203</v>
      </c>
      <c r="H181" s="174">
        <v>6393</v>
      </c>
      <c r="I181" s="174">
        <v>32231</v>
      </c>
      <c r="J181" s="174">
        <v>22424</v>
      </c>
      <c r="K181" s="174">
        <v>91151</v>
      </c>
      <c r="L181" s="174">
        <v>953822</v>
      </c>
      <c r="M181" s="174">
        <v>0.33895003574434668</v>
      </c>
      <c r="N181" s="174"/>
    </row>
    <row r="182" spans="1:14">
      <c r="A182" s="174">
        <v>116</v>
      </c>
      <c r="B182" s="174" t="s">
        <v>38</v>
      </c>
      <c r="C182" s="182">
        <v>1135914.1182023385</v>
      </c>
      <c r="D182" s="182">
        <v>639910</v>
      </c>
      <c r="E182" s="182">
        <v>121772</v>
      </c>
      <c r="F182" s="182">
        <v>186726</v>
      </c>
      <c r="G182" s="182">
        <v>33387</v>
      </c>
      <c r="H182" s="182">
        <v>6880</v>
      </c>
      <c r="I182" s="182">
        <v>33089</v>
      </c>
      <c r="J182" s="182">
        <v>22470</v>
      </c>
      <c r="K182" s="182">
        <v>91680</v>
      </c>
      <c r="L182" s="182">
        <v>1135914</v>
      </c>
      <c r="M182" s="174">
        <v>0.11820233846083283</v>
      </c>
      <c r="N182" s="174"/>
    </row>
    <row r="183" spans="1:14">
      <c r="A183" s="174">
        <v>117</v>
      </c>
      <c r="B183" s="174" t="s">
        <v>37</v>
      </c>
      <c r="C183" s="174">
        <v>1269934.0000000002</v>
      </c>
      <c r="D183" s="174">
        <v>709441</v>
      </c>
      <c r="E183" s="174">
        <v>132698</v>
      </c>
      <c r="F183" s="174">
        <v>207490</v>
      </c>
      <c r="G183" s="174">
        <v>38718</v>
      </c>
      <c r="H183" s="174">
        <v>7627</v>
      </c>
      <c r="I183" s="174">
        <v>37463</v>
      </c>
      <c r="J183" s="174">
        <v>25244</v>
      </c>
      <c r="K183" s="174">
        <v>111187</v>
      </c>
      <c r="L183" s="174">
        <v>1269868</v>
      </c>
      <c r="M183" s="174">
        <v>66.000000000232831</v>
      </c>
      <c r="N183" s="174"/>
    </row>
    <row r="184" spans="1:14">
      <c r="A184" s="174"/>
      <c r="B184" s="174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</row>
    <row r="185" spans="1:14">
      <c r="A185" s="174"/>
      <c r="B185" s="174"/>
      <c r="C185" s="174">
        <f>C127+C131+C138+C142+C149+C153+C160+C164+C171+C180</f>
        <v>1274538.7976409364</v>
      </c>
      <c r="D185" s="174">
        <f>C185/C186</f>
        <v>0.26450060120763552</v>
      </c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</row>
    <row r="186" spans="1:14">
      <c r="A186" s="174"/>
      <c r="B186" s="174"/>
      <c r="C186" s="174">
        <f>C183+C167+C156+C145+C134</f>
        <v>4818661.25</v>
      </c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</row>
    <row r="187" spans="1:14">
      <c r="A187" s="174"/>
      <c r="B187" s="174"/>
      <c r="C187" s="174"/>
      <c r="D187" s="174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</row>
    <row r="188" spans="1:14">
      <c r="A188" s="174"/>
      <c r="B188" s="174"/>
      <c r="C188" s="174"/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</row>
    <row r="189" spans="1:14">
      <c r="A189" s="174"/>
      <c r="B189" s="174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</row>
    <row r="190" spans="1:14">
      <c r="A190" s="174"/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</row>
    <row r="191" spans="1:14">
      <c r="A191" s="174"/>
      <c r="B191" s="174" t="s">
        <v>1023</v>
      </c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</row>
    <row r="192" spans="1:14">
      <c r="A192" s="174">
        <v>118</v>
      </c>
      <c r="B192" s="174" t="s">
        <v>1022</v>
      </c>
      <c r="C192" s="182">
        <v>2036.3209999999999</v>
      </c>
      <c r="D192" s="174">
        <v>2036.3209999999999</v>
      </c>
      <c r="E192" s="174">
        <v>0</v>
      </c>
      <c r="F192" s="174">
        <v>0</v>
      </c>
      <c r="G192" s="174">
        <v>0</v>
      </c>
      <c r="H192" s="174">
        <v>0</v>
      </c>
      <c r="I192" s="174">
        <v>0</v>
      </c>
      <c r="J192" s="174">
        <v>0</v>
      </c>
      <c r="K192" s="174">
        <v>0</v>
      </c>
      <c r="L192" s="174">
        <v>2036.3209999999999</v>
      </c>
      <c r="M192" s="174">
        <v>0</v>
      </c>
      <c r="N192" s="174"/>
    </row>
    <row r="193" spans="1:14">
      <c r="A193" s="186"/>
      <c r="B193" s="174" t="s">
        <v>1021</v>
      </c>
      <c r="C193" s="186"/>
      <c r="D193" s="185"/>
      <c r="E193" s="185"/>
      <c r="F193" s="185"/>
      <c r="G193" s="185"/>
      <c r="H193" s="185"/>
      <c r="I193" s="185"/>
      <c r="J193" s="185"/>
      <c r="K193" s="185"/>
      <c r="L193" s="185"/>
      <c r="M193" s="185"/>
      <c r="N193" s="185"/>
    </row>
    <row r="194" spans="1:14">
      <c r="A194" s="174">
        <v>119</v>
      </c>
      <c r="B194" s="174" t="s">
        <v>1018</v>
      </c>
      <c r="C194" s="182">
        <v>226354.35848580004</v>
      </c>
      <c r="D194" s="174">
        <v>204411</v>
      </c>
      <c r="E194" s="174">
        <v>20503</v>
      </c>
      <c r="F194" s="174">
        <v>932</v>
      </c>
      <c r="G194" s="174">
        <v>3</v>
      </c>
      <c r="H194" s="174">
        <v>169</v>
      </c>
      <c r="I194" s="174">
        <v>192</v>
      </c>
      <c r="J194" s="174">
        <v>135</v>
      </c>
      <c r="K194" s="174">
        <v>9</v>
      </c>
      <c r="L194" s="174">
        <v>226354</v>
      </c>
      <c r="M194" s="174">
        <v>0.35848580003948882</v>
      </c>
      <c r="N194" s="174"/>
    </row>
    <row r="195" spans="1:14">
      <c r="A195" s="174">
        <v>120</v>
      </c>
      <c r="B195" s="174" t="s">
        <v>1017</v>
      </c>
      <c r="C195" s="182">
        <v>18546.220419500001</v>
      </c>
      <c r="D195" s="174">
        <v>0</v>
      </c>
      <c r="E195" s="174">
        <v>13222</v>
      </c>
      <c r="F195" s="174">
        <v>4737</v>
      </c>
      <c r="G195" s="174">
        <v>17</v>
      </c>
      <c r="H195" s="174">
        <v>255</v>
      </c>
      <c r="I195" s="174">
        <v>249</v>
      </c>
      <c r="J195" s="174">
        <v>0</v>
      </c>
      <c r="K195" s="174">
        <v>66</v>
      </c>
      <c r="L195" s="174">
        <v>18546</v>
      </c>
      <c r="M195" s="174">
        <v>0.22041950000129873</v>
      </c>
      <c r="N195" s="174"/>
    </row>
    <row r="196" spans="1:14">
      <c r="A196" s="174">
        <v>121</v>
      </c>
      <c r="B196" s="174" t="s">
        <v>1020</v>
      </c>
      <c r="C196" s="182">
        <v>244899.57890530003</v>
      </c>
      <c r="D196" s="174">
        <v>204411</v>
      </c>
      <c r="E196" s="174">
        <v>33725</v>
      </c>
      <c r="F196" s="174">
        <v>5669</v>
      </c>
      <c r="G196" s="174">
        <v>20</v>
      </c>
      <c r="H196" s="174">
        <v>424</v>
      </c>
      <c r="I196" s="174">
        <v>441</v>
      </c>
      <c r="J196" s="174">
        <v>135</v>
      </c>
      <c r="K196" s="174">
        <v>75</v>
      </c>
      <c r="L196" s="174">
        <v>244900</v>
      </c>
      <c r="M196" s="174">
        <v>-0.42109469996648841</v>
      </c>
      <c r="N196" s="174"/>
    </row>
    <row r="197" spans="1:14">
      <c r="A197" s="174"/>
      <c r="B197" s="174" t="s">
        <v>1019</v>
      </c>
      <c r="C197" s="182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</row>
    <row r="198" spans="1:14">
      <c r="A198" s="174">
        <v>122</v>
      </c>
      <c r="B198" s="174" t="s">
        <v>1018</v>
      </c>
      <c r="C198" s="182">
        <v>619172.35390760016</v>
      </c>
      <c r="D198" s="174">
        <v>588661</v>
      </c>
      <c r="E198" s="174">
        <v>26507</v>
      </c>
      <c r="F198" s="174">
        <v>2667</v>
      </c>
      <c r="G198" s="174">
        <v>60</v>
      </c>
      <c r="H198" s="174">
        <v>109</v>
      </c>
      <c r="I198" s="174">
        <v>276</v>
      </c>
      <c r="J198" s="174">
        <v>622</v>
      </c>
      <c r="K198" s="174">
        <v>270</v>
      </c>
      <c r="L198" s="174">
        <v>619172</v>
      </c>
      <c r="M198" s="174">
        <v>0.35390760016161948</v>
      </c>
      <c r="N198" s="174"/>
    </row>
    <row r="199" spans="1:14">
      <c r="A199" s="174">
        <v>123</v>
      </c>
      <c r="B199" s="174" t="s">
        <v>1017</v>
      </c>
      <c r="C199" s="182">
        <v>40620.746187100005</v>
      </c>
      <c r="D199" s="174">
        <v>0</v>
      </c>
      <c r="E199" s="174">
        <v>24680</v>
      </c>
      <c r="F199" s="174">
        <v>12996</v>
      </c>
      <c r="G199" s="174">
        <v>429</v>
      </c>
      <c r="H199" s="174">
        <v>212</v>
      </c>
      <c r="I199" s="174">
        <v>972</v>
      </c>
      <c r="J199" s="174">
        <v>0</v>
      </c>
      <c r="K199" s="174">
        <v>1332</v>
      </c>
      <c r="L199" s="174">
        <v>40621</v>
      </c>
      <c r="M199" s="174">
        <v>-0.25381289999495493</v>
      </c>
      <c r="N199" s="174"/>
    </row>
    <row r="200" spans="1:14">
      <c r="A200" s="174">
        <v>124</v>
      </c>
      <c r="B200" s="174" t="s">
        <v>1016</v>
      </c>
      <c r="C200" s="182">
        <v>659793.10009470012</v>
      </c>
      <c r="D200" s="174">
        <v>588661</v>
      </c>
      <c r="E200" s="174">
        <v>51187</v>
      </c>
      <c r="F200" s="174">
        <v>15663</v>
      </c>
      <c r="G200" s="174">
        <v>489</v>
      </c>
      <c r="H200" s="174">
        <v>321</v>
      </c>
      <c r="I200" s="174">
        <v>1248</v>
      </c>
      <c r="J200" s="174">
        <v>622</v>
      </c>
      <c r="K200" s="174">
        <v>1602</v>
      </c>
      <c r="L200" s="174">
        <v>659793</v>
      </c>
      <c r="M200" s="174">
        <v>0.10009470011573285</v>
      </c>
      <c r="N200" s="174"/>
    </row>
    <row r="201" spans="1:14">
      <c r="A201" s="174">
        <v>125</v>
      </c>
      <c r="B201" s="174" t="s">
        <v>212</v>
      </c>
      <c r="C201" s="174">
        <v>906729.00000000012</v>
      </c>
      <c r="D201" s="174">
        <v>795108.321</v>
      </c>
      <c r="E201" s="174">
        <v>84912</v>
      </c>
      <c r="F201" s="174">
        <v>21332</v>
      </c>
      <c r="G201" s="174">
        <v>509</v>
      </c>
      <c r="H201" s="174">
        <v>745</v>
      </c>
      <c r="I201" s="174">
        <v>1689</v>
      </c>
      <c r="J201" s="174">
        <v>757</v>
      </c>
      <c r="K201" s="174">
        <v>1677</v>
      </c>
      <c r="L201" s="174">
        <v>906729.321</v>
      </c>
      <c r="M201" s="174">
        <v>-0.32099999987985939</v>
      </c>
      <c r="N201" s="174"/>
    </row>
    <row r="202" spans="1:14">
      <c r="A202" s="174"/>
      <c r="B202" s="174"/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</row>
    <row r="203" spans="1:14">
      <c r="A203" s="174"/>
      <c r="B203" s="174" t="s">
        <v>1015</v>
      </c>
      <c r="C203" s="174"/>
      <c r="D203" s="174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</row>
    <row r="204" spans="1:14">
      <c r="A204" s="174">
        <v>126</v>
      </c>
      <c r="B204" s="174" t="s">
        <v>1014</v>
      </c>
      <c r="C204" s="174">
        <v>247000.00488522617</v>
      </c>
      <c r="D204" s="174">
        <v>228686</v>
      </c>
      <c r="E204" s="174">
        <v>16946</v>
      </c>
      <c r="F204" s="174">
        <v>1055</v>
      </c>
      <c r="G204" s="174">
        <v>15</v>
      </c>
      <c r="H204" s="174">
        <v>119</v>
      </c>
      <c r="I204" s="174">
        <v>109</v>
      </c>
      <c r="J204" s="174">
        <v>0</v>
      </c>
      <c r="K204" s="174">
        <v>70</v>
      </c>
      <c r="L204" s="174">
        <v>247000</v>
      </c>
      <c r="M204" s="174">
        <v>4.8852261679712683E-3</v>
      </c>
      <c r="N204" s="174"/>
    </row>
    <row r="205" spans="1:14">
      <c r="A205" s="174">
        <v>127</v>
      </c>
      <c r="B205" s="174" t="s">
        <v>1013</v>
      </c>
      <c r="C205" s="174">
        <v>184611.9951147738</v>
      </c>
      <c r="D205" s="174">
        <v>0</v>
      </c>
      <c r="E205" s="174">
        <v>122048</v>
      </c>
      <c r="F205" s="174">
        <v>53241</v>
      </c>
      <c r="G205" s="174">
        <v>1012</v>
      </c>
      <c r="H205" s="174">
        <v>1783</v>
      </c>
      <c r="I205" s="174">
        <v>3382</v>
      </c>
      <c r="J205" s="174">
        <v>0</v>
      </c>
      <c r="K205" s="174">
        <v>3144</v>
      </c>
      <c r="L205" s="174">
        <v>184610</v>
      </c>
      <c r="M205" s="174">
        <v>1.9951147738029249</v>
      </c>
      <c r="N205" s="174"/>
    </row>
    <row r="206" spans="1:14">
      <c r="A206" s="174">
        <v>128</v>
      </c>
      <c r="B206" s="174" t="s">
        <v>1012</v>
      </c>
      <c r="C206" s="174">
        <v>431612</v>
      </c>
      <c r="D206" s="174">
        <v>228686</v>
      </c>
      <c r="E206" s="174">
        <v>138994</v>
      </c>
      <c r="F206" s="174">
        <v>54296</v>
      </c>
      <c r="G206" s="174">
        <v>1027</v>
      </c>
      <c r="H206" s="174">
        <v>1902</v>
      </c>
      <c r="I206" s="174">
        <v>3491</v>
      </c>
      <c r="J206" s="174">
        <v>0</v>
      </c>
      <c r="K206" s="174">
        <v>3214</v>
      </c>
      <c r="L206" s="174">
        <v>431610</v>
      </c>
      <c r="M206" s="174">
        <v>2</v>
      </c>
      <c r="N206" s="174"/>
    </row>
    <row r="207" spans="1:14">
      <c r="A207" s="174"/>
      <c r="B207" s="174"/>
      <c r="C207" s="174"/>
      <c r="D207" s="174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</row>
    <row r="208" spans="1:14">
      <c r="A208" s="174">
        <v>129</v>
      </c>
      <c r="B208" s="174" t="s">
        <v>1011</v>
      </c>
      <c r="C208" s="181">
        <v>5.0000000000000004E-6</v>
      </c>
      <c r="D208" s="174">
        <v>0</v>
      </c>
      <c r="E208" s="174">
        <v>0</v>
      </c>
      <c r="F208" s="174">
        <v>0</v>
      </c>
      <c r="G208" s="174">
        <v>0</v>
      </c>
      <c r="H208" s="174">
        <v>0</v>
      </c>
      <c r="I208" s="174">
        <v>0</v>
      </c>
      <c r="J208" s="174">
        <v>0</v>
      </c>
      <c r="K208" s="174">
        <v>0</v>
      </c>
      <c r="L208" s="174">
        <v>0</v>
      </c>
      <c r="M208" s="174">
        <v>5.0000000000000004E-6</v>
      </c>
      <c r="N208" s="174"/>
    </row>
    <row r="209" spans="1:14">
      <c r="A209" s="174"/>
      <c r="B209" s="174"/>
      <c r="C209" s="178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</row>
    <row r="210" spans="1:14">
      <c r="A210" s="174">
        <v>130</v>
      </c>
      <c r="B210" s="174" t="s">
        <v>1010</v>
      </c>
      <c r="C210" s="181">
        <v>798</v>
      </c>
      <c r="D210" s="183">
        <v>0</v>
      </c>
      <c r="E210" s="183">
        <v>659</v>
      </c>
      <c r="F210" s="183">
        <v>115</v>
      </c>
      <c r="G210" s="183">
        <v>1</v>
      </c>
      <c r="H210" s="183">
        <v>6</v>
      </c>
      <c r="I210" s="183">
        <v>9</v>
      </c>
      <c r="J210" s="183">
        <v>0</v>
      </c>
      <c r="K210" s="183">
        <v>8</v>
      </c>
      <c r="L210" s="174">
        <v>798</v>
      </c>
      <c r="M210" s="174">
        <v>0</v>
      </c>
      <c r="N210" s="174"/>
    </row>
    <row r="211" spans="1:14">
      <c r="A211" s="174"/>
      <c r="B211" s="174"/>
      <c r="C211" s="178"/>
      <c r="D211" s="174"/>
      <c r="E211" s="174"/>
      <c r="F211" s="174"/>
      <c r="G211" s="174"/>
      <c r="H211" s="174"/>
      <c r="I211" s="174"/>
      <c r="J211" s="174"/>
      <c r="K211" s="174"/>
      <c r="L211" s="174"/>
      <c r="M211" s="174"/>
      <c r="N211" s="174"/>
    </row>
    <row r="212" spans="1:14">
      <c r="A212" s="174">
        <v>131</v>
      </c>
      <c r="B212" s="174" t="s">
        <v>1009</v>
      </c>
      <c r="C212" s="181">
        <v>316126</v>
      </c>
      <c r="D212" s="174">
        <v>0</v>
      </c>
      <c r="E212" s="174">
        <v>0</v>
      </c>
      <c r="F212" s="174">
        <v>0</v>
      </c>
      <c r="G212" s="174">
        <v>0</v>
      </c>
      <c r="H212" s="174">
        <v>0</v>
      </c>
      <c r="I212" s="174">
        <v>0</v>
      </c>
      <c r="J212" s="174">
        <v>316126</v>
      </c>
      <c r="K212" s="174">
        <v>0</v>
      </c>
      <c r="L212" s="174">
        <v>316126</v>
      </c>
      <c r="M212" s="174">
        <v>0</v>
      </c>
      <c r="N212" s="174"/>
    </row>
    <row r="213" spans="1:14">
      <c r="A213" s="174"/>
      <c r="B213" s="174"/>
      <c r="C213" s="174"/>
      <c r="D213" s="174"/>
      <c r="E213" s="174"/>
      <c r="F213" s="174"/>
      <c r="G213" s="174"/>
      <c r="H213" s="174"/>
      <c r="I213" s="174"/>
      <c r="J213" s="174"/>
      <c r="K213" s="174"/>
      <c r="L213" s="174"/>
      <c r="M213" s="174"/>
      <c r="N213" s="174"/>
    </row>
    <row r="214" spans="1:14">
      <c r="A214" s="174">
        <v>132</v>
      </c>
      <c r="B214" s="174" t="s">
        <v>1008</v>
      </c>
      <c r="C214" s="174">
        <v>7782432.8257790105</v>
      </c>
      <c r="D214" s="174">
        <v>4477888.3210000005</v>
      </c>
      <c r="E214" s="174">
        <v>773796</v>
      </c>
      <c r="F214" s="174">
        <v>952554</v>
      </c>
      <c r="G214" s="174">
        <v>211182</v>
      </c>
      <c r="H214" s="174">
        <v>29443</v>
      </c>
      <c r="I214" s="174">
        <v>176368</v>
      </c>
      <c r="J214" s="174">
        <v>413388</v>
      </c>
      <c r="K214" s="174">
        <v>745902</v>
      </c>
      <c r="L214" s="174">
        <v>7780521.3210000005</v>
      </c>
      <c r="M214" s="174">
        <v>1911.5047790100798</v>
      </c>
      <c r="N214" s="174"/>
    </row>
    <row r="215" spans="1:14">
      <c r="A215" s="174"/>
      <c r="B215" s="174"/>
      <c r="C215" s="175"/>
      <c r="D215" s="174"/>
      <c r="E215" s="174"/>
      <c r="F215" s="174"/>
      <c r="G215" s="174"/>
      <c r="H215" s="174"/>
      <c r="I215" s="174"/>
      <c r="J215" s="174"/>
      <c r="K215" s="174"/>
      <c r="L215" s="174"/>
      <c r="M215" s="174"/>
      <c r="N215" s="174"/>
    </row>
    <row r="216" spans="1:14">
      <c r="A216" s="174"/>
      <c r="B216" s="180" t="s">
        <v>1007</v>
      </c>
      <c r="C216" s="174"/>
      <c r="D216" s="174"/>
      <c r="E216" s="174"/>
      <c r="F216" s="174"/>
      <c r="G216" s="174"/>
      <c r="H216" s="174"/>
      <c r="I216" s="174"/>
      <c r="J216" s="174"/>
      <c r="K216" s="174"/>
      <c r="L216" s="174"/>
      <c r="M216" s="174"/>
      <c r="N216" s="174"/>
    </row>
    <row r="217" spans="1:14">
      <c r="A217" s="174"/>
      <c r="B217" s="179" t="s">
        <v>1000</v>
      </c>
      <c r="C217" s="174"/>
      <c r="D217" s="174"/>
      <c r="E217" s="174"/>
      <c r="F217" s="174"/>
      <c r="G217" s="174"/>
      <c r="H217" s="174"/>
      <c r="I217" s="174"/>
      <c r="J217" s="174"/>
      <c r="K217" s="174"/>
      <c r="L217" s="174"/>
      <c r="M217" s="174"/>
      <c r="N217" s="174"/>
    </row>
    <row r="218" spans="1:14">
      <c r="A218" s="174">
        <v>133</v>
      </c>
      <c r="B218" s="174" t="s">
        <v>274</v>
      </c>
      <c r="C218" s="177">
        <v>167275</v>
      </c>
      <c r="D218" s="174">
        <v>73760</v>
      </c>
      <c r="E218" s="174">
        <v>12535</v>
      </c>
      <c r="F218" s="174">
        <v>28323</v>
      </c>
      <c r="G218" s="174">
        <v>8758</v>
      </c>
      <c r="H218" s="174">
        <v>279</v>
      </c>
      <c r="I218" s="174">
        <v>5739</v>
      </c>
      <c r="J218" s="174">
        <v>1079</v>
      </c>
      <c r="K218" s="174">
        <v>36721</v>
      </c>
      <c r="L218" s="174">
        <v>167194</v>
      </c>
      <c r="M218" s="174">
        <v>81</v>
      </c>
      <c r="N218" s="174"/>
    </row>
    <row r="219" spans="1:14">
      <c r="A219" s="174">
        <v>134</v>
      </c>
      <c r="B219" s="174" t="s">
        <v>276</v>
      </c>
      <c r="C219" s="177">
        <v>89848</v>
      </c>
      <c r="D219" s="174">
        <v>40369</v>
      </c>
      <c r="E219" s="174">
        <v>7371</v>
      </c>
      <c r="F219" s="174">
        <v>15783</v>
      </c>
      <c r="G219" s="174">
        <v>4614</v>
      </c>
      <c r="H219" s="174">
        <v>184</v>
      </c>
      <c r="I219" s="174">
        <v>3045</v>
      </c>
      <c r="J219" s="174">
        <v>117</v>
      </c>
      <c r="K219" s="174">
        <v>18317</v>
      </c>
      <c r="L219" s="174">
        <v>89800</v>
      </c>
      <c r="M219" s="174">
        <v>48</v>
      </c>
      <c r="N219" s="174"/>
    </row>
    <row r="220" spans="1:14">
      <c r="A220" s="174">
        <v>135</v>
      </c>
      <c r="B220" s="174" t="s">
        <v>277</v>
      </c>
      <c r="C220" s="182">
        <v>611711</v>
      </c>
      <c r="D220" s="174">
        <v>351969</v>
      </c>
      <c r="E220" s="174">
        <v>60822</v>
      </c>
      <c r="F220" s="174">
        <v>74872</v>
      </c>
      <c r="G220" s="174">
        <v>16599</v>
      </c>
      <c r="H220" s="174">
        <v>2314</v>
      </c>
      <c r="I220" s="174">
        <v>13863</v>
      </c>
      <c r="J220" s="174">
        <v>32493</v>
      </c>
      <c r="K220" s="174">
        <v>58629</v>
      </c>
      <c r="L220" s="174">
        <v>611561</v>
      </c>
      <c r="M220" s="174">
        <v>150</v>
      </c>
      <c r="N220" s="174"/>
    </row>
    <row r="221" spans="1:14">
      <c r="A221" s="174">
        <v>136</v>
      </c>
      <c r="B221" s="174" t="s">
        <v>1005</v>
      </c>
      <c r="C221" s="182">
        <v>95786</v>
      </c>
      <c r="D221" s="174">
        <v>81832</v>
      </c>
      <c r="E221" s="174">
        <v>9354</v>
      </c>
      <c r="F221" s="174">
        <v>1719</v>
      </c>
      <c r="G221" s="174">
        <v>166</v>
      </c>
      <c r="H221" s="174">
        <v>86</v>
      </c>
      <c r="I221" s="174">
        <v>209</v>
      </c>
      <c r="J221" s="174">
        <v>1168</v>
      </c>
      <c r="K221" s="174">
        <v>1252</v>
      </c>
      <c r="L221" s="174">
        <v>95786</v>
      </c>
      <c r="M221" s="174">
        <v>0</v>
      </c>
      <c r="N221" s="174"/>
    </row>
    <row r="222" spans="1:14">
      <c r="A222" s="174">
        <v>137</v>
      </c>
      <c r="B222" s="174" t="s">
        <v>283</v>
      </c>
      <c r="C222" s="182">
        <v>32287</v>
      </c>
      <c r="D222" s="174">
        <v>12051</v>
      </c>
      <c r="E222" s="174">
        <v>13529</v>
      </c>
      <c r="F222" s="174">
        <v>3834</v>
      </c>
      <c r="G222" s="174">
        <v>214</v>
      </c>
      <c r="H222" s="174">
        <v>229</v>
      </c>
      <c r="I222" s="174">
        <v>203</v>
      </c>
      <c r="J222" s="174">
        <v>1215</v>
      </c>
      <c r="K222" s="174">
        <v>1012</v>
      </c>
      <c r="L222" s="174">
        <v>32287</v>
      </c>
      <c r="M222" s="174">
        <v>0</v>
      </c>
      <c r="N222" s="174"/>
    </row>
    <row r="223" spans="1:14">
      <c r="A223" s="174">
        <v>138</v>
      </c>
      <c r="B223" s="174" t="s">
        <v>1004</v>
      </c>
      <c r="C223" s="182">
        <v>29731</v>
      </c>
      <c r="D223" s="174">
        <v>11419</v>
      </c>
      <c r="E223" s="174">
        <v>11040</v>
      </c>
      <c r="F223" s="174">
        <v>3719</v>
      </c>
      <c r="G223" s="174">
        <v>246</v>
      </c>
      <c r="H223" s="174">
        <v>231</v>
      </c>
      <c r="I223" s="174">
        <v>131</v>
      </c>
      <c r="J223" s="174">
        <v>1763</v>
      </c>
      <c r="K223" s="174">
        <v>1182</v>
      </c>
      <c r="L223" s="174">
        <v>29731</v>
      </c>
      <c r="M223" s="174">
        <v>0</v>
      </c>
      <c r="N223" s="174"/>
    </row>
    <row r="224" spans="1:14">
      <c r="A224" s="174">
        <v>139</v>
      </c>
      <c r="B224" s="174" t="s">
        <v>1007</v>
      </c>
      <c r="C224" s="174">
        <v>1026638</v>
      </c>
      <c r="D224" s="174">
        <v>571400</v>
      </c>
      <c r="E224" s="174">
        <v>114651</v>
      </c>
      <c r="F224" s="174">
        <v>128250</v>
      </c>
      <c r="G224" s="174">
        <v>30597</v>
      </c>
      <c r="H224" s="174">
        <v>3323</v>
      </c>
      <c r="I224" s="174">
        <v>23190</v>
      </c>
      <c r="J224" s="174">
        <v>37835</v>
      </c>
      <c r="K224" s="174">
        <v>117113</v>
      </c>
      <c r="L224" s="174">
        <v>1026359</v>
      </c>
      <c r="M224" s="174">
        <v>279</v>
      </c>
      <c r="N224" s="174"/>
    </row>
    <row r="225" spans="1:14">
      <c r="A225" s="174">
        <v>140</v>
      </c>
      <c r="B225" s="174" t="s">
        <v>991</v>
      </c>
      <c r="C225" s="181">
        <v>3247</v>
      </c>
      <c r="D225" s="174">
        <v>0</v>
      </c>
      <c r="E225" s="174">
        <v>0</v>
      </c>
      <c r="F225" s="174">
        <v>0</v>
      </c>
      <c r="G225" s="174">
        <v>0</v>
      </c>
      <c r="H225" s="174">
        <v>0</v>
      </c>
      <c r="I225" s="174">
        <v>0</v>
      </c>
      <c r="J225" s="174">
        <v>0</v>
      </c>
      <c r="K225" s="174">
        <v>0</v>
      </c>
      <c r="L225" s="174">
        <v>0</v>
      </c>
      <c r="M225" s="174">
        <v>3247</v>
      </c>
      <c r="N225" s="174"/>
    </row>
    <row r="226" spans="1:14">
      <c r="A226" s="174">
        <v>141</v>
      </c>
      <c r="B226" s="174" t="s">
        <v>990</v>
      </c>
      <c r="C226" s="181">
        <v>753</v>
      </c>
      <c r="D226" s="174">
        <v>0</v>
      </c>
      <c r="E226" s="174">
        <v>0</v>
      </c>
      <c r="F226" s="174">
        <v>0</v>
      </c>
      <c r="G226" s="174">
        <v>0</v>
      </c>
      <c r="H226" s="174">
        <v>0</v>
      </c>
      <c r="I226" s="174">
        <v>0</v>
      </c>
      <c r="J226" s="174">
        <v>0</v>
      </c>
      <c r="K226" s="174">
        <v>0</v>
      </c>
      <c r="L226" s="174">
        <v>0</v>
      </c>
      <c r="M226" s="174">
        <v>753</v>
      </c>
      <c r="N226" s="174"/>
    </row>
    <row r="227" spans="1:14">
      <c r="A227" s="174">
        <v>142</v>
      </c>
      <c r="B227" s="174" t="s">
        <v>989</v>
      </c>
      <c r="C227" s="181">
        <v>8476</v>
      </c>
      <c r="D227" s="174">
        <v>0</v>
      </c>
      <c r="E227" s="174">
        <v>0</v>
      </c>
      <c r="F227" s="174">
        <v>0</v>
      </c>
      <c r="G227" s="174">
        <v>0</v>
      </c>
      <c r="H227" s="174">
        <v>0</v>
      </c>
      <c r="I227" s="174">
        <v>0</v>
      </c>
      <c r="J227" s="174">
        <v>0</v>
      </c>
      <c r="K227" s="174">
        <v>0</v>
      </c>
      <c r="L227" s="174">
        <v>0</v>
      </c>
      <c r="M227" s="174">
        <v>8476</v>
      </c>
      <c r="N227" s="174"/>
    </row>
    <row r="228" spans="1:14">
      <c r="A228" s="174">
        <v>143</v>
      </c>
      <c r="B228" s="174" t="s">
        <v>223</v>
      </c>
      <c r="C228" s="181">
        <v>1039113</v>
      </c>
      <c r="D228" s="174">
        <v>571400</v>
      </c>
      <c r="E228" s="174">
        <v>114651</v>
      </c>
      <c r="F228" s="174">
        <v>128250</v>
      </c>
      <c r="G228" s="174">
        <v>30597</v>
      </c>
      <c r="H228" s="174">
        <v>3323</v>
      </c>
      <c r="I228" s="174">
        <v>23190</v>
      </c>
      <c r="J228" s="174">
        <v>37835</v>
      </c>
      <c r="K228" s="174">
        <v>117113</v>
      </c>
      <c r="L228" s="174">
        <v>1026359</v>
      </c>
      <c r="M228" s="174">
        <v>12754</v>
      </c>
      <c r="N228" s="174"/>
    </row>
    <row r="229" spans="1:14">
      <c r="A229" s="174"/>
      <c r="B229" s="174"/>
      <c r="C229" s="184"/>
      <c r="D229" s="183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</row>
    <row r="230" spans="1:14">
      <c r="A230" s="174"/>
      <c r="B230" s="180" t="s">
        <v>1006</v>
      </c>
      <c r="C230" s="184"/>
      <c r="D230" s="174"/>
      <c r="E230" s="174"/>
      <c r="F230" s="174"/>
      <c r="G230" s="174"/>
      <c r="H230" s="174"/>
      <c r="I230" s="174"/>
      <c r="J230" s="174"/>
      <c r="K230" s="174"/>
      <c r="L230" s="174"/>
      <c r="M230" s="174"/>
      <c r="N230" s="174"/>
    </row>
    <row r="231" spans="1:14">
      <c r="A231" s="174"/>
      <c r="B231" s="179" t="s">
        <v>1000</v>
      </c>
      <c r="C231" s="184"/>
      <c r="D231" s="183"/>
      <c r="E231" s="174"/>
      <c r="F231" s="174"/>
      <c r="G231" s="174"/>
      <c r="H231" s="174"/>
      <c r="I231" s="174"/>
      <c r="J231" s="174"/>
      <c r="K231" s="174"/>
      <c r="L231" s="174"/>
      <c r="M231" s="174"/>
      <c r="N231" s="174"/>
    </row>
    <row r="232" spans="1:14">
      <c r="A232" s="174">
        <v>144</v>
      </c>
      <c r="B232" s="174" t="s">
        <v>274</v>
      </c>
      <c r="C232" s="177">
        <v>46857</v>
      </c>
      <c r="D232" s="174">
        <v>20662</v>
      </c>
      <c r="E232" s="174">
        <v>3511</v>
      </c>
      <c r="F232" s="174">
        <v>7934</v>
      </c>
      <c r="G232" s="174">
        <v>2453</v>
      </c>
      <c r="H232" s="174">
        <v>78</v>
      </c>
      <c r="I232" s="174">
        <v>1608</v>
      </c>
      <c r="J232" s="174">
        <v>302</v>
      </c>
      <c r="K232" s="174">
        <v>10286</v>
      </c>
      <c r="L232" s="174">
        <v>46834</v>
      </c>
      <c r="M232" s="174">
        <v>23</v>
      </c>
      <c r="N232" s="174"/>
    </row>
    <row r="233" spans="1:14">
      <c r="A233" s="174">
        <v>145</v>
      </c>
      <c r="B233" s="174" t="s">
        <v>276</v>
      </c>
      <c r="C233" s="182">
        <v>26074</v>
      </c>
      <c r="D233" s="174">
        <v>11715</v>
      </c>
      <c r="E233" s="174">
        <v>2139</v>
      </c>
      <c r="F233" s="174">
        <v>4580</v>
      </c>
      <c r="G233" s="174">
        <v>1339</v>
      </c>
      <c r="H233" s="174">
        <v>53</v>
      </c>
      <c r="I233" s="174">
        <v>884</v>
      </c>
      <c r="J233" s="174">
        <v>34</v>
      </c>
      <c r="K233" s="174">
        <v>5316</v>
      </c>
      <c r="L233" s="174">
        <v>26060</v>
      </c>
      <c r="M233" s="174">
        <v>14</v>
      </c>
      <c r="N233" s="174"/>
    </row>
    <row r="234" spans="1:14">
      <c r="A234" s="174">
        <v>146</v>
      </c>
      <c r="B234" s="174" t="s">
        <v>277</v>
      </c>
      <c r="C234" s="182">
        <v>171328</v>
      </c>
      <c r="D234" s="174">
        <v>98579</v>
      </c>
      <c r="E234" s="174">
        <v>17035</v>
      </c>
      <c r="F234" s="174">
        <v>20970</v>
      </c>
      <c r="G234" s="174">
        <v>4649</v>
      </c>
      <c r="H234" s="174">
        <v>648</v>
      </c>
      <c r="I234" s="174">
        <v>3883</v>
      </c>
      <c r="J234" s="174">
        <v>9101</v>
      </c>
      <c r="K234" s="174">
        <v>16421</v>
      </c>
      <c r="L234" s="174">
        <v>171286</v>
      </c>
      <c r="M234" s="174">
        <v>42</v>
      </c>
      <c r="N234" s="174"/>
    </row>
    <row r="235" spans="1:14">
      <c r="A235" s="174">
        <v>147</v>
      </c>
      <c r="B235" s="174" t="s">
        <v>1005</v>
      </c>
      <c r="C235" s="182">
        <v>26828</v>
      </c>
      <c r="D235" s="174">
        <v>22920</v>
      </c>
      <c r="E235" s="174">
        <v>2620</v>
      </c>
      <c r="F235" s="174">
        <v>481</v>
      </c>
      <c r="G235" s="174">
        <v>47</v>
      </c>
      <c r="H235" s="174">
        <v>24</v>
      </c>
      <c r="I235" s="174">
        <v>58</v>
      </c>
      <c r="J235" s="174">
        <v>327</v>
      </c>
      <c r="K235" s="174">
        <v>351</v>
      </c>
      <c r="L235" s="174">
        <v>26828</v>
      </c>
      <c r="M235" s="174">
        <v>0</v>
      </c>
      <c r="N235" s="174"/>
    </row>
    <row r="236" spans="1:14">
      <c r="A236" s="174">
        <v>148</v>
      </c>
      <c r="B236" s="174" t="s">
        <v>283</v>
      </c>
      <c r="C236" s="182">
        <v>9043</v>
      </c>
      <c r="D236" s="174">
        <v>3375</v>
      </c>
      <c r="E236" s="174">
        <v>3789</v>
      </c>
      <c r="F236" s="174">
        <v>1074</v>
      </c>
      <c r="G236" s="174">
        <v>60</v>
      </c>
      <c r="H236" s="174">
        <v>64</v>
      </c>
      <c r="I236" s="174">
        <v>57</v>
      </c>
      <c r="J236" s="174">
        <v>340</v>
      </c>
      <c r="K236" s="174">
        <v>284</v>
      </c>
      <c r="L236" s="174">
        <v>9043</v>
      </c>
      <c r="M236" s="174">
        <v>0</v>
      </c>
      <c r="N236" s="174"/>
    </row>
    <row r="237" spans="1:14">
      <c r="A237" s="174">
        <v>149</v>
      </c>
      <c r="B237" s="174" t="s">
        <v>1004</v>
      </c>
      <c r="C237" s="182">
        <v>8327</v>
      </c>
      <c r="D237" s="174">
        <v>3197</v>
      </c>
      <c r="E237" s="174">
        <v>3092</v>
      </c>
      <c r="F237" s="174">
        <v>1042</v>
      </c>
      <c r="G237" s="174">
        <v>69</v>
      </c>
      <c r="H237" s="174">
        <v>65</v>
      </c>
      <c r="I237" s="174">
        <v>37</v>
      </c>
      <c r="J237" s="174">
        <v>494</v>
      </c>
      <c r="K237" s="174">
        <v>331</v>
      </c>
      <c r="L237" s="174">
        <v>8327</v>
      </c>
      <c r="M237" s="174">
        <v>0</v>
      </c>
      <c r="N237" s="174"/>
    </row>
    <row r="238" spans="1:14">
      <c r="A238" s="174">
        <v>150</v>
      </c>
      <c r="B238" s="174" t="s">
        <v>1003</v>
      </c>
      <c r="C238" s="174">
        <v>288457</v>
      </c>
      <c r="D238" s="174">
        <v>160448</v>
      </c>
      <c r="E238" s="174">
        <v>32186</v>
      </c>
      <c r="F238" s="174">
        <v>36081</v>
      </c>
      <c r="G238" s="174">
        <v>8617</v>
      </c>
      <c r="H238" s="174">
        <v>932</v>
      </c>
      <c r="I238" s="174">
        <v>6527</v>
      </c>
      <c r="J238" s="174">
        <v>10598</v>
      </c>
      <c r="K238" s="174">
        <v>32989</v>
      </c>
      <c r="L238" s="174">
        <v>288378</v>
      </c>
      <c r="M238" s="174">
        <v>79</v>
      </c>
      <c r="N238" s="174"/>
    </row>
    <row r="239" spans="1:14">
      <c r="A239" s="174">
        <v>151</v>
      </c>
      <c r="B239" s="174" t="s">
        <v>991</v>
      </c>
      <c r="C239" s="181">
        <v>0</v>
      </c>
      <c r="D239" s="174">
        <v>0</v>
      </c>
      <c r="E239" s="174">
        <v>0</v>
      </c>
      <c r="F239" s="174">
        <v>0</v>
      </c>
      <c r="G239" s="174">
        <v>0</v>
      </c>
      <c r="H239" s="174">
        <v>0</v>
      </c>
      <c r="I239" s="174">
        <v>0</v>
      </c>
      <c r="J239" s="174">
        <v>0</v>
      </c>
      <c r="K239" s="174">
        <v>0</v>
      </c>
      <c r="L239" s="174">
        <v>0</v>
      </c>
      <c r="M239" s="174">
        <v>0</v>
      </c>
      <c r="N239" s="174"/>
    </row>
    <row r="240" spans="1:14">
      <c r="A240" s="174">
        <v>152</v>
      </c>
      <c r="B240" s="174" t="s">
        <v>990</v>
      </c>
      <c r="C240" s="181">
        <v>210</v>
      </c>
      <c r="D240" s="174">
        <v>0</v>
      </c>
      <c r="E240" s="174">
        <v>0</v>
      </c>
      <c r="F240" s="174">
        <v>0</v>
      </c>
      <c r="G240" s="174">
        <v>0</v>
      </c>
      <c r="H240" s="174">
        <v>0</v>
      </c>
      <c r="I240" s="174">
        <v>0</v>
      </c>
      <c r="J240" s="174">
        <v>0</v>
      </c>
      <c r="K240" s="174">
        <v>0</v>
      </c>
      <c r="L240" s="174">
        <v>0</v>
      </c>
      <c r="M240" s="174">
        <v>210</v>
      </c>
      <c r="N240" s="174"/>
    </row>
    <row r="241" spans="1:14">
      <c r="A241" s="174">
        <v>153</v>
      </c>
      <c r="B241" s="174" t="s">
        <v>989</v>
      </c>
      <c r="C241" s="181">
        <v>2368</v>
      </c>
      <c r="D241" s="174">
        <v>0</v>
      </c>
      <c r="E241" s="174">
        <v>0</v>
      </c>
      <c r="F241" s="174">
        <v>0</v>
      </c>
      <c r="G241" s="174">
        <v>0</v>
      </c>
      <c r="H241" s="174">
        <v>0</v>
      </c>
      <c r="I241" s="174">
        <v>0</v>
      </c>
      <c r="J241" s="174">
        <v>0</v>
      </c>
      <c r="K241" s="174">
        <v>0</v>
      </c>
      <c r="L241" s="174">
        <v>0</v>
      </c>
      <c r="M241" s="174">
        <v>2368</v>
      </c>
      <c r="N241" s="174"/>
    </row>
    <row r="242" spans="1:14">
      <c r="A242" s="174">
        <v>154</v>
      </c>
      <c r="B242" s="174" t="s">
        <v>1002</v>
      </c>
      <c r="C242" s="181">
        <v>291036</v>
      </c>
      <c r="D242" s="174">
        <v>160448</v>
      </c>
      <c r="E242" s="174">
        <v>32186</v>
      </c>
      <c r="F242" s="174">
        <v>36081</v>
      </c>
      <c r="G242" s="174">
        <v>8617</v>
      </c>
      <c r="H242" s="174">
        <v>932</v>
      </c>
      <c r="I242" s="174">
        <v>6527</v>
      </c>
      <c r="J242" s="174">
        <v>10598</v>
      </c>
      <c r="K242" s="174">
        <v>32989</v>
      </c>
      <c r="L242" s="174">
        <v>288378</v>
      </c>
      <c r="M242" s="174">
        <v>2658</v>
      </c>
      <c r="N242" s="174"/>
    </row>
    <row r="243" spans="1:14">
      <c r="A243" s="174"/>
      <c r="B243" s="174"/>
      <c r="C243" s="175"/>
      <c r="D243" s="174"/>
      <c r="E243" s="174"/>
      <c r="F243" s="174"/>
      <c r="G243" s="174"/>
      <c r="H243" s="174"/>
      <c r="I243" s="174"/>
      <c r="J243" s="174"/>
      <c r="K243" s="174"/>
      <c r="L243" s="174"/>
      <c r="M243" s="174"/>
      <c r="N243" s="174"/>
    </row>
    <row r="244" spans="1:14">
      <c r="A244" s="174"/>
      <c r="B244" s="180" t="s">
        <v>1001</v>
      </c>
      <c r="C244" s="175"/>
      <c r="D244" s="174"/>
      <c r="E244" s="174"/>
      <c r="F244" s="174"/>
      <c r="G244" s="174"/>
      <c r="H244" s="174"/>
      <c r="I244" s="174"/>
      <c r="J244" s="174"/>
      <c r="K244" s="174"/>
      <c r="L244" s="174"/>
      <c r="M244" s="174"/>
      <c r="N244" s="174"/>
    </row>
    <row r="245" spans="1:14">
      <c r="A245" s="174"/>
      <c r="B245" s="179" t="s">
        <v>1000</v>
      </c>
      <c r="C245" s="175"/>
      <c r="D245" s="174"/>
      <c r="E245" s="174"/>
      <c r="F245" s="174"/>
      <c r="G245" s="174"/>
      <c r="H245" s="174"/>
      <c r="I245" s="174"/>
      <c r="J245" s="174"/>
      <c r="K245" s="174"/>
      <c r="L245" s="174"/>
      <c r="M245" s="174"/>
      <c r="N245" s="174"/>
    </row>
    <row r="246" spans="1:14">
      <c r="A246" s="174">
        <v>155</v>
      </c>
      <c r="B246" s="174" t="s">
        <v>999</v>
      </c>
      <c r="C246" s="178">
        <v>20786</v>
      </c>
      <c r="D246" s="174">
        <v>9165</v>
      </c>
      <c r="E246" s="174">
        <v>1558</v>
      </c>
      <c r="F246" s="174">
        <v>3520</v>
      </c>
      <c r="G246" s="174">
        <v>1088</v>
      </c>
      <c r="H246" s="174">
        <v>35</v>
      </c>
      <c r="I246" s="174">
        <v>713</v>
      </c>
      <c r="J246" s="174">
        <v>134</v>
      </c>
      <c r="K246" s="174">
        <v>4563</v>
      </c>
      <c r="L246" s="174">
        <v>20776</v>
      </c>
      <c r="M246" s="174">
        <v>10</v>
      </c>
      <c r="N246" s="174"/>
    </row>
    <row r="247" spans="1:14">
      <c r="A247" s="174">
        <v>156</v>
      </c>
      <c r="B247" s="174" t="s">
        <v>998</v>
      </c>
      <c r="C247" s="177">
        <v>12766</v>
      </c>
      <c r="D247" s="174">
        <v>5630</v>
      </c>
      <c r="E247" s="174">
        <v>957</v>
      </c>
      <c r="F247" s="174">
        <v>2162</v>
      </c>
      <c r="G247" s="174">
        <v>668</v>
      </c>
      <c r="H247" s="174">
        <v>21</v>
      </c>
      <c r="I247" s="174">
        <v>438</v>
      </c>
      <c r="J247" s="174">
        <v>82</v>
      </c>
      <c r="K247" s="174">
        <v>2802</v>
      </c>
      <c r="L247" s="174">
        <v>12760</v>
      </c>
      <c r="M247" s="174">
        <v>6</v>
      </c>
      <c r="N247" s="174"/>
    </row>
    <row r="248" spans="1:14">
      <c r="A248" s="174">
        <v>157</v>
      </c>
      <c r="B248" s="174" t="s">
        <v>997</v>
      </c>
      <c r="C248" s="177">
        <v>264</v>
      </c>
      <c r="D248" s="174">
        <v>116</v>
      </c>
      <c r="E248" s="174">
        <v>20</v>
      </c>
      <c r="F248" s="174">
        <v>45</v>
      </c>
      <c r="G248" s="174">
        <v>14</v>
      </c>
      <c r="H248" s="174">
        <v>0</v>
      </c>
      <c r="I248" s="174">
        <v>9</v>
      </c>
      <c r="J248" s="174">
        <v>2</v>
      </c>
      <c r="K248" s="174">
        <v>58</v>
      </c>
      <c r="L248" s="174">
        <v>264</v>
      </c>
      <c r="M248" s="174">
        <v>0</v>
      </c>
      <c r="N248" s="174"/>
    </row>
    <row r="249" spans="1:14">
      <c r="A249" s="174">
        <v>158</v>
      </c>
      <c r="B249" s="174" t="s">
        <v>996</v>
      </c>
      <c r="C249" s="177">
        <v>159</v>
      </c>
      <c r="D249" s="174">
        <v>73</v>
      </c>
      <c r="E249" s="174">
        <v>13</v>
      </c>
      <c r="F249" s="174">
        <v>28</v>
      </c>
      <c r="G249" s="174">
        <v>8</v>
      </c>
      <c r="H249" s="174">
        <v>0</v>
      </c>
      <c r="I249" s="174">
        <v>5</v>
      </c>
      <c r="J249" s="174">
        <v>0</v>
      </c>
      <c r="K249" s="174">
        <v>32</v>
      </c>
      <c r="L249" s="174">
        <v>159</v>
      </c>
      <c r="M249" s="174">
        <v>0</v>
      </c>
      <c r="N249" s="174"/>
    </row>
    <row r="250" spans="1:14">
      <c r="A250" s="174">
        <v>159</v>
      </c>
      <c r="B250" s="174" t="s">
        <v>995</v>
      </c>
      <c r="C250" s="177">
        <v>109</v>
      </c>
      <c r="D250" s="174">
        <v>64</v>
      </c>
      <c r="E250" s="174">
        <v>11</v>
      </c>
      <c r="F250" s="174">
        <v>13</v>
      </c>
      <c r="G250" s="174">
        <v>3</v>
      </c>
      <c r="H250" s="174">
        <v>0</v>
      </c>
      <c r="I250" s="174">
        <v>2</v>
      </c>
      <c r="J250" s="174">
        <v>6</v>
      </c>
      <c r="K250" s="174">
        <v>10</v>
      </c>
      <c r="L250" s="174">
        <v>109</v>
      </c>
      <c r="M250" s="174">
        <v>0</v>
      </c>
      <c r="N250" s="174"/>
    </row>
    <row r="251" spans="1:14">
      <c r="A251" s="174">
        <v>160</v>
      </c>
      <c r="B251" s="174" t="s">
        <v>994</v>
      </c>
      <c r="C251" s="176">
        <v>2507</v>
      </c>
      <c r="D251" s="174">
        <v>1395</v>
      </c>
      <c r="E251" s="174">
        <v>280</v>
      </c>
      <c r="F251" s="174">
        <v>313</v>
      </c>
      <c r="G251" s="174">
        <v>75</v>
      </c>
      <c r="H251" s="174">
        <v>8</v>
      </c>
      <c r="I251" s="174">
        <v>57</v>
      </c>
      <c r="J251" s="174">
        <v>92</v>
      </c>
      <c r="K251" s="174">
        <v>286</v>
      </c>
      <c r="L251" s="174">
        <v>2506</v>
      </c>
      <c r="M251" s="174">
        <v>1</v>
      </c>
      <c r="N251" s="174"/>
    </row>
    <row r="252" spans="1:14">
      <c r="A252" s="174">
        <v>161</v>
      </c>
      <c r="B252" s="174" t="s">
        <v>993</v>
      </c>
      <c r="C252" s="174">
        <v>36591</v>
      </c>
      <c r="D252" s="174">
        <v>16443</v>
      </c>
      <c r="E252" s="174">
        <v>2839</v>
      </c>
      <c r="F252" s="174">
        <v>6081</v>
      </c>
      <c r="G252" s="174">
        <v>1856</v>
      </c>
      <c r="H252" s="174">
        <v>64</v>
      </c>
      <c r="I252" s="174">
        <v>1224</v>
      </c>
      <c r="J252" s="174">
        <v>316</v>
      </c>
      <c r="K252" s="174">
        <v>7751</v>
      </c>
      <c r="L252" s="174">
        <v>36574</v>
      </c>
      <c r="M252" s="174">
        <v>17</v>
      </c>
      <c r="N252" s="174"/>
    </row>
    <row r="253" spans="1:14">
      <c r="A253" s="174"/>
      <c r="B253" s="174"/>
      <c r="C253" s="175"/>
      <c r="D253" s="174"/>
      <c r="E253" s="174"/>
      <c r="F253" s="174"/>
      <c r="G253" s="174"/>
      <c r="H253" s="174"/>
      <c r="I253" s="174"/>
      <c r="J253" s="174"/>
      <c r="K253" s="174"/>
      <c r="L253" s="174"/>
      <c r="M253" s="174"/>
      <c r="N253" s="174"/>
    </row>
    <row r="254" spans="1:14">
      <c r="A254" s="174">
        <v>162</v>
      </c>
      <c r="B254" s="174" t="s">
        <v>992</v>
      </c>
      <c r="C254" s="174">
        <v>25416422.440983567</v>
      </c>
      <c r="D254" s="174">
        <v>12439779.321</v>
      </c>
      <c r="E254" s="174">
        <v>2172476</v>
      </c>
      <c r="F254" s="174">
        <v>3905627</v>
      </c>
      <c r="G254" s="174">
        <v>1100623</v>
      </c>
      <c r="H254" s="174">
        <v>62480</v>
      </c>
      <c r="I254" s="174">
        <v>764269</v>
      </c>
      <c r="J254" s="174">
        <v>546240</v>
      </c>
      <c r="K254" s="174">
        <v>4414572</v>
      </c>
      <c r="L254" s="174">
        <v>25406066.321000002</v>
      </c>
      <c r="M254" s="174">
        <v>10356.119983565062</v>
      </c>
      <c r="N254" s="174"/>
    </row>
    <row r="255" spans="1:14">
      <c r="A255" s="174">
        <v>163</v>
      </c>
      <c r="B255" s="174" t="s">
        <v>991</v>
      </c>
      <c r="C255" s="174">
        <v>158287</v>
      </c>
      <c r="D255" s="174">
        <v>0</v>
      </c>
      <c r="E255" s="174">
        <v>0</v>
      </c>
      <c r="F255" s="174">
        <v>0</v>
      </c>
      <c r="G255" s="174">
        <v>0</v>
      </c>
      <c r="H255" s="174">
        <v>0</v>
      </c>
      <c r="I255" s="174">
        <v>0</v>
      </c>
      <c r="J255" s="174">
        <v>0</v>
      </c>
      <c r="K255" s="174">
        <v>0</v>
      </c>
      <c r="L255" s="174">
        <v>0</v>
      </c>
      <c r="M255" s="174">
        <v>158287</v>
      </c>
      <c r="N255" s="174"/>
    </row>
    <row r="256" spans="1:14">
      <c r="A256" s="174">
        <v>164</v>
      </c>
      <c r="B256" s="174" t="s">
        <v>990</v>
      </c>
      <c r="C256" s="174">
        <v>85920</v>
      </c>
      <c r="D256" s="174">
        <v>0</v>
      </c>
      <c r="E256" s="174">
        <v>0</v>
      </c>
      <c r="F256" s="174">
        <v>0</v>
      </c>
      <c r="G256" s="174">
        <v>0</v>
      </c>
      <c r="H256" s="174">
        <v>0</v>
      </c>
      <c r="I256" s="174">
        <v>0</v>
      </c>
      <c r="J256" s="174">
        <v>0</v>
      </c>
      <c r="K256" s="174">
        <v>0</v>
      </c>
      <c r="L256" s="174">
        <v>0</v>
      </c>
      <c r="M256" s="174">
        <v>85920</v>
      </c>
      <c r="N256" s="174"/>
    </row>
    <row r="257" spans="1:14">
      <c r="A257" s="174">
        <v>165</v>
      </c>
      <c r="B257" s="174" t="s">
        <v>989</v>
      </c>
      <c r="C257" s="174">
        <v>744316</v>
      </c>
      <c r="D257" s="174">
        <v>0</v>
      </c>
      <c r="E257" s="174">
        <v>0</v>
      </c>
      <c r="F257" s="174">
        <v>0</v>
      </c>
      <c r="G257" s="174">
        <v>0</v>
      </c>
      <c r="H257" s="174">
        <v>0</v>
      </c>
      <c r="I257" s="174">
        <v>0</v>
      </c>
      <c r="J257" s="174">
        <v>0</v>
      </c>
      <c r="K257" s="174">
        <v>0</v>
      </c>
      <c r="L257" s="174">
        <v>0</v>
      </c>
      <c r="M257" s="174">
        <v>744316</v>
      </c>
      <c r="N257" s="174"/>
    </row>
    <row r="258" spans="1:14">
      <c r="A258" s="174">
        <v>166</v>
      </c>
      <c r="B258" s="174" t="s">
        <v>988</v>
      </c>
      <c r="C258" s="174">
        <v>26404945.440983567</v>
      </c>
      <c r="D258" s="174">
        <v>12439779.321</v>
      </c>
      <c r="E258" s="174">
        <v>2172476</v>
      </c>
      <c r="F258" s="174">
        <v>3905627</v>
      </c>
      <c r="G258" s="174">
        <v>1100623</v>
      </c>
      <c r="H258" s="174">
        <v>62480</v>
      </c>
      <c r="I258" s="174">
        <v>764269</v>
      </c>
      <c r="J258" s="174">
        <v>546240</v>
      </c>
      <c r="K258" s="174">
        <v>4414572</v>
      </c>
      <c r="L258" s="174">
        <v>25406066.321000002</v>
      </c>
      <c r="M258" s="174">
        <v>998879.11998356506</v>
      </c>
      <c r="N258" s="174"/>
    </row>
    <row r="259" spans="1:14">
      <c r="D259" s="174"/>
      <c r="E259" s="174"/>
      <c r="F259" s="174"/>
      <c r="G259" s="174"/>
      <c r="H259" s="174"/>
      <c r="I259" s="174"/>
      <c r="J259" s="174"/>
      <c r="K259" s="174"/>
      <c r="L259" s="174"/>
      <c r="M259" s="174"/>
      <c r="N259" s="174"/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activeCell="B32" sqref="B32"/>
    </sheetView>
  </sheetViews>
  <sheetFormatPr defaultColWidth="9.140625" defaultRowHeight="15"/>
  <cols>
    <col min="1" max="1" width="19.140625" style="37" bestFit="1" customWidth="1"/>
    <col min="2" max="2" width="16.85546875" style="39" bestFit="1" customWidth="1"/>
    <col min="3" max="3" width="9.140625" style="38"/>
    <col min="4" max="16384" width="9.140625" style="37"/>
  </cols>
  <sheetData>
    <row r="1" spans="1:3">
      <c r="A1" s="64" t="s">
        <v>79</v>
      </c>
    </row>
    <row r="3" spans="1:3">
      <c r="A3" s="37" t="s">
        <v>67</v>
      </c>
      <c r="C3" s="38">
        <v>1</v>
      </c>
    </row>
    <row r="5" spans="1:3">
      <c r="A5" s="37" t="s">
        <v>66</v>
      </c>
      <c r="B5" s="39">
        <v>378718547</v>
      </c>
      <c r="C5" s="38">
        <f>B5/B6</f>
        <v>0.5</v>
      </c>
    </row>
    <row r="6" spans="1:3">
      <c r="A6" s="37" t="s">
        <v>65</v>
      </c>
      <c r="B6" s="39">
        <v>757437094</v>
      </c>
    </row>
    <row r="8" spans="1:3">
      <c r="A8" s="37" t="s">
        <v>64</v>
      </c>
      <c r="C8" s="38">
        <v>1</v>
      </c>
    </row>
    <row r="10" spans="1:3">
      <c r="A10" s="37" t="s">
        <v>63</v>
      </c>
      <c r="B10" s="39">
        <v>177085525</v>
      </c>
      <c r="C10" s="38">
        <f>B10/B11</f>
        <v>0.50000000141174727</v>
      </c>
    </row>
    <row r="11" spans="1:3">
      <c r="A11" s="37" t="s">
        <v>62</v>
      </c>
      <c r="B11" s="39">
        <v>354171049</v>
      </c>
    </row>
    <row r="13" spans="1:3">
      <c r="A13" s="37" t="s">
        <v>61</v>
      </c>
      <c r="B13" s="39">
        <v>295911314</v>
      </c>
      <c r="C13" s="38">
        <f>B13/B14</f>
        <v>0.30155114730790372</v>
      </c>
    </row>
    <row r="14" spans="1:3">
      <c r="A14" s="37" t="s">
        <v>60</v>
      </c>
      <c r="B14" s="39">
        <v>981297258</v>
      </c>
    </row>
    <row r="17" spans="1:3">
      <c r="A17" s="191" t="s">
        <v>1268</v>
      </c>
    </row>
    <row r="18" spans="1:3">
      <c r="A18" s="37" t="s">
        <v>67</v>
      </c>
      <c r="B18" s="39">
        <v>971459254</v>
      </c>
      <c r="C18" s="38">
        <v>1</v>
      </c>
    </row>
    <row r="20" spans="1:3">
      <c r="A20" s="37" t="s">
        <v>66</v>
      </c>
      <c r="B20" s="39">
        <v>451138913</v>
      </c>
      <c r="C20" s="38">
        <f>B20/B21</f>
        <v>0.5</v>
      </c>
    </row>
    <row r="21" spans="1:3">
      <c r="A21" s="37" t="s">
        <v>65</v>
      </c>
      <c r="B21" s="39">
        <v>902277826</v>
      </c>
    </row>
    <row r="23" spans="1:3">
      <c r="A23" s="37" t="s">
        <v>64</v>
      </c>
      <c r="B23" s="39">
        <v>32182879</v>
      </c>
      <c r="C23" s="38">
        <v>1</v>
      </c>
    </row>
    <row r="25" spans="1:3">
      <c r="A25" s="37" t="s">
        <v>63</v>
      </c>
      <c r="B25" s="39">
        <v>231019411</v>
      </c>
      <c r="C25" s="38">
        <f>B25/B26</f>
        <v>0.50000000108216014</v>
      </c>
    </row>
    <row r="26" spans="1:3">
      <c r="A26" s="37" t="s">
        <v>62</v>
      </c>
      <c r="B26" s="39">
        <v>462038821</v>
      </c>
    </row>
    <row r="28" spans="1:3">
      <c r="A28" s="37" t="s">
        <v>61</v>
      </c>
      <c r="B28" s="39">
        <v>329608367</v>
      </c>
      <c r="C28" s="38">
        <f>B28/B29</f>
        <v>0.28427371851776734</v>
      </c>
    </row>
    <row r="29" spans="1:3">
      <c r="A29" s="37" t="s">
        <v>60</v>
      </c>
      <c r="B29" s="39">
        <v>1159475342</v>
      </c>
    </row>
    <row r="32" spans="1:3">
      <c r="B32" s="39">
        <f>B18+B20+B23+B25+B28</f>
        <v>2015408824</v>
      </c>
      <c r="C32" s="38">
        <f>B32/B33</f>
        <v>0.57135264736207025</v>
      </c>
    </row>
    <row r="33" spans="2:2">
      <c r="B33" s="39">
        <f>B21+B23+B18+B26+B29</f>
        <v>3527434122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 transitionEntry="1">
    <tabColor rgb="FFFFFF00"/>
  </sheetPr>
  <dimension ref="A1:AK2546"/>
  <sheetViews>
    <sheetView zoomScaleNormal="100" zoomScaleSheetLayoutView="75" workbookViewId="0">
      <selection activeCell="I9" sqref="I9"/>
    </sheetView>
  </sheetViews>
  <sheetFormatPr defaultColWidth="16.42578125" defaultRowHeight="12.75"/>
  <cols>
    <col min="1" max="1" width="11.28515625" style="65" customWidth="1"/>
    <col min="2" max="2" width="50.5703125" style="66" customWidth="1"/>
    <col min="3" max="3" width="13.140625" style="66" customWidth="1"/>
    <col min="4" max="5" width="15" style="66" hidden="1" customWidth="1"/>
    <col min="6" max="8" width="13.7109375" style="66" customWidth="1"/>
    <col min="9" max="9" width="13.85546875" style="66" customWidth="1"/>
    <col min="10" max="12" width="15" style="66" hidden="1" customWidth="1"/>
    <col min="13" max="13" width="15" style="66" customWidth="1"/>
    <col min="14" max="14" width="13.7109375" style="66" customWidth="1"/>
    <col min="15" max="15" width="11.140625" style="66" customWidth="1"/>
    <col min="16" max="17" width="15" style="66" hidden="1" customWidth="1"/>
    <col min="18" max="18" width="12.28515625" style="66" customWidth="1"/>
    <col min="19" max="19" width="11.28515625" style="66" customWidth="1"/>
    <col min="20" max="20" width="20.28515625" style="66" customWidth="1"/>
    <col min="21" max="21" width="23.28515625" style="65" customWidth="1"/>
    <col min="22" max="22" width="7" style="65" customWidth="1"/>
    <col min="23" max="23" width="20.5703125" style="66" customWidth="1"/>
    <col min="24" max="24" width="20.42578125" style="66" customWidth="1"/>
    <col min="25" max="29" width="20.28515625" style="66" customWidth="1"/>
    <col min="30" max="30" width="21.5703125" style="66" customWidth="1"/>
    <col min="31" max="32" width="20.28515625" style="66" customWidth="1"/>
    <col min="33" max="34" width="17.5703125" style="66" customWidth="1"/>
    <col min="35" max="35" width="19" style="66" customWidth="1"/>
    <col min="36" max="36" width="16.42578125" style="65"/>
    <col min="37" max="38" width="16.42578125" style="66"/>
    <col min="39" max="39" width="6.140625" style="66" customWidth="1"/>
    <col min="40" max="40" width="13.85546875" style="66" customWidth="1"/>
    <col min="41" max="41" width="16.42578125" style="66"/>
    <col min="42" max="42" width="8.7109375" style="66" customWidth="1"/>
    <col min="43" max="44" width="19" style="66" customWidth="1"/>
    <col min="45" max="45" width="17.7109375" style="66" customWidth="1"/>
    <col min="46" max="50" width="19" style="66" customWidth="1"/>
    <col min="51" max="16384" width="16.42578125" style="66"/>
  </cols>
  <sheetData>
    <row r="1" spans="1:3" ht="15">
      <c r="A1" s="151" t="s">
        <v>970</v>
      </c>
      <c r="B1" s="152" t="s">
        <v>81</v>
      </c>
    </row>
    <row r="2" spans="1:3">
      <c r="A2" s="153" t="s">
        <v>971</v>
      </c>
      <c r="B2" s="154"/>
    </row>
    <row r="4" spans="1:3">
      <c r="A4" s="67"/>
      <c r="B4" s="67" t="s">
        <v>82</v>
      </c>
      <c r="C4" s="68" t="s">
        <v>83</v>
      </c>
    </row>
    <row r="6" spans="1:3">
      <c r="A6" s="69" t="s">
        <v>84</v>
      </c>
      <c r="C6" s="70" t="s">
        <v>85</v>
      </c>
    </row>
    <row r="7" spans="1:3">
      <c r="A7" s="69" t="s">
        <v>86</v>
      </c>
      <c r="C7" s="70" t="s">
        <v>87</v>
      </c>
    </row>
    <row r="8" spans="1:3">
      <c r="A8" s="71" t="s">
        <v>88</v>
      </c>
      <c r="C8" s="70" t="s">
        <v>89</v>
      </c>
    </row>
    <row r="9" spans="1:3">
      <c r="A9" s="71" t="s">
        <v>90</v>
      </c>
      <c r="C9" s="70" t="s">
        <v>91</v>
      </c>
    </row>
    <row r="10" spans="1:3">
      <c r="A10" s="71" t="s">
        <v>92</v>
      </c>
      <c r="C10" s="70" t="s">
        <v>93</v>
      </c>
    </row>
    <row r="11" spans="1:3">
      <c r="A11" s="69" t="s">
        <v>94</v>
      </c>
      <c r="C11" s="70" t="s">
        <v>95</v>
      </c>
    </row>
    <row r="12" spans="1:3">
      <c r="A12" s="69" t="s">
        <v>96</v>
      </c>
      <c r="C12" s="70" t="s">
        <v>97</v>
      </c>
    </row>
    <row r="13" spans="1:3">
      <c r="A13" s="69" t="s">
        <v>98</v>
      </c>
      <c r="C13" s="70" t="s">
        <v>99</v>
      </c>
    </row>
    <row r="14" spans="1:3">
      <c r="A14" s="69" t="s">
        <v>100</v>
      </c>
      <c r="C14" s="70" t="s">
        <v>101</v>
      </c>
    </row>
    <row r="15" spans="1:3">
      <c r="A15" s="69" t="s">
        <v>102</v>
      </c>
      <c r="C15" s="70" t="s">
        <v>103</v>
      </c>
    </row>
    <row r="16" spans="1:3">
      <c r="A16" s="69" t="s">
        <v>104</v>
      </c>
      <c r="C16" s="70" t="s">
        <v>105</v>
      </c>
    </row>
    <row r="17" spans="1:37">
      <c r="A17" s="69" t="s">
        <v>106</v>
      </c>
      <c r="C17" s="70" t="s">
        <v>107</v>
      </c>
    </row>
    <row r="18" spans="1:37">
      <c r="A18" s="69" t="s">
        <v>108</v>
      </c>
      <c r="C18" s="70" t="s">
        <v>109</v>
      </c>
    </row>
    <row r="19" spans="1:37">
      <c r="A19" s="71" t="s">
        <v>110</v>
      </c>
      <c r="B19" s="72"/>
      <c r="C19" s="70" t="s">
        <v>111</v>
      </c>
    </row>
    <row r="20" spans="1:37">
      <c r="A20" s="69"/>
      <c r="C20" s="70"/>
    </row>
    <row r="21" spans="1:37">
      <c r="A21" s="69"/>
      <c r="C21" s="70"/>
    </row>
    <row r="22" spans="1:37">
      <c r="A22" s="69"/>
      <c r="C22" s="70"/>
    </row>
    <row r="23" spans="1:37">
      <c r="A23" s="66"/>
      <c r="H23" s="65" t="s">
        <v>80</v>
      </c>
      <c r="Q23" s="65" t="s">
        <v>80</v>
      </c>
      <c r="W23" s="72"/>
      <c r="X23" s="65"/>
      <c r="Z23" s="65"/>
      <c r="AF23" s="65"/>
      <c r="AI23" s="73"/>
      <c r="AJ23" s="73"/>
      <c r="AK23" s="65"/>
    </row>
    <row r="24" spans="1:37">
      <c r="A24" s="74"/>
      <c r="H24" s="70" t="s">
        <v>112</v>
      </c>
      <c r="Q24" s="70" t="str">
        <f>$H$24</f>
        <v>12 MONTHS ENDING DECEMBER 31, 2012</v>
      </c>
      <c r="Z24" s="70"/>
      <c r="AI24" s="73"/>
      <c r="AJ24" s="73"/>
      <c r="AK24" s="65"/>
    </row>
    <row r="25" spans="1:37">
      <c r="H25" s="70" t="s">
        <v>113</v>
      </c>
      <c r="Q25" s="70" t="s">
        <v>113</v>
      </c>
      <c r="Z25" s="70"/>
      <c r="AI25" s="73"/>
      <c r="AJ25" s="73"/>
      <c r="AK25" s="65"/>
    </row>
    <row r="26" spans="1:37">
      <c r="C26" s="75"/>
      <c r="H26" s="70" t="s">
        <v>92</v>
      </c>
      <c r="Q26" s="70" t="s">
        <v>92</v>
      </c>
      <c r="Z26" s="70"/>
      <c r="AI26" s="73"/>
      <c r="AJ26" s="73"/>
      <c r="AK26" s="65"/>
    </row>
    <row r="27" spans="1:37">
      <c r="C27" s="75"/>
      <c r="H27" s="70" t="s">
        <v>114</v>
      </c>
      <c r="Q27" s="70" t="s">
        <v>114</v>
      </c>
      <c r="X27" s="73"/>
      <c r="Y27" s="73"/>
      <c r="Z27" s="70"/>
      <c r="AK27" s="65"/>
    </row>
    <row r="28" spans="1:37">
      <c r="C28" s="65" t="s">
        <v>59</v>
      </c>
      <c r="K28" s="65"/>
      <c r="L28" s="65"/>
      <c r="M28" s="65"/>
      <c r="O28" s="65" t="s">
        <v>59</v>
      </c>
      <c r="P28" s="65"/>
      <c r="Q28" s="65"/>
      <c r="R28" s="65"/>
      <c r="S28" s="65" t="s">
        <v>115</v>
      </c>
      <c r="T28" s="65"/>
      <c r="W28" s="76" t="s">
        <v>116</v>
      </c>
      <c r="X28" s="76" t="s">
        <v>116</v>
      </c>
      <c r="Y28" s="76" t="s">
        <v>117</v>
      </c>
      <c r="AF28" s="65"/>
    </row>
    <row r="29" spans="1:37">
      <c r="A29" s="65" t="s">
        <v>118</v>
      </c>
      <c r="C29" s="65" t="s">
        <v>58</v>
      </c>
      <c r="D29" s="70" t="s">
        <v>119</v>
      </c>
      <c r="E29" s="70" t="s">
        <v>119</v>
      </c>
      <c r="F29" s="70" t="s">
        <v>119</v>
      </c>
      <c r="G29" s="70" t="s">
        <v>119</v>
      </c>
      <c r="H29" s="70" t="s">
        <v>119</v>
      </c>
      <c r="I29" s="70" t="s">
        <v>119</v>
      </c>
      <c r="J29" s="70" t="s">
        <v>119</v>
      </c>
      <c r="K29" s="70" t="s">
        <v>119</v>
      </c>
      <c r="L29" s="70" t="s">
        <v>119</v>
      </c>
      <c r="M29" s="70" t="s">
        <v>119</v>
      </c>
      <c r="N29" s="70" t="s">
        <v>119</v>
      </c>
      <c r="O29" s="65" t="s">
        <v>116</v>
      </c>
      <c r="P29" s="65"/>
      <c r="Q29" s="70" t="s">
        <v>120</v>
      </c>
      <c r="R29" s="65"/>
      <c r="S29" s="65" t="s">
        <v>121</v>
      </c>
      <c r="T29" s="65"/>
      <c r="W29" s="76" t="s">
        <v>122</v>
      </c>
      <c r="X29" s="76" t="s">
        <v>123</v>
      </c>
      <c r="Y29" s="76" t="s">
        <v>124</v>
      </c>
      <c r="Z29" s="65"/>
      <c r="AF29" s="70"/>
    </row>
    <row r="30" spans="1:37">
      <c r="A30" s="65" t="s">
        <v>125</v>
      </c>
      <c r="B30" s="65" t="s">
        <v>126</v>
      </c>
      <c r="C30" s="65" t="s">
        <v>57</v>
      </c>
      <c r="D30" s="70" t="s">
        <v>127</v>
      </c>
      <c r="E30" s="70" t="s">
        <v>128</v>
      </c>
      <c r="F30" s="70" t="s">
        <v>129</v>
      </c>
      <c r="G30" s="70" t="s">
        <v>130</v>
      </c>
      <c r="H30" s="70" t="s">
        <v>131</v>
      </c>
      <c r="I30" s="65" t="s">
        <v>132</v>
      </c>
      <c r="J30" s="70" t="s">
        <v>133</v>
      </c>
      <c r="K30" s="70" t="s">
        <v>134</v>
      </c>
      <c r="L30" s="70" t="s">
        <v>135</v>
      </c>
      <c r="M30" s="70" t="s">
        <v>136</v>
      </c>
      <c r="N30" s="70" t="s">
        <v>137</v>
      </c>
      <c r="O30" s="65" t="s">
        <v>138</v>
      </c>
      <c r="P30" s="70" t="s">
        <v>139</v>
      </c>
      <c r="Q30" s="70" t="s">
        <v>140</v>
      </c>
      <c r="R30" s="65" t="s">
        <v>122</v>
      </c>
      <c r="S30" s="65" t="s">
        <v>141</v>
      </c>
      <c r="T30" s="65"/>
      <c r="W30" s="76" t="s">
        <v>142</v>
      </c>
      <c r="X30" s="76" t="s">
        <v>142</v>
      </c>
      <c r="Y30" s="76" t="s">
        <v>142</v>
      </c>
      <c r="Z30" s="65"/>
      <c r="AF30" s="70"/>
    </row>
    <row r="31" spans="1:37">
      <c r="A31" s="65" t="s">
        <v>143</v>
      </c>
      <c r="B31" s="65" t="s">
        <v>144</v>
      </c>
      <c r="C31" s="65" t="s">
        <v>145</v>
      </c>
      <c r="D31" s="70" t="s">
        <v>146</v>
      </c>
      <c r="E31" s="70" t="s">
        <v>147</v>
      </c>
      <c r="F31" s="70" t="s">
        <v>148</v>
      </c>
      <c r="G31" s="65" t="s">
        <v>149</v>
      </c>
      <c r="H31" s="65" t="s">
        <v>150</v>
      </c>
      <c r="I31" s="65" t="s">
        <v>151</v>
      </c>
      <c r="J31" s="70" t="s">
        <v>152</v>
      </c>
      <c r="K31" s="70" t="s">
        <v>153</v>
      </c>
      <c r="L31" s="70" t="s">
        <v>154</v>
      </c>
      <c r="M31" s="70" t="s">
        <v>155</v>
      </c>
      <c r="N31" s="70" t="s">
        <v>156</v>
      </c>
      <c r="O31" s="70" t="s">
        <v>157</v>
      </c>
      <c r="P31" s="70" t="s">
        <v>158</v>
      </c>
      <c r="Q31" s="70" t="s">
        <v>159</v>
      </c>
      <c r="R31" s="70" t="s">
        <v>160</v>
      </c>
      <c r="S31" s="70" t="s">
        <v>161</v>
      </c>
      <c r="T31" s="70"/>
      <c r="U31" s="65" t="s">
        <v>162</v>
      </c>
      <c r="W31" s="77" t="s">
        <v>163</v>
      </c>
      <c r="X31" s="77" t="s">
        <v>164</v>
      </c>
      <c r="Y31" s="76" t="s">
        <v>165</v>
      </c>
      <c r="Z31" s="70"/>
      <c r="AF31" s="76"/>
    </row>
    <row r="32" spans="1:37">
      <c r="W32" s="73"/>
      <c r="X32" s="73"/>
      <c r="Y32" s="73"/>
    </row>
    <row r="33" spans="1:32">
      <c r="W33" s="73"/>
      <c r="X33" s="73"/>
      <c r="Y33" s="73"/>
    </row>
    <row r="34" spans="1:32">
      <c r="A34" s="65">
        <f>A32+1</f>
        <v>1</v>
      </c>
      <c r="B34" s="66" t="s">
        <v>166</v>
      </c>
      <c r="C34" s="78">
        <f>2215128+229326+9277+338-1012193-3702</f>
        <v>1438174</v>
      </c>
      <c r="D34" s="79">
        <f>SUM(D37:D38)</f>
        <v>561710.71799999999</v>
      </c>
      <c r="E34" s="79">
        <f>SUM(E37:E38)</f>
        <v>14814</v>
      </c>
      <c r="F34" s="79">
        <f>D34+E34</f>
        <v>576524.71799999999</v>
      </c>
      <c r="G34" s="79">
        <f t="shared" ref="G34:N34" si="0">SUM(G37:G38)</f>
        <v>28309</v>
      </c>
      <c r="H34" s="79">
        <f t="shared" si="0"/>
        <v>230995</v>
      </c>
      <c r="I34" s="79">
        <f t="shared" si="0"/>
        <v>135879</v>
      </c>
      <c r="J34" s="79">
        <f t="shared" si="0"/>
        <v>59801</v>
      </c>
      <c r="K34" s="79">
        <f t="shared" si="0"/>
        <v>4148</v>
      </c>
      <c r="L34" s="79">
        <f t="shared" si="0"/>
        <v>2458</v>
      </c>
      <c r="M34" s="79">
        <f t="shared" si="0"/>
        <v>66407</v>
      </c>
      <c r="N34" s="79">
        <f t="shared" si="0"/>
        <v>5234</v>
      </c>
      <c r="O34" s="79">
        <f>$C34-$R34-$S34</f>
        <v>1043348.718</v>
      </c>
      <c r="P34" s="79">
        <v>32730</v>
      </c>
      <c r="Q34" s="79">
        <v>3755</v>
      </c>
      <c r="R34" s="78">
        <f>P34+Q34</f>
        <v>36485</v>
      </c>
      <c r="S34" s="78">
        <v>358340.28200000001</v>
      </c>
      <c r="U34" s="80">
        <f>O34+R34+S34-C34</f>
        <v>0</v>
      </c>
      <c r="W34" s="81">
        <f>IF((O34+R34)=0," ",ROUND((O34/(O34+R34)),7))</f>
        <v>0.96621239999999997</v>
      </c>
      <c r="X34" s="81">
        <f>IF((C34)=0," ",ROUND((O34/(C34)),7))</f>
        <v>0.72546770000000005</v>
      </c>
      <c r="Y34" s="81">
        <f>IF((C34)=0," ",ROUND((S34/(C34)),7))</f>
        <v>0.24916340000000001</v>
      </c>
      <c r="Z34" s="79"/>
      <c r="AF34" s="79"/>
    </row>
    <row r="35" spans="1:32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U35" s="80"/>
      <c r="W35" s="81"/>
      <c r="X35" s="81"/>
      <c r="Y35" s="81"/>
      <c r="Z35" s="79"/>
      <c r="AF35" s="79"/>
    </row>
    <row r="36" spans="1:32">
      <c r="B36" s="66" t="s">
        <v>167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2"/>
      <c r="R36" s="79"/>
      <c r="S36" s="79"/>
      <c r="U36" s="80"/>
      <c r="W36" s="81"/>
      <c r="X36" s="81"/>
      <c r="Y36" s="81"/>
      <c r="Z36" s="79"/>
      <c r="AF36" s="79"/>
    </row>
    <row r="37" spans="1:32">
      <c r="A37" s="65">
        <f>A34+1</f>
        <v>2</v>
      </c>
      <c r="B37" s="66" t="s">
        <v>39</v>
      </c>
      <c r="C37" s="79"/>
      <c r="D37" s="79">
        <f>O37-E37-SUM(G37:I37)-SUM(M37:N37)</f>
        <v>524547.1243076924</v>
      </c>
      <c r="E37" s="79">
        <v>13410</v>
      </c>
      <c r="F37" s="79">
        <f>D37+E37</f>
        <v>537957.1243076924</v>
      </c>
      <c r="G37" s="79">
        <v>26270</v>
      </c>
      <c r="H37" s="79">
        <v>212309</v>
      </c>
      <c r="I37" s="79">
        <v>123358</v>
      </c>
      <c r="J37" s="79">
        <v>53021</v>
      </c>
      <c r="K37" s="79">
        <v>3840</v>
      </c>
      <c r="L37" s="79">
        <v>2197</v>
      </c>
      <c r="M37" s="79">
        <f>SUM(J37:L37)</f>
        <v>59058</v>
      </c>
      <c r="N37" s="79">
        <v>4139</v>
      </c>
      <c r="O37" s="79">
        <v>963091.1243076924</v>
      </c>
      <c r="P37" s="79"/>
      <c r="Q37" s="79"/>
      <c r="R37" s="79"/>
      <c r="S37" s="79"/>
      <c r="U37" s="80"/>
      <c r="W37" s="81"/>
      <c r="X37" s="81" t="str">
        <f>IF((C37)=0," ",ROUND((Q37/(C37)),74))</f>
        <v xml:space="preserve"> </v>
      </c>
      <c r="Y37" s="81" t="str">
        <f>IF((C37)=0," ",ROUND((R37/(C37)),7))</f>
        <v xml:space="preserve"> </v>
      </c>
      <c r="Z37" s="79"/>
      <c r="AF37" s="79"/>
    </row>
    <row r="38" spans="1:32">
      <c r="A38" s="65">
        <f>A37+1</f>
        <v>3</v>
      </c>
      <c r="B38" s="66" t="s">
        <v>168</v>
      </c>
      <c r="C38" s="79"/>
      <c r="D38" s="79">
        <f>O38-E38-SUM(G38:I38)-SUM(M38:N38)</f>
        <v>37163.593692307593</v>
      </c>
      <c r="E38" s="79">
        <v>1404</v>
      </c>
      <c r="F38" s="79">
        <f>D38+E38</f>
        <v>38567.593692307593</v>
      </c>
      <c r="G38" s="79">
        <v>2039</v>
      </c>
      <c r="H38" s="79">
        <v>18686</v>
      </c>
      <c r="I38" s="79">
        <v>12521</v>
      </c>
      <c r="J38" s="79">
        <v>6780</v>
      </c>
      <c r="K38" s="79">
        <v>308</v>
      </c>
      <c r="L38" s="79">
        <v>261</v>
      </c>
      <c r="M38" s="79">
        <f>SUM(J38:L38)</f>
        <v>7349</v>
      </c>
      <c r="N38" s="79">
        <v>1095</v>
      </c>
      <c r="O38" s="79">
        <f>O34-O37</f>
        <v>80257.593692307593</v>
      </c>
      <c r="P38" s="79"/>
      <c r="Q38" s="79"/>
      <c r="R38" s="79"/>
      <c r="S38" s="79"/>
      <c r="U38" s="80"/>
      <c r="W38" s="81"/>
      <c r="X38" s="81" t="str">
        <f>IF((C38)=0," ",ROUND((Q38/(C38)),74))</f>
        <v xml:space="preserve"> </v>
      </c>
      <c r="Y38" s="81" t="str">
        <f>IF((C38)=0," ",ROUND((R38/(C38)),7))</f>
        <v xml:space="preserve"> </v>
      </c>
      <c r="Z38" s="79"/>
      <c r="AF38" s="79"/>
    </row>
    <row r="39" spans="1:32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U39" s="80"/>
      <c r="W39" s="81"/>
      <c r="X39" s="81"/>
      <c r="Y39" s="81"/>
      <c r="Z39" s="79"/>
      <c r="AF39" s="79"/>
    </row>
    <row r="40" spans="1:32">
      <c r="B40" s="65" t="s">
        <v>169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U40" s="80"/>
      <c r="W40" s="81"/>
      <c r="X40" s="81"/>
      <c r="Y40" s="81"/>
      <c r="Z40" s="79"/>
      <c r="AF40" s="79"/>
    </row>
    <row r="41" spans="1:32">
      <c r="B41" s="83" t="s">
        <v>170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4"/>
      <c r="P41" s="79"/>
      <c r="Q41" s="79"/>
      <c r="R41" s="79"/>
      <c r="S41" s="79"/>
      <c r="U41" s="80"/>
      <c r="W41" s="81"/>
      <c r="X41" s="81"/>
      <c r="Y41" s="81"/>
      <c r="Z41" s="79"/>
      <c r="AF41" s="79"/>
    </row>
    <row r="42" spans="1:32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U42" s="80"/>
      <c r="W42" s="81"/>
      <c r="X42" s="81"/>
      <c r="Y42" s="81"/>
      <c r="Z42" s="79"/>
      <c r="AF42" s="79"/>
    </row>
    <row r="43" spans="1:32">
      <c r="B43" s="66" t="s">
        <v>171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U43" s="80"/>
      <c r="W43" s="81"/>
      <c r="X43" s="81"/>
      <c r="Y43" s="81"/>
      <c r="Z43" s="79"/>
      <c r="AF43" s="79"/>
    </row>
    <row r="44" spans="1:32">
      <c r="B44" s="66" t="s">
        <v>172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U44" s="80"/>
      <c r="W44" s="81"/>
      <c r="X44" s="81"/>
      <c r="Y44" s="81"/>
      <c r="Z44" s="79"/>
      <c r="AF44" s="79"/>
    </row>
    <row r="45" spans="1:32">
      <c r="A45" s="65">
        <f>A38+1</f>
        <v>4</v>
      </c>
      <c r="B45" s="66" t="s">
        <v>173</v>
      </c>
      <c r="C45" s="78">
        <v>323</v>
      </c>
      <c r="D45" s="79">
        <f>C45-E45-SUM(G45:I45)-SUM(M45:N45)-R45-S45</f>
        <v>170</v>
      </c>
      <c r="E45" s="79">
        <v>4</v>
      </c>
      <c r="F45" s="79">
        <f>D45+E45</f>
        <v>174</v>
      </c>
      <c r="G45" s="79">
        <v>9</v>
      </c>
      <c r="H45" s="79">
        <v>69</v>
      </c>
      <c r="I45" s="79">
        <v>40</v>
      </c>
      <c r="J45" s="79">
        <v>17</v>
      </c>
      <c r="K45" s="79">
        <v>1</v>
      </c>
      <c r="L45" s="79">
        <v>1</v>
      </c>
      <c r="M45" s="79">
        <f>SUM(J45:L45)</f>
        <v>19</v>
      </c>
      <c r="N45" s="79">
        <v>1</v>
      </c>
      <c r="O45" s="79">
        <f>SUM(F45:I45)+SUM(M45:N45)</f>
        <v>312</v>
      </c>
      <c r="P45" s="79">
        <v>10</v>
      </c>
      <c r="Q45" s="79">
        <v>1</v>
      </c>
      <c r="R45" s="78">
        <f>P45+Q45</f>
        <v>11</v>
      </c>
      <c r="S45" s="78">
        <v>0</v>
      </c>
      <c r="U45" s="80">
        <f t="shared" ref="U45:U50" si="1">O45+R45+S45-C45</f>
        <v>0</v>
      </c>
      <c r="W45" s="81">
        <f>IF((O45+R45)=0," ",ROUND((O45/(O45+R45)),7))</f>
        <v>0.96594429999999998</v>
      </c>
      <c r="X45" s="81">
        <f>IF((C45)=0," ",ROUND((O45/(C45)),7))</f>
        <v>0.96594429999999998</v>
      </c>
      <c r="Y45" s="81">
        <f>IF((C45)=0," ",ROUND((S45/(C45)),7))</f>
        <v>0</v>
      </c>
      <c r="Z45" s="79"/>
      <c r="AF45" s="79"/>
    </row>
    <row r="46" spans="1:32">
      <c r="A46" s="65">
        <f>A45+1</f>
        <v>5</v>
      </c>
      <c r="B46" s="66" t="s">
        <v>174</v>
      </c>
      <c r="C46" s="78">
        <v>571</v>
      </c>
      <c r="D46" s="79">
        <f>C46-E46-SUM(G46:I46)-SUM(M46:N46)-R46-S46</f>
        <v>331</v>
      </c>
      <c r="E46" s="79">
        <v>8</v>
      </c>
      <c r="F46" s="79">
        <f>D46+E46</f>
        <v>339</v>
      </c>
      <c r="G46" s="79">
        <v>16</v>
      </c>
      <c r="H46" s="79">
        <v>133</v>
      </c>
      <c r="I46" s="79">
        <v>54</v>
      </c>
      <c r="J46" s="79">
        <v>23</v>
      </c>
      <c r="K46" s="79">
        <v>2</v>
      </c>
      <c r="L46" s="79">
        <v>1</v>
      </c>
      <c r="M46" s="79">
        <f>SUM(J46:L46)</f>
        <v>26</v>
      </c>
      <c r="N46" s="79">
        <v>3</v>
      </c>
      <c r="O46" s="79">
        <f>SUM(F46:I46)+SUM(M46:N46)</f>
        <v>571</v>
      </c>
      <c r="P46" s="79">
        <v>0</v>
      </c>
      <c r="Q46" s="79">
        <v>0</v>
      </c>
      <c r="R46" s="78">
        <f>P46+Q46</f>
        <v>0</v>
      </c>
      <c r="S46" s="79">
        <v>0</v>
      </c>
      <c r="U46" s="80">
        <f t="shared" si="1"/>
        <v>0</v>
      </c>
      <c r="W46" s="81">
        <f>IF((O46+R46)=0," ",ROUND((O46/(O46+R46)),7))</f>
        <v>1</v>
      </c>
      <c r="X46" s="81">
        <f>IF((C46)=0," ",ROUND((O46/(C46)),7))</f>
        <v>1</v>
      </c>
      <c r="Y46" s="81">
        <f>IF((C46)=0," ",ROUND((S46/(C46)),7))</f>
        <v>0</v>
      </c>
      <c r="Z46" s="79"/>
      <c r="AF46" s="79"/>
    </row>
    <row r="47" spans="1:32">
      <c r="A47" s="65">
        <f>A46+1</f>
        <v>6</v>
      </c>
      <c r="B47" s="66" t="s">
        <v>175</v>
      </c>
      <c r="C47" s="79">
        <f>O47+R47+S47</f>
        <v>894</v>
      </c>
      <c r="D47" s="79">
        <f t="shared" ref="D47:L47" si="2">SUM(D45:D46)</f>
        <v>501</v>
      </c>
      <c r="E47" s="79">
        <f t="shared" si="2"/>
        <v>12</v>
      </c>
      <c r="F47" s="79">
        <f t="shared" si="2"/>
        <v>513</v>
      </c>
      <c r="G47" s="79">
        <f t="shared" si="2"/>
        <v>25</v>
      </c>
      <c r="H47" s="79">
        <f t="shared" si="2"/>
        <v>202</v>
      </c>
      <c r="I47" s="79">
        <f t="shared" si="2"/>
        <v>94</v>
      </c>
      <c r="J47" s="79">
        <f t="shared" si="2"/>
        <v>40</v>
      </c>
      <c r="K47" s="79">
        <f t="shared" si="2"/>
        <v>3</v>
      </c>
      <c r="L47" s="79">
        <f t="shared" si="2"/>
        <v>2</v>
      </c>
      <c r="M47" s="79">
        <f>SUM(J47:L47)</f>
        <v>45</v>
      </c>
      <c r="N47" s="79">
        <f t="shared" ref="N47:S47" si="3">SUM(N45:N46)</f>
        <v>4</v>
      </c>
      <c r="O47" s="79">
        <f t="shared" si="3"/>
        <v>883</v>
      </c>
      <c r="P47" s="79">
        <f t="shared" si="3"/>
        <v>10</v>
      </c>
      <c r="Q47" s="79">
        <f t="shared" si="3"/>
        <v>1</v>
      </c>
      <c r="R47" s="79">
        <f t="shared" si="3"/>
        <v>11</v>
      </c>
      <c r="S47" s="79">
        <f t="shared" si="3"/>
        <v>0</v>
      </c>
      <c r="U47" s="80">
        <f t="shared" si="1"/>
        <v>0</v>
      </c>
      <c r="W47" s="81">
        <f>IF((O47+R47)=0," ",ROUND((O47/(O47+R47)),7))</f>
        <v>0.98769569999999995</v>
      </c>
      <c r="X47" s="81">
        <f>IF((C47)=0," ",ROUND((O47/(C47)),7))</f>
        <v>0.98769569999999995</v>
      </c>
      <c r="Y47" s="81">
        <f>IF((C47)=0," ",ROUND((S47/(C47)),7))</f>
        <v>0</v>
      </c>
      <c r="Z47" s="79"/>
      <c r="AF47" s="79"/>
    </row>
    <row r="48" spans="1:32">
      <c r="B48" s="66" t="s">
        <v>176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U48" s="80"/>
      <c r="W48" s="81"/>
      <c r="X48" s="81"/>
      <c r="Y48" s="81"/>
      <c r="Z48" s="79"/>
      <c r="AF48" s="79"/>
    </row>
    <row r="49" spans="1:36">
      <c r="A49" s="65">
        <f>A47+1</f>
        <v>7</v>
      </c>
      <c r="B49" s="66" t="s">
        <v>173</v>
      </c>
      <c r="C49" s="78">
        <v>15283</v>
      </c>
      <c r="D49" s="79">
        <f>C49-E49-SUM(G49:I49)-SUM(M49:N49)-R49-S49</f>
        <v>8043</v>
      </c>
      <c r="E49" s="79">
        <v>206</v>
      </c>
      <c r="F49" s="79">
        <f>D49+E49</f>
        <v>8249</v>
      </c>
      <c r="G49" s="79">
        <v>403</v>
      </c>
      <c r="H49" s="79">
        <v>3255</v>
      </c>
      <c r="I49" s="79">
        <v>1891</v>
      </c>
      <c r="J49" s="79">
        <v>813</v>
      </c>
      <c r="K49" s="79">
        <v>59</v>
      </c>
      <c r="L49" s="79">
        <v>34</v>
      </c>
      <c r="M49" s="79">
        <f>SUM(J49:L49)</f>
        <v>906</v>
      </c>
      <c r="N49" s="79">
        <v>63</v>
      </c>
      <c r="O49" s="79">
        <f>SUM(F49:I49)+SUM(M49:N49)</f>
        <v>14767</v>
      </c>
      <c r="P49" s="79">
        <v>463</v>
      </c>
      <c r="Q49" s="79">
        <v>53</v>
      </c>
      <c r="R49" s="78">
        <f>P49+Q49</f>
        <v>516</v>
      </c>
      <c r="S49" s="78">
        <v>0</v>
      </c>
      <c r="U49" s="80">
        <f t="shared" si="1"/>
        <v>0</v>
      </c>
      <c r="W49" s="81">
        <f>IF((O49+R49)=0," ",ROUND((O49/(O49+R49)),7))</f>
        <v>0.96623700000000001</v>
      </c>
      <c r="X49" s="81">
        <f>IF((C49)=0," ",ROUND((O49/(C49)),7))</f>
        <v>0.96623700000000001</v>
      </c>
      <c r="Y49" s="81">
        <f>IF((C49)=0," ",ROUND((S49/(C49)),7))</f>
        <v>0</v>
      </c>
      <c r="Z49" s="79"/>
      <c r="AF49" s="79"/>
    </row>
    <row r="50" spans="1:36">
      <c r="A50" s="65">
        <f>A49+1</f>
        <v>8</v>
      </c>
      <c r="B50" s="66" t="s">
        <v>177</v>
      </c>
      <c r="C50" s="79">
        <f>13480+2697</f>
        <v>16177</v>
      </c>
      <c r="D50" s="79">
        <f t="shared" ref="D50:S50" si="4">D47+D49</f>
        <v>8544</v>
      </c>
      <c r="E50" s="79">
        <f>E47+E49</f>
        <v>218</v>
      </c>
      <c r="F50" s="79">
        <f>F47+F49</f>
        <v>8762</v>
      </c>
      <c r="G50" s="79">
        <f t="shared" si="4"/>
        <v>428</v>
      </c>
      <c r="H50" s="79">
        <f t="shared" si="4"/>
        <v>3457</v>
      </c>
      <c r="I50" s="79">
        <f t="shared" si="4"/>
        <v>1985</v>
      </c>
      <c r="J50" s="79">
        <f t="shared" si="4"/>
        <v>853</v>
      </c>
      <c r="K50" s="79">
        <f t="shared" si="4"/>
        <v>62</v>
      </c>
      <c r="L50" s="79">
        <f t="shared" si="4"/>
        <v>36</v>
      </c>
      <c r="M50" s="79">
        <f t="shared" si="4"/>
        <v>951</v>
      </c>
      <c r="N50" s="79">
        <f t="shared" si="4"/>
        <v>67</v>
      </c>
      <c r="O50" s="79">
        <f t="shared" si="4"/>
        <v>15650</v>
      </c>
      <c r="P50" s="79">
        <f t="shared" si="4"/>
        <v>473</v>
      </c>
      <c r="Q50" s="79">
        <f t="shared" si="4"/>
        <v>54</v>
      </c>
      <c r="R50" s="79">
        <f t="shared" si="4"/>
        <v>527</v>
      </c>
      <c r="S50" s="79">
        <f t="shared" si="4"/>
        <v>0</v>
      </c>
      <c r="U50" s="80">
        <f t="shared" si="1"/>
        <v>0</v>
      </c>
      <c r="W50" s="81">
        <f>IF((O50+R50)=0," ",ROUND((O50/(O50+R50)),7))</f>
        <v>0.96742289999999997</v>
      </c>
      <c r="X50" s="81">
        <f>IF((C50)=0," ",ROUND((O50/(C50)),7))</f>
        <v>0.96742289999999997</v>
      </c>
      <c r="Y50" s="81">
        <f>IF((C50)=0," ",ROUND((S50/(C50)),7))</f>
        <v>0</v>
      </c>
      <c r="Z50" s="79"/>
      <c r="AF50" s="79"/>
    </row>
    <row r="51" spans="1:36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U51" s="80"/>
      <c r="W51" s="81"/>
      <c r="X51" s="81"/>
      <c r="Y51" s="81"/>
      <c r="Z51" s="79"/>
      <c r="AF51" s="79"/>
    </row>
    <row r="52" spans="1:36">
      <c r="B52" s="66" t="s">
        <v>178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U52" s="80"/>
      <c r="W52" s="81"/>
      <c r="X52" s="81"/>
      <c r="Y52" s="81"/>
      <c r="Z52" s="79"/>
      <c r="AF52" s="79"/>
      <c r="AJ52" s="66"/>
    </row>
    <row r="53" spans="1:36">
      <c r="A53" s="65">
        <f>A50+1</f>
        <v>9</v>
      </c>
      <c r="B53" s="66" t="s">
        <v>179</v>
      </c>
      <c r="C53" s="79">
        <f>O53+R53+S53</f>
        <v>0</v>
      </c>
      <c r="D53" s="79">
        <v>0</v>
      </c>
      <c r="E53" s="79">
        <v>0</v>
      </c>
      <c r="F53" s="79">
        <f>D53+E53</f>
        <v>0</v>
      </c>
      <c r="G53" s="79">
        <v>0</v>
      </c>
      <c r="H53" s="79">
        <v>0</v>
      </c>
      <c r="I53" s="78">
        <v>0</v>
      </c>
      <c r="J53" s="78">
        <v>0</v>
      </c>
      <c r="K53" s="78">
        <v>0</v>
      </c>
      <c r="L53" s="78">
        <v>0</v>
      </c>
      <c r="M53" s="79">
        <f>SUM(J53:L53)</f>
        <v>0</v>
      </c>
      <c r="N53" s="78">
        <v>0</v>
      </c>
      <c r="O53" s="79">
        <f>SUM(F53:I53)+SUM(M53:N53)</f>
        <v>0</v>
      </c>
      <c r="P53" s="78">
        <v>0</v>
      </c>
      <c r="Q53" s="78">
        <v>0</v>
      </c>
      <c r="R53" s="78">
        <f>P53+Q53</f>
        <v>0</v>
      </c>
      <c r="S53" s="79">
        <v>0</v>
      </c>
      <c r="U53" s="80">
        <f>O53+R53+S53-C53</f>
        <v>0</v>
      </c>
      <c r="W53" s="81" t="str">
        <f>IF((O53+R53)=0," ",ROUND((O53/(O53+R53)),7))</f>
        <v xml:space="preserve"> </v>
      </c>
      <c r="X53" s="81" t="str">
        <f>IF((C53)=0," ",ROUND((O53/(C53)),7))</f>
        <v xml:space="preserve"> </v>
      </c>
      <c r="Y53" s="81" t="str">
        <f>IF((C53)=0," ",ROUND((S53/(C53)),7))</f>
        <v xml:space="preserve"> </v>
      </c>
      <c r="Z53" s="79"/>
      <c r="AF53" s="79"/>
      <c r="AJ53" s="66"/>
    </row>
    <row r="54" spans="1:36">
      <c r="A54" s="65">
        <f>A53+1</f>
        <v>10</v>
      </c>
      <c r="B54" s="66" t="s">
        <v>180</v>
      </c>
      <c r="C54" s="78">
        <v>10114</v>
      </c>
      <c r="D54" s="79">
        <f>C54-E54-SUM(G54:I54)-SUM(M54:N54)-R54-S54</f>
        <v>5322</v>
      </c>
      <c r="E54" s="79">
        <v>136</v>
      </c>
      <c r="F54" s="79">
        <f>D54+E54</f>
        <v>5458</v>
      </c>
      <c r="G54" s="79">
        <v>267</v>
      </c>
      <c r="H54" s="79">
        <v>2154</v>
      </c>
      <c r="I54" s="79">
        <v>1252</v>
      </c>
      <c r="J54" s="79">
        <v>538</v>
      </c>
      <c r="K54" s="79">
        <v>39</v>
      </c>
      <c r="L54" s="79">
        <v>22</v>
      </c>
      <c r="M54" s="79">
        <f>SUM(J54:L54)</f>
        <v>599</v>
      </c>
      <c r="N54" s="79">
        <v>42</v>
      </c>
      <c r="O54" s="79">
        <f>SUM(F54:I54)+SUM(M54:N54)</f>
        <v>9772</v>
      </c>
      <c r="P54" s="79">
        <v>307</v>
      </c>
      <c r="Q54" s="79">
        <v>35</v>
      </c>
      <c r="R54" s="78">
        <f>P54+Q54</f>
        <v>342</v>
      </c>
      <c r="S54" s="78">
        <v>0</v>
      </c>
      <c r="U54" s="80">
        <f>O54+R54+S54-C54</f>
        <v>0</v>
      </c>
      <c r="W54" s="81">
        <f>IF((O54+R54)=0," ",ROUND((O54/(O54+R54)),7))</f>
        <v>0.96618550000000003</v>
      </c>
      <c r="X54" s="81">
        <f>IF((C54)=0," ",ROUND((O54/(C54)),7))</f>
        <v>0.96618550000000003</v>
      </c>
      <c r="Y54" s="81">
        <f>IF((C54)=0," ",ROUND((S54/(C54)),7))</f>
        <v>0</v>
      </c>
      <c r="Z54" s="79"/>
      <c r="AF54" s="79"/>
      <c r="AJ54" s="66"/>
    </row>
    <row r="55" spans="1:36">
      <c r="A55" s="65">
        <f>A54+1</f>
        <v>11</v>
      </c>
      <c r="B55" s="66" t="s">
        <v>181</v>
      </c>
      <c r="C55" s="78">
        <v>864</v>
      </c>
      <c r="D55" s="79">
        <f>C55-E55-SUM(G55:I55)-SUM(M55:N55)-R55-S55</f>
        <v>497</v>
      </c>
      <c r="E55" s="79">
        <v>13</v>
      </c>
      <c r="F55" s="79">
        <f>D55+E55</f>
        <v>510</v>
      </c>
      <c r="G55" s="79">
        <v>25</v>
      </c>
      <c r="H55" s="79">
        <v>202</v>
      </c>
      <c r="I55" s="79">
        <v>82</v>
      </c>
      <c r="J55" s="79">
        <v>35</v>
      </c>
      <c r="K55" s="79">
        <v>4</v>
      </c>
      <c r="L55" s="79">
        <v>2</v>
      </c>
      <c r="M55" s="79">
        <f>SUM(J55:L55)</f>
        <v>41</v>
      </c>
      <c r="N55" s="79">
        <v>4</v>
      </c>
      <c r="O55" s="79">
        <f>SUM(F55:I55)+SUM(M55:N55)</f>
        <v>864</v>
      </c>
      <c r="P55" s="79">
        <v>0</v>
      </c>
      <c r="Q55" s="79">
        <v>0</v>
      </c>
      <c r="R55" s="78">
        <f>P55+Q55</f>
        <v>0</v>
      </c>
      <c r="S55" s="79">
        <v>0</v>
      </c>
      <c r="U55" s="80">
        <f>O55+R55+S55-C55</f>
        <v>0</v>
      </c>
      <c r="W55" s="81">
        <f>IF((O55+R55)=0," ",ROUND((O55/(O55+R55)),7))</f>
        <v>1</v>
      </c>
      <c r="X55" s="81">
        <f>IF((C55)=0," ",ROUND((O55/(C55)),7))</f>
        <v>1</v>
      </c>
      <c r="Y55" s="81">
        <f>IF((C55)=0," ",ROUND((S55/(C55)),7))</f>
        <v>0</v>
      </c>
      <c r="Z55" s="79"/>
      <c r="AF55" s="79"/>
      <c r="AJ55" s="66"/>
    </row>
    <row r="56" spans="1:36">
      <c r="A56" s="65">
        <f>A55+1</f>
        <v>12</v>
      </c>
      <c r="B56" s="66" t="s">
        <v>182</v>
      </c>
      <c r="C56" s="79">
        <f>10940+215-177</f>
        <v>10978</v>
      </c>
      <c r="D56" s="79">
        <f>SUM(D53:D55)</f>
        <v>5819</v>
      </c>
      <c r="E56" s="79">
        <f t="shared" ref="E56:O56" si="5">SUM(E53:E55)</f>
        <v>149</v>
      </c>
      <c r="F56" s="79">
        <f t="shared" si="5"/>
        <v>5968</v>
      </c>
      <c r="G56" s="79">
        <f t="shared" si="5"/>
        <v>292</v>
      </c>
      <c r="H56" s="79">
        <f t="shared" si="5"/>
        <v>2356</v>
      </c>
      <c r="I56" s="79">
        <f t="shared" si="5"/>
        <v>1334</v>
      </c>
      <c r="J56" s="79">
        <f t="shared" si="5"/>
        <v>573</v>
      </c>
      <c r="K56" s="79">
        <f t="shared" si="5"/>
        <v>43</v>
      </c>
      <c r="L56" s="79">
        <f t="shared" si="5"/>
        <v>24</v>
      </c>
      <c r="M56" s="79">
        <f>SUM(M53:M55)</f>
        <v>640</v>
      </c>
      <c r="N56" s="79">
        <f t="shared" si="5"/>
        <v>46</v>
      </c>
      <c r="O56" s="79">
        <f t="shared" si="5"/>
        <v>10636</v>
      </c>
      <c r="P56" s="79">
        <f>SUM(P53:P55)</f>
        <v>307</v>
      </c>
      <c r="Q56" s="79">
        <f>SUM(Q53:Q55)</f>
        <v>35</v>
      </c>
      <c r="R56" s="79">
        <f>SUM(R53:R55)</f>
        <v>342</v>
      </c>
      <c r="S56" s="79">
        <f>SUM(S53:S55)</f>
        <v>0</v>
      </c>
      <c r="U56" s="80">
        <f>O56+R56+S56-C56</f>
        <v>0</v>
      </c>
      <c r="W56" s="81">
        <f>IF((O56+R56)=0," ",ROUND((O56/(O56+R56)),7))</f>
        <v>0.96884680000000001</v>
      </c>
      <c r="X56" s="81">
        <f>IF((C56)=0," ",ROUND((O56/(C56)),7))</f>
        <v>0.96884680000000001</v>
      </c>
      <c r="Y56" s="81">
        <f>IF((C56)=0," ",ROUND((S56/(C56)),7))</f>
        <v>0</v>
      </c>
      <c r="Z56" s="79"/>
      <c r="AF56" s="79"/>
      <c r="AJ56" s="66"/>
    </row>
    <row r="57" spans="1:36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U57" s="80"/>
      <c r="W57" s="81"/>
      <c r="X57" s="81"/>
      <c r="Y57" s="81"/>
      <c r="Z57" s="79"/>
      <c r="AF57" s="79"/>
      <c r="AJ57" s="66"/>
    </row>
    <row r="58" spans="1:36">
      <c r="B58" s="66" t="s">
        <v>183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U58" s="80"/>
      <c r="W58" s="81"/>
      <c r="X58" s="81"/>
      <c r="Y58" s="81"/>
      <c r="Z58" s="79"/>
      <c r="AF58" s="79"/>
      <c r="AJ58" s="66"/>
    </row>
    <row r="59" spans="1:36">
      <c r="A59" s="65">
        <f>A56+1</f>
        <v>13</v>
      </c>
      <c r="B59" s="66" t="s">
        <v>179</v>
      </c>
      <c r="C59" s="79">
        <f>O59+R59+S59</f>
        <v>109</v>
      </c>
      <c r="D59" s="79">
        <v>0</v>
      </c>
      <c r="E59" s="79">
        <v>0</v>
      </c>
      <c r="F59" s="79">
        <f>D59+E59</f>
        <v>0</v>
      </c>
      <c r="G59" s="79">
        <v>0</v>
      </c>
      <c r="H59" s="79">
        <v>0</v>
      </c>
      <c r="I59" s="78">
        <v>94</v>
      </c>
      <c r="J59" s="78">
        <v>0</v>
      </c>
      <c r="K59" s="78">
        <v>15</v>
      </c>
      <c r="L59" s="78">
        <v>0</v>
      </c>
      <c r="M59" s="79">
        <f>SUM(J59:L59)</f>
        <v>15</v>
      </c>
      <c r="N59" s="78">
        <v>0</v>
      </c>
      <c r="O59" s="79">
        <f>SUM(F59:I59)+SUM(M59:N59)</f>
        <v>109</v>
      </c>
      <c r="P59" s="78">
        <v>0</v>
      </c>
      <c r="Q59" s="78">
        <v>0</v>
      </c>
      <c r="R59" s="78">
        <f>P59+Q59</f>
        <v>0</v>
      </c>
      <c r="S59" s="79">
        <v>0</v>
      </c>
      <c r="U59" s="80">
        <f>O59+R59+S59-C59</f>
        <v>0</v>
      </c>
      <c r="W59" s="81">
        <f>IF((O59+R59)=0," ",ROUND((O59/(O59+R59)),7))</f>
        <v>1</v>
      </c>
      <c r="X59" s="81">
        <f>IF((C59)=0," ",ROUND((O59/(C59)),7))</f>
        <v>1</v>
      </c>
      <c r="Y59" s="81">
        <f>IF((C59)=0," ",ROUND((S59/(C59)),7))</f>
        <v>0</v>
      </c>
      <c r="Z59" s="79"/>
      <c r="AF59" s="79"/>
      <c r="AJ59" s="66"/>
    </row>
    <row r="60" spans="1:36">
      <c r="A60" s="65">
        <f>A59+1</f>
        <v>14</v>
      </c>
      <c r="B60" s="66" t="s">
        <v>180</v>
      </c>
      <c r="C60" s="78">
        <v>107216</v>
      </c>
      <c r="D60" s="79">
        <f>C60-E60-SUM(G60:I60)-SUM(M60:N60)-R60-S60</f>
        <v>53967.305999999997</v>
      </c>
      <c r="E60" s="79">
        <v>1380</v>
      </c>
      <c r="F60" s="79">
        <f>D60+E60</f>
        <v>55347.305999999997</v>
      </c>
      <c r="G60" s="79">
        <v>2703</v>
      </c>
      <c r="H60" s="79">
        <v>21843</v>
      </c>
      <c r="I60" s="79">
        <v>12691</v>
      </c>
      <c r="J60" s="79">
        <v>5455</v>
      </c>
      <c r="K60" s="79">
        <v>395</v>
      </c>
      <c r="L60" s="79">
        <v>226</v>
      </c>
      <c r="M60" s="79">
        <f>SUM(J60:L60)</f>
        <v>6076</v>
      </c>
      <c r="N60" s="79">
        <v>426</v>
      </c>
      <c r="O60" s="79">
        <f>SUM(F60:I60)+SUM(M60:N60)</f>
        <v>99086.305999999997</v>
      </c>
      <c r="P60" s="79">
        <v>3108</v>
      </c>
      <c r="Q60" s="79">
        <v>357</v>
      </c>
      <c r="R60" s="78">
        <f>P60+Q60</f>
        <v>3465</v>
      </c>
      <c r="S60" s="78">
        <v>4664.6940000000004</v>
      </c>
      <c r="U60" s="80">
        <f>O60+R60+S60-C60</f>
        <v>0</v>
      </c>
      <c r="W60" s="81">
        <f>IF((O60+R60)=0," ",ROUND((O60/(O60+R60)),7))</f>
        <v>0.96621199999999996</v>
      </c>
      <c r="X60" s="81">
        <f>IF((C60)=0," ",ROUND((O60/(C60)),7))</f>
        <v>0.92417459999999996</v>
      </c>
      <c r="Y60" s="81">
        <f>IF((C60)=0," ",ROUND((S60/(C60)),7))</f>
        <v>4.3507400000000002E-2</v>
      </c>
      <c r="Z60" s="79"/>
      <c r="AF60" s="79"/>
      <c r="AJ60" s="66"/>
    </row>
    <row r="61" spans="1:36">
      <c r="A61" s="65">
        <f>A60+1</f>
        <v>15</v>
      </c>
      <c r="B61" s="66" t="s">
        <v>181</v>
      </c>
      <c r="C61" s="78">
        <v>19965</v>
      </c>
      <c r="D61" s="79">
        <f>C61-E61-SUM(G61:I61)-SUM(M61:N61)-R61-S61</f>
        <v>11512</v>
      </c>
      <c r="E61" s="79">
        <v>294</v>
      </c>
      <c r="F61" s="79">
        <f>D61+E61</f>
        <v>11806</v>
      </c>
      <c r="G61" s="79">
        <v>577</v>
      </c>
      <c r="H61" s="79">
        <v>4660</v>
      </c>
      <c r="I61" s="79">
        <v>1895</v>
      </c>
      <c r="J61" s="79">
        <v>807</v>
      </c>
      <c r="K61" s="79">
        <v>81</v>
      </c>
      <c r="L61" s="79">
        <v>48</v>
      </c>
      <c r="M61" s="79">
        <f>SUM(J61:L61)</f>
        <v>936</v>
      </c>
      <c r="N61" s="79">
        <v>91</v>
      </c>
      <c r="O61" s="79">
        <f>SUM(F61:I61)+SUM(M61:N61)</f>
        <v>19965</v>
      </c>
      <c r="P61" s="79">
        <v>0</v>
      </c>
      <c r="Q61" s="79">
        <v>0</v>
      </c>
      <c r="R61" s="78">
        <f>P61+Q61</f>
        <v>0</v>
      </c>
      <c r="S61" s="79">
        <v>0</v>
      </c>
      <c r="U61" s="80">
        <f>O61+R61+S61-C61</f>
        <v>0</v>
      </c>
      <c r="W61" s="81">
        <f>IF((O61+R61)=0," ",ROUND((O61/(O61+R61)),7))</f>
        <v>1</v>
      </c>
      <c r="X61" s="81">
        <f>IF((C61)=0," ",ROUND((O61/(C61)),7))</f>
        <v>1</v>
      </c>
      <c r="Y61" s="81">
        <f>IF((C61)=0," ",ROUND((S61/(C61)),7))</f>
        <v>0</v>
      </c>
      <c r="Z61" s="79"/>
      <c r="AF61" s="79"/>
      <c r="AJ61" s="66"/>
    </row>
    <row r="62" spans="1:36">
      <c r="A62" s="65">
        <f>A61+1</f>
        <v>16</v>
      </c>
      <c r="B62" s="66" t="s">
        <v>184</v>
      </c>
      <c r="C62" s="79">
        <f>125827+4449-2986</f>
        <v>127290</v>
      </c>
      <c r="D62" s="79">
        <f t="shared" ref="D62:S62" si="6">SUM(D59:D61)</f>
        <v>65479.305999999997</v>
      </c>
      <c r="E62" s="79">
        <f t="shared" si="6"/>
        <v>1674</v>
      </c>
      <c r="F62" s="79">
        <f t="shared" si="6"/>
        <v>67153.305999999997</v>
      </c>
      <c r="G62" s="79">
        <f t="shared" si="6"/>
        <v>3280</v>
      </c>
      <c r="H62" s="79">
        <f t="shared" si="6"/>
        <v>26503</v>
      </c>
      <c r="I62" s="79">
        <f t="shared" si="6"/>
        <v>14680</v>
      </c>
      <c r="J62" s="79">
        <f t="shared" si="6"/>
        <v>6262</v>
      </c>
      <c r="K62" s="79">
        <f t="shared" si="6"/>
        <v>491</v>
      </c>
      <c r="L62" s="79">
        <f t="shared" si="6"/>
        <v>274</v>
      </c>
      <c r="M62" s="79">
        <f t="shared" si="6"/>
        <v>7027</v>
      </c>
      <c r="N62" s="79">
        <f t="shared" si="6"/>
        <v>517</v>
      </c>
      <c r="O62" s="79">
        <f t="shared" si="6"/>
        <v>119160.306</v>
      </c>
      <c r="P62" s="79">
        <f t="shared" si="6"/>
        <v>3108</v>
      </c>
      <c r="Q62" s="79">
        <f t="shared" si="6"/>
        <v>357</v>
      </c>
      <c r="R62" s="79">
        <f t="shared" si="6"/>
        <v>3465</v>
      </c>
      <c r="S62" s="79">
        <f t="shared" si="6"/>
        <v>4664.6940000000004</v>
      </c>
      <c r="U62" s="80">
        <f>O62+R62+S62-C62</f>
        <v>0</v>
      </c>
      <c r="W62" s="81">
        <f>IF((O62+R62)=0," ",ROUND((O62/(O62+R62)),7))</f>
        <v>0.97174320000000003</v>
      </c>
      <c r="X62" s="81">
        <f>IF((C62)=0," ",ROUND((O62/(C62)),7))</f>
        <v>0.93613250000000003</v>
      </c>
      <c r="Y62" s="81">
        <f>IF((C62)=0," ",ROUND((S62/(C62)),7))</f>
        <v>3.6646199999999997E-2</v>
      </c>
      <c r="Z62" s="79"/>
      <c r="AF62" s="79"/>
      <c r="AJ62" s="66"/>
    </row>
    <row r="63" spans="1:36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U63" s="80"/>
      <c r="W63" s="81"/>
      <c r="X63" s="81"/>
      <c r="Y63" s="81"/>
      <c r="Z63" s="79"/>
      <c r="AF63" s="79"/>
      <c r="AJ63" s="66"/>
    </row>
    <row r="64" spans="1:36">
      <c r="B64" s="66" t="s">
        <v>185</v>
      </c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U64" s="80"/>
      <c r="W64" s="81"/>
      <c r="X64" s="81"/>
      <c r="Y64" s="81"/>
      <c r="Z64" s="79"/>
      <c r="AF64" s="79"/>
      <c r="AJ64" s="66"/>
    </row>
    <row r="65" spans="1:37">
      <c r="A65" s="65">
        <f>A62+1</f>
        <v>17</v>
      </c>
      <c r="B65" s="66" t="s">
        <v>186</v>
      </c>
      <c r="C65" s="78">
        <f>49768-565</f>
        <v>49203</v>
      </c>
      <c r="D65" s="79">
        <f>C65-E65-SUM(G65:I65)-SUM(M65:N65)-R65-S65</f>
        <v>25894</v>
      </c>
      <c r="E65" s="79">
        <v>662</v>
      </c>
      <c r="F65" s="79">
        <f>D65+E65</f>
        <v>26556</v>
      </c>
      <c r="G65" s="79">
        <v>1297</v>
      </c>
      <c r="H65" s="79">
        <v>10480</v>
      </c>
      <c r="I65" s="79">
        <v>6089</v>
      </c>
      <c r="J65" s="79">
        <v>2617</v>
      </c>
      <c r="K65" s="79">
        <v>190</v>
      </c>
      <c r="L65" s="79">
        <v>108</v>
      </c>
      <c r="M65" s="79">
        <f>SUM(J65:L65)</f>
        <v>2915</v>
      </c>
      <c r="N65" s="79">
        <v>204</v>
      </c>
      <c r="O65" s="79">
        <f>SUM(F65:I65)+SUM(M65:N65)</f>
        <v>47541</v>
      </c>
      <c r="P65" s="79">
        <v>1491</v>
      </c>
      <c r="Q65" s="79">
        <v>171</v>
      </c>
      <c r="R65" s="78">
        <f>P65+Q65</f>
        <v>1662</v>
      </c>
      <c r="S65" s="78">
        <v>0</v>
      </c>
      <c r="U65" s="80">
        <f>O65+R65+S65-C65</f>
        <v>0</v>
      </c>
      <c r="W65" s="81">
        <f>IF((O65+R65)=0," ",ROUND((O65/(O65+R65)),7))</f>
        <v>0.96622160000000001</v>
      </c>
      <c r="X65" s="81">
        <f>IF((C65)=0," ",ROUND((O65/(C65)),7))</f>
        <v>0.96622160000000001</v>
      </c>
      <c r="Y65" s="81">
        <f>IF((C65)=0," ",ROUND((S65/(C65)),7))</f>
        <v>0</v>
      </c>
      <c r="Z65" s="79"/>
      <c r="AF65" s="79"/>
      <c r="AJ65" s="66"/>
    </row>
    <row r="66" spans="1:37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U66" s="80"/>
      <c r="W66" s="81"/>
      <c r="X66" s="81"/>
      <c r="Y66" s="81"/>
      <c r="Z66" s="79"/>
      <c r="AF66" s="79"/>
      <c r="AJ66" s="66"/>
    </row>
    <row r="67" spans="1:37">
      <c r="B67" s="66" t="s">
        <v>187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8"/>
      <c r="S67" s="79"/>
      <c r="U67" s="80"/>
      <c r="W67" s="81"/>
      <c r="X67" s="81"/>
      <c r="Y67" s="81"/>
      <c r="Z67" s="79"/>
      <c r="AF67" s="79"/>
      <c r="AJ67" s="66"/>
    </row>
    <row r="68" spans="1:37">
      <c r="A68" s="65">
        <f>A65+1</f>
        <v>18</v>
      </c>
      <c r="B68" s="66" t="s">
        <v>186</v>
      </c>
      <c r="C68" s="78">
        <f>98256-505</f>
        <v>97751</v>
      </c>
      <c r="D68" s="79">
        <f>C68-E68-SUM(G68:I68)-SUM(M68:N68)-R68-S68</f>
        <v>51441</v>
      </c>
      <c r="E68" s="79">
        <v>1315</v>
      </c>
      <c r="F68" s="79">
        <f>D68+E68</f>
        <v>52756</v>
      </c>
      <c r="G68" s="79">
        <v>2576</v>
      </c>
      <c r="H68" s="79">
        <v>20821</v>
      </c>
      <c r="I68" s="79">
        <v>12097</v>
      </c>
      <c r="J68" s="79">
        <v>5200</v>
      </c>
      <c r="K68" s="79">
        <v>377</v>
      </c>
      <c r="L68" s="79">
        <v>215</v>
      </c>
      <c r="M68" s="79">
        <f>SUM(J68:L68)</f>
        <v>5792</v>
      </c>
      <c r="N68" s="79">
        <v>406</v>
      </c>
      <c r="O68" s="79">
        <f>SUM(F68:I68)+SUM(M68:N68)</f>
        <v>94448</v>
      </c>
      <c r="P68" s="79">
        <v>2963</v>
      </c>
      <c r="Q68" s="79">
        <v>340</v>
      </c>
      <c r="R68" s="78">
        <f>P68+Q68</f>
        <v>3303</v>
      </c>
      <c r="S68" s="78">
        <v>0</v>
      </c>
      <c r="U68" s="80">
        <f>O68+R68+S68-C68</f>
        <v>0</v>
      </c>
      <c r="W68" s="81">
        <f>IF((O68+R68)=0," ",ROUND((O68/(O68+R68)),7))</f>
        <v>0.96621009999999996</v>
      </c>
      <c r="X68" s="81">
        <f>IF((C68)=0," ",ROUND((O68/(C68)),7))</f>
        <v>0.96621009999999996</v>
      </c>
      <c r="Y68" s="81">
        <f>IF((C68)=0," ",ROUND((S68/(C68)),7))</f>
        <v>0</v>
      </c>
      <c r="Z68" s="79"/>
      <c r="AF68" s="79"/>
      <c r="AJ68" s="66"/>
    </row>
    <row r="69" spans="1:37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U69" s="80"/>
      <c r="W69" s="81"/>
      <c r="X69" s="81"/>
      <c r="Y69" s="81"/>
      <c r="Z69" s="79"/>
      <c r="AF69" s="79"/>
      <c r="AJ69" s="66"/>
    </row>
    <row r="70" spans="1:37">
      <c r="B70" s="66" t="s">
        <v>188</v>
      </c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U70" s="80"/>
      <c r="W70" s="81"/>
      <c r="X70" s="81"/>
      <c r="Y70" s="81"/>
      <c r="Z70" s="79"/>
      <c r="AF70" s="79"/>
      <c r="AJ70" s="66"/>
    </row>
    <row r="71" spans="1:37">
      <c r="A71" s="65">
        <f>A68+1</f>
        <v>19</v>
      </c>
      <c r="B71" s="66" t="s">
        <v>186</v>
      </c>
      <c r="C71" s="78">
        <f>80758-586</f>
        <v>80172</v>
      </c>
      <c r="D71" s="79">
        <f>C71-E71-SUM(G71:I71)-SUM(M71:N71)-R71-S71</f>
        <v>42189</v>
      </c>
      <c r="E71" s="79">
        <v>1079</v>
      </c>
      <c r="F71" s="79">
        <f>D71+E71</f>
        <v>43268</v>
      </c>
      <c r="G71" s="79">
        <v>2113</v>
      </c>
      <c r="H71" s="79">
        <v>17076</v>
      </c>
      <c r="I71" s="79">
        <v>9922</v>
      </c>
      <c r="J71" s="79">
        <v>4265</v>
      </c>
      <c r="K71" s="79">
        <v>309</v>
      </c>
      <c r="L71" s="79">
        <v>177</v>
      </c>
      <c r="M71" s="79">
        <f>SUM(J71:L71)</f>
        <v>4751</v>
      </c>
      <c r="N71" s="79">
        <v>333</v>
      </c>
      <c r="O71" s="79">
        <f>SUM(F71:I71)+SUM(M71:N71)</f>
        <v>77463</v>
      </c>
      <c r="P71" s="79">
        <v>2430</v>
      </c>
      <c r="Q71" s="79">
        <v>279</v>
      </c>
      <c r="R71" s="78">
        <f>P71+Q71</f>
        <v>2709</v>
      </c>
      <c r="S71" s="78">
        <v>0</v>
      </c>
      <c r="U71" s="80">
        <f>O71+R71+S71-C71</f>
        <v>0</v>
      </c>
      <c r="W71" s="81">
        <f>IF((O71+R71)=0," ",ROUND((O71/(O71+R71)),7))</f>
        <v>0.96621009999999996</v>
      </c>
      <c r="X71" s="81">
        <f>IF((C71)=0," ",ROUND((O71/(C71)),7))</f>
        <v>0.96621009999999996</v>
      </c>
      <c r="Y71" s="81">
        <f>IF((C71)=0," ",ROUND((S71/(C71)),7))</f>
        <v>0</v>
      </c>
      <c r="Z71" s="79"/>
      <c r="AF71" s="79"/>
      <c r="AJ71" s="66"/>
    </row>
    <row r="72" spans="1:37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U72" s="80"/>
      <c r="W72" s="81"/>
      <c r="X72" s="81"/>
      <c r="Y72" s="81"/>
      <c r="Z72" s="79"/>
      <c r="AF72" s="79"/>
      <c r="AJ72" s="66"/>
    </row>
    <row r="73" spans="1:37">
      <c r="B73" s="66" t="s">
        <v>189</v>
      </c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80"/>
      <c r="W73" s="81"/>
      <c r="X73" s="81"/>
      <c r="Y73" s="81"/>
      <c r="Z73" s="79"/>
      <c r="AJ73" s="66"/>
    </row>
    <row r="74" spans="1:37">
      <c r="A74" s="65">
        <f>A71+1</f>
        <v>20</v>
      </c>
      <c r="B74" s="66" t="s">
        <v>186</v>
      </c>
      <c r="C74" s="78">
        <v>16989</v>
      </c>
      <c r="D74" s="79">
        <f>C74-E74-SUM(G74:I74)-SUM(M74:N74)-R74-S74</f>
        <v>8939</v>
      </c>
      <c r="E74" s="79">
        <v>229</v>
      </c>
      <c r="F74" s="79">
        <f>D74+E74</f>
        <v>9168</v>
      </c>
      <c r="G74" s="79">
        <v>448</v>
      </c>
      <c r="H74" s="79">
        <v>3619</v>
      </c>
      <c r="I74" s="79">
        <v>2103</v>
      </c>
      <c r="J74" s="79">
        <v>904</v>
      </c>
      <c r="K74" s="79">
        <v>65</v>
      </c>
      <c r="L74" s="79">
        <v>37</v>
      </c>
      <c r="M74" s="79">
        <f>SUM(J74:L74)</f>
        <v>1006</v>
      </c>
      <c r="N74" s="79">
        <v>71</v>
      </c>
      <c r="O74" s="79">
        <f>SUM(F74:I74)+SUM(M74:N74)</f>
        <v>16415</v>
      </c>
      <c r="P74" s="79">
        <v>515</v>
      </c>
      <c r="Q74" s="79">
        <v>59</v>
      </c>
      <c r="R74" s="78">
        <f>P74+Q74</f>
        <v>574</v>
      </c>
      <c r="S74" s="79">
        <v>0</v>
      </c>
      <c r="U74" s="80">
        <f>O74+R74+S74-C74</f>
        <v>0</v>
      </c>
      <c r="W74" s="81">
        <f>IF((O74+R74)=0," ",ROUND((O74/(O74+R74)),7))</f>
        <v>0.9662134</v>
      </c>
      <c r="X74" s="81">
        <f>IF((C74)=0," ",ROUND((O74/(C74)),7))</f>
        <v>0.9662134</v>
      </c>
      <c r="Y74" s="81">
        <f>IF((C74)=0," ",ROUND((S74/(C74)),7))</f>
        <v>0</v>
      </c>
      <c r="Z74" s="79"/>
      <c r="AJ74" s="66"/>
    </row>
    <row r="75" spans="1:37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U75" s="80"/>
      <c r="W75" s="81"/>
      <c r="X75" s="81"/>
      <c r="Y75" s="81"/>
      <c r="Z75" s="79"/>
      <c r="AJ75" s="66"/>
    </row>
    <row r="76" spans="1:37">
      <c r="B76" s="66" t="s">
        <v>190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U76" s="80"/>
      <c r="W76" s="81"/>
      <c r="X76" s="81"/>
      <c r="Y76" s="81"/>
      <c r="Z76" s="79"/>
      <c r="AJ76" s="66"/>
    </row>
    <row r="77" spans="1:37">
      <c r="A77" s="65">
        <f>A74+1</f>
        <v>21</v>
      </c>
      <c r="B77" s="66" t="s">
        <v>186</v>
      </c>
      <c r="C77" s="78">
        <f>74+8-8</f>
        <v>74</v>
      </c>
      <c r="D77" s="79">
        <f>C77-E77-SUM(G77:I77)-SUM(M77:N77)-R77-S77</f>
        <v>40</v>
      </c>
      <c r="E77" s="79">
        <v>1</v>
      </c>
      <c r="F77" s="79">
        <f>D77+E77</f>
        <v>41</v>
      </c>
      <c r="G77" s="79">
        <v>2</v>
      </c>
      <c r="H77" s="79">
        <v>16</v>
      </c>
      <c r="I77" s="79">
        <v>9</v>
      </c>
      <c r="J77" s="79">
        <v>4</v>
      </c>
      <c r="K77" s="79">
        <v>0</v>
      </c>
      <c r="L77" s="79">
        <v>0</v>
      </c>
      <c r="M77" s="79">
        <f>SUM(J77:L77)</f>
        <v>4</v>
      </c>
      <c r="N77" s="79">
        <v>0</v>
      </c>
      <c r="O77" s="79">
        <f>SUM(F77:I77)+SUM(M77:N77)</f>
        <v>72</v>
      </c>
      <c r="P77" s="79">
        <v>2</v>
      </c>
      <c r="Q77" s="79">
        <v>0</v>
      </c>
      <c r="R77" s="78">
        <f>P77+Q77</f>
        <v>2</v>
      </c>
      <c r="S77" s="78">
        <v>0</v>
      </c>
      <c r="U77" s="80">
        <f>O77+R77+S77-C77</f>
        <v>0</v>
      </c>
      <c r="W77" s="81">
        <f>IF((O77+R77)=0," ",ROUND((O77/(O77+R77)),7))</f>
        <v>0.97297299999999998</v>
      </c>
      <c r="X77" s="81">
        <f>IF((C77)=0," ",ROUND((O77/(C77)),7))</f>
        <v>0.97297299999999998</v>
      </c>
      <c r="Y77" s="81">
        <f>IF((C77)=0," ",ROUND((S77/(C77)),7))</f>
        <v>0</v>
      </c>
      <c r="Z77" s="79"/>
      <c r="AJ77" s="66"/>
      <c r="AK77" s="65"/>
    </row>
    <row r="78" spans="1:37">
      <c r="W78" s="81"/>
      <c r="X78" s="81"/>
      <c r="Y78" s="81"/>
      <c r="AJ78" s="66"/>
      <c r="AK78" s="65"/>
    </row>
    <row r="79" spans="1:37">
      <c r="A79" s="65">
        <f>A77+1</f>
        <v>22</v>
      </c>
      <c r="B79" s="66" t="s">
        <v>191</v>
      </c>
      <c r="C79" s="79">
        <f>O79+R79+S79</f>
        <v>398634</v>
      </c>
      <c r="D79" s="79">
        <f t="shared" ref="D79:S79" si="7">D50+D56+SUM(D62:D71)+SUM(D74:D77)</f>
        <v>208345.30599999998</v>
      </c>
      <c r="E79" s="79">
        <f t="shared" si="7"/>
        <v>5327</v>
      </c>
      <c r="F79" s="79">
        <f t="shared" si="7"/>
        <v>213672.30599999998</v>
      </c>
      <c r="G79" s="79">
        <f t="shared" si="7"/>
        <v>10436</v>
      </c>
      <c r="H79" s="79">
        <f t="shared" si="7"/>
        <v>84328</v>
      </c>
      <c r="I79" s="79">
        <f t="shared" si="7"/>
        <v>48219</v>
      </c>
      <c r="J79" s="79">
        <f t="shared" si="7"/>
        <v>20678</v>
      </c>
      <c r="K79" s="79">
        <f t="shared" si="7"/>
        <v>1537</v>
      </c>
      <c r="L79" s="79">
        <f t="shared" si="7"/>
        <v>871</v>
      </c>
      <c r="M79" s="79">
        <f>SUM(J79:L79)</f>
        <v>23086</v>
      </c>
      <c r="N79" s="79">
        <f t="shared" si="7"/>
        <v>1644</v>
      </c>
      <c r="O79" s="79">
        <f t="shared" si="7"/>
        <v>381385.30599999998</v>
      </c>
      <c r="P79" s="79">
        <f t="shared" si="7"/>
        <v>11289</v>
      </c>
      <c r="Q79" s="79">
        <f t="shared" si="7"/>
        <v>1295</v>
      </c>
      <c r="R79" s="79">
        <f t="shared" si="7"/>
        <v>12584</v>
      </c>
      <c r="S79" s="79">
        <f t="shared" si="7"/>
        <v>4664.6940000000004</v>
      </c>
      <c r="U79" s="80">
        <f>O79+R79+S79-C79</f>
        <v>0</v>
      </c>
      <c r="W79" s="81">
        <f>IF((O79+R79)=0," ",ROUND((O79/(O79+R79)),7))</f>
        <v>0.96805839999999999</v>
      </c>
      <c r="X79" s="81">
        <f>IF((C79)=0," ",ROUND((O79/(C79)),7))</f>
        <v>0.95673050000000004</v>
      </c>
      <c r="Y79" s="81">
        <f>IF((C79)=0," ",ROUND((S79/(C79)),7))</f>
        <v>1.1701700000000001E-2</v>
      </c>
      <c r="Z79" s="79"/>
      <c r="AJ79" s="66"/>
      <c r="AK79" s="65"/>
    </row>
    <row r="80" spans="1:37">
      <c r="A80" s="85"/>
      <c r="C80" s="79"/>
      <c r="D80" s="79"/>
      <c r="E80" s="79"/>
      <c r="F80" s="79"/>
      <c r="H80" s="65" t="s">
        <v>80</v>
      </c>
      <c r="I80" s="79"/>
      <c r="J80" s="79"/>
      <c r="K80" s="79"/>
      <c r="L80" s="79"/>
      <c r="M80" s="79"/>
      <c r="N80" s="79"/>
      <c r="Q80" s="65" t="s">
        <v>80</v>
      </c>
      <c r="R80" s="79"/>
      <c r="S80" s="65"/>
      <c r="V80" s="85"/>
      <c r="W80" s="81"/>
      <c r="X80" s="81"/>
      <c r="Y80" s="81"/>
      <c r="Z80" s="65"/>
      <c r="AF80" s="70"/>
      <c r="AJ80" s="66"/>
    </row>
    <row r="81" spans="1:36">
      <c r="B81" s="72"/>
      <c r="H81" s="70" t="str">
        <f>$H$24</f>
        <v>12 MONTHS ENDING DECEMBER 31, 2012</v>
      </c>
      <c r="Q81" s="70" t="str">
        <f>$H$24</f>
        <v>12 MONTHS ENDING DECEMBER 31, 2012</v>
      </c>
      <c r="W81" s="73"/>
      <c r="X81" s="73"/>
      <c r="Y81" s="73"/>
      <c r="Z81" s="70"/>
      <c r="AF81" s="76"/>
      <c r="AJ81" s="66"/>
    </row>
    <row r="82" spans="1:36">
      <c r="H82" s="70" t="str">
        <f>$H$25</f>
        <v>12/13 DEMAND ALLOCATION WITH MDS METHODOLOGY</v>
      </c>
      <c r="Q82" s="70" t="str">
        <f>$H$25</f>
        <v>12/13 DEMAND ALLOCATION WITH MDS METHODOLOGY</v>
      </c>
      <c r="W82" s="73"/>
      <c r="X82" s="73"/>
      <c r="Y82" s="73"/>
      <c r="Z82" s="70"/>
      <c r="AJ82" s="66"/>
    </row>
    <row r="83" spans="1:36">
      <c r="H83" s="70" t="s">
        <v>92</v>
      </c>
      <c r="Q83" s="70" t="s">
        <v>92</v>
      </c>
      <c r="X83" s="73"/>
      <c r="Y83" s="73"/>
      <c r="Z83" s="70"/>
      <c r="AJ83" s="66"/>
    </row>
    <row r="84" spans="1:36">
      <c r="H84" s="70" t="s">
        <v>114</v>
      </c>
      <c r="Q84" s="70" t="s">
        <v>114</v>
      </c>
      <c r="X84" s="73"/>
      <c r="Y84" s="73"/>
      <c r="Z84" s="70"/>
      <c r="AF84" s="79"/>
      <c r="AJ84" s="66"/>
    </row>
    <row r="85" spans="1:36">
      <c r="C85" s="65" t="s">
        <v>59</v>
      </c>
      <c r="K85" s="65"/>
      <c r="L85" s="65"/>
      <c r="M85" s="65"/>
      <c r="O85" s="65" t="s">
        <v>59</v>
      </c>
      <c r="P85" s="65"/>
      <c r="Q85" s="65"/>
      <c r="R85" s="65"/>
      <c r="S85" s="65" t="s">
        <v>115</v>
      </c>
      <c r="T85" s="65"/>
      <c r="W85" s="76" t="s">
        <v>116</v>
      </c>
      <c r="X85" s="76" t="s">
        <v>116</v>
      </c>
      <c r="Y85" s="76" t="s">
        <v>117</v>
      </c>
      <c r="AF85" s="65"/>
    </row>
    <row r="86" spans="1:36">
      <c r="A86" s="65" t="s">
        <v>118</v>
      </c>
      <c r="C86" s="65" t="s">
        <v>58</v>
      </c>
      <c r="D86" s="70" t="s">
        <v>119</v>
      </c>
      <c r="E86" s="70" t="s">
        <v>119</v>
      </c>
      <c r="F86" s="70" t="s">
        <v>119</v>
      </c>
      <c r="G86" s="70" t="s">
        <v>119</v>
      </c>
      <c r="H86" s="70" t="s">
        <v>119</v>
      </c>
      <c r="I86" s="70" t="s">
        <v>119</v>
      </c>
      <c r="J86" s="70" t="s">
        <v>119</v>
      </c>
      <c r="K86" s="70" t="s">
        <v>119</v>
      </c>
      <c r="L86" s="70" t="s">
        <v>119</v>
      </c>
      <c r="M86" s="70" t="s">
        <v>119</v>
      </c>
      <c r="N86" s="70" t="s">
        <v>119</v>
      </c>
      <c r="O86" s="65" t="s">
        <v>116</v>
      </c>
      <c r="P86" s="65"/>
      <c r="Q86" s="70" t="s">
        <v>120</v>
      </c>
      <c r="R86" s="65"/>
      <c r="S86" s="65" t="s">
        <v>121</v>
      </c>
      <c r="T86" s="65"/>
      <c r="W86" s="76" t="s">
        <v>122</v>
      </c>
      <c r="X86" s="76" t="s">
        <v>123</v>
      </c>
      <c r="Y86" s="76" t="s">
        <v>124</v>
      </c>
      <c r="Z86" s="65"/>
      <c r="AF86" s="79"/>
      <c r="AJ86" s="66"/>
    </row>
    <row r="87" spans="1:36">
      <c r="A87" s="65" t="s">
        <v>125</v>
      </c>
      <c r="B87" s="65" t="s">
        <v>126</v>
      </c>
      <c r="C87" s="65" t="s">
        <v>57</v>
      </c>
      <c r="D87" s="70" t="s">
        <v>127</v>
      </c>
      <c r="E87" s="70" t="s">
        <v>128</v>
      </c>
      <c r="F87" s="70" t="s">
        <v>129</v>
      </c>
      <c r="G87" s="70" t="s">
        <v>130</v>
      </c>
      <c r="H87" s="70" t="s">
        <v>131</v>
      </c>
      <c r="I87" s="65" t="s">
        <v>132</v>
      </c>
      <c r="J87" s="70" t="s">
        <v>133</v>
      </c>
      <c r="K87" s="70" t="s">
        <v>134</v>
      </c>
      <c r="L87" s="70" t="s">
        <v>135</v>
      </c>
      <c r="M87" s="70" t="s">
        <v>136</v>
      </c>
      <c r="N87" s="70" t="s">
        <v>137</v>
      </c>
      <c r="O87" s="65" t="s">
        <v>138</v>
      </c>
      <c r="P87" s="70" t="s">
        <v>139</v>
      </c>
      <c r="Q87" s="70" t="s">
        <v>140</v>
      </c>
      <c r="R87" s="65" t="s">
        <v>122</v>
      </c>
      <c r="S87" s="65" t="s">
        <v>141</v>
      </c>
      <c r="T87" s="65"/>
      <c r="U87" s="65" t="s">
        <v>162</v>
      </c>
      <c r="W87" s="76" t="s">
        <v>142</v>
      </c>
      <c r="X87" s="76" t="s">
        <v>142</v>
      </c>
      <c r="Y87" s="76" t="s">
        <v>142</v>
      </c>
      <c r="Z87" s="65"/>
      <c r="AJ87" s="66"/>
    </row>
    <row r="88" spans="1:36">
      <c r="A88" s="65" t="s">
        <v>143</v>
      </c>
      <c r="B88" s="65" t="s">
        <v>144</v>
      </c>
      <c r="C88" s="65" t="s">
        <v>145</v>
      </c>
      <c r="D88" s="70" t="s">
        <v>146</v>
      </c>
      <c r="E88" s="70" t="s">
        <v>147</v>
      </c>
      <c r="F88" s="70" t="s">
        <v>148</v>
      </c>
      <c r="G88" s="65" t="s">
        <v>149</v>
      </c>
      <c r="H88" s="65" t="s">
        <v>150</v>
      </c>
      <c r="I88" s="65" t="s">
        <v>151</v>
      </c>
      <c r="J88" s="70" t="s">
        <v>152</v>
      </c>
      <c r="K88" s="70" t="s">
        <v>153</v>
      </c>
      <c r="L88" s="70" t="s">
        <v>154</v>
      </c>
      <c r="M88" s="70" t="s">
        <v>155</v>
      </c>
      <c r="N88" s="70" t="s">
        <v>156</v>
      </c>
      <c r="O88" s="70" t="s">
        <v>157</v>
      </c>
      <c r="P88" s="70" t="s">
        <v>158</v>
      </c>
      <c r="Q88" s="70" t="s">
        <v>159</v>
      </c>
      <c r="R88" s="70" t="s">
        <v>160</v>
      </c>
      <c r="S88" s="70" t="s">
        <v>161</v>
      </c>
      <c r="T88" s="70"/>
      <c r="W88" s="77" t="s">
        <v>163</v>
      </c>
      <c r="X88" s="77" t="s">
        <v>164</v>
      </c>
      <c r="Y88" s="76" t="s">
        <v>165</v>
      </c>
      <c r="Z88" s="70"/>
      <c r="AF88" s="79"/>
      <c r="AJ88" s="66"/>
    </row>
    <row r="89" spans="1:36">
      <c r="AF89" s="79"/>
      <c r="AJ89" s="66"/>
    </row>
    <row r="90" spans="1:36">
      <c r="B90" s="65" t="s">
        <v>192</v>
      </c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U90" s="80"/>
      <c r="W90" s="81"/>
      <c r="X90" s="81"/>
      <c r="Y90" s="81"/>
      <c r="Z90" s="79"/>
      <c r="AF90" s="79"/>
      <c r="AJ90" s="66"/>
    </row>
    <row r="91" spans="1:36">
      <c r="B91" s="83" t="s">
        <v>170</v>
      </c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U91" s="80"/>
      <c r="W91" s="81"/>
      <c r="X91" s="81"/>
      <c r="Y91" s="81"/>
      <c r="Z91" s="79"/>
      <c r="AF91" s="79"/>
      <c r="AJ91" s="66"/>
    </row>
    <row r="92" spans="1:36">
      <c r="B92" s="66" t="s">
        <v>193</v>
      </c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U92" s="80"/>
      <c r="W92" s="81"/>
      <c r="X92" s="81"/>
      <c r="Y92" s="81"/>
      <c r="Z92" s="79"/>
      <c r="AF92" s="79"/>
      <c r="AJ92" s="66"/>
    </row>
    <row r="93" spans="1:36">
      <c r="A93" s="65">
        <f>A79+1</f>
        <v>23</v>
      </c>
      <c r="B93" s="66" t="s">
        <v>194</v>
      </c>
      <c r="C93" s="79">
        <f>O93+R93+S93</f>
        <v>76</v>
      </c>
      <c r="D93" s="79">
        <v>0</v>
      </c>
      <c r="E93" s="79">
        <v>0</v>
      </c>
      <c r="F93" s="79">
        <f>D93+E93</f>
        <v>0</v>
      </c>
      <c r="G93" s="79">
        <v>0</v>
      </c>
      <c r="H93" s="79">
        <v>0</v>
      </c>
      <c r="I93" s="79">
        <v>0</v>
      </c>
      <c r="J93" s="79">
        <v>12</v>
      </c>
      <c r="K93" s="79">
        <v>0</v>
      </c>
      <c r="L93" s="79">
        <v>0</v>
      </c>
      <c r="M93" s="79">
        <f>SUM(J93:L93)</f>
        <v>12</v>
      </c>
      <c r="N93" s="78">
        <v>0</v>
      </c>
      <c r="O93" s="79">
        <f>SUM(F93:I93)+SUM(M93:N93)</f>
        <v>12</v>
      </c>
      <c r="P93" s="79">
        <v>63</v>
      </c>
      <c r="Q93" s="79">
        <v>1</v>
      </c>
      <c r="R93" s="79">
        <f>P93+Q93</f>
        <v>64</v>
      </c>
      <c r="S93" s="79">
        <v>0</v>
      </c>
      <c r="U93" s="80">
        <f>O93+R93+S93-C93</f>
        <v>0</v>
      </c>
      <c r="W93" s="81">
        <f>IF((O93+R93)=0," ",ROUND((O93/(O93+R93)),7))</f>
        <v>0.1578947</v>
      </c>
      <c r="X93" s="81">
        <f>IF((C93)=0," ",ROUND((O93/(C93)),7))</f>
        <v>0.1578947</v>
      </c>
      <c r="Y93" s="81">
        <f>IF((C93)=0," ",ROUND((S93/(C93)),7))</f>
        <v>0</v>
      </c>
      <c r="Z93" s="79"/>
      <c r="AF93" s="79"/>
      <c r="AJ93" s="66"/>
    </row>
    <row r="94" spans="1:36">
      <c r="A94" s="65">
        <f>A93+1</f>
        <v>24</v>
      </c>
      <c r="B94" s="66" t="s">
        <v>174</v>
      </c>
      <c r="C94" s="78">
        <v>2914</v>
      </c>
      <c r="D94" s="79">
        <f>C94-E94-SUM(G94:I94)-SUM(M94:N94)-R94-S94</f>
        <v>1680</v>
      </c>
      <c r="E94" s="79">
        <v>43</v>
      </c>
      <c r="F94" s="79">
        <f>D94+E94</f>
        <v>1723</v>
      </c>
      <c r="G94" s="79">
        <v>84</v>
      </c>
      <c r="H94" s="79">
        <v>680</v>
      </c>
      <c r="I94" s="79">
        <v>277</v>
      </c>
      <c r="J94" s="79">
        <v>118</v>
      </c>
      <c r="K94" s="79">
        <v>12</v>
      </c>
      <c r="L94" s="79">
        <v>7</v>
      </c>
      <c r="M94" s="79">
        <f>SUM(J94:L94)</f>
        <v>137</v>
      </c>
      <c r="N94" s="79">
        <v>13</v>
      </c>
      <c r="O94" s="79">
        <f>SUM(F94:I94)+SUM(M94:N94)</f>
        <v>2914</v>
      </c>
      <c r="P94" s="79">
        <v>0</v>
      </c>
      <c r="Q94" s="79">
        <v>0</v>
      </c>
      <c r="R94" s="79">
        <f>P94+Q94</f>
        <v>0</v>
      </c>
      <c r="S94" s="79">
        <v>0</v>
      </c>
      <c r="U94" s="80">
        <f>O94+R94+S94-C94</f>
        <v>0</v>
      </c>
      <c r="W94" s="81">
        <f>IF((O94+R94)=0," ",ROUND((O94/(O94+R94)),7))</f>
        <v>1</v>
      </c>
      <c r="X94" s="81">
        <f>IF((C94)=0," ",ROUND((O94/(C94)),7))</f>
        <v>1</v>
      </c>
      <c r="Y94" s="81">
        <f>IF((C94)=0," ",ROUND((S94/(C94)),7))</f>
        <v>0</v>
      </c>
      <c r="Z94" s="79"/>
      <c r="AF94" s="79"/>
      <c r="AJ94" s="66"/>
    </row>
    <row r="95" spans="1:36">
      <c r="A95" s="65">
        <f>A94+1</f>
        <v>25</v>
      </c>
      <c r="B95" s="66" t="s">
        <v>195</v>
      </c>
      <c r="C95" s="78">
        <v>24</v>
      </c>
      <c r="D95" s="79">
        <f>C95-E95-SUM(G95:I95)-SUM(M95:N95)-R95-S95</f>
        <v>15</v>
      </c>
      <c r="E95" s="79">
        <v>0</v>
      </c>
      <c r="F95" s="79">
        <f>D95+E95</f>
        <v>15</v>
      </c>
      <c r="G95" s="79">
        <v>1</v>
      </c>
      <c r="H95" s="79">
        <v>5</v>
      </c>
      <c r="I95" s="79">
        <v>2</v>
      </c>
      <c r="J95" s="79">
        <v>1</v>
      </c>
      <c r="K95" s="79">
        <v>0</v>
      </c>
      <c r="L95" s="79">
        <v>0</v>
      </c>
      <c r="M95" s="79">
        <f>SUM(J95:L95)</f>
        <v>1</v>
      </c>
      <c r="N95" s="79">
        <v>0</v>
      </c>
      <c r="O95" s="79">
        <f>SUM(F95:I95)+SUM(M95:N95)</f>
        <v>24</v>
      </c>
      <c r="P95" s="79">
        <v>0</v>
      </c>
      <c r="Q95" s="79">
        <v>0</v>
      </c>
      <c r="R95" s="79">
        <f>P95+Q95</f>
        <v>0</v>
      </c>
      <c r="S95" s="79">
        <v>0</v>
      </c>
      <c r="U95" s="80">
        <f>O95+R95+S95-C95</f>
        <v>0</v>
      </c>
      <c r="W95" s="81">
        <f>IF((O95+R95)=0," ",ROUND((O95/(O95+R95)),7))</f>
        <v>1</v>
      </c>
      <c r="X95" s="81">
        <f>IF((C95)=0," ",ROUND((O95/(C95)),7))</f>
        <v>1</v>
      </c>
      <c r="Y95" s="81">
        <f>IF((C95)=0," ",ROUND((S95/(C95)),7))</f>
        <v>0</v>
      </c>
      <c r="Z95" s="79"/>
      <c r="AF95" s="79"/>
      <c r="AJ95" s="66"/>
    </row>
    <row r="96" spans="1:36">
      <c r="A96" s="65">
        <f>A95+1</f>
        <v>26</v>
      </c>
      <c r="B96" s="66" t="s">
        <v>196</v>
      </c>
      <c r="C96" s="79">
        <f>475+2537+1</f>
        <v>3013</v>
      </c>
      <c r="D96" s="79">
        <f t="shared" ref="D96:S96" si="8">SUM(D93:D95)</f>
        <v>1695</v>
      </c>
      <c r="E96" s="79">
        <f t="shared" si="8"/>
        <v>43</v>
      </c>
      <c r="F96" s="79">
        <f t="shared" si="8"/>
        <v>1738</v>
      </c>
      <c r="G96" s="79">
        <f t="shared" si="8"/>
        <v>85</v>
      </c>
      <c r="H96" s="79">
        <f t="shared" si="8"/>
        <v>685</v>
      </c>
      <c r="I96" s="79">
        <f t="shared" si="8"/>
        <v>279</v>
      </c>
      <c r="J96" s="79">
        <f t="shared" si="8"/>
        <v>131</v>
      </c>
      <c r="K96" s="79">
        <f t="shared" si="8"/>
        <v>12</v>
      </c>
      <c r="L96" s="79">
        <f t="shared" si="8"/>
        <v>7</v>
      </c>
      <c r="M96" s="79">
        <f t="shared" si="8"/>
        <v>150</v>
      </c>
      <c r="N96" s="79">
        <f t="shared" si="8"/>
        <v>13</v>
      </c>
      <c r="O96" s="79">
        <f t="shared" si="8"/>
        <v>2950</v>
      </c>
      <c r="P96" s="79">
        <f t="shared" si="8"/>
        <v>63</v>
      </c>
      <c r="Q96" s="79">
        <f t="shared" si="8"/>
        <v>1</v>
      </c>
      <c r="R96" s="79">
        <f t="shared" si="8"/>
        <v>64</v>
      </c>
      <c r="S96" s="79">
        <f t="shared" si="8"/>
        <v>0</v>
      </c>
      <c r="U96" s="80">
        <f>O96+R96+S96-C96</f>
        <v>1</v>
      </c>
      <c r="W96" s="81">
        <f>IF((O96+R96)=0," ",ROUND((O96/(O96+R96)),7))</f>
        <v>0.97876580000000002</v>
      </c>
      <c r="X96" s="81">
        <f>IF((C96)=0," ",ROUND((O96/(C96)),7))</f>
        <v>0.97909060000000003</v>
      </c>
      <c r="Y96" s="81">
        <f>IF((C96)=0," ",ROUND((S96/(C96)),7))</f>
        <v>0</v>
      </c>
      <c r="Z96" s="79"/>
      <c r="AF96" s="79"/>
      <c r="AJ96" s="66"/>
    </row>
    <row r="97" spans="1:32" s="66" customFormat="1">
      <c r="A97" s="65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U97" s="80"/>
      <c r="V97" s="65"/>
      <c r="W97" s="81"/>
      <c r="X97" s="81"/>
      <c r="Y97" s="81"/>
      <c r="Z97" s="79"/>
      <c r="AF97" s="79"/>
    </row>
    <row r="98" spans="1:32" s="66" customFormat="1">
      <c r="A98" s="65"/>
      <c r="B98" s="66" t="s">
        <v>197</v>
      </c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U98" s="80"/>
      <c r="V98" s="65"/>
      <c r="W98" s="81"/>
      <c r="X98" s="81"/>
      <c r="Y98" s="81"/>
      <c r="Z98" s="79"/>
      <c r="AF98" s="79"/>
    </row>
    <row r="99" spans="1:32" s="66" customFormat="1">
      <c r="A99" s="65">
        <f>A96+1</f>
        <v>27</v>
      </c>
      <c r="B99" s="66" t="s">
        <v>194</v>
      </c>
      <c r="C99" s="79">
        <f>O99+R99+S99</f>
        <v>1717</v>
      </c>
      <c r="D99" s="79">
        <v>0</v>
      </c>
      <c r="E99" s="79">
        <v>0</v>
      </c>
      <c r="F99" s="79">
        <f>D99+E99</f>
        <v>0</v>
      </c>
      <c r="G99" s="79">
        <v>0</v>
      </c>
      <c r="H99" s="78">
        <v>0</v>
      </c>
      <c r="I99" s="78">
        <v>603</v>
      </c>
      <c r="J99" s="79">
        <v>629</v>
      </c>
      <c r="K99" s="78">
        <v>0</v>
      </c>
      <c r="L99" s="78">
        <v>0</v>
      </c>
      <c r="M99" s="79">
        <f>SUM(J99:L99)</f>
        <v>629</v>
      </c>
      <c r="N99" s="78">
        <v>0</v>
      </c>
      <c r="O99" s="79">
        <f>SUM(F99:I99)+SUM(M99:N99)</f>
        <v>1232</v>
      </c>
      <c r="P99" s="78">
        <v>429</v>
      </c>
      <c r="Q99" s="78">
        <v>56</v>
      </c>
      <c r="R99" s="79">
        <f>P99+Q99</f>
        <v>485</v>
      </c>
      <c r="S99" s="79">
        <v>0</v>
      </c>
      <c r="U99" s="80">
        <f>O99+R99+S99-C99</f>
        <v>0</v>
      </c>
      <c r="V99" s="65"/>
      <c r="W99" s="81">
        <f>IF((O99+R99)=0," ",ROUND((O99/(O99+R99)),7))</f>
        <v>0.71753060000000002</v>
      </c>
      <c r="X99" s="81">
        <f>IF((C99)=0," ",ROUND((O99/(C99)),7))</f>
        <v>0.71753060000000002</v>
      </c>
      <c r="Y99" s="81">
        <f>IF((C99)=0," ",ROUND((S99/(C99)),7))</f>
        <v>0</v>
      </c>
      <c r="Z99" s="79"/>
      <c r="AF99" s="78"/>
    </row>
    <row r="100" spans="1:32" s="66" customFormat="1">
      <c r="A100" s="65">
        <f>A99+1</f>
        <v>28</v>
      </c>
      <c r="B100" s="66" t="s">
        <v>174</v>
      </c>
      <c r="C100" s="78">
        <v>17603</v>
      </c>
      <c r="D100" s="79">
        <f>C100-E100-SUM(G100:I100)-SUM(M100:N100)-R100-S100</f>
        <v>10151</v>
      </c>
      <c r="E100" s="79">
        <v>259</v>
      </c>
      <c r="F100" s="79">
        <f>D100+E100</f>
        <v>10410</v>
      </c>
      <c r="G100" s="79">
        <v>508</v>
      </c>
      <c r="H100" s="79">
        <v>4108</v>
      </c>
      <c r="I100" s="79">
        <v>1671</v>
      </c>
      <c r="J100" s="79">
        <v>711</v>
      </c>
      <c r="K100" s="79">
        <v>72</v>
      </c>
      <c r="L100" s="79">
        <v>43</v>
      </c>
      <c r="M100" s="79">
        <f>SUM(J100:L100)</f>
        <v>826</v>
      </c>
      <c r="N100" s="79">
        <v>80</v>
      </c>
      <c r="O100" s="79">
        <f>SUM(F100:I100)+SUM(M100:N100)</f>
        <v>17603</v>
      </c>
      <c r="P100" s="79">
        <v>0</v>
      </c>
      <c r="Q100" s="79">
        <v>0</v>
      </c>
      <c r="R100" s="79">
        <f>P100+Q100</f>
        <v>0</v>
      </c>
      <c r="S100" s="79">
        <v>0</v>
      </c>
      <c r="U100" s="80">
        <f>O100+R100+S100-C100</f>
        <v>0</v>
      </c>
      <c r="V100" s="65"/>
      <c r="W100" s="81">
        <f>IF((O100+R100)=0," ",ROUND((O100/(O100+R100)),7))</f>
        <v>1</v>
      </c>
      <c r="X100" s="81">
        <f>IF((C100)=0," ",ROUND((O100/(C100)),7))</f>
        <v>1</v>
      </c>
      <c r="Y100" s="81">
        <f>IF((C100)=0," ",ROUND((S100/(C100)),7))</f>
        <v>0</v>
      </c>
      <c r="Z100" s="79"/>
      <c r="AF100" s="79"/>
    </row>
    <row r="101" spans="1:32" s="66" customFormat="1">
      <c r="A101" s="65">
        <f>A100+1</f>
        <v>29</v>
      </c>
      <c r="B101" s="66" t="s">
        <v>195</v>
      </c>
      <c r="C101" s="78">
        <v>10</v>
      </c>
      <c r="D101" s="79">
        <f>C101-E101-SUM(G101:I101)-SUM(M101:N101)-R101-S101</f>
        <v>7</v>
      </c>
      <c r="E101" s="79">
        <v>0</v>
      </c>
      <c r="F101" s="79">
        <f>D101+E101</f>
        <v>7</v>
      </c>
      <c r="G101" s="79">
        <v>0</v>
      </c>
      <c r="H101" s="79">
        <v>2</v>
      </c>
      <c r="I101" s="79">
        <v>1</v>
      </c>
      <c r="J101" s="79">
        <v>0</v>
      </c>
      <c r="K101" s="79">
        <v>0</v>
      </c>
      <c r="L101" s="79">
        <v>0</v>
      </c>
      <c r="M101" s="79">
        <f>SUM(J101:L101)</f>
        <v>0</v>
      </c>
      <c r="N101" s="79">
        <v>0</v>
      </c>
      <c r="O101" s="79">
        <f>SUM(F101:I101)+SUM(M101:N101)</f>
        <v>10</v>
      </c>
      <c r="P101" s="79">
        <v>0</v>
      </c>
      <c r="Q101" s="79">
        <v>0</v>
      </c>
      <c r="R101" s="79">
        <f>P101+Q101</f>
        <v>0</v>
      </c>
      <c r="S101" s="79">
        <v>0</v>
      </c>
      <c r="U101" s="80">
        <f>O101+R101+S101-C101</f>
        <v>0</v>
      </c>
      <c r="V101" s="65"/>
      <c r="W101" s="81">
        <f>IF((O101+R101)=0," ",ROUND((O101/(O101+R101)),7))</f>
        <v>1</v>
      </c>
      <c r="X101" s="81">
        <f>IF((C101)=0," ",ROUND((O101/(C101)),7))</f>
        <v>1</v>
      </c>
      <c r="Y101" s="81">
        <f>IF((C101)=0," ",ROUND((S101/(C101)),7))</f>
        <v>0</v>
      </c>
      <c r="Z101" s="79"/>
      <c r="AF101" s="79"/>
    </row>
    <row r="102" spans="1:32" s="66" customFormat="1">
      <c r="A102" s="65">
        <f>A101+1</f>
        <v>30</v>
      </c>
      <c r="B102" s="66" t="s">
        <v>198</v>
      </c>
      <c r="C102" s="79">
        <v>19330</v>
      </c>
      <c r="D102" s="79">
        <f t="shared" ref="D102:S102" si="9">SUM(D99:D101)</f>
        <v>10158</v>
      </c>
      <c r="E102" s="79">
        <f t="shared" si="9"/>
        <v>259</v>
      </c>
      <c r="F102" s="79">
        <f t="shared" si="9"/>
        <v>10417</v>
      </c>
      <c r="G102" s="79">
        <f t="shared" si="9"/>
        <v>508</v>
      </c>
      <c r="H102" s="79">
        <f t="shared" si="9"/>
        <v>4110</v>
      </c>
      <c r="I102" s="79">
        <f t="shared" si="9"/>
        <v>2275</v>
      </c>
      <c r="J102" s="79">
        <f t="shared" si="9"/>
        <v>1340</v>
      </c>
      <c r="K102" s="79">
        <f t="shared" si="9"/>
        <v>72</v>
      </c>
      <c r="L102" s="79">
        <f t="shared" si="9"/>
        <v>43</v>
      </c>
      <c r="M102" s="79">
        <f t="shared" si="9"/>
        <v>1455</v>
      </c>
      <c r="N102" s="79">
        <f t="shared" si="9"/>
        <v>80</v>
      </c>
      <c r="O102" s="79">
        <f t="shared" si="9"/>
        <v>18845</v>
      </c>
      <c r="P102" s="79">
        <f t="shared" si="9"/>
        <v>429</v>
      </c>
      <c r="Q102" s="79">
        <f t="shared" si="9"/>
        <v>56</v>
      </c>
      <c r="R102" s="79">
        <f t="shared" si="9"/>
        <v>485</v>
      </c>
      <c r="S102" s="79">
        <f t="shared" si="9"/>
        <v>0</v>
      </c>
      <c r="U102" s="80">
        <f>O102+R102+S102-C102</f>
        <v>0</v>
      </c>
      <c r="V102" s="65"/>
      <c r="W102" s="81">
        <f>IF((O102+R102)=0," ",ROUND((O102/(O102+R102)),7))</f>
        <v>0.97490949999999998</v>
      </c>
      <c r="X102" s="81">
        <f>IF((C102)=0," ",ROUND((O102/(C102)),7))</f>
        <v>0.97490949999999998</v>
      </c>
      <c r="Y102" s="81">
        <f>IF((C102)=0," ",ROUND((S102/(C102)),7))</f>
        <v>0</v>
      </c>
      <c r="Z102" s="79"/>
      <c r="AF102" s="79"/>
    </row>
    <row r="103" spans="1:32" s="66" customFormat="1">
      <c r="A103" s="65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U103" s="80"/>
      <c r="V103" s="65"/>
      <c r="W103" s="81"/>
      <c r="X103" s="81"/>
      <c r="Y103" s="81"/>
      <c r="Z103" s="79"/>
      <c r="AF103" s="79"/>
    </row>
    <row r="104" spans="1:32" s="66" customFormat="1">
      <c r="A104" s="65"/>
      <c r="B104" s="66" t="s">
        <v>199</v>
      </c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U104" s="80"/>
      <c r="V104" s="65"/>
      <c r="W104" s="81"/>
      <c r="X104" s="81"/>
      <c r="Y104" s="81"/>
      <c r="Z104" s="79"/>
      <c r="AF104" s="78"/>
    </row>
    <row r="105" spans="1:32" s="66" customFormat="1">
      <c r="A105" s="65">
        <f>A102+1</f>
        <v>31</v>
      </c>
      <c r="B105" s="66" t="s">
        <v>194</v>
      </c>
      <c r="C105" s="79">
        <f>O105+R105+S105</f>
        <v>14697</v>
      </c>
      <c r="D105" s="79">
        <v>0</v>
      </c>
      <c r="E105" s="79">
        <v>0</v>
      </c>
      <c r="F105" s="79">
        <f>D105+E105</f>
        <v>0</v>
      </c>
      <c r="G105" s="79">
        <v>0</v>
      </c>
      <c r="H105" s="78">
        <v>0</v>
      </c>
      <c r="I105" s="78">
        <v>4122</v>
      </c>
      <c r="J105" s="79">
        <v>6632</v>
      </c>
      <c r="K105" s="78">
        <v>0</v>
      </c>
      <c r="L105" s="78">
        <v>0</v>
      </c>
      <c r="M105" s="79">
        <f>SUM(J105:L105)</f>
        <v>6632</v>
      </c>
      <c r="N105" s="78">
        <v>0</v>
      </c>
      <c r="O105" s="79">
        <f>SUM(F105:I105)+SUM(M105:N105)</f>
        <v>10754</v>
      </c>
      <c r="P105" s="78">
        <v>3625</v>
      </c>
      <c r="Q105" s="78">
        <v>318</v>
      </c>
      <c r="R105" s="79">
        <f>P105+Q105</f>
        <v>3943</v>
      </c>
      <c r="S105" s="79">
        <v>0</v>
      </c>
      <c r="U105" s="80">
        <f>O105+R105+S105-C105</f>
        <v>0</v>
      </c>
      <c r="V105" s="65"/>
      <c r="W105" s="81">
        <f>IF((O105+R105)=0," ",ROUND((O105/(O105+R105)),7))</f>
        <v>0.73171399999999998</v>
      </c>
      <c r="X105" s="81">
        <f>IF((C105)=0," ",ROUND((O105/(C105)),7))</f>
        <v>0.73171399999999998</v>
      </c>
      <c r="Y105" s="81">
        <f>IF((C105)=0," ",ROUND((S105/(C105)),7))</f>
        <v>0</v>
      </c>
      <c r="Z105" s="79"/>
      <c r="AF105" s="78"/>
    </row>
    <row r="106" spans="1:32" s="66" customFormat="1">
      <c r="A106" s="65">
        <f>A105+1</f>
        <v>32</v>
      </c>
      <c r="B106" s="66" t="s">
        <v>174</v>
      </c>
      <c r="C106" s="78">
        <v>158346</v>
      </c>
      <c r="D106" s="79">
        <f>C106-E106-SUM(G106:I106)-SUM(M106:N106)-R106-S106</f>
        <v>91307</v>
      </c>
      <c r="E106" s="79">
        <v>2334</v>
      </c>
      <c r="F106" s="79">
        <f>D106+E106</f>
        <v>93641</v>
      </c>
      <c r="G106" s="79">
        <v>4573</v>
      </c>
      <c r="H106" s="79">
        <v>36956</v>
      </c>
      <c r="I106" s="79">
        <v>15030</v>
      </c>
      <c r="J106" s="79">
        <v>6400</v>
      </c>
      <c r="K106" s="79">
        <v>644</v>
      </c>
      <c r="L106" s="79">
        <v>382</v>
      </c>
      <c r="M106" s="79">
        <f>SUM(J106:L106)</f>
        <v>7426</v>
      </c>
      <c r="N106" s="79">
        <v>720</v>
      </c>
      <c r="O106" s="79">
        <f>SUM(F106:I106)+SUM(M106:N106)</f>
        <v>158346</v>
      </c>
      <c r="P106" s="79">
        <v>0</v>
      </c>
      <c r="Q106" s="79">
        <v>0</v>
      </c>
      <c r="R106" s="79">
        <f>P106+Q106</f>
        <v>0</v>
      </c>
      <c r="S106" s="79">
        <v>0</v>
      </c>
      <c r="U106" s="80">
        <f>O106+R106+S106-C106</f>
        <v>0</v>
      </c>
      <c r="V106" s="65"/>
      <c r="W106" s="81">
        <f>IF((O106+R106)=0," ",ROUND((O106/(O106+R106)),7))</f>
        <v>1</v>
      </c>
      <c r="X106" s="81">
        <f>IF((C106)=0," ",ROUND((O106/(C106)),7))</f>
        <v>1</v>
      </c>
      <c r="Y106" s="81">
        <f>IF((C106)=0," ",ROUND((S106/(C106)),7))</f>
        <v>0</v>
      </c>
      <c r="Z106" s="79"/>
      <c r="AF106" s="79"/>
    </row>
    <row r="107" spans="1:32" s="66" customFormat="1">
      <c r="A107" s="65">
        <f>A106+1</f>
        <v>33</v>
      </c>
      <c r="B107" s="66" t="s">
        <v>195</v>
      </c>
      <c r="C107" s="78">
        <v>110</v>
      </c>
      <c r="D107" s="79">
        <f>C107-E107-SUM(G107:I107)-SUM(M107:N107)-R107-S107</f>
        <v>62</v>
      </c>
      <c r="E107" s="79">
        <v>2</v>
      </c>
      <c r="F107" s="79">
        <f>D107+E107</f>
        <v>64</v>
      </c>
      <c r="G107" s="79">
        <v>3</v>
      </c>
      <c r="H107" s="79">
        <v>25</v>
      </c>
      <c r="I107" s="79">
        <v>10</v>
      </c>
      <c r="J107" s="79">
        <v>5</v>
      </c>
      <c r="K107" s="79">
        <v>1</v>
      </c>
      <c r="L107" s="79">
        <v>0</v>
      </c>
      <c r="M107" s="79">
        <f>SUM(J107:L107)</f>
        <v>6</v>
      </c>
      <c r="N107" s="79">
        <v>2</v>
      </c>
      <c r="O107" s="79">
        <f>SUM(F107:I107)+SUM(M107:N107)</f>
        <v>110</v>
      </c>
      <c r="P107" s="79">
        <v>0</v>
      </c>
      <c r="Q107" s="79">
        <v>0</v>
      </c>
      <c r="R107" s="79">
        <f>P107+Q107</f>
        <v>0</v>
      </c>
      <c r="S107" s="79">
        <v>0</v>
      </c>
      <c r="U107" s="80">
        <f>O107+R107+S107-C107</f>
        <v>0</v>
      </c>
      <c r="V107" s="65"/>
      <c r="W107" s="81">
        <f>IF((O107+R107)=0," ",ROUND((O107/(O107+R107)),7))</f>
        <v>1</v>
      </c>
      <c r="X107" s="81">
        <f>IF((C107)=0," ",ROUND((O107/(C107)),7))</f>
        <v>1</v>
      </c>
      <c r="Y107" s="81">
        <f>IF((C107)=0," ",ROUND((S107/(C107)),7))</f>
        <v>0</v>
      </c>
      <c r="Z107" s="79"/>
      <c r="AF107" s="79"/>
    </row>
    <row r="108" spans="1:32" s="66" customFormat="1">
      <c r="A108" s="65">
        <f>A107+1</f>
        <v>34</v>
      </c>
      <c r="B108" s="66" t="s">
        <v>200</v>
      </c>
      <c r="C108" s="79">
        <f>173940-786-1</f>
        <v>173153</v>
      </c>
      <c r="D108" s="79">
        <f t="shared" ref="D108:Q108" si="10">SUM(D105:D107)</f>
        <v>91369</v>
      </c>
      <c r="E108" s="79">
        <f t="shared" si="10"/>
        <v>2336</v>
      </c>
      <c r="F108" s="79">
        <f t="shared" si="10"/>
        <v>93705</v>
      </c>
      <c r="G108" s="79">
        <f t="shared" si="10"/>
        <v>4576</v>
      </c>
      <c r="H108" s="79">
        <f t="shared" si="10"/>
        <v>36981</v>
      </c>
      <c r="I108" s="79">
        <f t="shared" si="10"/>
        <v>19162</v>
      </c>
      <c r="J108" s="79">
        <f t="shared" si="10"/>
        <v>13037</v>
      </c>
      <c r="K108" s="79">
        <f t="shared" si="10"/>
        <v>645</v>
      </c>
      <c r="L108" s="79">
        <f t="shared" si="10"/>
        <v>382</v>
      </c>
      <c r="M108" s="79">
        <f t="shared" si="10"/>
        <v>14064</v>
      </c>
      <c r="N108" s="79">
        <f t="shared" si="10"/>
        <v>722</v>
      </c>
      <c r="O108" s="79">
        <f t="shared" si="10"/>
        <v>169210</v>
      </c>
      <c r="P108" s="79">
        <f t="shared" si="10"/>
        <v>3625</v>
      </c>
      <c r="Q108" s="79">
        <f t="shared" si="10"/>
        <v>318</v>
      </c>
      <c r="R108" s="79">
        <f>P108+Q108</f>
        <v>3943</v>
      </c>
      <c r="S108" s="79">
        <f>SUM(S105:S107)</f>
        <v>0</v>
      </c>
      <c r="U108" s="80">
        <f>O108+R108+S108-C108</f>
        <v>0</v>
      </c>
      <c r="V108" s="65"/>
      <c r="W108" s="81">
        <f>IF((O108+R108)=0," ",ROUND((O108/(O108+R108)),7))</f>
        <v>0.97722819999999999</v>
      </c>
      <c r="X108" s="81">
        <f>IF((C108)=0," ",ROUND((O108/(C108)),7))</f>
        <v>0.97722819999999999</v>
      </c>
      <c r="Y108" s="81">
        <f>IF((C108)=0," ",ROUND((S108/(C108)),7))</f>
        <v>0</v>
      </c>
      <c r="Z108" s="79"/>
      <c r="AF108" s="79"/>
    </row>
    <row r="109" spans="1:32" s="66" customFormat="1">
      <c r="A109" s="65"/>
      <c r="U109" s="65"/>
      <c r="V109" s="65"/>
      <c r="W109" s="81"/>
      <c r="X109" s="81"/>
      <c r="Y109" s="81"/>
    </row>
    <row r="110" spans="1:32" s="66" customFormat="1">
      <c r="A110" s="65"/>
      <c r="B110" s="66" t="s">
        <v>201</v>
      </c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80"/>
      <c r="V110" s="65"/>
      <c r="W110" s="81"/>
      <c r="X110" s="81"/>
      <c r="Y110" s="81"/>
      <c r="Z110" s="79"/>
    </row>
    <row r="111" spans="1:32" s="66" customFormat="1">
      <c r="A111" s="65">
        <f>A108+1</f>
        <v>35</v>
      </c>
      <c r="B111" s="66" t="s">
        <v>195</v>
      </c>
      <c r="C111" s="79">
        <f>ROUND((C115*D$2305)/100,0)</f>
        <v>36079</v>
      </c>
      <c r="D111" s="79">
        <f>C111-E111-SUM(G111:I111)-SUM(M111:N111)-R111-S111</f>
        <v>20319.999</v>
      </c>
      <c r="E111" s="79">
        <v>673</v>
      </c>
      <c r="F111" s="79">
        <f>D111+E111</f>
        <v>20992.999</v>
      </c>
      <c r="G111" s="79">
        <v>1084</v>
      </c>
      <c r="H111" s="79">
        <v>8190</v>
      </c>
      <c r="I111" s="79">
        <v>3314</v>
      </c>
      <c r="J111" s="79">
        <v>1489</v>
      </c>
      <c r="K111" s="79">
        <v>409.00049999999999</v>
      </c>
      <c r="L111" s="79">
        <v>75.000500000000002</v>
      </c>
      <c r="M111" s="79">
        <f>SUM(J111:L111)</f>
        <v>1973.0010000000002</v>
      </c>
      <c r="N111" s="79">
        <v>525</v>
      </c>
      <c r="O111" s="79">
        <f>SUM(F111:I111)+SUM(M111:N111)</f>
        <v>36079</v>
      </c>
      <c r="P111" s="79">
        <v>0</v>
      </c>
      <c r="Q111" s="79">
        <v>0</v>
      </c>
      <c r="R111" s="79">
        <f>P111+Q111</f>
        <v>0</v>
      </c>
      <c r="S111" s="79">
        <v>0</v>
      </c>
      <c r="U111" s="80">
        <f>O111+R111+S111-C111</f>
        <v>0</v>
      </c>
      <c r="V111" s="65"/>
      <c r="W111" s="81">
        <f>IF((O111+R111)=0," ",ROUND((O111/(O111+R111)),7))</f>
        <v>1</v>
      </c>
      <c r="X111" s="81">
        <f>IF((C111)=0," ",ROUND((O111/(C111)),7))</f>
        <v>1</v>
      </c>
      <c r="Y111" s="81">
        <f>IF((C111)=0," ",ROUND((S111/(C111)),7))</f>
        <v>0</v>
      </c>
      <c r="Z111" s="79"/>
    </row>
    <row r="112" spans="1:32" s="66" customFormat="1">
      <c r="A112" s="65">
        <f>A111+1</f>
        <v>36</v>
      </c>
      <c r="B112" s="66" t="s">
        <v>202</v>
      </c>
      <c r="C112" s="79">
        <f>ROUND((C115*C$2305)/100,0)</f>
        <v>67516</v>
      </c>
      <c r="D112" s="79">
        <f>C112-E112-SUM(G112:I112)-SUM(M112:N112)-R112-S112</f>
        <v>57098.999000000003</v>
      </c>
      <c r="E112" s="79">
        <v>1586</v>
      </c>
      <c r="F112" s="79">
        <f>D112+E112</f>
        <v>58684.999000000003</v>
      </c>
      <c r="G112" s="79">
        <v>4509</v>
      </c>
      <c r="H112" s="79">
        <v>2688</v>
      </c>
      <c r="I112" s="79">
        <v>47</v>
      </c>
      <c r="J112" s="79">
        <v>3</v>
      </c>
      <c r="K112" s="79">
        <v>5.0000000000000001E-4</v>
      </c>
      <c r="L112" s="79">
        <v>5.0000000000000001E-4</v>
      </c>
      <c r="M112" s="79">
        <f>SUM(J112:L112)</f>
        <v>3.0010000000000003</v>
      </c>
      <c r="N112" s="79">
        <v>1584</v>
      </c>
      <c r="O112" s="79">
        <f>SUM(F112:I112)+SUM(M112:N112)</f>
        <v>67516.000000000015</v>
      </c>
      <c r="P112" s="79">
        <v>0</v>
      </c>
      <c r="Q112" s="79">
        <v>0</v>
      </c>
      <c r="R112" s="79">
        <f>P112+Q112</f>
        <v>0</v>
      </c>
      <c r="S112" s="79">
        <v>0</v>
      </c>
      <c r="U112" s="80">
        <f>O112+R112+S112-C112</f>
        <v>0</v>
      </c>
      <c r="V112" s="65"/>
      <c r="W112" s="81">
        <f>IF((O112+R112)=0," ",ROUND((O112/(O112+R112)),7))</f>
        <v>1</v>
      </c>
      <c r="X112" s="81">
        <f>IF((C112)=0," ",ROUND((O112/(C112)),7))</f>
        <v>1</v>
      </c>
      <c r="Y112" s="81">
        <f>IF((C112)=0," ",ROUND((S112/(C112)),7))</f>
        <v>0</v>
      </c>
      <c r="Z112" s="79"/>
    </row>
    <row r="113" spans="1:37">
      <c r="A113" s="65">
        <f>A112+1</f>
        <v>37</v>
      </c>
      <c r="B113" s="66" t="s">
        <v>203</v>
      </c>
      <c r="C113" s="79">
        <f>ROUND((C115*F$2305)/100,0)</f>
        <v>10081</v>
      </c>
      <c r="D113" s="79">
        <f>C113-E113-SUM(G113:I113)-SUM(M113:N113)-R113-S113</f>
        <v>6147.9989999999998</v>
      </c>
      <c r="E113" s="79">
        <v>204</v>
      </c>
      <c r="F113" s="79">
        <f>D113+E113</f>
        <v>6351.9989999999998</v>
      </c>
      <c r="G113" s="79">
        <v>328</v>
      </c>
      <c r="H113" s="79">
        <v>2462</v>
      </c>
      <c r="I113" s="79">
        <v>758</v>
      </c>
      <c r="J113" s="79">
        <v>22</v>
      </c>
      <c r="K113" s="79">
        <v>5.0000000000000001E-4</v>
      </c>
      <c r="L113" s="79">
        <v>5.0000000000000001E-4</v>
      </c>
      <c r="M113" s="79">
        <f>SUM(J113:L113)</f>
        <v>22.000999999999998</v>
      </c>
      <c r="N113" s="79">
        <v>159</v>
      </c>
      <c r="O113" s="79">
        <f>SUM(F113:I113)+SUM(M113:N113)</f>
        <v>10081</v>
      </c>
      <c r="P113" s="79">
        <v>0</v>
      </c>
      <c r="Q113" s="79">
        <v>0</v>
      </c>
      <c r="R113" s="79">
        <f>P113+Q113</f>
        <v>0</v>
      </c>
      <c r="S113" s="79">
        <v>0</v>
      </c>
      <c r="U113" s="80">
        <f>O113+R113+S113-C113</f>
        <v>0</v>
      </c>
      <c r="W113" s="81">
        <f>IF((O113+R113)=0," ",ROUND((O113/(O113+R113)),7))</f>
        <v>1</v>
      </c>
      <c r="X113" s="81">
        <f>IF((C113)=0," ",ROUND((O113/(C113)),7))</f>
        <v>1</v>
      </c>
      <c r="Y113" s="81">
        <f>IF((C113)=0," ",ROUND((S113/(C113)),7))</f>
        <v>0</v>
      </c>
      <c r="Z113" s="79"/>
      <c r="AJ113" s="66"/>
    </row>
    <row r="114" spans="1:37">
      <c r="A114" s="65">
        <f>A113+1</f>
        <v>38</v>
      </c>
      <c r="B114" s="66" t="s">
        <v>204</v>
      </c>
      <c r="C114" s="66">
        <f>C115-C111-C112-C113</f>
        <v>18969</v>
      </c>
      <c r="D114" s="79">
        <f>C114-E114-SUM(G114:I114)-SUM(M114:N114)-R114-S114</f>
        <v>16044.999</v>
      </c>
      <c r="E114" s="79">
        <v>446</v>
      </c>
      <c r="F114" s="79">
        <f>D114+E114</f>
        <v>16490.999</v>
      </c>
      <c r="G114" s="79">
        <v>1267</v>
      </c>
      <c r="H114" s="79">
        <v>754</v>
      </c>
      <c r="I114" s="79">
        <v>12</v>
      </c>
      <c r="J114" s="79">
        <v>0</v>
      </c>
      <c r="K114" s="79">
        <v>5.0000000000000001E-4</v>
      </c>
      <c r="L114" s="79">
        <v>5.0000000000000001E-4</v>
      </c>
      <c r="M114" s="79">
        <f>SUM(J114:L114)</f>
        <v>1E-3</v>
      </c>
      <c r="N114" s="79">
        <v>445</v>
      </c>
      <c r="O114" s="79">
        <f>SUM(F114:I114)+SUM(M114:N114)</f>
        <v>18969</v>
      </c>
      <c r="P114" s="79">
        <v>0</v>
      </c>
      <c r="Q114" s="79">
        <v>0</v>
      </c>
      <c r="R114" s="79">
        <f>P114+Q114</f>
        <v>0</v>
      </c>
      <c r="S114" s="79">
        <v>0</v>
      </c>
      <c r="U114" s="80">
        <f>O114+R114+S114-C114</f>
        <v>0</v>
      </c>
      <c r="W114" s="81">
        <f>IF((O114+R114)=0," ",ROUND((O114/(O114+R114)),7))</f>
        <v>1</v>
      </c>
      <c r="X114" s="81">
        <f>IF((C114)=0," ",ROUND((O114/(C114)),7))</f>
        <v>1</v>
      </c>
      <c r="Y114" s="81">
        <f>IF((C114)=0," ",ROUND((S114/(C114)),7))</f>
        <v>0</v>
      </c>
      <c r="Z114" s="79"/>
      <c r="AJ114" s="66"/>
    </row>
    <row r="115" spans="1:37">
      <c r="A115" s="65">
        <f>A114+1</f>
        <v>39</v>
      </c>
      <c r="B115" s="66" t="s">
        <v>55</v>
      </c>
      <c r="C115" s="78">
        <v>132645</v>
      </c>
      <c r="D115" s="79">
        <f>SUM(D111:D114)</f>
        <v>99611.995999999999</v>
      </c>
      <c r="E115" s="79">
        <f>SUM(E111:E114)</f>
        <v>2909</v>
      </c>
      <c r="F115" s="79">
        <f>SUM(F111:F114)</f>
        <v>102520.996</v>
      </c>
      <c r="G115" s="79">
        <f t="shared" ref="G115:L115" si="11">SUM(G111:G114)</f>
        <v>7188</v>
      </c>
      <c r="H115" s="79">
        <f t="shared" si="11"/>
        <v>14094</v>
      </c>
      <c r="I115" s="79">
        <f t="shared" si="11"/>
        <v>4131</v>
      </c>
      <c r="J115" s="79">
        <f t="shared" si="11"/>
        <v>1514</v>
      </c>
      <c r="K115" s="79">
        <f t="shared" si="11"/>
        <v>409.00199999999995</v>
      </c>
      <c r="L115" s="79">
        <f t="shared" si="11"/>
        <v>75.00200000000001</v>
      </c>
      <c r="M115" s="79">
        <f>SUM(M111:M114)</f>
        <v>1998.0040000000001</v>
      </c>
      <c r="N115" s="79">
        <f>SUM(N111:N114)</f>
        <v>2713</v>
      </c>
      <c r="O115" s="79">
        <f>SUM(O111:O114)</f>
        <v>132645</v>
      </c>
      <c r="P115" s="79">
        <f>SUM(P111:P114)</f>
        <v>0</v>
      </c>
      <c r="Q115" s="79">
        <f>SUM(Q111:Q114)</f>
        <v>0</v>
      </c>
      <c r="R115" s="79">
        <f>P115+Q115</f>
        <v>0</v>
      </c>
      <c r="S115" s="79">
        <f>SUM(S111:S114)</f>
        <v>0</v>
      </c>
      <c r="U115" s="80">
        <f>O115+R115+S115-C115</f>
        <v>0</v>
      </c>
      <c r="W115" s="81">
        <f>IF((O115+R115)=0," ",ROUND((O115/(O115+R115)),7))</f>
        <v>1</v>
      </c>
      <c r="X115" s="81">
        <f>IF((C115)=0," ",ROUND((O115/(C115)),7))</f>
        <v>1</v>
      </c>
      <c r="Y115" s="81">
        <f>IF((C115)=0," ",ROUND((S115/(C115)),7))</f>
        <v>0</v>
      </c>
      <c r="Z115" s="79"/>
      <c r="AJ115" s="66"/>
    </row>
    <row r="116" spans="1:37"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U116" s="80"/>
      <c r="W116" s="81"/>
      <c r="X116" s="81"/>
      <c r="Y116" s="81"/>
      <c r="Z116" s="79"/>
      <c r="AJ116" s="66"/>
    </row>
    <row r="117" spans="1:37">
      <c r="B117" s="66" t="s">
        <v>205</v>
      </c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U117" s="80"/>
      <c r="W117" s="81"/>
      <c r="X117" s="81"/>
      <c r="Y117" s="81"/>
      <c r="Z117" s="79"/>
      <c r="AJ117" s="66"/>
    </row>
    <row r="118" spans="1:37">
      <c r="A118" s="65">
        <f>A115+1</f>
        <v>40</v>
      </c>
      <c r="B118" s="66" t="s">
        <v>195</v>
      </c>
      <c r="C118" s="79">
        <f>ROUND((C$122*D$2306)/100,0)</f>
        <v>87925</v>
      </c>
      <c r="D118" s="79">
        <f>C118-E118-SUM(G118:I118)-SUM(M118:N118)-R118-S118</f>
        <v>49520.998999999996</v>
      </c>
      <c r="E118" s="79">
        <v>1641</v>
      </c>
      <c r="F118" s="79">
        <f>D118+E118</f>
        <v>51161.998999999996</v>
      </c>
      <c r="G118" s="79">
        <v>2642</v>
      </c>
      <c r="H118" s="79">
        <v>19959</v>
      </c>
      <c r="I118" s="79">
        <v>8075</v>
      </c>
      <c r="J118" s="79">
        <v>3630</v>
      </c>
      <c r="K118" s="79">
        <v>996.00049999999999</v>
      </c>
      <c r="L118" s="79">
        <v>182.00049999999999</v>
      </c>
      <c r="M118" s="79">
        <f>SUM(J118:L118)</f>
        <v>4808.0010000000002</v>
      </c>
      <c r="N118" s="79">
        <v>1279</v>
      </c>
      <c r="O118" s="79">
        <f>SUM(F118:I118)+SUM(M118:N118)</f>
        <v>87925</v>
      </c>
      <c r="P118" s="79">
        <v>0</v>
      </c>
      <c r="Q118" s="79">
        <v>0</v>
      </c>
      <c r="R118" s="79">
        <f>P118+Q118</f>
        <v>0</v>
      </c>
      <c r="S118" s="79">
        <v>0</v>
      </c>
      <c r="U118" s="80">
        <f>O118+R118+S118-C118</f>
        <v>0</v>
      </c>
      <c r="W118" s="81">
        <f>IF((O118+R118)=0," ",ROUND((O118/(O118+R118)),7))</f>
        <v>1</v>
      </c>
      <c r="X118" s="81">
        <f>IF((C118)=0," ",ROUND((O118/(C118)),7))</f>
        <v>1</v>
      </c>
      <c r="Y118" s="81">
        <f>IF((C118)=0," ",ROUND((S118/(C118)),7))</f>
        <v>0</v>
      </c>
      <c r="Z118" s="79"/>
      <c r="AJ118" s="66"/>
    </row>
    <row r="119" spans="1:37">
      <c r="A119" s="65">
        <f>A118+1</f>
        <v>41</v>
      </c>
      <c r="B119" s="66" t="s">
        <v>202</v>
      </c>
      <c r="C119" s="79">
        <f>ROUND((C$122*C$2306)/100,0)</f>
        <v>13428</v>
      </c>
      <c r="D119" s="79">
        <f>C119-E119-SUM(G119:I119)-SUM(M119:N119)-R119-S119</f>
        <v>11355.999</v>
      </c>
      <c r="E119" s="79">
        <v>315</v>
      </c>
      <c r="F119" s="79">
        <f>D119+E119</f>
        <v>11670.999</v>
      </c>
      <c r="G119" s="79">
        <v>897</v>
      </c>
      <c r="H119" s="79">
        <v>535</v>
      </c>
      <c r="I119" s="79">
        <v>9</v>
      </c>
      <c r="J119" s="79">
        <v>1</v>
      </c>
      <c r="K119" s="79">
        <v>5.0000000000000001E-4</v>
      </c>
      <c r="L119" s="79">
        <v>5.0000000000000001E-4</v>
      </c>
      <c r="M119" s="79">
        <f>SUM(J119:L119)</f>
        <v>1.0009999999999999</v>
      </c>
      <c r="N119" s="79">
        <v>315</v>
      </c>
      <c r="O119" s="79">
        <f>SUM(F119:I119)+SUM(M119:N119)</f>
        <v>13428</v>
      </c>
      <c r="P119" s="79">
        <v>0</v>
      </c>
      <c r="Q119" s="79">
        <v>0</v>
      </c>
      <c r="R119" s="79">
        <f>P119+Q119</f>
        <v>0</v>
      </c>
      <c r="S119" s="79">
        <v>0</v>
      </c>
      <c r="U119" s="80">
        <f>O119+R119+S119-C119</f>
        <v>0</v>
      </c>
      <c r="W119" s="81">
        <f>IF((O119+R119)=0," ",ROUND((O119/(O119+R119)),7))</f>
        <v>1</v>
      </c>
      <c r="X119" s="81">
        <f>IF((C119)=0," ",ROUND((O119/(C119)),7))</f>
        <v>1</v>
      </c>
      <c r="Y119" s="81">
        <f>IF((C119)=0," ",ROUND((S119/(C119)),7))</f>
        <v>0</v>
      </c>
      <c r="Z119" s="79"/>
      <c r="AJ119" s="66"/>
    </row>
    <row r="120" spans="1:37">
      <c r="A120" s="65">
        <f>A119+1</f>
        <v>42</v>
      </c>
      <c r="B120" s="66" t="s">
        <v>203</v>
      </c>
      <c r="C120" s="79">
        <f>ROUND((C$122*F$2306)/100,0)</f>
        <v>24144</v>
      </c>
      <c r="D120" s="79">
        <f>C120-E120-SUM(G120:I120)-SUM(M120:N120)-R120-S120</f>
        <v>14724.999</v>
      </c>
      <c r="E120" s="79">
        <v>488</v>
      </c>
      <c r="F120" s="79">
        <f>D120+E120</f>
        <v>15212.999</v>
      </c>
      <c r="G120" s="79">
        <v>786</v>
      </c>
      <c r="H120" s="79">
        <v>5897</v>
      </c>
      <c r="I120" s="79">
        <v>1815</v>
      </c>
      <c r="J120" s="79">
        <v>53</v>
      </c>
      <c r="K120" s="79">
        <v>5.0000000000000001E-4</v>
      </c>
      <c r="L120" s="79">
        <v>5.0000000000000001E-4</v>
      </c>
      <c r="M120" s="79">
        <f>SUM(J120:L120)</f>
        <v>53.001000000000005</v>
      </c>
      <c r="N120" s="79">
        <v>380</v>
      </c>
      <c r="O120" s="79">
        <f>SUM(F120:I120)+SUM(M120:N120)</f>
        <v>24144</v>
      </c>
      <c r="P120" s="79">
        <v>0</v>
      </c>
      <c r="Q120" s="79">
        <v>0</v>
      </c>
      <c r="R120" s="79">
        <f>P120+Q120</f>
        <v>0</v>
      </c>
      <c r="S120" s="79">
        <v>0</v>
      </c>
      <c r="U120" s="80">
        <f>O120+R120+S120-C120</f>
        <v>0</v>
      </c>
      <c r="W120" s="81">
        <f>IF((O120+R120)=0," ",ROUND((O120/(O120+R120)),7))</f>
        <v>1</v>
      </c>
      <c r="X120" s="81">
        <f>IF((C120)=0," ",ROUND((O120/(C120)),7))</f>
        <v>1</v>
      </c>
      <c r="Y120" s="81">
        <f>IF((C120)=0," ",ROUND((S120/(C120)),7))</f>
        <v>0</v>
      </c>
      <c r="Z120" s="79"/>
      <c r="AJ120" s="66"/>
    </row>
    <row r="121" spans="1:37">
      <c r="A121" s="65">
        <f>A120+1</f>
        <v>43</v>
      </c>
      <c r="B121" s="66" t="s">
        <v>204</v>
      </c>
      <c r="C121" s="66">
        <f>C122-C118-C119-C120</f>
        <v>3614</v>
      </c>
      <c r="D121" s="79">
        <f>C121-E121-SUM(G121:I121)-SUM(M121:N121)-R121-S121</f>
        <v>3056.9989999999998</v>
      </c>
      <c r="E121" s="79">
        <v>85</v>
      </c>
      <c r="F121" s="79">
        <f>D121+E121</f>
        <v>3141.9989999999998</v>
      </c>
      <c r="G121" s="79">
        <v>241</v>
      </c>
      <c r="H121" s="79">
        <v>144</v>
      </c>
      <c r="I121" s="79">
        <v>2</v>
      </c>
      <c r="J121" s="79">
        <v>0</v>
      </c>
      <c r="K121" s="79">
        <v>5.0000000000000001E-4</v>
      </c>
      <c r="L121" s="79">
        <v>5.0000000000000001E-4</v>
      </c>
      <c r="M121" s="79">
        <f>SUM(J121:L121)</f>
        <v>1E-3</v>
      </c>
      <c r="N121" s="79">
        <v>85</v>
      </c>
      <c r="O121" s="79">
        <f>SUM(F121:I121)+SUM(M121:N121)</f>
        <v>3614</v>
      </c>
      <c r="P121" s="79">
        <v>0</v>
      </c>
      <c r="Q121" s="79">
        <v>0</v>
      </c>
      <c r="R121" s="79">
        <f>P121+Q121</f>
        <v>0</v>
      </c>
      <c r="S121" s="79">
        <v>0</v>
      </c>
      <c r="U121" s="80">
        <f>O121+R121+S121-C121</f>
        <v>0</v>
      </c>
      <c r="W121" s="81">
        <f>IF((O121+R121)=0," ",ROUND((O121/(O121+R121)),7))</f>
        <v>1</v>
      </c>
      <c r="X121" s="81">
        <f>IF((C121)=0," ",ROUND((O121/(C121)),7))</f>
        <v>1</v>
      </c>
      <c r="Y121" s="81">
        <f>IF((C121)=0," ",ROUND((S121/(C121)),7))</f>
        <v>0</v>
      </c>
      <c r="Z121" s="79"/>
      <c r="AJ121" s="66"/>
    </row>
    <row r="122" spans="1:37">
      <c r="A122" s="65">
        <f>A121+1</f>
        <v>44</v>
      </c>
      <c r="B122" s="66" t="s">
        <v>53</v>
      </c>
      <c r="C122" s="78">
        <v>129111</v>
      </c>
      <c r="D122" s="79">
        <f t="shared" ref="D122:J122" si="12">SUM(D118:D121)</f>
        <v>78658.995999999985</v>
      </c>
      <c r="E122" s="79">
        <f>SUM(E118:E121)</f>
        <v>2529</v>
      </c>
      <c r="F122" s="79">
        <f t="shared" si="12"/>
        <v>81187.995999999985</v>
      </c>
      <c r="G122" s="79">
        <f t="shared" si="12"/>
        <v>4566</v>
      </c>
      <c r="H122" s="79">
        <f t="shared" si="12"/>
        <v>26535</v>
      </c>
      <c r="I122" s="79">
        <f t="shared" si="12"/>
        <v>9901</v>
      </c>
      <c r="J122" s="79">
        <f t="shared" si="12"/>
        <v>3684</v>
      </c>
      <c r="K122" s="79">
        <f t="shared" ref="K122:Q122" si="13">SUM(K118:K121)</f>
        <v>996.00199999999995</v>
      </c>
      <c r="L122" s="79">
        <f t="shared" si="13"/>
        <v>182.00199999999995</v>
      </c>
      <c r="M122" s="79">
        <f t="shared" si="13"/>
        <v>4862.0040000000008</v>
      </c>
      <c r="N122" s="79">
        <f t="shared" si="13"/>
        <v>2059</v>
      </c>
      <c r="O122" s="79">
        <f t="shared" si="13"/>
        <v>129111</v>
      </c>
      <c r="P122" s="79">
        <f t="shared" si="13"/>
        <v>0</v>
      </c>
      <c r="Q122" s="79">
        <f t="shared" si="13"/>
        <v>0</v>
      </c>
      <c r="R122" s="79">
        <f>P122+Q122</f>
        <v>0</v>
      </c>
      <c r="S122" s="79">
        <f>SUM(S118:S121)</f>
        <v>0</v>
      </c>
      <c r="U122" s="80">
        <f>O122+R122+S122-C122</f>
        <v>0</v>
      </c>
      <c r="W122" s="81">
        <f>IF((O122+R122)=0," ",ROUND((O122/(O122+R122)),7))</f>
        <v>1</v>
      </c>
      <c r="X122" s="81">
        <f>IF((C122)=0," ",ROUND((O122/(C122)),7))</f>
        <v>1</v>
      </c>
      <c r="Y122" s="81">
        <f>IF((C122)=0," ",ROUND((S122/(C122)),7))</f>
        <v>0</v>
      </c>
      <c r="Z122" s="79"/>
      <c r="AJ122" s="66"/>
    </row>
    <row r="123" spans="1:37"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U123" s="80"/>
      <c r="W123" s="81"/>
      <c r="X123" s="81"/>
      <c r="Y123" s="81"/>
      <c r="Z123" s="79"/>
      <c r="AJ123" s="66"/>
    </row>
    <row r="124" spans="1:37">
      <c r="B124" s="66" t="s">
        <v>206</v>
      </c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U124" s="80"/>
      <c r="W124" s="81"/>
      <c r="X124" s="81"/>
      <c r="Y124" s="81"/>
      <c r="Z124" s="79"/>
      <c r="AJ124" s="66"/>
      <c r="AK124" s="65"/>
    </row>
    <row r="125" spans="1:37">
      <c r="A125" s="65">
        <f>A122+1</f>
        <v>45</v>
      </c>
      <c r="B125" s="66" t="s">
        <v>195</v>
      </c>
      <c r="C125" s="79">
        <f>ROUND((C$129*D$2307)/100,0)</f>
        <v>706</v>
      </c>
      <c r="D125" s="79">
        <f>C125-E125-SUM(G125:I125)-SUM(M125:N125)-R125-S125</f>
        <v>398.99900000000002</v>
      </c>
      <c r="E125" s="79">
        <v>13</v>
      </c>
      <c r="F125" s="79">
        <f>D125+E125</f>
        <v>411.99900000000002</v>
      </c>
      <c r="G125" s="79">
        <v>21</v>
      </c>
      <c r="H125" s="79">
        <v>160</v>
      </c>
      <c r="I125" s="79">
        <v>65</v>
      </c>
      <c r="J125" s="79">
        <v>29</v>
      </c>
      <c r="K125" s="79">
        <v>8.0005000000000006</v>
      </c>
      <c r="L125" s="79">
        <v>1.0004999999999999</v>
      </c>
      <c r="M125" s="79">
        <f>SUM(J125:L125)</f>
        <v>38.001000000000005</v>
      </c>
      <c r="N125" s="79">
        <v>10</v>
      </c>
      <c r="O125" s="79">
        <f>SUM(F125:I125)+SUM(M125:N125)</f>
        <v>706</v>
      </c>
      <c r="P125" s="79">
        <v>0</v>
      </c>
      <c r="Q125" s="79">
        <v>0</v>
      </c>
      <c r="R125" s="79">
        <f>P125+Q125</f>
        <v>0</v>
      </c>
      <c r="S125" s="79">
        <v>0</v>
      </c>
      <c r="U125" s="80">
        <f>O125+R125+S125-C125</f>
        <v>0</v>
      </c>
      <c r="W125" s="81">
        <f>IF((O125+R125)=0," ",ROUND((O125/(O125+R125)),7))</f>
        <v>1</v>
      </c>
      <c r="X125" s="81">
        <f>IF((C125)=0," ",ROUND((O125/(C125)),7))</f>
        <v>1</v>
      </c>
      <c r="Y125" s="81">
        <f>IF((C125)=0," ",ROUND((S125/(C125)),7))</f>
        <v>0</v>
      </c>
      <c r="Z125" s="79"/>
      <c r="AJ125" s="66"/>
      <c r="AK125" s="65"/>
    </row>
    <row r="126" spans="1:37">
      <c r="A126" s="65">
        <f>A125+1</f>
        <v>46</v>
      </c>
      <c r="B126" s="66" t="s">
        <v>202</v>
      </c>
      <c r="C126" s="79">
        <f>ROUND((C$129*C$2307)/100,0)</f>
        <v>35</v>
      </c>
      <c r="D126" s="79">
        <f>C126-E126-SUM(G126:I126)-SUM(M126:N126)-R126-S126</f>
        <v>29.9999</v>
      </c>
      <c r="E126" s="79">
        <v>1</v>
      </c>
      <c r="F126" s="79">
        <f>D126+E126</f>
        <v>30.9999</v>
      </c>
      <c r="G126" s="79">
        <v>2</v>
      </c>
      <c r="H126" s="79">
        <v>1</v>
      </c>
      <c r="I126" s="79">
        <v>0</v>
      </c>
      <c r="J126" s="79">
        <v>0</v>
      </c>
      <c r="K126" s="79">
        <v>5.0000000000000002E-5</v>
      </c>
      <c r="L126" s="79">
        <v>5.0000000000000002E-5</v>
      </c>
      <c r="M126" s="79">
        <f>SUM(J126:L126)</f>
        <v>1E-4</v>
      </c>
      <c r="N126" s="79">
        <v>1</v>
      </c>
      <c r="O126" s="79">
        <f>SUM(F126:I126)+SUM(M126:N126)</f>
        <v>35</v>
      </c>
      <c r="P126" s="79">
        <v>0</v>
      </c>
      <c r="Q126" s="79">
        <v>0</v>
      </c>
      <c r="R126" s="79">
        <f>P126+Q126</f>
        <v>0</v>
      </c>
      <c r="S126" s="79">
        <v>0</v>
      </c>
      <c r="U126" s="80">
        <f>O126+R126+S126-C126</f>
        <v>0</v>
      </c>
      <c r="W126" s="81">
        <f>IF((O126+R126)=0," ",ROUND((O126/(O126+R126)),7))</f>
        <v>1</v>
      </c>
      <c r="X126" s="81">
        <f>IF((C126)=0," ",ROUND((O126/(C126)),7))</f>
        <v>1</v>
      </c>
      <c r="Y126" s="81">
        <f>IF((C126)=0," ",ROUND((S126/(C126)),7))</f>
        <v>0</v>
      </c>
      <c r="Z126" s="79"/>
      <c r="AJ126" s="66"/>
      <c r="AK126" s="65"/>
    </row>
    <row r="127" spans="1:37">
      <c r="A127" s="65">
        <f>A126+1</f>
        <v>47</v>
      </c>
      <c r="B127" s="66" t="s">
        <v>203</v>
      </c>
      <c r="C127" s="79">
        <f>ROUND((C$129*F$2307)/100,0)</f>
        <v>532</v>
      </c>
      <c r="D127" s="79">
        <f>C127-E127-SUM(G127:I127)-SUM(M127:N127)-R127-S127</f>
        <v>324.99900000000002</v>
      </c>
      <c r="E127" s="79">
        <v>11</v>
      </c>
      <c r="F127" s="79">
        <f>D127+E127</f>
        <v>335.99900000000002</v>
      </c>
      <c r="G127" s="79">
        <v>17</v>
      </c>
      <c r="H127" s="79">
        <v>130</v>
      </c>
      <c r="I127" s="79">
        <v>40</v>
      </c>
      <c r="J127" s="79">
        <v>1</v>
      </c>
      <c r="K127" s="79">
        <v>5.0000000000000001E-4</v>
      </c>
      <c r="L127" s="79">
        <v>5.0000000000000001E-4</v>
      </c>
      <c r="M127" s="79">
        <f>SUM(J127:L127)</f>
        <v>1.0009999999999999</v>
      </c>
      <c r="N127" s="79">
        <v>8</v>
      </c>
      <c r="O127" s="79">
        <f>SUM(F127:I127)+SUM(M127:N127)</f>
        <v>532</v>
      </c>
      <c r="P127" s="79">
        <v>0</v>
      </c>
      <c r="Q127" s="79">
        <v>0</v>
      </c>
      <c r="R127" s="79">
        <f>P127+Q127</f>
        <v>0</v>
      </c>
      <c r="S127" s="79">
        <v>0</v>
      </c>
      <c r="U127" s="80">
        <f>O127+R127+S127-C127</f>
        <v>0</v>
      </c>
      <c r="W127" s="81">
        <f>IF((O127+R127)=0," ",ROUND((O127/(O127+R127)),7))</f>
        <v>1</v>
      </c>
      <c r="X127" s="81">
        <f>IF((C127)=0," ",ROUND((O127/(C127)),7))</f>
        <v>1</v>
      </c>
      <c r="Y127" s="81">
        <f>IF((C127)=0," ",ROUND((S127/(C127)),7))</f>
        <v>0</v>
      </c>
      <c r="Z127" s="79"/>
      <c r="AJ127" s="66"/>
      <c r="AK127" s="65"/>
    </row>
    <row r="128" spans="1:37">
      <c r="A128" s="65">
        <f>A127+1</f>
        <v>48</v>
      </c>
      <c r="B128" s="66" t="s">
        <v>204</v>
      </c>
      <c r="C128" s="66">
        <f>C129-C125-C126-C127</f>
        <v>16</v>
      </c>
      <c r="D128" s="79">
        <f>C128-E128-SUM(G128:I128)-SUM(M128:N128)-R128-S128</f>
        <v>13.9999</v>
      </c>
      <c r="E128" s="79">
        <v>0</v>
      </c>
      <c r="F128" s="79">
        <f>D128+E128</f>
        <v>13.9999</v>
      </c>
      <c r="G128" s="79">
        <v>1</v>
      </c>
      <c r="H128" s="79">
        <v>1</v>
      </c>
      <c r="I128" s="79">
        <v>0</v>
      </c>
      <c r="J128" s="79">
        <v>0</v>
      </c>
      <c r="K128" s="79">
        <v>5.0000000000000002E-5</v>
      </c>
      <c r="L128" s="79">
        <v>5.0000000000000002E-5</v>
      </c>
      <c r="M128" s="79">
        <f>SUM(J128:L128)</f>
        <v>1E-4</v>
      </c>
      <c r="N128" s="79">
        <v>0</v>
      </c>
      <c r="O128" s="79">
        <f>SUM(F128:I128)+SUM(M128:N128)</f>
        <v>16</v>
      </c>
      <c r="P128" s="79">
        <v>0</v>
      </c>
      <c r="Q128" s="79">
        <v>0</v>
      </c>
      <c r="R128" s="79">
        <f>P128+Q128</f>
        <v>0</v>
      </c>
      <c r="S128" s="79">
        <v>0</v>
      </c>
      <c r="U128" s="80">
        <f>O128+R128+S128-C128</f>
        <v>0</v>
      </c>
      <c r="W128" s="81">
        <f>IF((O128+R128)=0," ",ROUND((O128/(O128+R128)),7))</f>
        <v>1</v>
      </c>
      <c r="X128" s="81">
        <f>IF((C128)=0," ",ROUND((O128/(C128)),7))</f>
        <v>1</v>
      </c>
      <c r="Y128" s="81">
        <f>IF((C128)=0," ",ROUND((S128/(C128)),7))</f>
        <v>0</v>
      </c>
      <c r="Z128" s="79"/>
      <c r="AF128" s="65"/>
      <c r="AJ128" s="66"/>
    </row>
    <row r="129" spans="1:32" s="66" customFormat="1">
      <c r="A129" s="65">
        <f>A128+1</f>
        <v>49</v>
      </c>
      <c r="B129" s="66" t="s">
        <v>51</v>
      </c>
      <c r="C129" s="78">
        <v>1289</v>
      </c>
      <c r="D129" s="79">
        <f>SUM(D125:D128)</f>
        <v>767.9978000000001</v>
      </c>
      <c r="E129" s="79">
        <f t="shared" ref="E129:Q129" si="14">SUM(E125:E128)</f>
        <v>25</v>
      </c>
      <c r="F129" s="79">
        <f t="shared" si="14"/>
        <v>792.9978000000001</v>
      </c>
      <c r="G129" s="79">
        <f t="shared" si="14"/>
        <v>41</v>
      </c>
      <c r="H129" s="79">
        <f t="shared" si="14"/>
        <v>292</v>
      </c>
      <c r="I129" s="79">
        <f t="shared" si="14"/>
        <v>105</v>
      </c>
      <c r="J129" s="79">
        <f t="shared" si="14"/>
        <v>30</v>
      </c>
      <c r="K129" s="79">
        <f t="shared" si="14"/>
        <v>8.001100000000001</v>
      </c>
      <c r="L129" s="79">
        <f t="shared" si="14"/>
        <v>1.0011000000000001</v>
      </c>
      <c r="M129" s="79">
        <f t="shared" si="14"/>
        <v>39.002200000000009</v>
      </c>
      <c r="N129" s="79">
        <f t="shared" si="14"/>
        <v>19</v>
      </c>
      <c r="O129" s="79">
        <f t="shared" si="14"/>
        <v>1289</v>
      </c>
      <c r="P129" s="79">
        <f t="shared" si="14"/>
        <v>0</v>
      </c>
      <c r="Q129" s="79">
        <f t="shared" si="14"/>
        <v>0</v>
      </c>
      <c r="R129" s="79">
        <f>P129+Q129</f>
        <v>0</v>
      </c>
      <c r="S129" s="79">
        <f>SUM(S125:S128)</f>
        <v>0</v>
      </c>
      <c r="U129" s="80">
        <f>O129+R129+S129-C129</f>
        <v>0</v>
      </c>
      <c r="V129" s="65"/>
      <c r="W129" s="81">
        <f>IF((O129+R129)=0," ",ROUND((O129/(O129+R129)),7))</f>
        <v>1</v>
      </c>
      <c r="X129" s="81">
        <f>IF((C129)=0," ",ROUND((O129/(C129)),7))</f>
        <v>1</v>
      </c>
      <c r="Y129" s="81">
        <f>IF((C129)=0," ",ROUND((S129/(C129)),7))</f>
        <v>0</v>
      </c>
      <c r="Z129" s="79"/>
      <c r="AF129" s="70"/>
    </row>
    <row r="130" spans="1:32" s="66" customFormat="1">
      <c r="A130" s="65"/>
      <c r="U130" s="65"/>
      <c r="V130" s="65"/>
      <c r="Y130" s="65"/>
      <c r="AF130" s="70"/>
    </row>
    <row r="131" spans="1:32" s="66" customFormat="1">
      <c r="A131" s="65"/>
      <c r="B131" s="66" t="s">
        <v>207</v>
      </c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U131" s="80"/>
      <c r="V131" s="65"/>
      <c r="W131" s="81"/>
      <c r="X131" s="81"/>
      <c r="Y131" s="81"/>
      <c r="Z131" s="79"/>
      <c r="AF131" s="76"/>
    </row>
    <row r="132" spans="1:32" s="66" customFormat="1">
      <c r="A132" s="65">
        <f>A129+1</f>
        <v>50</v>
      </c>
      <c r="B132" s="66" t="s">
        <v>195</v>
      </c>
      <c r="C132" s="79">
        <f>ROUND((C$136*D$2308)/100,0)</f>
        <v>85044</v>
      </c>
      <c r="D132" s="79">
        <f>C132-E132-SUM(G132:I132)-SUM(M132:N132)-R132-S132</f>
        <v>47897.998999999996</v>
      </c>
      <c r="E132" s="79">
        <v>1587</v>
      </c>
      <c r="F132" s="79">
        <f>D132+E132</f>
        <v>49484.998999999996</v>
      </c>
      <c r="G132" s="79">
        <v>2556</v>
      </c>
      <c r="H132" s="79">
        <v>19305</v>
      </c>
      <c r="I132" s="79">
        <v>7811</v>
      </c>
      <c r="J132" s="79">
        <v>3511</v>
      </c>
      <c r="K132" s="79">
        <v>963.00049999999999</v>
      </c>
      <c r="L132" s="79">
        <v>176.00049999999999</v>
      </c>
      <c r="M132" s="79">
        <f>SUM(J132:L132)</f>
        <v>4650.0010000000002</v>
      </c>
      <c r="N132" s="79">
        <v>1237</v>
      </c>
      <c r="O132" s="79">
        <f>SUM(F132:I132)+SUM(M132:N132)</f>
        <v>85044</v>
      </c>
      <c r="P132" s="79">
        <v>0</v>
      </c>
      <c r="Q132" s="79">
        <v>0</v>
      </c>
      <c r="R132" s="79">
        <f>P132+Q132</f>
        <v>0</v>
      </c>
      <c r="S132" s="79">
        <v>0</v>
      </c>
      <c r="U132" s="80">
        <f>O132+R132+S132-C132</f>
        <v>0</v>
      </c>
      <c r="V132" s="65"/>
      <c r="W132" s="81">
        <f>IF((O132+R132)=0," ",ROUND((O132/(O132+R132)),7))</f>
        <v>1</v>
      </c>
      <c r="X132" s="81">
        <f>IF((C132)=0," ",ROUND((O132/(C132)),7))</f>
        <v>1</v>
      </c>
      <c r="Y132" s="81">
        <f>IF((C132)=0," ",ROUND((S132/(C132)),7))</f>
        <v>0</v>
      </c>
      <c r="Z132" s="79"/>
    </row>
    <row r="133" spans="1:32" s="66" customFormat="1">
      <c r="A133" s="65">
        <f>A132+1</f>
        <v>51</v>
      </c>
      <c r="B133" s="66" t="s">
        <v>202</v>
      </c>
      <c r="C133" s="79">
        <f>ROUND((C$136*C$2308)/100,0)</f>
        <v>4258</v>
      </c>
      <c r="D133" s="79">
        <f>C133-E133-SUM(G133:I133)-SUM(M133:N133)-R133-S133</f>
        <v>3600.9998999999998</v>
      </c>
      <c r="E133" s="79">
        <v>100</v>
      </c>
      <c r="F133" s="79">
        <f>D133+E133</f>
        <v>3700.9998999999998</v>
      </c>
      <c r="G133" s="79">
        <v>284</v>
      </c>
      <c r="H133" s="79">
        <v>170</v>
      </c>
      <c r="I133" s="79">
        <v>3</v>
      </c>
      <c r="J133" s="79">
        <v>0</v>
      </c>
      <c r="K133" s="79">
        <v>5.0000000000000002E-5</v>
      </c>
      <c r="L133" s="79">
        <v>5.0000000000000002E-5</v>
      </c>
      <c r="M133" s="79">
        <f>SUM(J133:L133)</f>
        <v>1E-4</v>
      </c>
      <c r="N133" s="79">
        <v>100</v>
      </c>
      <c r="O133" s="79">
        <f>SUM(F133:I133)+SUM(M133:N133)</f>
        <v>4258</v>
      </c>
      <c r="P133" s="79">
        <v>0</v>
      </c>
      <c r="Q133" s="79">
        <v>0</v>
      </c>
      <c r="R133" s="79">
        <f>P133+Q133</f>
        <v>0</v>
      </c>
      <c r="S133" s="79">
        <v>0</v>
      </c>
      <c r="U133" s="80">
        <f>O133+R133+S133-C133</f>
        <v>0</v>
      </c>
      <c r="V133" s="65"/>
      <c r="W133" s="81">
        <f>IF((O133+R133)=0," ",ROUND((O133/(O133+R133)),7))</f>
        <v>1</v>
      </c>
      <c r="X133" s="81">
        <f>IF((C133)=0," ",ROUND((O133/(C133)),7))</f>
        <v>1</v>
      </c>
      <c r="Y133" s="81">
        <f>IF((C133)=0," ",ROUND((S133/(C133)),7))</f>
        <v>0</v>
      </c>
      <c r="Z133" s="79"/>
    </row>
    <row r="134" spans="1:32" s="66" customFormat="1">
      <c r="A134" s="65">
        <f>A133+1</f>
        <v>52</v>
      </c>
      <c r="B134" s="66" t="s">
        <v>203</v>
      </c>
      <c r="C134" s="79">
        <f>ROUND((C$136*F$2308)/100,0)</f>
        <v>34193</v>
      </c>
      <c r="D134" s="79">
        <f>C134-E134-SUM(G134:I134)-SUM(M134:N134)-R134-S134</f>
        <v>20854.999899999999</v>
      </c>
      <c r="E134" s="79">
        <v>691</v>
      </c>
      <c r="F134" s="79">
        <f>D134+E134</f>
        <v>21545.999899999999</v>
      </c>
      <c r="G134" s="79">
        <v>1113</v>
      </c>
      <c r="H134" s="79">
        <v>8352</v>
      </c>
      <c r="I134" s="79">
        <v>2570</v>
      </c>
      <c r="J134" s="79">
        <v>74</v>
      </c>
      <c r="K134" s="79">
        <v>5.0000000000000002E-5</v>
      </c>
      <c r="L134" s="79">
        <v>5.0000000000000002E-5</v>
      </c>
      <c r="M134" s="79">
        <f>SUM(J134:L134)</f>
        <v>74.000100000000003</v>
      </c>
      <c r="N134" s="79">
        <v>538</v>
      </c>
      <c r="O134" s="79">
        <f>SUM(F134:I134)+SUM(M134:N134)</f>
        <v>34192.999999999993</v>
      </c>
      <c r="P134" s="79">
        <v>0</v>
      </c>
      <c r="Q134" s="79">
        <v>0</v>
      </c>
      <c r="R134" s="79">
        <f>P134+Q134</f>
        <v>0</v>
      </c>
      <c r="S134" s="79">
        <v>0</v>
      </c>
      <c r="U134" s="80">
        <f>O134+R134+S134-C134</f>
        <v>0</v>
      </c>
      <c r="V134" s="65"/>
      <c r="W134" s="81">
        <f>IF((O134+R134)=0," ",ROUND((O134/(O134+R134)),7))</f>
        <v>1</v>
      </c>
      <c r="X134" s="81">
        <f>IF((C134)=0," ",ROUND((O134/(C134)),7))</f>
        <v>1</v>
      </c>
      <c r="Y134" s="81">
        <f>IF((C134)=0," ",ROUND((S134/(C134)),7))</f>
        <v>0</v>
      </c>
      <c r="Z134" s="79"/>
      <c r="AF134" s="79"/>
    </row>
    <row r="135" spans="1:32" s="66" customFormat="1">
      <c r="A135" s="65">
        <f>A134+1</f>
        <v>53</v>
      </c>
      <c r="B135" s="66" t="s">
        <v>204</v>
      </c>
      <c r="C135" s="66">
        <f>C136-C132-C133-C134</f>
        <v>1754</v>
      </c>
      <c r="D135" s="79">
        <f>C135-E135-SUM(G135:I135)-SUM(M135:N135)-R135-S135</f>
        <v>1483.9999</v>
      </c>
      <c r="E135" s="79">
        <v>41</v>
      </c>
      <c r="F135" s="79">
        <f>D135+E135</f>
        <v>1524.9999</v>
      </c>
      <c r="G135" s="79">
        <v>117</v>
      </c>
      <c r="H135" s="79">
        <v>70</v>
      </c>
      <c r="I135" s="79">
        <v>1</v>
      </c>
      <c r="J135" s="79">
        <v>0</v>
      </c>
      <c r="K135" s="79">
        <v>5.0000000000000002E-5</v>
      </c>
      <c r="L135" s="79">
        <v>5.0000000000000002E-5</v>
      </c>
      <c r="M135" s="79">
        <f>SUM(J135:L135)</f>
        <v>1E-4</v>
      </c>
      <c r="N135" s="79">
        <v>41</v>
      </c>
      <c r="O135" s="79">
        <f>SUM(F135:I135)+SUM(M135:N135)</f>
        <v>1754</v>
      </c>
      <c r="P135" s="79">
        <v>0</v>
      </c>
      <c r="Q135" s="79">
        <v>0</v>
      </c>
      <c r="R135" s="79">
        <f>P135+Q135</f>
        <v>0</v>
      </c>
      <c r="S135" s="79">
        <v>0</v>
      </c>
      <c r="U135" s="80">
        <f>O135+R135+S135-C135</f>
        <v>0</v>
      </c>
      <c r="V135" s="65"/>
      <c r="W135" s="81">
        <f>IF((O135+R135)=0," ",ROUND((O135/(O135+R135)),7))</f>
        <v>1</v>
      </c>
      <c r="X135" s="81">
        <f>IF((C135)=0," ",ROUND((O135/(C135)),7))</f>
        <v>1</v>
      </c>
      <c r="Y135" s="81">
        <f>IF((C135)=0," ",ROUND((S135/(C135)),7))</f>
        <v>0</v>
      </c>
      <c r="Z135" s="79"/>
      <c r="AF135" s="79"/>
    </row>
    <row r="136" spans="1:32" s="66" customFormat="1">
      <c r="A136" s="65">
        <f>A135+1</f>
        <v>54</v>
      </c>
      <c r="B136" s="66" t="s">
        <v>49</v>
      </c>
      <c r="C136" s="78">
        <v>125249</v>
      </c>
      <c r="D136" s="79">
        <f>SUM(D132:D135)</f>
        <v>73837.998699999996</v>
      </c>
      <c r="E136" s="79">
        <f t="shared" ref="E136:Q136" si="15">SUM(E132:E135)</f>
        <v>2419</v>
      </c>
      <c r="F136" s="79">
        <f t="shared" si="15"/>
        <v>76256.998699999996</v>
      </c>
      <c r="G136" s="79">
        <f t="shared" si="15"/>
        <v>4070</v>
      </c>
      <c r="H136" s="79">
        <f t="shared" si="15"/>
        <v>27897</v>
      </c>
      <c r="I136" s="79">
        <f t="shared" si="15"/>
        <v>10385</v>
      </c>
      <c r="J136" s="79">
        <f t="shared" si="15"/>
        <v>3585</v>
      </c>
      <c r="K136" s="79">
        <f t="shared" si="15"/>
        <v>963.00064999999995</v>
      </c>
      <c r="L136" s="79">
        <f t="shared" si="15"/>
        <v>176.00064999999995</v>
      </c>
      <c r="M136" s="79">
        <f t="shared" si="15"/>
        <v>4724.0013000000008</v>
      </c>
      <c r="N136" s="79">
        <f t="shared" si="15"/>
        <v>1916</v>
      </c>
      <c r="O136" s="79">
        <f t="shared" si="15"/>
        <v>125249</v>
      </c>
      <c r="P136" s="79">
        <f t="shared" si="15"/>
        <v>0</v>
      </c>
      <c r="Q136" s="79">
        <f t="shared" si="15"/>
        <v>0</v>
      </c>
      <c r="R136" s="79">
        <f>P136+Q136</f>
        <v>0</v>
      </c>
      <c r="S136" s="79">
        <f>SUM(S132:S135)</f>
        <v>0</v>
      </c>
      <c r="U136" s="80">
        <f>O136+R136+S136-C136</f>
        <v>0</v>
      </c>
      <c r="V136" s="65"/>
      <c r="W136" s="81">
        <f>IF((O136+R136)=0," ",ROUND((O136/(O136+R136)),7))</f>
        <v>1</v>
      </c>
      <c r="X136" s="81">
        <f>IF((C136)=0," ",ROUND((O136/(C136)),7))</f>
        <v>1</v>
      </c>
      <c r="Y136" s="81">
        <f>IF((C136)=0," ",ROUND((S136/(C136)),7))</f>
        <v>0</v>
      </c>
      <c r="Z136" s="79"/>
      <c r="AF136" s="79"/>
    </row>
    <row r="137" spans="1:32" s="66" customFormat="1">
      <c r="A137" s="85"/>
      <c r="C137" s="79"/>
      <c r="D137" s="79"/>
      <c r="E137" s="79"/>
      <c r="F137" s="79"/>
      <c r="H137" s="65" t="s">
        <v>80</v>
      </c>
      <c r="I137" s="79"/>
      <c r="J137" s="79"/>
      <c r="K137" s="79"/>
      <c r="L137" s="79"/>
      <c r="M137" s="79"/>
      <c r="N137" s="79"/>
      <c r="O137" s="79"/>
      <c r="Q137" s="65" t="s">
        <v>80</v>
      </c>
      <c r="S137" s="79"/>
      <c r="T137" s="65"/>
      <c r="U137" s="65"/>
      <c r="V137" s="85"/>
      <c r="W137" s="81"/>
      <c r="X137" s="81"/>
      <c r="Y137" s="81"/>
      <c r="Z137" s="65"/>
      <c r="AF137" s="79"/>
    </row>
    <row r="138" spans="1:32" s="66" customFormat="1">
      <c r="A138" s="65"/>
      <c r="B138" s="72"/>
      <c r="H138" s="70" t="str">
        <f>$H$24</f>
        <v>12 MONTHS ENDING DECEMBER 31, 2012</v>
      </c>
      <c r="Q138" s="70" t="str">
        <f>$H$24</f>
        <v>12 MONTHS ENDING DECEMBER 31, 2012</v>
      </c>
      <c r="U138" s="65"/>
      <c r="V138" s="65"/>
      <c r="W138" s="73"/>
      <c r="X138" s="73"/>
      <c r="Y138" s="73"/>
      <c r="Z138" s="70"/>
    </row>
    <row r="139" spans="1:32" s="66" customFormat="1">
      <c r="A139" s="65"/>
      <c r="H139" s="70" t="str">
        <f>$H$25</f>
        <v>12/13 DEMAND ALLOCATION WITH MDS METHODOLOGY</v>
      </c>
      <c r="Q139" s="70" t="str">
        <f>$H$25</f>
        <v>12/13 DEMAND ALLOCATION WITH MDS METHODOLOGY</v>
      </c>
      <c r="U139" s="65"/>
      <c r="V139" s="65"/>
      <c r="W139" s="73"/>
      <c r="X139" s="73"/>
      <c r="Y139" s="73"/>
      <c r="Z139" s="70"/>
    </row>
    <row r="140" spans="1:32" s="66" customFormat="1">
      <c r="A140" s="65"/>
      <c r="H140" s="70" t="s">
        <v>92</v>
      </c>
      <c r="Q140" s="70" t="s">
        <v>92</v>
      </c>
      <c r="U140" s="65"/>
      <c r="V140" s="65"/>
      <c r="X140" s="73"/>
      <c r="Y140" s="73"/>
      <c r="Z140" s="70"/>
      <c r="AF140" s="79"/>
    </row>
    <row r="141" spans="1:32" s="66" customFormat="1">
      <c r="A141" s="65"/>
      <c r="H141" s="70" t="s">
        <v>114</v>
      </c>
      <c r="U141" s="65"/>
      <c r="V141" s="65"/>
      <c r="X141" s="73"/>
      <c r="Y141" s="73"/>
      <c r="AF141" s="79"/>
    </row>
    <row r="142" spans="1:32" s="66" customFormat="1">
      <c r="A142" s="65"/>
      <c r="C142" s="65" t="s">
        <v>59</v>
      </c>
      <c r="K142" s="65"/>
      <c r="L142" s="65"/>
      <c r="M142" s="65"/>
      <c r="O142" s="65" t="s">
        <v>59</v>
      </c>
      <c r="P142" s="65"/>
      <c r="Q142" s="65"/>
      <c r="R142" s="65"/>
      <c r="S142" s="65" t="s">
        <v>115</v>
      </c>
      <c r="U142" s="65"/>
      <c r="V142" s="65"/>
      <c r="W142" s="76" t="s">
        <v>116</v>
      </c>
      <c r="X142" s="76" t="s">
        <v>116</v>
      </c>
      <c r="Y142" s="76" t="s">
        <v>117</v>
      </c>
      <c r="AF142" s="79"/>
    </row>
    <row r="143" spans="1:32" s="66" customFormat="1">
      <c r="A143" s="65" t="s">
        <v>118</v>
      </c>
      <c r="C143" s="65" t="s">
        <v>58</v>
      </c>
      <c r="D143" s="70" t="s">
        <v>119</v>
      </c>
      <c r="E143" s="70" t="s">
        <v>119</v>
      </c>
      <c r="F143" s="70" t="s">
        <v>119</v>
      </c>
      <c r="G143" s="70" t="s">
        <v>119</v>
      </c>
      <c r="H143" s="70" t="s">
        <v>119</v>
      </c>
      <c r="I143" s="70" t="s">
        <v>119</v>
      </c>
      <c r="J143" s="70" t="s">
        <v>119</v>
      </c>
      <c r="K143" s="70" t="s">
        <v>119</v>
      </c>
      <c r="L143" s="70" t="s">
        <v>119</v>
      </c>
      <c r="M143" s="70" t="s">
        <v>119</v>
      </c>
      <c r="N143" s="70" t="s">
        <v>119</v>
      </c>
      <c r="O143" s="65" t="s">
        <v>116</v>
      </c>
      <c r="P143" s="65"/>
      <c r="Q143" s="70" t="s">
        <v>120</v>
      </c>
      <c r="R143" s="65"/>
      <c r="S143" s="65" t="s">
        <v>121</v>
      </c>
      <c r="U143" s="65"/>
      <c r="V143" s="65"/>
      <c r="W143" s="76" t="s">
        <v>122</v>
      </c>
      <c r="X143" s="76" t="s">
        <v>123</v>
      </c>
      <c r="Y143" s="76" t="s">
        <v>124</v>
      </c>
      <c r="Z143" s="65"/>
    </row>
    <row r="144" spans="1:32" s="66" customFormat="1">
      <c r="A144" s="65" t="s">
        <v>125</v>
      </c>
      <c r="B144" s="65" t="s">
        <v>126</v>
      </c>
      <c r="C144" s="65" t="s">
        <v>57</v>
      </c>
      <c r="D144" s="70" t="s">
        <v>127</v>
      </c>
      <c r="E144" s="70" t="s">
        <v>128</v>
      </c>
      <c r="F144" s="70" t="s">
        <v>129</v>
      </c>
      <c r="G144" s="70" t="s">
        <v>130</v>
      </c>
      <c r="H144" s="70" t="s">
        <v>131</v>
      </c>
      <c r="I144" s="65" t="s">
        <v>132</v>
      </c>
      <c r="J144" s="70" t="s">
        <v>133</v>
      </c>
      <c r="K144" s="70" t="s">
        <v>134</v>
      </c>
      <c r="L144" s="70" t="s">
        <v>135</v>
      </c>
      <c r="M144" s="70" t="s">
        <v>136</v>
      </c>
      <c r="N144" s="70" t="s">
        <v>137</v>
      </c>
      <c r="O144" s="65" t="s">
        <v>138</v>
      </c>
      <c r="P144" s="70" t="s">
        <v>139</v>
      </c>
      <c r="Q144" s="70" t="s">
        <v>140</v>
      </c>
      <c r="R144" s="65" t="s">
        <v>122</v>
      </c>
      <c r="S144" s="65" t="s">
        <v>141</v>
      </c>
      <c r="U144" s="65" t="s">
        <v>162</v>
      </c>
      <c r="V144" s="65"/>
      <c r="W144" s="76" t="s">
        <v>142</v>
      </c>
      <c r="X144" s="76" t="s">
        <v>142</v>
      </c>
      <c r="Y144" s="76" t="s">
        <v>142</v>
      </c>
      <c r="Z144" s="65"/>
    </row>
    <row r="145" spans="1:36">
      <c r="A145" s="65" t="s">
        <v>143</v>
      </c>
      <c r="B145" s="65" t="s">
        <v>144</v>
      </c>
      <c r="C145" s="65" t="s">
        <v>145</v>
      </c>
      <c r="D145" s="70" t="s">
        <v>146</v>
      </c>
      <c r="E145" s="70" t="s">
        <v>147</v>
      </c>
      <c r="F145" s="70" t="s">
        <v>148</v>
      </c>
      <c r="G145" s="65" t="s">
        <v>149</v>
      </c>
      <c r="H145" s="65" t="s">
        <v>150</v>
      </c>
      <c r="I145" s="65" t="s">
        <v>151</v>
      </c>
      <c r="J145" s="70" t="s">
        <v>152</v>
      </c>
      <c r="K145" s="70" t="s">
        <v>153</v>
      </c>
      <c r="L145" s="70" t="s">
        <v>154</v>
      </c>
      <c r="M145" s="70" t="s">
        <v>155</v>
      </c>
      <c r="N145" s="70" t="s">
        <v>156</v>
      </c>
      <c r="O145" s="70" t="s">
        <v>157</v>
      </c>
      <c r="P145" s="70" t="s">
        <v>158</v>
      </c>
      <c r="Q145" s="70" t="s">
        <v>159</v>
      </c>
      <c r="R145" s="70" t="s">
        <v>160</v>
      </c>
      <c r="S145" s="70" t="s">
        <v>161</v>
      </c>
      <c r="W145" s="77" t="s">
        <v>163</v>
      </c>
      <c r="X145" s="77" t="s">
        <v>164</v>
      </c>
      <c r="Y145" s="76" t="s">
        <v>165</v>
      </c>
      <c r="Z145" s="70"/>
      <c r="AF145" s="79"/>
      <c r="AJ145" s="66"/>
    </row>
    <row r="146" spans="1:36">
      <c r="AJ146" s="66"/>
    </row>
    <row r="147" spans="1:36">
      <c r="AF147" s="79"/>
      <c r="AJ147" s="66"/>
    </row>
    <row r="148" spans="1:36">
      <c r="B148" s="66" t="s">
        <v>208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U148" s="80"/>
      <c r="W148" s="81"/>
      <c r="X148" s="81"/>
      <c r="Y148" s="81"/>
      <c r="Z148" s="79"/>
      <c r="AJ148" s="66"/>
    </row>
    <row r="149" spans="1:36">
      <c r="A149" s="65">
        <f>A136+1</f>
        <v>55</v>
      </c>
      <c r="B149" s="66" t="s">
        <v>195</v>
      </c>
      <c r="C149" s="79">
        <f>ROUND((C$153*D$2309)/100,0)</f>
        <v>36355</v>
      </c>
      <c r="D149" s="79">
        <f>C149-E149-SUM(G149:I149)-SUM(M149:N149)-R149-S149</f>
        <v>20475.999899999999</v>
      </c>
      <c r="E149" s="79">
        <v>678</v>
      </c>
      <c r="F149" s="79">
        <f>D149+E149</f>
        <v>21153.999899999999</v>
      </c>
      <c r="G149" s="79">
        <v>1092</v>
      </c>
      <c r="H149" s="79">
        <v>8253</v>
      </c>
      <c r="I149" s="79">
        <v>3339</v>
      </c>
      <c r="J149" s="79">
        <v>1501</v>
      </c>
      <c r="K149" s="79">
        <v>412.00004999999999</v>
      </c>
      <c r="L149" s="79">
        <v>75.000050000000002</v>
      </c>
      <c r="M149" s="79">
        <f>SUM(J149:L149)</f>
        <v>1988.0001000000002</v>
      </c>
      <c r="N149" s="79">
        <v>529</v>
      </c>
      <c r="O149" s="79">
        <f>SUM(F149:I149)+SUM(M149:N149)</f>
        <v>36354.999999999993</v>
      </c>
      <c r="P149" s="79">
        <v>0</v>
      </c>
      <c r="Q149" s="79">
        <v>0</v>
      </c>
      <c r="R149" s="79">
        <f>P149+Q149</f>
        <v>0</v>
      </c>
      <c r="S149" s="79">
        <v>0</v>
      </c>
      <c r="U149" s="80">
        <f>O149+R149+S149-C149</f>
        <v>0</v>
      </c>
      <c r="W149" s="81">
        <f>IF((O149+R149)=0," ",ROUND((O149/(O149+R149)),7))</f>
        <v>1</v>
      </c>
      <c r="X149" s="81">
        <f>IF((C149)=0," ",ROUND((O149/(C149)),7))</f>
        <v>1</v>
      </c>
      <c r="Y149" s="81">
        <f>IF((C149)=0," ",ROUND((S149/(C149)),7))</f>
        <v>0</v>
      </c>
      <c r="Z149" s="79"/>
      <c r="AF149" s="79"/>
      <c r="AJ149" s="66"/>
    </row>
    <row r="150" spans="1:36">
      <c r="A150" s="65">
        <f>A149+1</f>
        <v>56</v>
      </c>
      <c r="B150" s="66" t="s">
        <v>202</v>
      </c>
      <c r="C150" s="79">
        <f>ROUND((C$153*C$2309)/100,0)</f>
        <v>2097</v>
      </c>
      <c r="D150" s="79">
        <f>C150-E150-SUM(G150:I150)-SUM(M150:N150)-R150-S150</f>
        <v>1774.9999</v>
      </c>
      <c r="E150" s="79">
        <v>49</v>
      </c>
      <c r="F150" s="79">
        <f>D150+E150</f>
        <v>1823.9999</v>
      </c>
      <c r="G150" s="79">
        <v>140</v>
      </c>
      <c r="H150" s="79">
        <v>83</v>
      </c>
      <c r="I150" s="79">
        <v>1</v>
      </c>
      <c r="J150" s="79">
        <v>0</v>
      </c>
      <c r="K150" s="79">
        <v>5.0000000000000002E-5</v>
      </c>
      <c r="L150" s="79">
        <v>5.0000000000000002E-5</v>
      </c>
      <c r="M150" s="79">
        <f>SUM(J150:L150)</f>
        <v>1E-4</v>
      </c>
      <c r="N150" s="79">
        <v>49</v>
      </c>
      <c r="O150" s="79">
        <f>SUM(F150:I150)+SUM(M150:N150)</f>
        <v>2097</v>
      </c>
      <c r="P150" s="79">
        <v>0</v>
      </c>
      <c r="Q150" s="79">
        <v>0</v>
      </c>
      <c r="R150" s="79">
        <f>P150+Q150</f>
        <v>0</v>
      </c>
      <c r="S150" s="79">
        <v>0</v>
      </c>
      <c r="U150" s="80">
        <f>O150+R150+S150-C150</f>
        <v>0</v>
      </c>
      <c r="W150" s="81">
        <f>IF((O150+R150)=0," ",ROUND((O150/(O150+R150)),7))</f>
        <v>1</v>
      </c>
      <c r="X150" s="81">
        <f>IF((C150)=0," ",ROUND((O150/(C150)),7))</f>
        <v>1</v>
      </c>
      <c r="Y150" s="81">
        <f>IF((C150)=0," ",ROUND((S150/(C150)),7))</f>
        <v>0</v>
      </c>
      <c r="Z150" s="79"/>
      <c r="AF150" s="79"/>
      <c r="AJ150" s="66"/>
    </row>
    <row r="151" spans="1:36">
      <c r="A151" s="65">
        <f>A150+1</f>
        <v>57</v>
      </c>
      <c r="B151" s="66" t="s">
        <v>203</v>
      </c>
      <c r="C151" s="79">
        <f>ROUND((C$153*F$2309)/100,0)</f>
        <v>137498</v>
      </c>
      <c r="D151" s="79">
        <f>C151-E151-SUM(G151:I151)-SUM(M151:N151)-R151-S151</f>
        <v>83860.999899999995</v>
      </c>
      <c r="E151" s="79">
        <v>2779</v>
      </c>
      <c r="F151" s="79">
        <f>D151+E151</f>
        <v>86639.999899999995</v>
      </c>
      <c r="G151" s="79">
        <v>4474</v>
      </c>
      <c r="H151" s="79">
        <v>33585</v>
      </c>
      <c r="I151" s="79">
        <v>10335</v>
      </c>
      <c r="J151" s="79">
        <v>299</v>
      </c>
      <c r="K151" s="79">
        <v>5.0000000000000002E-5</v>
      </c>
      <c r="L151" s="79">
        <v>5.0000000000000002E-5</v>
      </c>
      <c r="M151" s="79">
        <f>SUM(J151:L151)</f>
        <v>299.00009999999997</v>
      </c>
      <c r="N151" s="79">
        <v>2165</v>
      </c>
      <c r="O151" s="79">
        <f>SUM(F151:I151)+SUM(M151:N151)</f>
        <v>137498</v>
      </c>
      <c r="P151" s="79">
        <v>0</v>
      </c>
      <c r="Q151" s="79">
        <v>0</v>
      </c>
      <c r="R151" s="79">
        <f>P151+Q151</f>
        <v>0</v>
      </c>
      <c r="S151" s="79">
        <v>0</v>
      </c>
      <c r="U151" s="80">
        <f>O151+R151+S151-C151</f>
        <v>0</v>
      </c>
      <c r="W151" s="81">
        <f>IF((O151+R151)=0," ",ROUND((O151/(O151+R151)),7))</f>
        <v>1</v>
      </c>
      <c r="X151" s="81">
        <f>IF((C151)=0," ",ROUND((O151/(C151)),7))</f>
        <v>1</v>
      </c>
      <c r="Y151" s="81">
        <f>IF((C151)=0," ",ROUND((S151/(C151)),7))</f>
        <v>0</v>
      </c>
      <c r="Z151" s="79"/>
      <c r="AF151" s="79"/>
      <c r="AJ151" s="66"/>
    </row>
    <row r="152" spans="1:36">
      <c r="A152" s="65">
        <f>A151+1</f>
        <v>58</v>
      </c>
      <c r="B152" s="66" t="s">
        <v>204</v>
      </c>
      <c r="C152" s="66">
        <f>C153-C149-C150-C151</f>
        <v>57097</v>
      </c>
      <c r="D152" s="79">
        <f>C152-E152-SUM(G152:I152)-SUM(M152:N152)-R152-S152</f>
        <v>48294.999900000003</v>
      </c>
      <c r="E152" s="79">
        <v>1341</v>
      </c>
      <c r="F152" s="79">
        <f>D152+E152</f>
        <v>49635.999900000003</v>
      </c>
      <c r="G152" s="79">
        <v>3814</v>
      </c>
      <c r="H152" s="79">
        <v>2271</v>
      </c>
      <c r="I152" s="79">
        <v>37</v>
      </c>
      <c r="J152" s="79">
        <v>0</v>
      </c>
      <c r="K152" s="79">
        <v>5.0000000000000002E-5</v>
      </c>
      <c r="L152" s="79">
        <v>5.0000000000000002E-5</v>
      </c>
      <c r="M152" s="79">
        <f>SUM(J152:L152)</f>
        <v>1E-4</v>
      </c>
      <c r="N152" s="79">
        <v>1339</v>
      </c>
      <c r="O152" s="79">
        <f>SUM(F152:I152)+SUM(M152:N152)</f>
        <v>57097</v>
      </c>
      <c r="P152" s="79">
        <v>0</v>
      </c>
      <c r="Q152" s="79">
        <v>0</v>
      </c>
      <c r="R152" s="79">
        <f>P152+Q152</f>
        <v>0</v>
      </c>
      <c r="S152" s="79">
        <v>0</v>
      </c>
      <c r="U152" s="80">
        <f>O152+R152+S152-C152</f>
        <v>0</v>
      </c>
      <c r="W152" s="81">
        <f>IF((O152+R152)=0," ",ROUND((O152/(O152+R152)),7))</f>
        <v>1</v>
      </c>
      <c r="X152" s="81">
        <f>IF((C152)=0," ",ROUND((O152/(C152)),7))</f>
        <v>1</v>
      </c>
      <c r="Y152" s="81">
        <f>IF((C152)=0," ",ROUND((S152/(C152)),7))</f>
        <v>0</v>
      </c>
      <c r="Z152" s="79"/>
      <c r="AF152" s="79"/>
      <c r="AJ152" s="66"/>
    </row>
    <row r="153" spans="1:36">
      <c r="A153" s="65">
        <f>A152+1</f>
        <v>59</v>
      </c>
      <c r="B153" s="66" t="s">
        <v>37</v>
      </c>
      <c r="C153" s="78">
        <f>233047+43-43</f>
        <v>233047</v>
      </c>
      <c r="D153" s="79">
        <f>SUM(D149:D152)</f>
        <v>154406.99959999998</v>
      </c>
      <c r="E153" s="79">
        <f t="shared" ref="E153:Q153" si="16">SUM(E149:E152)</f>
        <v>4847</v>
      </c>
      <c r="F153" s="79">
        <f t="shared" si="16"/>
        <v>159253.99959999998</v>
      </c>
      <c r="G153" s="79">
        <f t="shared" si="16"/>
        <v>9520</v>
      </c>
      <c r="H153" s="79">
        <f t="shared" si="16"/>
        <v>44192</v>
      </c>
      <c r="I153" s="79">
        <f t="shared" si="16"/>
        <v>13712</v>
      </c>
      <c r="J153" s="79">
        <f t="shared" si="16"/>
        <v>1800</v>
      </c>
      <c r="K153" s="79">
        <f t="shared" si="16"/>
        <v>412.00019999999995</v>
      </c>
      <c r="L153" s="79">
        <f t="shared" si="16"/>
        <v>75.000200000000007</v>
      </c>
      <c r="M153" s="79">
        <f t="shared" si="16"/>
        <v>2287.0004000000004</v>
      </c>
      <c r="N153" s="79">
        <f t="shared" si="16"/>
        <v>4082</v>
      </c>
      <c r="O153" s="79">
        <f t="shared" si="16"/>
        <v>233047</v>
      </c>
      <c r="P153" s="79">
        <f t="shared" si="16"/>
        <v>0</v>
      </c>
      <c r="Q153" s="79">
        <f t="shared" si="16"/>
        <v>0</v>
      </c>
      <c r="R153" s="79">
        <f>P153+Q153</f>
        <v>0</v>
      </c>
      <c r="S153" s="79">
        <f>SUM(S149:S152)</f>
        <v>0</v>
      </c>
      <c r="U153" s="80">
        <f>O153+R153+S153-C153</f>
        <v>0</v>
      </c>
      <c r="W153" s="81">
        <f>IF((O153+R153)=0," ",ROUND((O153/(O153+R153)),7))</f>
        <v>1</v>
      </c>
      <c r="X153" s="81">
        <f>IF((C153)=0," ",ROUND((O153/(C153)),7))</f>
        <v>1</v>
      </c>
      <c r="Y153" s="81">
        <f>IF((C153)=0," ",ROUND((S153/(C153)),7))</f>
        <v>0</v>
      </c>
      <c r="Z153" s="79"/>
      <c r="AJ153" s="66"/>
    </row>
    <row r="154" spans="1:36">
      <c r="Y154" s="65"/>
      <c r="AJ154" s="66"/>
    </row>
    <row r="155" spans="1:36">
      <c r="B155" s="86" t="s">
        <v>209</v>
      </c>
      <c r="W155" s="73"/>
      <c r="X155" s="73"/>
      <c r="Y155" s="73"/>
      <c r="AF155" s="79"/>
      <c r="AJ155" s="66"/>
    </row>
    <row r="156" spans="1:36">
      <c r="A156" s="65">
        <f>A153+1</f>
        <v>60</v>
      </c>
      <c r="B156" s="66" t="s">
        <v>210</v>
      </c>
      <c r="C156" s="79">
        <f>O156+R156+S156</f>
        <v>0</v>
      </c>
      <c r="D156" s="78">
        <v>0</v>
      </c>
      <c r="E156" s="78">
        <v>0</v>
      </c>
      <c r="F156" s="79">
        <f>D156+E156</f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f>SUM(J156:L156)</f>
        <v>0</v>
      </c>
      <c r="N156" s="79">
        <v>0</v>
      </c>
      <c r="O156" s="79">
        <f>SUM(F156:I156)+SUM(M156:N156)</f>
        <v>0</v>
      </c>
      <c r="P156" s="79">
        <v>0</v>
      </c>
      <c r="Q156" s="79">
        <v>0</v>
      </c>
      <c r="R156" s="79">
        <f>P156+Q156</f>
        <v>0</v>
      </c>
      <c r="S156" s="79">
        <v>0</v>
      </c>
      <c r="U156" s="80">
        <f>O156+R156+S156-C156</f>
        <v>0</v>
      </c>
      <c r="W156" s="81" t="str">
        <f>IF((O156+R156)=0," ",ROUND((O156/(O156+R156)),7))</f>
        <v xml:space="preserve"> </v>
      </c>
      <c r="X156" s="81" t="str">
        <f>IF((C156)=0," ",ROUND((O156/(C156)),7))</f>
        <v xml:space="preserve"> </v>
      </c>
      <c r="Y156" s="81" t="str">
        <f>IF((C156)=0," ",ROUND((S156/(C156)),7))</f>
        <v xml:space="preserve"> </v>
      </c>
      <c r="Z156" s="79"/>
      <c r="AF156" s="79"/>
      <c r="AJ156" s="66"/>
    </row>
    <row r="157" spans="1:36">
      <c r="A157" s="65">
        <f>A156+1</f>
        <v>61</v>
      </c>
      <c r="B157" s="66" t="s">
        <v>211</v>
      </c>
      <c r="C157" s="78">
        <f>53555+44950</f>
        <v>98505</v>
      </c>
      <c r="D157" s="79">
        <f>C157-E157-SUM(G157:I157)-SUM(M157:N157)-R157-S157</f>
        <v>85322</v>
      </c>
      <c r="E157" s="79">
        <v>2370</v>
      </c>
      <c r="F157" s="79">
        <f>D157+E157</f>
        <v>87692</v>
      </c>
      <c r="G157" s="79">
        <v>6737</v>
      </c>
      <c r="H157" s="79">
        <v>4011</v>
      </c>
      <c r="I157" s="79">
        <v>65</v>
      </c>
      <c r="J157" s="79">
        <v>0</v>
      </c>
      <c r="K157" s="79">
        <v>0</v>
      </c>
      <c r="L157" s="79">
        <v>0</v>
      </c>
      <c r="M157" s="79">
        <f>SUM(J157:L157)</f>
        <v>0</v>
      </c>
      <c r="N157" s="79">
        <v>0</v>
      </c>
      <c r="O157" s="79">
        <f>SUM(F157:I157)+SUM(M157:N157)</f>
        <v>98505</v>
      </c>
      <c r="P157" s="79">
        <v>0</v>
      </c>
      <c r="Q157" s="79">
        <v>0</v>
      </c>
      <c r="R157" s="79">
        <f>P157+Q157</f>
        <v>0</v>
      </c>
      <c r="S157" s="79">
        <v>0</v>
      </c>
      <c r="U157" s="80">
        <f>O157+R157+S157-C157</f>
        <v>0</v>
      </c>
      <c r="W157" s="81">
        <f>IF((O157+R157)=0," ",ROUND((O157/(O157+R157)),7))</f>
        <v>1</v>
      </c>
      <c r="X157" s="81">
        <f>IF((C157)=0," ",ROUND((O157/(C157)),7))</f>
        <v>1</v>
      </c>
      <c r="Y157" s="81">
        <f>IF((C157)=0," ",ROUND((S157/(C157)),7))</f>
        <v>0</v>
      </c>
      <c r="Z157" s="79"/>
      <c r="AF157" s="79"/>
      <c r="AJ157" s="66"/>
    </row>
    <row r="158" spans="1:36">
      <c r="A158" s="65">
        <f>A157+1</f>
        <v>62</v>
      </c>
      <c r="B158" s="66" t="s">
        <v>212</v>
      </c>
      <c r="C158" s="79">
        <f>O158+R158+S158</f>
        <v>98505</v>
      </c>
      <c r="D158" s="79">
        <f t="shared" ref="D158:Q158" si="17">SUM(D156:D157)</f>
        <v>85322</v>
      </c>
      <c r="E158" s="79">
        <f t="shared" si="17"/>
        <v>2370</v>
      </c>
      <c r="F158" s="79">
        <f t="shared" si="17"/>
        <v>87692</v>
      </c>
      <c r="G158" s="79">
        <f t="shared" si="17"/>
        <v>6737</v>
      </c>
      <c r="H158" s="79">
        <f t="shared" si="17"/>
        <v>4011</v>
      </c>
      <c r="I158" s="79">
        <f t="shared" si="17"/>
        <v>65</v>
      </c>
      <c r="J158" s="79">
        <f t="shared" si="17"/>
        <v>0</v>
      </c>
      <c r="K158" s="79">
        <f t="shared" si="17"/>
        <v>0</v>
      </c>
      <c r="L158" s="79">
        <f t="shared" si="17"/>
        <v>0</v>
      </c>
      <c r="M158" s="79">
        <f t="shared" si="17"/>
        <v>0</v>
      </c>
      <c r="N158" s="79">
        <f t="shared" si="17"/>
        <v>0</v>
      </c>
      <c r="O158" s="79">
        <f t="shared" si="17"/>
        <v>98505</v>
      </c>
      <c r="P158" s="79">
        <f t="shared" si="17"/>
        <v>0</v>
      </c>
      <c r="Q158" s="79">
        <f t="shared" si="17"/>
        <v>0</v>
      </c>
      <c r="R158" s="79">
        <f>P158+Q158</f>
        <v>0</v>
      </c>
      <c r="S158" s="79">
        <f>SUM(S156:S157)</f>
        <v>0</v>
      </c>
      <c r="U158" s="80">
        <f>O158+R158+S158-C158</f>
        <v>0</v>
      </c>
      <c r="W158" s="81">
        <f>IF((O158+R158)=0," ",ROUND((O158/(O158+R158)),7))</f>
        <v>1</v>
      </c>
      <c r="X158" s="81">
        <f>IF((C158)=0," ",ROUND((O158/(C158)),7))</f>
        <v>1</v>
      </c>
      <c r="Y158" s="81">
        <f>IF((C158)=0," ",ROUND((S158/(C158)),7))</f>
        <v>0</v>
      </c>
      <c r="Z158" s="79"/>
      <c r="AJ158" s="66"/>
    </row>
    <row r="159" spans="1:36">
      <c r="AJ159" s="66"/>
    </row>
    <row r="160" spans="1:36">
      <c r="A160" s="65">
        <f>A158+1</f>
        <v>63</v>
      </c>
      <c r="B160" s="66" t="s">
        <v>213</v>
      </c>
      <c r="C160" s="79">
        <f>O160+R160+S160</f>
        <v>56774</v>
      </c>
      <c r="D160" s="78">
        <v>37902</v>
      </c>
      <c r="E160" s="78">
        <v>1371</v>
      </c>
      <c r="F160" s="79">
        <f>D160+E160</f>
        <v>39273</v>
      </c>
      <c r="G160" s="78">
        <v>8382</v>
      </c>
      <c r="H160" s="78">
        <v>7956</v>
      </c>
      <c r="I160" s="78">
        <v>636</v>
      </c>
      <c r="J160" s="78">
        <v>48</v>
      </c>
      <c r="K160" s="78">
        <v>5</v>
      </c>
      <c r="L160" s="78">
        <v>2</v>
      </c>
      <c r="M160" s="79">
        <f>SUM(J160:L160)</f>
        <v>55</v>
      </c>
      <c r="N160" s="78">
        <v>468</v>
      </c>
      <c r="O160" s="79">
        <f>SUM(F160:I160)+SUM(M160:N160)</f>
        <v>56770</v>
      </c>
      <c r="P160" s="78">
        <v>2</v>
      </c>
      <c r="Q160" s="78">
        <v>2</v>
      </c>
      <c r="R160" s="79">
        <f t="shared" ref="R160:R166" si="18">P160+Q160</f>
        <v>4</v>
      </c>
      <c r="S160" s="79">
        <v>0</v>
      </c>
      <c r="U160" s="80">
        <f t="shared" ref="U160:U166" si="19">O160+R160+S160-C160</f>
        <v>0</v>
      </c>
      <c r="W160" s="81">
        <f>IF((O160+R160)=0," ",ROUND((O160/(O160+R160)),7))</f>
        <v>0.99992950000000003</v>
      </c>
      <c r="X160" s="81">
        <f>IF((C160)=0," ",ROUND((O160/(C160)),7))</f>
        <v>0.99992950000000003</v>
      </c>
      <c r="Y160" s="81">
        <f>IF((C160)=0," ",ROUND((S160/(C160)),7))</f>
        <v>0</v>
      </c>
      <c r="Z160" s="78"/>
    </row>
    <row r="161" spans="1:36"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U161" s="80"/>
      <c r="W161" s="81"/>
      <c r="X161" s="81"/>
      <c r="Y161" s="81"/>
      <c r="Z161" s="79"/>
      <c r="AJ161" s="66"/>
    </row>
    <row r="162" spans="1:36">
      <c r="A162" s="65">
        <f>A160+1</f>
        <v>64</v>
      </c>
      <c r="B162" s="66" t="s">
        <v>214</v>
      </c>
      <c r="C162" s="79">
        <f>O162+R162+S162</f>
        <v>62208</v>
      </c>
      <c r="D162" s="79">
        <v>0</v>
      </c>
      <c r="E162" s="79">
        <v>0</v>
      </c>
      <c r="F162" s="79">
        <f>D162+E162</f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f>SUM(J162:K162)</f>
        <v>0</v>
      </c>
      <c r="N162" s="78">
        <v>62208</v>
      </c>
      <c r="O162" s="79">
        <f>SUM(F162:I162)+SUM(M162:N162)</f>
        <v>62208</v>
      </c>
      <c r="P162" s="79">
        <v>0</v>
      </c>
      <c r="Q162" s="79">
        <v>0</v>
      </c>
      <c r="R162" s="79">
        <f t="shared" si="18"/>
        <v>0</v>
      </c>
      <c r="S162" s="79">
        <v>0</v>
      </c>
      <c r="U162" s="80">
        <f t="shared" si="19"/>
        <v>0</v>
      </c>
      <c r="W162" s="81">
        <f>IF((O162+R162)=0," ",ROUND((O162/(O162+R162)),7))</f>
        <v>1</v>
      </c>
      <c r="X162" s="81">
        <f>IF((C162)=0," ",ROUND((O162/(C162)),7))</f>
        <v>1</v>
      </c>
      <c r="Y162" s="81">
        <f>IF((C162)=0," ",ROUND((S162/(C162)),7))</f>
        <v>0</v>
      </c>
      <c r="Z162" s="79"/>
      <c r="AJ162" s="66"/>
    </row>
    <row r="163" spans="1:36"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U163" s="80"/>
      <c r="W163" s="81"/>
      <c r="X163" s="81"/>
      <c r="Y163" s="81"/>
      <c r="Z163" s="79"/>
      <c r="AJ163" s="66"/>
    </row>
    <row r="164" spans="1:36">
      <c r="A164" s="65">
        <f>A162+1</f>
        <v>65</v>
      </c>
      <c r="B164" s="66" t="s">
        <v>215</v>
      </c>
      <c r="C164" s="79">
        <f>O164+R164+S164</f>
        <v>1034325</v>
      </c>
      <c r="D164" s="79">
        <f>D165+D166</f>
        <v>633729.98809999996</v>
      </c>
      <c r="E164" s="79">
        <f>E165+E166</f>
        <v>19108</v>
      </c>
      <c r="F164" s="79">
        <f t="shared" ref="F164:N164" si="20">F165+F166</f>
        <v>652837.98809999996</v>
      </c>
      <c r="G164" s="79">
        <f t="shared" si="20"/>
        <v>45673</v>
      </c>
      <c r="H164" s="79">
        <f t="shared" si="20"/>
        <v>166753</v>
      </c>
      <c r="I164" s="79">
        <f t="shared" si="20"/>
        <v>60651</v>
      </c>
      <c r="J164" s="79">
        <f t="shared" si="20"/>
        <v>25169</v>
      </c>
      <c r="K164" s="79">
        <f t="shared" si="20"/>
        <v>3522.0059500000011</v>
      </c>
      <c r="L164" s="79">
        <f t="shared" si="20"/>
        <v>943.00594999999987</v>
      </c>
      <c r="M164" s="79">
        <f t="shared" si="20"/>
        <v>29634.011900000005</v>
      </c>
      <c r="N164" s="79">
        <f t="shared" si="20"/>
        <v>74280</v>
      </c>
      <c r="O164" s="79">
        <f>SUM(F164:I164)+SUM(M164:N164)</f>
        <v>1029829</v>
      </c>
      <c r="P164" s="79">
        <f>P165+P166</f>
        <v>4119</v>
      </c>
      <c r="Q164" s="79">
        <f>Q165+Q166</f>
        <v>377</v>
      </c>
      <c r="R164" s="79">
        <f t="shared" si="18"/>
        <v>4496</v>
      </c>
      <c r="S164" s="79">
        <f>S165+S166</f>
        <v>0</v>
      </c>
      <c r="U164" s="80">
        <f t="shared" si="19"/>
        <v>0</v>
      </c>
      <c r="W164" s="81">
        <f>IF((O164+R164)=0," ",ROUND((O164/(O164+R164)),7))</f>
        <v>0.99565320000000002</v>
      </c>
      <c r="X164" s="81">
        <f>IF((C164)=0," ",ROUND((O164/(C164)),7))</f>
        <v>0.99565320000000002</v>
      </c>
      <c r="Y164" s="81">
        <f>IF((C164)=0," ",ROUND((S164/(C164)),7))</f>
        <v>0</v>
      </c>
      <c r="Z164" s="79"/>
      <c r="AJ164" s="66"/>
    </row>
    <row r="165" spans="1:36">
      <c r="A165" s="65">
        <f>A164+1</f>
        <v>66</v>
      </c>
      <c r="B165" s="66" t="s">
        <v>216</v>
      </c>
      <c r="C165" s="79">
        <f>O165+R165+S165</f>
        <v>648054.00000000012</v>
      </c>
      <c r="D165" s="79">
        <f t="shared" ref="D165:N165" si="21">D96+D102+D108+D111+D118+D120+D125+D127+D132+D134+D149+D151+D113</f>
        <v>367749.9927</v>
      </c>
      <c r="E165" s="79">
        <f t="shared" si="21"/>
        <v>11403</v>
      </c>
      <c r="F165" s="79">
        <f t="shared" si="21"/>
        <v>379152.9927</v>
      </c>
      <c r="G165" s="79">
        <f t="shared" si="21"/>
        <v>19282</v>
      </c>
      <c r="H165" s="79">
        <f t="shared" si="21"/>
        <v>148069</v>
      </c>
      <c r="I165" s="79">
        <f t="shared" si="21"/>
        <v>59838</v>
      </c>
      <c r="J165" s="79">
        <f t="shared" si="21"/>
        <v>25117</v>
      </c>
      <c r="K165" s="79">
        <f t="shared" si="21"/>
        <v>3517.003650000001</v>
      </c>
      <c r="L165" s="79">
        <f t="shared" si="21"/>
        <v>941.00364999999988</v>
      </c>
      <c r="M165" s="79">
        <f t="shared" si="21"/>
        <v>29575.007300000005</v>
      </c>
      <c r="N165" s="79">
        <f t="shared" si="21"/>
        <v>7645</v>
      </c>
      <c r="O165" s="79">
        <f>SUM(F165:I165)+SUM(M165:N165)</f>
        <v>643562.00000000012</v>
      </c>
      <c r="P165" s="79">
        <f>P96+P102+P108+P111+P118+P120+P125+P127+P132+P134+P149+P151+P113</f>
        <v>4117</v>
      </c>
      <c r="Q165" s="79">
        <f>Q96+Q102+Q108+Q111+Q118+Q120+Q125+Q127+Q132+Q134+Q149+Q151+Q113</f>
        <v>375</v>
      </c>
      <c r="R165" s="79">
        <f t="shared" si="18"/>
        <v>4492</v>
      </c>
      <c r="S165" s="79">
        <f>S96+S102+S108+S111+S118+S120+S125+S127+S132+S134+S149+S151+S113</f>
        <v>0</v>
      </c>
      <c r="U165" s="80">
        <f t="shared" si="19"/>
        <v>0</v>
      </c>
      <c r="W165" s="81">
        <f>IF((O165+R165)=0," ",ROUND((O165/(O165+R165)),7))</f>
        <v>0.99306850000000002</v>
      </c>
      <c r="X165" s="81">
        <f>IF((C165)=0," ",ROUND((O165/(C165)),7))</f>
        <v>0.99306850000000002</v>
      </c>
      <c r="Y165" s="81">
        <f>IF((C165)=0," ",ROUND((S165/(C165)),7))</f>
        <v>0</v>
      </c>
      <c r="Z165" s="79"/>
    </row>
    <row r="166" spans="1:36">
      <c r="A166" s="65">
        <f>A165+1</f>
        <v>67</v>
      </c>
      <c r="B166" s="66" t="s">
        <v>217</v>
      </c>
      <c r="C166" s="79">
        <f>O166+R166+S166</f>
        <v>386270.99999999994</v>
      </c>
      <c r="D166" s="79">
        <f t="shared" ref="D166:N166" si="22">D112+D119+D121+D126+D128+D133+D135+D150+D152+D158+D160+D162+D114</f>
        <v>265979.99539999996</v>
      </c>
      <c r="E166" s="79">
        <f t="shared" si="22"/>
        <v>7705</v>
      </c>
      <c r="F166" s="79">
        <f t="shared" si="22"/>
        <v>273684.99539999996</v>
      </c>
      <c r="G166" s="79">
        <f t="shared" si="22"/>
        <v>26391</v>
      </c>
      <c r="H166" s="79">
        <f t="shared" si="22"/>
        <v>18684</v>
      </c>
      <c r="I166" s="79">
        <f t="shared" si="22"/>
        <v>813</v>
      </c>
      <c r="J166" s="79">
        <f t="shared" si="22"/>
        <v>52</v>
      </c>
      <c r="K166" s="79">
        <f t="shared" si="22"/>
        <v>5.0023</v>
      </c>
      <c r="L166" s="79">
        <f t="shared" si="22"/>
        <v>2.0023</v>
      </c>
      <c r="M166" s="79">
        <f t="shared" si="22"/>
        <v>59.004599999999996</v>
      </c>
      <c r="N166" s="79">
        <f t="shared" si="22"/>
        <v>66635</v>
      </c>
      <c r="O166" s="79">
        <f>SUM(F166:I166)+SUM(M166:N166)</f>
        <v>386266.99999999994</v>
      </c>
      <c r="P166" s="79">
        <f>P112+P119+P121+P126+P128+P133+P135+P150+P152+P158+P160+P162+P114</f>
        <v>2</v>
      </c>
      <c r="Q166" s="79">
        <f>Q112+Q119+Q121+Q126+Q128+Q133+Q135+Q150+Q152+Q158+Q160+Q162+Q114</f>
        <v>2</v>
      </c>
      <c r="R166" s="79">
        <f t="shared" si="18"/>
        <v>4</v>
      </c>
      <c r="S166" s="79">
        <f>S112+S119+S121+S126+S128+S133+S135+S150+S152+S158+S160+S162+S114</f>
        <v>0</v>
      </c>
      <c r="U166" s="80">
        <f t="shared" si="19"/>
        <v>0</v>
      </c>
      <c r="W166" s="81">
        <f>IF((O166+R166)=0," ",ROUND((O166/(O166+R166)),7))</f>
        <v>0.99998960000000003</v>
      </c>
      <c r="X166" s="81">
        <f>IF((C166)=0," ",ROUND((O166/(C166)),7))</f>
        <v>0.99998960000000003</v>
      </c>
      <c r="Y166" s="81">
        <f>IF((C166)=0," ",ROUND((S166/(C166)),7))</f>
        <v>0</v>
      </c>
      <c r="Z166" s="79"/>
      <c r="AJ166" s="66"/>
    </row>
    <row r="167" spans="1:36"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U167" s="80"/>
      <c r="W167" s="81"/>
      <c r="X167" s="81"/>
      <c r="Y167" s="81"/>
      <c r="Z167" s="79"/>
      <c r="AJ167" s="66"/>
    </row>
    <row r="168" spans="1:36">
      <c r="B168" s="66" t="s">
        <v>974</v>
      </c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U168" s="80"/>
      <c r="W168" s="81"/>
      <c r="X168" s="81"/>
      <c r="Y168" s="81"/>
      <c r="Z168" s="79"/>
      <c r="AJ168" s="66"/>
    </row>
    <row r="169" spans="1:36">
      <c r="B169" s="66" t="s">
        <v>201</v>
      </c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U169" s="80"/>
      <c r="W169" s="81"/>
      <c r="X169" s="81"/>
      <c r="Y169" s="81"/>
      <c r="Z169" s="79"/>
      <c r="AJ169" s="66"/>
    </row>
    <row r="170" spans="1:36">
      <c r="B170" s="66" t="s">
        <v>975</v>
      </c>
      <c r="C170" s="79">
        <f>C111</f>
        <v>36079</v>
      </c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U170" s="80"/>
      <c r="W170" s="81"/>
      <c r="X170" s="81"/>
      <c r="Y170" s="81"/>
      <c r="Z170" s="79"/>
      <c r="AJ170" s="66"/>
    </row>
    <row r="171" spans="1:36">
      <c r="B171" s="66" t="s">
        <v>972</v>
      </c>
      <c r="C171" s="79">
        <f>C112</f>
        <v>67516</v>
      </c>
      <c r="D171" s="79"/>
      <c r="E171" s="79"/>
      <c r="F171" s="156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U171" s="80"/>
      <c r="W171" s="81"/>
      <c r="X171" s="81"/>
      <c r="Y171" s="81"/>
      <c r="Z171" s="79"/>
      <c r="AJ171" s="66"/>
    </row>
    <row r="172" spans="1:36">
      <c r="B172" s="66" t="s">
        <v>976</v>
      </c>
      <c r="C172" s="66">
        <f>C113</f>
        <v>10081</v>
      </c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U172" s="80"/>
      <c r="W172" s="81"/>
      <c r="X172" s="81"/>
      <c r="Y172" s="81"/>
      <c r="Z172" s="79"/>
      <c r="AJ172" s="66"/>
    </row>
    <row r="173" spans="1:36">
      <c r="B173" s="66" t="s">
        <v>973</v>
      </c>
      <c r="C173" s="79">
        <f>C114</f>
        <v>18969</v>
      </c>
      <c r="D173" s="79"/>
      <c r="E173" s="79"/>
      <c r="F173" s="156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U173" s="80"/>
      <c r="W173" s="81"/>
      <c r="X173" s="81"/>
      <c r="Y173" s="81"/>
      <c r="Z173" s="79"/>
      <c r="AJ173" s="66"/>
    </row>
    <row r="174" spans="1:36">
      <c r="B174" s="66" t="s">
        <v>19</v>
      </c>
      <c r="C174" s="155">
        <f>C115</f>
        <v>132645</v>
      </c>
      <c r="D174" s="79"/>
      <c r="E174" s="79"/>
      <c r="F174" s="79">
        <f>C171+C173</f>
        <v>86485</v>
      </c>
      <c r="G174" s="156">
        <f>F174/C174</f>
        <v>0.65200346790304953</v>
      </c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U174" s="80"/>
      <c r="W174" s="81"/>
      <c r="X174" s="81"/>
      <c r="Y174" s="81"/>
      <c r="Z174" s="79"/>
      <c r="AJ174" s="66"/>
    </row>
    <row r="175" spans="1:36">
      <c r="C175" s="79">
        <f>SUM(C170:C173)-C174</f>
        <v>0</v>
      </c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U175" s="80"/>
      <c r="W175" s="81"/>
      <c r="X175" s="81"/>
      <c r="Y175" s="81"/>
      <c r="Z175" s="79"/>
      <c r="AJ175" s="66"/>
    </row>
    <row r="176" spans="1:36">
      <c r="B176" s="66" t="s">
        <v>205</v>
      </c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U176" s="80"/>
      <c r="W176" s="81"/>
      <c r="X176" s="81"/>
      <c r="Y176" s="81"/>
      <c r="Z176" s="79"/>
      <c r="AJ176" s="66"/>
    </row>
    <row r="177" spans="2:36">
      <c r="B177" s="66" t="s">
        <v>975</v>
      </c>
      <c r="C177" s="79">
        <f>C118</f>
        <v>87925</v>
      </c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U177" s="80"/>
      <c r="W177" s="81"/>
      <c r="X177" s="81"/>
      <c r="Y177" s="81"/>
      <c r="Z177" s="79"/>
      <c r="AJ177" s="66"/>
    </row>
    <row r="178" spans="2:36">
      <c r="B178" s="66" t="s">
        <v>972</v>
      </c>
      <c r="C178" s="79">
        <f>C119</f>
        <v>13428</v>
      </c>
      <c r="D178" s="79"/>
      <c r="E178" s="79"/>
      <c r="F178" s="156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U178" s="80"/>
      <c r="W178" s="81"/>
      <c r="X178" s="81"/>
      <c r="Y178" s="81"/>
      <c r="Z178" s="79"/>
      <c r="AJ178" s="66"/>
    </row>
    <row r="179" spans="2:36">
      <c r="B179" s="66" t="s">
        <v>976</v>
      </c>
      <c r="C179" s="79">
        <f>C120</f>
        <v>24144</v>
      </c>
      <c r="D179" s="79"/>
      <c r="E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U179" s="80"/>
      <c r="W179" s="81"/>
      <c r="X179" s="81"/>
      <c r="Y179" s="81"/>
      <c r="Z179" s="79"/>
      <c r="AJ179" s="66"/>
    </row>
    <row r="180" spans="2:36">
      <c r="B180" s="66" t="s">
        <v>973</v>
      </c>
      <c r="C180" s="79">
        <f>C121</f>
        <v>3614</v>
      </c>
      <c r="D180" s="79"/>
      <c r="E180" s="79"/>
      <c r="F180" s="156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U180" s="80"/>
      <c r="W180" s="81"/>
      <c r="X180" s="81"/>
      <c r="Y180" s="81"/>
      <c r="Z180" s="79"/>
      <c r="AJ180" s="66"/>
    </row>
    <row r="181" spans="2:36">
      <c r="B181" s="66" t="s">
        <v>19</v>
      </c>
      <c r="C181" s="155">
        <f>C122</f>
        <v>129111</v>
      </c>
      <c r="D181" s="79"/>
      <c r="E181" s="79"/>
      <c r="F181" s="79">
        <f>C180+C178</f>
        <v>17042</v>
      </c>
      <c r="G181" s="156">
        <f>F181/C181</f>
        <v>0.13199495008171264</v>
      </c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U181" s="80"/>
      <c r="W181" s="81"/>
      <c r="X181" s="81"/>
      <c r="Y181" s="81"/>
      <c r="Z181" s="79"/>
      <c r="AJ181" s="66"/>
    </row>
    <row r="182" spans="2:36">
      <c r="C182" s="79">
        <f>SUM(C177:C180)-C181</f>
        <v>0</v>
      </c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U182" s="80"/>
      <c r="W182" s="81"/>
      <c r="X182" s="81"/>
      <c r="Y182" s="81"/>
      <c r="Z182" s="79"/>
      <c r="AJ182" s="66"/>
    </row>
    <row r="183" spans="2:36"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U183" s="80"/>
      <c r="W183" s="81"/>
      <c r="X183" s="81"/>
      <c r="Y183" s="81"/>
      <c r="Z183" s="79"/>
      <c r="AJ183" s="66"/>
    </row>
    <row r="184" spans="2:36">
      <c r="B184" s="66" t="s">
        <v>206</v>
      </c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U184" s="80"/>
      <c r="W184" s="81"/>
      <c r="X184" s="81"/>
      <c r="Y184" s="81"/>
      <c r="Z184" s="79"/>
      <c r="AJ184" s="66"/>
    </row>
    <row r="185" spans="2:36">
      <c r="B185" s="66" t="s">
        <v>975</v>
      </c>
      <c r="C185" s="79">
        <f>C125</f>
        <v>706</v>
      </c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U185" s="80"/>
      <c r="W185" s="81"/>
      <c r="X185" s="81"/>
      <c r="Y185" s="81"/>
      <c r="Z185" s="79"/>
      <c r="AJ185" s="66"/>
    </row>
    <row r="186" spans="2:36">
      <c r="B186" s="66" t="s">
        <v>972</v>
      </c>
      <c r="C186" s="79">
        <f>C126</f>
        <v>35</v>
      </c>
      <c r="D186" s="79"/>
      <c r="E186" s="79"/>
      <c r="F186" s="156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U186" s="80"/>
      <c r="W186" s="81"/>
      <c r="X186" s="81"/>
      <c r="Y186" s="81"/>
      <c r="Z186" s="79"/>
      <c r="AJ186" s="66"/>
    </row>
    <row r="187" spans="2:36">
      <c r="B187" s="66" t="s">
        <v>976</v>
      </c>
      <c r="C187" s="79">
        <f>C127</f>
        <v>532</v>
      </c>
      <c r="D187" s="79"/>
      <c r="E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U187" s="80"/>
      <c r="W187" s="81"/>
      <c r="X187" s="81"/>
      <c r="Y187" s="81"/>
      <c r="Z187" s="79"/>
      <c r="AJ187" s="66"/>
    </row>
    <row r="188" spans="2:36">
      <c r="B188" s="66" t="s">
        <v>973</v>
      </c>
      <c r="C188" s="79">
        <f>C128</f>
        <v>16</v>
      </c>
      <c r="D188" s="79"/>
      <c r="E188" s="79"/>
      <c r="F188" s="156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U188" s="80"/>
      <c r="W188" s="81"/>
      <c r="X188" s="81"/>
      <c r="Y188" s="81"/>
      <c r="Z188" s="79"/>
      <c r="AJ188" s="66"/>
    </row>
    <row r="189" spans="2:36">
      <c r="B189" s="66" t="s">
        <v>19</v>
      </c>
      <c r="C189" s="155">
        <f>C129</f>
        <v>1289</v>
      </c>
      <c r="D189" s="79"/>
      <c r="E189" s="79"/>
      <c r="F189" s="79">
        <f>C188+C186</f>
        <v>51</v>
      </c>
      <c r="G189" s="156">
        <f>F189/C189</f>
        <v>3.9565554693560899E-2</v>
      </c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U189" s="80"/>
      <c r="W189" s="81"/>
      <c r="X189" s="81"/>
      <c r="Y189" s="81"/>
      <c r="Z189" s="79"/>
      <c r="AJ189" s="66"/>
    </row>
    <row r="190" spans="2:36">
      <c r="C190" s="79">
        <f>SUM(C185:C188)-C189</f>
        <v>0</v>
      </c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U190" s="80"/>
      <c r="W190" s="81"/>
      <c r="X190" s="81"/>
      <c r="Y190" s="81"/>
      <c r="Z190" s="79"/>
      <c r="AJ190" s="66"/>
    </row>
    <row r="191" spans="2:36">
      <c r="B191" s="66" t="s">
        <v>207</v>
      </c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U191" s="80"/>
      <c r="W191" s="81"/>
      <c r="X191" s="81"/>
      <c r="Y191" s="81"/>
      <c r="Z191" s="79"/>
      <c r="AJ191" s="66"/>
    </row>
    <row r="192" spans="2:36">
      <c r="B192" s="66" t="s">
        <v>975</v>
      </c>
      <c r="C192" s="79">
        <f>C132</f>
        <v>85044</v>
      </c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U192" s="80"/>
      <c r="W192" s="81"/>
      <c r="X192" s="81"/>
      <c r="Y192" s="81"/>
      <c r="Z192" s="79"/>
      <c r="AJ192" s="66"/>
    </row>
    <row r="193" spans="1:37">
      <c r="B193" s="66" t="s">
        <v>972</v>
      </c>
      <c r="C193" s="79">
        <f>C133</f>
        <v>4258</v>
      </c>
      <c r="D193" s="79"/>
      <c r="E193" s="79"/>
      <c r="F193" s="156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U193" s="80"/>
      <c r="W193" s="81"/>
      <c r="X193" s="81"/>
      <c r="Y193" s="81"/>
      <c r="Z193" s="79"/>
      <c r="AJ193" s="66"/>
    </row>
    <row r="194" spans="1:37">
      <c r="B194" s="66" t="s">
        <v>976</v>
      </c>
      <c r="C194" s="79">
        <f>C134</f>
        <v>34193</v>
      </c>
      <c r="D194" s="79"/>
      <c r="E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U194" s="80"/>
      <c r="W194" s="81"/>
      <c r="X194" s="81"/>
      <c r="Y194" s="81"/>
      <c r="Z194" s="79"/>
      <c r="AJ194" s="66"/>
    </row>
    <row r="195" spans="1:37">
      <c r="B195" s="66" t="s">
        <v>973</v>
      </c>
      <c r="C195" s="79">
        <f>C135</f>
        <v>1754</v>
      </c>
      <c r="D195" s="79"/>
      <c r="E195" s="79"/>
      <c r="F195" s="156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U195" s="80"/>
      <c r="W195" s="81"/>
      <c r="X195" s="81"/>
      <c r="Y195" s="81"/>
      <c r="Z195" s="79"/>
      <c r="AJ195" s="66"/>
    </row>
    <row r="196" spans="1:37">
      <c r="B196" s="66" t="s">
        <v>19</v>
      </c>
      <c r="C196" s="155">
        <f>C136</f>
        <v>125249</v>
      </c>
      <c r="D196" s="79"/>
      <c r="E196" s="79"/>
      <c r="F196" s="79">
        <f>C195+C193</f>
        <v>6012</v>
      </c>
      <c r="G196" s="156">
        <f>F196/C196</f>
        <v>4.8000383236592704E-2</v>
      </c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U196" s="80"/>
      <c r="W196" s="81"/>
      <c r="X196" s="81"/>
      <c r="Y196" s="81"/>
      <c r="Z196" s="79"/>
      <c r="AJ196" s="66"/>
    </row>
    <row r="197" spans="1:37">
      <c r="C197" s="66">
        <f>SUM(C192:C195)-C196</f>
        <v>0</v>
      </c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U197" s="80"/>
      <c r="W197" s="81" t="str">
        <f>IF((P197+Q197)=0," ",ROUND((P197/(P197+Q197)),74))</f>
        <v xml:space="preserve"> </v>
      </c>
      <c r="X197" s="81">
        <f>IF((C196)=0," ",ROUND((P197/(C196)),74))</f>
        <v>0</v>
      </c>
      <c r="Y197" s="81">
        <f>IF((C196)=0," ",ROUND((R197/(C196)),7))</f>
        <v>0</v>
      </c>
      <c r="Z197" s="79"/>
    </row>
    <row r="198" spans="1:37" hidden="1">
      <c r="B198" s="65" t="s">
        <v>218</v>
      </c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U198" s="80"/>
      <c r="W198" s="81" t="str">
        <f>IF((P198+Q198)=0," ",ROUND((P198/(P198+Q198)),74))</f>
        <v xml:space="preserve"> </v>
      </c>
      <c r="X198" s="81" t="str">
        <f>IF((C198)=0," ",ROUND((P198/(C198)),74))</f>
        <v xml:space="preserve"> </v>
      </c>
      <c r="Y198" s="81" t="str">
        <f>IF((C198)=0," ",ROUND((R198/(C198)),7))</f>
        <v xml:space="preserve"> </v>
      </c>
      <c r="Z198" s="79"/>
    </row>
    <row r="199" spans="1:37" hidden="1">
      <c r="B199" s="83" t="s">
        <v>170</v>
      </c>
      <c r="W199" s="81" t="str">
        <f>IF((P199+Q199)=0," ",ROUND((P199/(P199+Q199)),74))</f>
        <v xml:space="preserve"> </v>
      </c>
      <c r="X199" s="81" t="str">
        <f>IF((C199)=0," ",ROUND((P199/(C199)),74))</f>
        <v xml:space="preserve"> </v>
      </c>
      <c r="Y199" s="81" t="str">
        <f>IF((C199)=0," ",ROUND((R199/(C199)),7))</f>
        <v xml:space="preserve"> </v>
      </c>
      <c r="AJ199" s="66"/>
    </row>
    <row r="200" spans="1:37" hidden="1"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U200" s="80"/>
      <c r="W200" s="81" t="str">
        <f>IF((P200+Q200)=0," ",ROUND((P200/(P200+Q200)),74))</f>
        <v xml:space="preserve"> </v>
      </c>
      <c r="X200" s="81" t="str">
        <f>IF((C200)=0," ",ROUND((P200/(C200)),74))</f>
        <v xml:space="preserve"> </v>
      </c>
      <c r="Y200" s="81" t="str">
        <f>IF((C200)=0," ",ROUND((R200/(C200)),7))</f>
        <v xml:space="preserve"> </v>
      </c>
      <c r="Z200" s="79"/>
      <c r="AJ200" s="66"/>
    </row>
    <row r="201" spans="1:37" hidden="1">
      <c r="A201" s="65">
        <f>A166+1</f>
        <v>68</v>
      </c>
      <c r="B201" s="66" t="s">
        <v>219</v>
      </c>
      <c r="C201" s="78">
        <f>157336+7258-197</f>
        <v>164397</v>
      </c>
      <c r="D201" s="79">
        <f>C201-E201-SUM(G201:I201)-SUM(M201:N201)-R201-S201</f>
        <v>97029.630999999994</v>
      </c>
      <c r="E201" s="79">
        <v>2643</v>
      </c>
      <c r="F201" s="79">
        <f>D201+E201</f>
        <v>99672.630999999994</v>
      </c>
      <c r="G201" s="79">
        <v>8812</v>
      </c>
      <c r="H201" s="79">
        <v>27163</v>
      </c>
      <c r="I201" s="79">
        <v>12825</v>
      </c>
      <c r="J201" s="79">
        <v>5454</v>
      </c>
      <c r="K201" s="79">
        <v>474</v>
      </c>
      <c r="L201" s="79">
        <v>229</v>
      </c>
      <c r="M201" s="79">
        <f>SUM(J201:L201)</f>
        <v>6157</v>
      </c>
      <c r="N201" s="79">
        <v>2880</v>
      </c>
      <c r="O201" s="79">
        <f>SUM(F201:I201)+SUM(M201:N201)</f>
        <v>157509.63099999999</v>
      </c>
      <c r="P201" s="79">
        <v>2588</v>
      </c>
      <c r="Q201" s="79">
        <v>299</v>
      </c>
      <c r="R201" s="79">
        <f>P201+Q201</f>
        <v>2887</v>
      </c>
      <c r="S201" s="78">
        <v>4000.3690000000001</v>
      </c>
      <c r="U201" s="80">
        <f t="shared" ref="U201:U210" si="23">O201+R201+S201-C201</f>
        <v>0</v>
      </c>
      <c r="W201" s="81">
        <f>IF((O201+R201)=0," ",ROUND((O201/(O201+R201)),7))</f>
        <v>0.98200089999999995</v>
      </c>
      <c r="X201" s="81">
        <f>IF((C201)=0," ",ROUND((O201/(C201)),7))</f>
        <v>0.95810530000000005</v>
      </c>
      <c r="Y201" s="81">
        <f>IF((C201)=0," ",ROUND((S201/(C201)),7))</f>
        <v>2.43336E-2</v>
      </c>
      <c r="Z201" s="79"/>
      <c r="AJ201" s="66"/>
    </row>
    <row r="202" spans="1:37" hidden="1">
      <c r="A202" s="65">
        <f>A201+1</f>
        <v>69</v>
      </c>
      <c r="B202" s="66" t="s">
        <v>220</v>
      </c>
      <c r="C202" s="79">
        <v>100193.36900000001</v>
      </c>
      <c r="D202" s="79">
        <f>C202-E202-SUM(G202:I202)-SUM(M202:N202)-R202-S202</f>
        <v>51371.000000000007</v>
      </c>
      <c r="E202" s="79">
        <v>1379</v>
      </c>
      <c r="F202" s="79">
        <f>D202+E202</f>
        <v>52750.000000000007</v>
      </c>
      <c r="G202" s="79">
        <v>2602</v>
      </c>
      <c r="H202" s="79">
        <v>20771</v>
      </c>
      <c r="I202" s="79">
        <v>11260</v>
      </c>
      <c r="J202" s="79">
        <v>4751</v>
      </c>
      <c r="K202" s="79">
        <v>418</v>
      </c>
      <c r="L202" s="79">
        <v>201</v>
      </c>
      <c r="M202" s="79">
        <f>SUM(J202:L202)</f>
        <v>5370</v>
      </c>
      <c r="N202" s="79">
        <v>557</v>
      </c>
      <c r="O202" s="79">
        <f>SUM(F202:I202)+SUM(M202:N202)</f>
        <v>93310</v>
      </c>
      <c r="P202" s="79">
        <v>2586</v>
      </c>
      <c r="Q202" s="79">
        <v>297</v>
      </c>
      <c r="R202" s="79">
        <f>P202+Q202</f>
        <v>2883</v>
      </c>
      <c r="S202" s="79">
        <f>S201</f>
        <v>4000.3690000000001</v>
      </c>
      <c r="U202" s="80">
        <f t="shared" si="23"/>
        <v>0</v>
      </c>
      <c r="W202" s="81">
        <f>IF((O202+R202)=0," ",ROUND((O202/(O202+R202)),7))</f>
        <v>0.97002900000000003</v>
      </c>
      <c r="X202" s="81">
        <f>IF((C202)=0," ",ROUND((O202/(C202)),7))</f>
        <v>0.93129919999999999</v>
      </c>
      <c r="Y202" s="81">
        <f>IF((C202)=0," ",ROUND((S202/(C202)),7))</f>
        <v>3.9926499999999997E-2</v>
      </c>
      <c r="Z202" s="79"/>
      <c r="AJ202" s="66"/>
      <c r="AK202" s="65"/>
    </row>
    <row r="203" spans="1:37" hidden="1">
      <c r="A203" s="65">
        <f>A202+1</f>
        <v>70</v>
      </c>
      <c r="B203" s="66" t="s">
        <v>221</v>
      </c>
      <c r="C203" s="79">
        <v>58460</v>
      </c>
      <c r="D203" s="79">
        <f>C203-E203-SUM(G203:I203)-SUM(M203:N203)-R203-S203</f>
        <v>42996</v>
      </c>
      <c r="E203" s="79">
        <v>1164</v>
      </c>
      <c r="F203" s="79">
        <f>D203+E203</f>
        <v>44160</v>
      </c>
      <c r="G203" s="79">
        <v>6063</v>
      </c>
      <c r="H203" s="79">
        <v>5056</v>
      </c>
      <c r="I203" s="79">
        <v>669</v>
      </c>
      <c r="J203" s="79">
        <v>219</v>
      </c>
      <c r="K203" s="79">
        <v>34</v>
      </c>
      <c r="L203" s="79">
        <v>10</v>
      </c>
      <c r="M203" s="79">
        <f>SUM(J203:L203)</f>
        <v>263</v>
      </c>
      <c r="N203" s="79">
        <v>2245</v>
      </c>
      <c r="O203" s="79">
        <f>SUM(F203:I203)+SUM(M203:N203)</f>
        <v>58456</v>
      </c>
      <c r="P203" s="79">
        <v>2</v>
      </c>
      <c r="Q203" s="79">
        <v>2</v>
      </c>
      <c r="R203" s="79">
        <f>P203+Q203</f>
        <v>4</v>
      </c>
      <c r="S203" s="79">
        <v>0</v>
      </c>
      <c r="U203" s="80">
        <f t="shared" si="23"/>
        <v>0</v>
      </c>
      <c r="W203" s="81">
        <f>IF((O203+R203)=0," ",ROUND((O203/(O203+R203)),7))</f>
        <v>0.99993160000000003</v>
      </c>
      <c r="X203" s="81">
        <f>IF((C203)=0," ",ROUND((O203/(C203)),7))</f>
        <v>0.99993160000000003</v>
      </c>
      <c r="Y203" s="81">
        <f>IF((C203)=0," ",ROUND((S203/(C203)),7))</f>
        <v>0</v>
      </c>
      <c r="Z203" s="79"/>
      <c r="AJ203" s="66"/>
      <c r="AK203" s="65"/>
    </row>
    <row r="204" spans="1:37" hidden="1">
      <c r="A204" s="65">
        <f>A203+1</f>
        <v>71</v>
      </c>
      <c r="B204" s="66" t="s">
        <v>222</v>
      </c>
      <c r="C204" s="79">
        <f>C201-C202-C203</f>
        <v>5743.6309999999939</v>
      </c>
      <c r="D204" s="79">
        <f>C204-E204-SUM(G204:I204)-SUM(M204:N204)-R204-S204</f>
        <v>2662.6309999999939</v>
      </c>
      <c r="E204" s="79">
        <f>E201-E202-E203</f>
        <v>100</v>
      </c>
      <c r="F204" s="79">
        <f>D204+E204</f>
        <v>2762.6309999999939</v>
      </c>
      <c r="G204" s="79">
        <f t="shared" ref="G204:L204" si="24">G201-G202-G203</f>
        <v>147</v>
      </c>
      <c r="H204" s="79">
        <f t="shared" si="24"/>
        <v>1336</v>
      </c>
      <c r="I204" s="79">
        <f t="shared" si="24"/>
        <v>896</v>
      </c>
      <c r="J204" s="79">
        <f t="shared" si="24"/>
        <v>484</v>
      </c>
      <c r="K204" s="79">
        <f t="shared" si="24"/>
        <v>22</v>
      </c>
      <c r="L204" s="79">
        <f t="shared" si="24"/>
        <v>18</v>
      </c>
      <c r="M204" s="79">
        <f>SUM(J204:L204)</f>
        <v>524</v>
      </c>
      <c r="N204" s="79">
        <f>N201-N202-N203</f>
        <v>78</v>
      </c>
      <c r="O204" s="79">
        <f>SUM(F204:I204)+SUM(M204:N204)</f>
        <v>5743.6309999999939</v>
      </c>
      <c r="P204" s="79">
        <f>P201-P202-P203</f>
        <v>0</v>
      </c>
      <c r="Q204" s="79">
        <f>Q201-Q202-Q203</f>
        <v>0</v>
      </c>
      <c r="R204" s="79">
        <f>P204+Q204</f>
        <v>0</v>
      </c>
      <c r="S204" s="79">
        <f>S201-S202-S203</f>
        <v>0</v>
      </c>
      <c r="U204" s="80">
        <f t="shared" si="23"/>
        <v>0</v>
      </c>
      <c r="W204" s="81">
        <f>IF((O204+R204)=0," ",ROUND((O204/(O204+R204)),7))</f>
        <v>1</v>
      </c>
      <c r="X204" s="81">
        <f>IF((C204)=0," ",ROUND((O204/(C204)),7))</f>
        <v>1</v>
      </c>
      <c r="Y204" s="81">
        <f>IF((C204)=0," ",ROUND((S204/(C204)),7))</f>
        <v>0</v>
      </c>
      <c r="Z204" s="79"/>
      <c r="AJ204" s="66"/>
      <c r="AK204" s="65"/>
    </row>
    <row r="205" spans="1:37" hidden="1">
      <c r="A205" s="65">
        <f>A204+1</f>
        <v>72</v>
      </c>
      <c r="B205" s="66" t="s">
        <v>223</v>
      </c>
      <c r="C205" s="79">
        <f>O205+R205+S205</f>
        <v>164397</v>
      </c>
      <c r="D205" s="79">
        <f t="shared" ref="D205:L205" si="25">SUM(D202:D204)</f>
        <v>97029.630999999994</v>
      </c>
      <c r="E205" s="79">
        <f t="shared" si="25"/>
        <v>2643</v>
      </c>
      <c r="F205" s="79">
        <f t="shared" si="25"/>
        <v>99672.630999999994</v>
      </c>
      <c r="G205" s="79">
        <f t="shared" si="25"/>
        <v>8812</v>
      </c>
      <c r="H205" s="79">
        <f t="shared" si="25"/>
        <v>27163</v>
      </c>
      <c r="I205" s="79">
        <f t="shared" si="25"/>
        <v>12825</v>
      </c>
      <c r="J205" s="79">
        <f t="shared" si="25"/>
        <v>5454</v>
      </c>
      <c r="K205" s="79">
        <f t="shared" si="25"/>
        <v>474</v>
      </c>
      <c r="L205" s="79">
        <f t="shared" si="25"/>
        <v>229</v>
      </c>
      <c r="M205" s="79">
        <f>SUM(J205:L205)</f>
        <v>6157</v>
      </c>
      <c r="N205" s="79">
        <f>SUM(N202:N204)</f>
        <v>2880</v>
      </c>
      <c r="O205" s="79">
        <f>SUM(F205:I205)+SUM(M205:N205)</f>
        <v>157509.63099999999</v>
      </c>
      <c r="P205" s="79">
        <f>SUM(P202:P204)</f>
        <v>2588</v>
      </c>
      <c r="Q205" s="79">
        <f>SUM(Q202:Q204)</f>
        <v>299</v>
      </c>
      <c r="R205" s="79">
        <f>P205+Q205</f>
        <v>2887</v>
      </c>
      <c r="S205" s="79">
        <f>SUM(S202:S204)</f>
        <v>4000.3690000000001</v>
      </c>
      <c r="U205" s="80">
        <f t="shared" si="23"/>
        <v>0</v>
      </c>
      <c r="W205" s="81">
        <f>IF((O205+R205)=0," ",ROUND((O205/(O205+R205)),7))</f>
        <v>0.98200089999999995</v>
      </c>
      <c r="X205" s="81">
        <f>IF((C205)=0," ",ROUND((O205/(C205)),7))</f>
        <v>0.95810530000000005</v>
      </c>
      <c r="Y205" s="81">
        <f>IF((C205)=0," ",ROUND((S205/(C205)),7))</f>
        <v>2.43336E-2</v>
      </c>
      <c r="Z205" s="79"/>
      <c r="AJ205" s="66"/>
      <c r="AK205" s="65"/>
    </row>
    <row r="206" spans="1:37" hidden="1"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U206" s="80"/>
      <c r="W206" s="81" t="str">
        <f>IF((P206+Q206)=0," ",ROUND((P206/(P206+Q206)),74))</f>
        <v xml:space="preserve"> </v>
      </c>
      <c r="X206" s="81" t="str">
        <f>IF((C206)=0," ",ROUND((P206/(C206)),74))</f>
        <v xml:space="preserve"> </v>
      </c>
      <c r="Y206" s="81" t="str">
        <f>IF((C206)=0," ",ROUND((R206/(C206)),7))</f>
        <v xml:space="preserve"> </v>
      </c>
      <c r="Z206" s="79"/>
      <c r="AF206" s="65"/>
      <c r="AJ206" s="66"/>
    </row>
    <row r="207" spans="1:37" hidden="1">
      <c r="A207" s="65">
        <f>A205+1</f>
        <v>73</v>
      </c>
      <c r="B207" s="66" t="s">
        <v>224</v>
      </c>
      <c r="C207" s="79">
        <f>O207+R207+S207</f>
        <v>3035530</v>
      </c>
      <c r="D207" s="79">
        <f>D208+D209+D210</f>
        <v>1500815.6431</v>
      </c>
      <c r="E207" s="79">
        <f>E208+E209+E210</f>
        <v>41892</v>
      </c>
      <c r="F207" s="79">
        <f>D207+E207</f>
        <v>1542707.6431</v>
      </c>
      <c r="G207" s="79">
        <f t="shared" ref="G207:L207" si="26">G208+G209+G210</f>
        <v>93230</v>
      </c>
      <c r="H207" s="79">
        <f t="shared" si="26"/>
        <v>509239</v>
      </c>
      <c r="I207" s="79">
        <f t="shared" si="26"/>
        <v>257574</v>
      </c>
      <c r="J207" s="79">
        <f t="shared" si="26"/>
        <v>111102</v>
      </c>
      <c r="K207" s="79">
        <f t="shared" si="26"/>
        <v>9681.0059500000007</v>
      </c>
      <c r="L207" s="79">
        <f t="shared" si="26"/>
        <v>4501.0059499999998</v>
      </c>
      <c r="M207" s="79">
        <f>SUM(J207:L207)</f>
        <v>125284.01190000001</v>
      </c>
      <c r="N207" s="79">
        <f>N208+N209+N210</f>
        <v>84038</v>
      </c>
      <c r="O207" s="79">
        <f>SUM(F207:I207)+SUM(M207:N207)</f>
        <v>2612072.6549999998</v>
      </c>
      <c r="P207" s="79">
        <f>P208+P209+P210</f>
        <v>50726</v>
      </c>
      <c r="Q207" s="79">
        <f>Q208+Q209+Q210</f>
        <v>5726</v>
      </c>
      <c r="R207" s="79">
        <f>P207+Q207</f>
        <v>56452</v>
      </c>
      <c r="S207" s="79">
        <f>S208+S209+S210</f>
        <v>367005.34500000003</v>
      </c>
      <c r="U207" s="80">
        <f t="shared" si="23"/>
        <v>0</v>
      </c>
      <c r="W207" s="81">
        <f>IF((O207+R207)=0," ",ROUND((O207/(O207+R207)),7))</f>
        <v>0.97884519999999997</v>
      </c>
      <c r="X207" s="81">
        <f>IF((C207)=0," ",ROUND((O207/(C207)),7))</f>
        <v>0.86049969999999998</v>
      </c>
      <c r="Y207" s="81">
        <f>IF((C207)=0," ",ROUND((S207/(C207)),7))</f>
        <v>0.1209032</v>
      </c>
      <c r="Z207" s="79"/>
      <c r="AF207" s="70"/>
      <c r="AJ207" s="66"/>
    </row>
    <row r="208" spans="1:37" hidden="1">
      <c r="A208" s="65">
        <f>A207+1</f>
        <v>74</v>
      </c>
      <c r="B208" s="66" t="s">
        <v>216</v>
      </c>
      <c r="C208" s="79">
        <f>O208+R208+S208</f>
        <v>2504797.7753076926</v>
      </c>
      <c r="D208" s="79">
        <f>D37+D79+D165+D202</f>
        <v>1152013.4230076924</v>
      </c>
      <c r="E208" s="79">
        <f>E37+E79+E165+E202</f>
        <v>31519</v>
      </c>
      <c r="F208" s="79">
        <f>D208+E208</f>
        <v>1183532.4230076924</v>
      </c>
      <c r="G208" s="79">
        <f t="shared" ref="G208:L208" si="27">G37+G79+G165+G202</f>
        <v>58590</v>
      </c>
      <c r="H208" s="79">
        <f t="shared" si="27"/>
        <v>465477</v>
      </c>
      <c r="I208" s="79">
        <f t="shared" si="27"/>
        <v>242675</v>
      </c>
      <c r="J208" s="79">
        <f t="shared" si="27"/>
        <v>103567</v>
      </c>
      <c r="K208" s="79">
        <f t="shared" si="27"/>
        <v>9312.0036500000006</v>
      </c>
      <c r="L208" s="79">
        <f t="shared" si="27"/>
        <v>4210.0036499999997</v>
      </c>
      <c r="M208" s="79">
        <f>SUM(J208:L208)</f>
        <v>117089.0073</v>
      </c>
      <c r="N208" s="79">
        <f>N37+N79+N165+N202</f>
        <v>13985</v>
      </c>
      <c r="O208" s="79">
        <f>SUM(F208:I208)+SUM(M208:N208)</f>
        <v>2081348.4303076924</v>
      </c>
      <c r="P208" s="79">
        <f>P34+P79+P165+P202</f>
        <v>50722</v>
      </c>
      <c r="Q208" s="79">
        <f>Q34+Q79+Q165+Q202</f>
        <v>5722</v>
      </c>
      <c r="R208" s="79">
        <f>R34+R79+R165+R202</f>
        <v>56444</v>
      </c>
      <c r="S208" s="79">
        <f>S34+S79+S165+S202</f>
        <v>367005.34500000003</v>
      </c>
      <c r="U208" s="80">
        <f t="shared" si="23"/>
        <v>0</v>
      </c>
      <c r="W208" s="81">
        <f>IF((O208+R208)=0," ",ROUND((O208/(O208+R208)),7))</f>
        <v>0.97359709999999999</v>
      </c>
      <c r="X208" s="81">
        <f>IF((C208)=0," ",ROUND((O208/(C208)),7))</f>
        <v>0.83094469999999998</v>
      </c>
      <c r="Y208" s="81">
        <f>IF((C208)=0," ",ROUND((S208/(C208)),7))</f>
        <v>0.14652090000000001</v>
      </c>
      <c r="Z208" s="79"/>
      <c r="AF208" s="70"/>
      <c r="AJ208" s="66"/>
    </row>
    <row r="209" spans="1:37" hidden="1">
      <c r="A209" s="65">
        <f>A208+1</f>
        <v>75</v>
      </c>
      <c r="B209" s="66" t="s">
        <v>217</v>
      </c>
      <c r="C209" s="79">
        <f>O209+R209+S209</f>
        <v>444730.99999999994</v>
      </c>
      <c r="D209" s="79">
        <f>D166+D203</f>
        <v>308975.99539999996</v>
      </c>
      <c r="E209" s="79">
        <f>E166+E203</f>
        <v>8869</v>
      </c>
      <c r="F209" s="79">
        <f>D209+E209</f>
        <v>317844.99539999996</v>
      </c>
      <c r="G209" s="79">
        <f t="shared" ref="G209:L209" si="28">G166+G203</f>
        <v>32454</v>
      </c>
      <c r="H209" s="79">
        <f t="shared" si="28"/>
        <v>23740</v>
      </c>
      <c r="I209" s="79">
        <f t="shared" si="28"/>
        <v>1482</v>
      </c>
      <c r="J209" s="79">
        <f t="shared" si="28"/>
        <v>271</v>
      </c>
      <c r="K209" s="79">
        <f t="shared" si="28"/>
        <v>39.002299999999998</v>
      </c>
      <c r="L209" s="79">
        <f t="shared" si="28"/>
        <v>12.0023</v>
      </c>
      <c r="M209" s="79">
        <f>SUM(J209:L209)</f>
        <v>322.00459999999998</v>
      </c>
      <c r="N209" s="79">
        <f>N166+N203</f>
        <v>68880</v>
      </c>
      <c r="O209" s="79">
        <f>SUM(F209:I209)+SUM(M209:N209)</f>
        <v>444722.99999999994</v>
      </c>
      <c r="P209" s="79">
        <f>P166+P203</f>
        <v>4</v>
      </c>
      <c r="Q209" s="79">
        <f>Q166+Q203</f>
        <v>4</v>
      </c>
      <c r="R209" s="79">
        <f>P209+Q209</f>
        <v>8</v>
      </c>
      <c r="S209" s="79">
        <f>S166+S203</f>
        <v>0</v>
      </c>
      <c r="U209" s="80">
        <f t="shared" si="23"/>
        <v>0</v>
      </c>
      <c r="W209" s="81">
        <f>IF((O209+R209)=0," ",ROUND((O209/(O209+R209)),7))</f>
        <v>0.99998200000000004</v>
      </c>
      <c r="X209" s="81">
        <f>IF((C209)=0," ",ROUND((O209/(C209)),7))</f>
        <v>0.99998200000000004</v>
      </c>
      <c r="Y209" s="81">
        <f>IF((C209)=0," ",ROUND((S209/(C209)),7))</f>
        <v>0</v>
      </c>
      <c r="Z209" s="79"/>
      <c r="AF209" s="76"/>
      <c r="AJ209" s="66"/>
    </row>
    <row r="210" spans="1:37" hidden="1">
      <c r="A210" s="65">
        <f>A209+1</f>
        <v>76</v>
      </c>
      <c r="B210" s="66" t="s">
        <v>225</v>
      </c>
      <c r="C210" s="79">
        <f>O210+R210+S210</f>
        <v>86001.224692307587</v>
      </c>
      <c r="D210" s="79">
        <f>D204+D38</f>
        <v>39826.224692307587</v>
      </c>
      <c r="E210" s="79">
        <f>E204+E38</f>
        <v>1504</v>
      </c>
      <c r="F210" s="79">
        <f>D210+E210</f>
        <v>41330.224692307587</v>
      </c>
      <c r="G210" s="79">
        <f t="shared" ref="G210:L210" si="29">G204+G38</f>
        <v>2186</v>
      </c>
      <c r="H210" s="79">
        <f t="shared" si="29"/>
        <v>20022</v>
      </c>
      <c r="I210" s="79">
        <f t="shared" si="29"/>
        <v>13417</v>
      </c>
      <c r="J210" s="79">
        <f t="shared" si="29"/>
        <v>7264</v>
      </c>
      <c r="K210" s="79">
        <f t="shared" si="29"/>
        <v>330</v>
      </c>
      <c r="L210" s="79">
        <f t="shared" si="29"/>
        <v>279</v>
      </c>
      <c r="M210" s="79">
        <f>SUM(J210:L210)</f>
        <v>7873</v>
      </c>
      <c r="N210" s="79">
        <f>N204+N38</f>
        <v>1173</v>
      </c>
      <c r="O210" s="79">
        <f>SUM(F210:I210)+SUM(M210:N210)</f>
        <v>86001.224692307587</v>
      </c>
      <c r="P210" s="79">
        <f>P204+P38</f>
        <v>0</v>
      </c>
      <c r="Q210" s="79">
        <f>Q204+Q38</f>
        <v>0</v>
      </c>
      <c r="R210" s="79">
        <f>P210+Q210</f>
        <v>0</v>
      </c>
      <c r="S210" s="79">
        <f>S204</f>
        <v>0</v>
      </c>
      <c r="U210" s="80">
        <f t="shared" si="23"/>
        <v>0</v>
      </c>
      <c r="W210" s="81">
        <f>IF((O210+R210)=0," ",ROUND((O210/(O210+R210)),7))</f>
        <v>1</v>
      </c>
      <c r="X210" s="81">
        <f>IF((C210)=0," ",ROUND((O210/(C210)),7))</f>
        <v>1</v>
      </c>
      <c r="Y210" s="81">
        <f>IF((C210)=0," ",ROUND((S210/(C210)),7))</f>
        <v>0</v>
      </c>
      <c r="Z210" s="79"/>
      <c r="AJ210" s="66"/>
    </row>
    <row r="211" spans="1:37" hidden="1">
      <c r="B211" s="72"/>
      <c r="C211" s="79"/>
      <c r="H211" s="65" t="s">
        <v>80</v>
      </c>
      <c r="I211" s="79"/>
      <c r="J211" s="79"/>
      <c r="K211" s="79"/>
      <c r="L211" s="79"/>
      <c r="M211" s="79"/>
      <c r="N211" s="79"/>
      <c r="O211" s="80"/>
      <c r="Q211" s="65" t="s">
        <v>80</v>
      </c>
      <c r="T211" s="79"/>
      <c r="X211" s="73"/>
      <c r="Y211" s="73"/>
      <c r="Z211" s="65"/>
      <c r="AF211" s="65"/>
      <c r="AJ211" s="66"/>
      <c r="AK211" s="65"/>
    </row>
    <row r="212" spans="1:37" hidden="1">
      <c r="C212" s="79"/>
      <c r="H212" s="70" t="str">
        <f>$H$24</f>
        <v>12 MONTHS ENDING DECEMBER 31, 2012</v>
      </c>
      <c r="I212" s="79"/>
      <c r="J212" s="79"/>
      <c r="K212" s="79"/>
      <c r="L212" s="79"/>
      <c r="M212" s="79"/>
      <c r="N212" s="79"/>
      <c r="O212" s="79"/>
      <c r="Q212" s="70" t="str">
        <f>$H$24</f>
        <v>12 MONTHS ENDING DECEMBER 31, 2012</v>
      </c>
      <c r="T212" s="79"/>
      <c r="U212" s="80"/>
      <c r="X212" s="73"/>
      <c r="Y212" s="73"/>
      <c r="Z212" s="70"/>
      <c r="AF212" s="79"/>
      <c r="AJ212" s="66"/>
      <c r="AK212" s="65"/>
    </row>
    <row r="213" spans="1:37" hidden="1">
      <c r="C213" s="79"/>
      <c r="H213" s="70" t="str">
        <f>$H$25</f>
        <v>12/13 DEMAND ALLOCATION WITH MDS METHODOLOGY</v>
      </c>
      <c r="Q213" s="70" t="str">
        <f>$H$25</f>
        <v>12/13 DEMAND ALLOCATION WITH MDS METHODOLOGY</v>
      </c>
      <c r="T213" s="79"/>
      <c r="X213" s="73"/>
      <c r="Y213" s="73"/>
      <c r="Z213" s="70"/>
      <c r="AF213" s="79"/>
      <c r="AJ213" s="66"/>
      <c r="AK213" s="65"/>
    </row>
    <row r="214" spans="1:37" hidden="1">
      <c r="C214" s="79"/>
      <c r="H214" s="87" t="s">
        <v>226</v>
      </c>
      <c r="I214" s="79"/>
      <c r="J214" s="79"/>
      <c r="K214" s="79"/>
      <c r="L214" s="79"/>
      <c r="M214" s="79"/>
      <c r="N214" s="79"/>
      <c r="O214" s="79"/>
      <c r="Q214" s="87" t="s">
        <v>226</v>
      </c>
      <c r="T214" s="79"/>
      <c r="U214" s="80"/>
      <c r="X214" s="73"/>
      <c r="Y214" s="73"/>
      <c r="Z214" s="87"/>
      <c r="AF214" s="79"/>
      <c r="AJ214" s="66"/>
      <c r="AK214" s="65"/>
    </row>
    <row r="215" spans="1:37" hidden="1">
      <c r="C215" s="79"/>
      <c r="H215" s="87" t="s">
        <v>114</v>
      </c>
      <c r="I215" s="79"/>
      <c r="J215" s="79"/>
      <c r="K215" s="79"/>
      <c r="L215" s="79"/>
      <c r="M215" s="79"/>
      <c r="N215" s="79"/>
      <c r="O215" s="79"/>
      <c r="Q215" s="87" t="s">
        <v>114</v>
      </c>
      <c r="T215" s="79"/>
      <c r="U215" s="80"/>
      <c r="X215" s="73"/>
      <c r="Y215" s="73"/>
      <c r="Z215" s="87"/>
      <c r="AF215" s="79"/>
      <c r="AJ215" s="66"/>
      <c r="AK215" s="65"/>
    </row>
    <row r="216" spans="1:37" hidden="1">
      <c r="C216" s="65" t="s">
        <v>59</v>
      </c>
      <c r="K216" s="65"/>
      <c r="L216" s="65"/>
      <c r="M216" s="65"/>
      <c r="O216" s="65" t="s">
        <v>59</v>
      </c>
      <c r="P216" s="65"/>
      <c r="Q216" s="65"/>
      <c r="R216" s="65"/>
      <c r="S216" s="65" t="s">
        <v>115</v>
      </c>
      <c r="W216" s="76" t="s">
        <v>116</v>
      </c>
      <c r="X216" s="76" t="s">
        <v>116</v>
      </c>
      <c r="Y216" s="76" t="s">
        <v>117</v>
      </c>
      <c r="AF216" s="65"/>
      <c r="AJ216" s="66"/>
      <c r="AK216" s="65"/>
    </row>
    <row r="217" spans="1:37" hidden="1">
      <c r="A217" s="65" t="s">
        <v>118</v>
      </c>
      <c r="C217" s="65" t="s">
        <v>58</v>
      </c>
      <c r="D217" s="70" t="s">
        <v>119</v>
      </c>
      <c r="E217" s="70" t="s">
        <v>119</v>
      </c>
      <c r="F217" s="70" t="s">
        <v>119</v>
      </c>
      <c r="G217" s="70" t="s">
        <v>119</v>
      </c>
      <c r="H217" s="70" t="s">
        <v>119</v>
      </c>
      <c r="I217" s="70" t="s">
        <v>119</v>
      </c>
      <c r="J217" s="70" t="s">
        <v>119</v>
      </c>
      <c r="K217" s="70" t="s">
        <v>119</v>
      </c>
      <c r="L217" s="70" t="s">
        <v>119</v>
      </c>
      <c r="M217" s="70" t="s">
        <v>119</v>
      </c>
      <c r="N217" s="70" t="s">
        <v>119</v>
      </c>
      <c r="O217" s="65" t="s">
        <v>116</v>
      </c>
      <c r="P217" s="65"/>
      <c r="Q217" s="70" t="s">
        <v>120</v>
      </c>
      <c r="R217" s="65"/>
      <c r="S217" s="65" t="s">
        <v>121</v>
      </c>
      <c r="W217" s="76" t="s">
        <v>122</v>
      </c>
      <c r="X217" s="76" t="s">
        <v>123</v>
      </c>
      <c r="Y217" s="76" t="s">
        <v>124</v>
      </c>
      <c r="Z217" s="65"/>
      <c r="AF217" s="70"/>
      <c r="AJ217" s="66"/>
      <c r="AK217" s="65"/>
    </row>
    <row r="218" spans="1:37" hidden="1">
      <c r="A218" s="65" t="s">
        <v>125</v>
      </c>
      <c r="B218" s="65" t="s">
        <v>126</v>
      </c>
      <c r="C218" s="65" t="s">
        <v>57</v>
      </c>
      <c r="D218" s="70" t="s">
        <v>127</v>
      </c>
      <c r="E218" s="70" t="s">
        <v>128</v>
      </c>
      <c r="F218" s="70" t="s">
        <v>129</v>
      </c>
      <c r="G218" s="70" t="s">
        <v>130</v>
      </c>
      <c r="H218" s="70" t="s">
        <v>131</v>
      </c>
      <c r="I218" s="65" t="s">
        <v>132</v>
      </c>
      <c r="J218" s="70" t="s">
        <v>133</v>
      </c>
      <c r="K218" s="70" t="s">
        <v>134</v>
      </c>
      <c r="L218" s="70" t="s">
        <v>135</v>
      </c>
      <c r="M218" s="70" t="s">
        <v>136</v>
      </c>
      <c r="N218" s="70" t="s">
        <v>137</v>
      </c>
      <c r="O218" s="65" t="s">
        <v>138</v>
      </c>
      <c r="P218" s="70" t="s">
        <v>139</v>
      </c>
      <c r="Q218" s="70" t="s">
        <v>140</v>
      </c>
      <c r="R218" s="65" t="s">
        <v>122</v>
      </c>
      <c r="S218" s="65" t="s">
        <v>141</v>
      </c>
      <c r="U218" s="65" t="s">
        <v>162</v>
      </c>
      <c r="W218" s="76" t="s">
        <v>142</v>
      </c>
      <c r="X218" s="76" t="s">
        <v>142</v>
      </c>
      <c r="Y218" s="76" t="s">
        <v>142</v>
      </c>
      <c r="Z218" s="65"/>
      <c r="AF218" s="70"/>
      <c r="AJ218" s="66"/>
      <c r="AK218" s="65"/>
    </row>
    <row r="219" spans="1:37" hidden="1">
      <c r="A219" s="65" t="s">
        <v>143</v>
      </c>
      <c r="B219" s="65" t="s">
        <v>144</v>
      </c>
      <c r="C219" s="65" t="s">
        <v>145</v>
      </c>
      <c r="D219" s="70" t="s">
        <v>146</v>
      </c>
      <c r="E219" s="70" t="s">
        <v>147</v>
      </c>
      <c r="F219" s="70" t="s">
        <v>148</v>
      </c>
      <c r="G219" s="65" t="s">
        <v>149</v>
      </c>
      <c r="H219" s="65" t="s">
        <v>150</v>
      </c>
      <c r="I219" s="65" t="s">
        <v>151</v>
      </c>
      <c r="J219" s="70" t="s">
        <v>152</v>
      </c>
      <c r="K219" s="70" t="s">
        <v>153</v>
      </c>
      <c r="L219" s="70" t="s">
        <v>154</v>
      </c>
      <c r="M219" s="70" t="s">
        <v>155</v>
      </c>
      <c r="N219" s="70" t="s">
        <v>156</v>
      </c>
      <c r="O219" s="70" t="s">
        <v>157</v>
      </c>
      <c r="P219" s="70" t="s">
        <v>158</v>
      </c>
      <c r="Q219" s="70" t="s">
        <v>159</v>
      </c>
      <c r="R219" s="70" t="s">
        <v>160</v>
      </c>
      <c r="S219" s="70" t="s">
        <v>161</v>
      </c>
      <c r="W219" s="77" t="s">
        <v>163</v>
      </c>
      <c r="X219" s="77" t="s">
        <v>164</v>
      </c>
      <c r="Y219" s="76" t="s">
        <v>165</v>
      </c>
      <c r="Z219" s="70"/>
      <c r="AF219" s="76"/>
      <c r="AJ219" s="66"/>
      <c r="AK219" s="70"/>
    </row>
    <row r="220" spans="1:37" hidden="1"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U220" s="80"/>
      <c r="W220" s="73"/>
      <c r="X220" s="73"/>
      <c r="Y220" s="81" t="str">
        <f>IF((C220)=0," ",ROUND((R220/(C220)),7))</f>
        <v xml:space="preserve"> </v>
      </c>
      <c r="Z220" s="79"/>
      <c r="AF220" s="79"/>
      <c r="AJ220" s="66"/>
      <c r="AK220" s="65"/>
    </row>
    <row r="221" spans="1:37" hidden="1">
      <c r="W221" s="73"/>
      <c r="X221" s="73"/>
      <c r="Y221" s="81" t="str">
        <f>IF((C221)=0," ",ROUND((R221/(C221)),7))</f>
        <v xml:space="preserve"> </v>
      </c>
      <c r="AJ221" s="66"/>
      <c r="AK221" s="65"/>
    </row>
    <row r="222" spans="1:37" hidden="1">
      <c r="A222" s="65">
        <f>A220+1</f>
        <v>1</v>
      </c>
      <c r="B222" s="65" t="s">
        <v>227</v>
      </c>
      <c r="C222" s="78">
        <f>765431+13321+36659-100241+10927+2</f>
        <v>726099</v>
      </c>
      <c r="D222" s="79">
        <f>SUM(D225:D226)</f>
        <v>319517</v>
      </c>
      <c r="E222" s="79">
        <f>SUM(E225:E226)</f>
        <v>8427</v>
      </c>
      <c r="F222" s="79">
        <f>D222+E222</f>
        <v>327944</v>
      </c>
      <c r="G222" s="79">
        <f t="shared" ref="G222:L222" si="30">SUM(G225:G226)</f>
        <v>16103</v>
      </c>
      <c r="H222" s="79">
        <f t="shared" si="30"/>
        <v>131396</v>
      </c>
      <c r="I222" s="79">
        <f t="shared" si="30"/>
        <v>77291</v>
      </c>
      <c r="J222" s="79">
        <f t="shared" si="30"/>
        <v>34017</v>
      </c>
      <c r="K222" s="79">
        <f t="shared" si="30"/>
        <v>2359</v>
      </c>
      <c r="L222" s="79">
        <f t="shared" si="30"/>
        <v>1398</v>
      </c>
      <c r="M222" s="79">
        <f>SUM(J222:L222)</f>
        <v>37774</v>
      </c>
      <c r="N222" s="79">
        <f>SUM(N225:N226)</f>
        <v>2977</v>
      </c>
      <c r="O222" s="79">
        <f>ROUND((O$34/($C$34-$S34))*($C222-$S222),0)</f>
        <v>593485</v>
      </c>
      <c r="P222" s="79">
        <f>ROUND((P$34/($C$34-$S34))*($C222-$S222),0)</f>
        <v>18618</v>
      </c>
      <c r="Q222" s="79">
        <f>ROUND((Q$34/($C$34-$S34))*($C222-$S222),0)</f>
        <v>2136</v>
      </c>
      <c r="R222" s="78">
        <f>P222+Q222</f>
        <v>20754</v>
      </c>
      <c r="S222" s="78">
        <v>111860.25</v>
      </c>
      <c r="U222" s="80">
        <f>O222+R222+S222-C222</f>
        <v>0.25</v>
      </c>
      <c r="W222" s="81">
        <f>IF((O222+R222)=0," ",ROUND((O222/(O222+R222)),7))</f>
        <v>0.96621179999999995</v>
      </c>
      <c r="X222" s="81">
        <f>IF((C222)=0," ",ROUND((O222/(C222)),7))</f>
        <v>0.817361</v>
      </c>
      <c r="Y222" s="81">
        <f>IF((C222)=0," ",ROUND((S222/(C222)),7))</f>
        <v>0.15405650000000001</v>
      </c>
      <c r="Z222" s="79"/>
      <c r="AF222" s="79"/>
      <c r="AJ222" s="66"/>
      <c r="AK222" s="70"/>
    </row>
    <row r="223" spans="1:37" hidden="1"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U223" s="80"/>
      <c r="W223" s="81" t="str">
        <f t="shared" ref="W223:W230" si="31">IF((P223+Q223)=0," ",ROUND((P223/(P223+Q223)),74))</f>
        <v xml:space="preserve"> </v>
      </c>
      <c r="X223" s="81" t="str">
        <f t="shared" ref="X223:X230" si="32">IF((C223)=0," ",ROUND((P223/(C223)),74))</f>
        <v xml:space="preserve"> </v>
      </c>
      <c r="Y223" s="81" t="str">
        <f t="shared" ref="Y223:Y230" si="33">IF((C223)=0," ",ROUND((R223/(C223)),7))</f>
        <v xml:space="preserve"> </v>
      </c>
      <c r="Z223" s="79"/>
      <c r="AF223" s="79"/>
      <c r="AJ223" s="66"/>
      <c r="AK223" s="65"/>
    </row>
    <row r="224" spans="1:37" hidden="1">
      <c r="B224" s="66" t="s">
        <v>228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U224" s="80"/>
      <c r="W224" s="81" t="str">
        <f t="shared" si="31"/>
        <v xml:space="preserve"> </v>
      </c>
      <c r="X224" s="81" t="str">
        <f t="shared" si="32"/>
        <v xml:space="preserve"> </v>
      </c>
      <c r="Y224" s="81" t="str">
        <f t="shared" si="33"/>
        <v xml:space="preserve"> </v>
      </c>
      <c r="Z224" s="79"/>
      <c r="AF224" s="79"/>
      <c r="AJ224" s="66"/>
      <c r="AK224" s="65"/>
    </row>
    <row r="225" spans="1:37" hidden="1">
      <c r="A225" s="65">
        <f>A222+1</f>
        <v>2</v>
      </c>
      <c r="B225" s="66" t="s">
        <v>229</v>
      </c>
      <c r="C225" s="79"/>
      <c r="D225" s="79">
        <f>O225-E225-SUM(G225:I225)-SUM(M225:N225)</f>
        <v>298377</v>
      </c>
      <c r="E225" s="79">
        <f>ROUND(E37/$O37*$O225,0)</f>
        <v>7628</v>
      </c>
      <c r="F225" s="79">
        <f>D225+E225</f>
        <v>306005</v>
      </c>
      <c r="G225" s="79">
        <f t="shared" ref="G225:L226" si="34">ROUND(G37/$O37*$O225,0)</f>
        <v>14943</v>
      </c>
      <c r="H225" s="79">
        <f t="shared" si="34"/>
        <v>120767</v>
      </c>
      <c r="I225" s="79">
        <f t="shared" si="34"/>
        <v>70169</v>
      </c>
      <c r="J225" s="79">
        <f t="shared" si="34"/>
        <v>30160</v>
      </c>
      <c r="K225" s="79">
        <f t="shared" si="34"/>
        <v>2184</v>
      </c>
      <c r="L225" s="79">
        <f t="shared" si="34"/>
        <v>1250</v>
      </c>
      <c r="M225" s="79">
        <f>SUM(J225:L225)</f>
        <v>33594</v>
      </c>
      <c r="N225" s="79">
        <f>ROUND(N37/$O37*$O225,0)</f>
        <v>2354</v>
      </c>
      <c r="O225" s="79">
        <f>ROUND(O37/$O34*$O222,0)</f>
        <v>547832</v>
      </c>
      <c r="P225" s="79"/>
      <c r="Q225" s="79"/>
      <c r="R225" s="79"/>
      <c r="S225" s="79"/>
      <c r="U225" s="80"/>
      <c r="W225" s="81" t="str">
        <f t="shared" si="31"/>
        <v xml:space="preserve"> </v>
      </c>
      <c r="X225" s="81" t="str">
        <f t="shared" si="32"/>
        <v xml:space="preserve"> </v>
      </c>
      <c r="Y225" s="81" t="str">
        <f t="shared" si="33"/>
        <v xml:space="preserve"> </v>
      </c>
      <c r="Z225" s="79"/>
      <c r="AF225" s="79"/>
      <c r="AJ225" s="66"/>
      <c r="AK225" s="70"/>
    </row>
    <row r="226" spans="1:37" hidden="1">
      <c r="A226" s="65">
        <f>A225+1</f>
        <v>3</v>
      </c>
      <c r="B226" s="66" t="s">
        <v>230</v>
      </c>
      <c r="C226" s="79"/>
      <c r="D226" s="79">
        <f>O226-E226-SUM(G226:I226)-SUM(M226:N226)</f>
        <v>21140</v>
      </c>
      <c r="E226" s="79">
        <f>ROUND(E38/$O38*$O226,0)</f>
        <v>799</v>
      </c>
      <c r="F226" s="79">
        <f>D226+E226</f>
        <v>21939</v>
      </c>
      <c r="G226" s="79">
        <f t="shared" si="34"/>
        <v>1160</v>
      </c>
      <c r="H226" s="79">
        <f t="shared" si="34"/>
        <v>10629</v>
      </c>
      <c r="I226" s="79">
        <f t="shared" si="34"/>
        <v>7122</v>
      </c>
      <c r="J226" s="79">
        <f t="shared" si="34"/>
        <v>3857</v>
      </c>
      <c r="K226" s="79">
        <f t="shared" si="34"/>
        <v>175</v>
      </c>
      <c r="L226" s="79">
        <f t="shared" si="34"/>
        <v>148</v>
      </c>
      <c r="M226" s="79">
        <f>SUM(J226:L226)</f>
        <v>4180</v>
      </c>
      <c r="N226" s="79">
        <f>ROUND(N38/$O38*$O226,0)</f>
        <v>623</v>
      </c>
      <c r="O226" s="79">
        <f>O222-O225</f>
        <v>45653</v>
      </c>
      <c r="P226" s="79"/>
      <c r="Q226" s="79"/>
      <c r="R226" s="79"/>
      <c r="S226" s="79"/>
      <c r="U226" s="80"/>
      <c r="W226" s="81" t="str">
        <f t="shared" si="31"/>
        <v xml:space="preserve"> </v>
      </c>
      <c r="X226" s="81" t="str">
        <f t="shared" si="32"/>
        <v xml:space="preserve"> </v>
      </c>
      <c r="Y226" s="81" t="str">
        <f t="shared" si="33"/>
        <v xml:space="preserve"> </v>
      </c>
      <c r="Z226" s="79"/>
      <c r="AF226" s="79"/>
      <c r="AJ226" s="66"/>
      <c r="AK226" s="70"/>
    </row>
    <row r="227" spans="1:37" hidden="1"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U227" s="80"/>
      <c r="W227" s="81" t="str">
        <f t="shared" si="31"/>
        <v xml:space="preserve"> </v>
      </c>
      <c r="X227" s="81" t="str">
        <f t="shared" si="32"/>
        <v xml:space="preserve"> </v>
      </c>
      <c r="Y227" s="81" t="str">
        <f t="shared" si="33"/>
        <v xml:space="preserve"> </v>
      </c>
      <c r="Z227" s="79"/>
      <c r="AF227" s="79"/>
      <c r="AJ227" s="66"/>
      <c r="AK227" s="65"/>
    </row>
    <row r="228" spans="1:37" hidden="1">
      <c r="B228" s="65" t="s">
        <v>231</v>
      </c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U228" s="80"/>
      <c r="W228" s="81" t="str">
        <f t="shared" si="31"/>
        <v xml:space="preserve"> </v>
      </c>
      <c r="X228" s="81" t="str">
        <f t="shared" si="32"/>
        <v xml:space="preserve"> </v>
      </c>
      <c r="Y228" s="81" t="str">
        <f t="shared" si="33"/>
        <v xml:space="preserve"> </v>
      </c>
      <c r="Z228" s="79"/>
      <c r="AF228" s="79"/>
      <c r="AJ228" s="66"/>
      <c r="AK228" s="65"/>
    </row>
    <row r="229" spans="1:37" hidden="1">
      <c r="B229" s="83" t="s">
        <v>170</v>
      </c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U229" s="80"/>
      <c r="W229" s="81" t="str">
        <f t="shared" si="31"/>
        <v xml:space="preserve"> </v>
      </c>
      <c r="X229" s="81" t="str">
        <f t="shared" si="32"/>
        <v xml:space="preserve"> </v>
      </c>
      <c r="Y229" s="81" t="str">
        <f t="shared" si="33"/>
        <v xml:space="preserve"> </v>
      </c>
      <c r="Z229" s="79"/>
      <c r="AF229" s="79"/>
      <c r="AJ229" s="66"/>
      <c r="AK229" s="65"/>
    </row>
    <row r="230" spans="1:37" hidden="1"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U230" s="80"/>
      <c r="W230" s="81" t="str">
        <f t="shared" si="31"/>
        <v xml:space="preserve"> </v>
      </c>
      <c r="X230" s="81" t="str">
        <f t="shared" si="32"/>
        <v xml:space="preserve"> </v>
      </c>
      <c r="Y230" s="81" t="str">
        <f t="shared" si="33"/>
        <v xml:space="preserve"> </v>
      </c>
      <c r="Z230" s="79"/>
      <c r="AF230" s="79"/>
      <c r="AJ230" s="66"/>
      <c r="AK230" s="65"/>
    </row>
    <row r="231" spans="1:37" hidden="1">
      <c r="A231" s="65">
        <f>A226+1</f>
        <v>4</v>
      </c>
      <c r="B231" s="71" t="s">
        <v>232</v>
      </c>
      <c r="C231" s="78">
        <v>6417</v>
      </c>
      <c r="D231" s="79">
        <f t="shared" ref="D231:D238" si="35">C231-E231-SUM(G231:I231)-SUM(M231:N231)-R231-S231</f>
        <v>3379</v>
      </c>
      <c r="E231" s="79">
        <f>ROUND(E$49/($C$49-$S49)*($C231-$S231),0)</f>
        <v>86</v>
      </c>
      <c r="F231" s="79">
        <f t="shared" ref="F231:F238" si="36">D231+E231</f>
        <v>3465</v>
      </c>
      <c r="G231" s="79">
        <f t="shared" ref="G231:L231" si="37">ROUND(G$49/($C$49-$S49)*($C231-$S231),0)</f>
        <v>169</v>
      </c>
      <c r="H231" s="79">
        <f t="shared" si="37"/>
        <v>1367</v>
      </c>
      <c r="I231" s="79">
        <f t="shared" si="37"/>
        <v>794</v>
      </c>
      <c r="J231" s="79">
        <f t="shared" si="37"/>
        <v>341</v>
      </c>
      <c r="K231" s="79">
        <f t="shared" si="37"/>
        <v>25</v>
      </c>
      <c r="L231" s="79">
        <f t="shared" si="37"/>
        <v>14</v>
      </c>
      <c r="M231" s="79">
        <f t="shared" ref="M231:M239" si="38">SUM(J231:L231)</f>
        <v>380</v>
      </c>
      <c r="N231" s="79">
        <f>ROUND(N$49/($C$49-$S49)*($C231-$S231),0)</f>
        <v>26</v>
      </c>
      <c r="O231" s="79">
        <f t="shared" ref="O231:O239" si="39">SUM(F231:I231)+SUM(M231:N231)</f>
        <v>6201</v>
      </c>
      <c r="P231" s="79">
        <f>ROUND(P$49/($C$49-$S49)*($C231-$S231),0)</f>
        <v>194</v>
      </c>
      <c r="Q231" s="79">
        <f>ROUND(Q$49/($C$49-$S49)*($C231-$S231),0)</f>
        <v>22</v>
      </c>
      <c r="R231" s="79">
        <f t="shared" ref="R231:R239" si="40">P231+Q231</f>
        <v>216</v>
      </c>
      <c r="S231" s="78">
        <v>0</v>
      </c>
      <c r="U231" s="80">
        <f t="shared" ref="U231:U239" si="41">O231+R231+S231-C231</f>
        <v>0</v>
      </c>
      <c r="W231" s="81">
        <f t="shared" ref="W231:W239" si="42">IF((O231+R231)=0," ",ROUND((O231/(O231+R231)),7))</f>
        <v>0.96633939999999996</v>
      </c>
      <c r="X231" s="81">
        <f t="shared" ref="X231:X239" si="43">IF((C231)=0," ",ROUND((O231/(C231)),7))</f>
        <v>0.96633939999999996</v>
      </c>
      <c r="Y231" s="81">
        <f t="shared" ref="Y231:Y239" si="44">IF((C231)=0," ",ROUND((S231/(C231)),7))</f>
        <v>0</v>
      </c>
      <c r="Z231" s="79"/>
      <c r="AF231" s="79"/>
      <c r="AJ231" s="66"/>
      <c r="AK231" s="70"/>
    </row>
    <row r="232" spans="1:37" hidden="1">
      <c r="A232" s="65">
        <f t="shared" ref="A232:A239" si="45">A231+1</f>
        <v>5</v>
      </c>
      <c r="B232" s="66" t="s">
        <v>233</v>
      </c>
      <c r="C232" s="78">
        <f>3389+124-15</f>
        <v>3498</v>
      </c>
      <c r="D232" s="79">
        <f t="shared" si="35"/>
        <v>1853</v>
      </c>
      <c r="E232" s="79">
        <f>ROUND(E56/($C56-$S56)*($C232-$S232),0)</f>
        <v>47</v>
      </c>
      <c r="F232" s="79">
        <f t="shared" si="36"/>
        <v>1900</v>
      </c>
      <c r="G232" s="79">
        <f t="shared" ref="G232:L232" si="46">ROUND(G56/($C56-$S56)*($C232-$S232),0)</f>
        <v>93</v>
      </c>
      <c r="H232" s="79">
        <f t="shared" si="46"/>
        <v>751</v>
      </c>
      <c r="I232" s="79">
        <f t="shared" si="46"/>
        <v>425</v>
      </c>
      <c r="J232" s="79">
        <f t="shared" si="46"/>
        <v>183</v>
      </c>
      <c r="K232" s="79">
        <f t="shared" si="46"/>
        <v>14</v>
      </c>
      <c r="L232" s="79">
        <f t="shared" si="46"/>
        <v>8</v>
      </c>
      <c r="M232" s="79">
        <f t="shared" si="38"/>
        <v>205</v>
      </c>
      <c r="N232" s="79">
        <f>ROUND(N56/($C56-$S56)*($C232-$S232),0)</f>
        <v>15</v>
      </c>
      <c r="O232" s="79">
        <f t="shared" si="39"/>
        <v>3389</v>
      </c>
      <c r="P232" s="79">
        <f>ROUND(P56/($C56-$S56)*($C232-$S232),0)</f>
        <v>98</v>
      </c>
      <c r="Q232" s="79">
        <f>ROUND(Q56/($C56-$S56)*($C232-$S232),0)</f>
        <v>11</v>
      </c>
      <c r="R232" s="79">
        <f t="shared" si="40"/>
        <v>109</v>
      </c>
      <c r="S232" s="78">
        <v>0</v>
      </c>
      <c r="U232" s="80">
        <f t="shared" si="41"/>
        <v>0</v>
      </c>
      <c r="W232" s="81">
        <f t="shared" si="42"/>
        <v>0.96883929999999996</v>
      </c>
      <c r="X232" s="81">
        <f t="shared" si="43"/>
        <v>0.96883929999999996</v>
      </c>
      <c r="Y232" s="81">
        <f t="shared" si="44"/>
        <v>0</v>
      </c>
      <c r="Z232" s="79"/>
      <c r="AF232" s="79"/>
      <c r="AJ232" s="66"/>
      <c r="AK232" s="70"/>
    </row>
    <row r="233" spans="1:37" hidden="1">
      <c r="A233" s="65">
        <f t="shared" si="45"/>
        <v>6</v>
      </c>
      <c r="B233" s="66" t="s">
        <v>234</v>
      </c>
      <c r="C233" s="78">
        <f>38984+2554-223</f>
        <v>41315</v>
      </c>
      <c r="D233" s="79">
        <f t="shared" si="35"/>
        <v>20633.315999999999</v>
      </c>
      <c r="E233" s="79">
        <f>ROUND(E62/($C62-$S62)*($C233-$S233),0)</f>
        <v>527</v>
      </c>
      <c r="F233" s="79">
        <f t="shared" si="36"/>
        <v>21160.315999999999</v>
      </c>
      <c r="G233" s="79">
        <f t="shared" ref="G233:L233" si="47">ROUND(G62/($C62-$S62)*($C233-$S233),0)</f>
        <v>1033</v>
      </c>
      <c r="H233" s="79">
        <f t="shared" si="47"/>
        <v>8351</v>
      </c>
      <c r="I233" s="79">
        <f t="shared" si="47"/>
        <v>4625</v>
      </c>
      <c r="J233" s="79">
        <f t="shared" si="47"/>
        <v>1973</v>
      </c>
      <c r="K233" s="79">
        <f t="shared" si="47"/>
        <v>155</v>
      </c>
      <c r="L233" s="79">
        <f t="shared" si="47"/>
        <v>86</v>
      </c>
      <c r="M233" s="79">
        <f t="shared" si="38"/>
        <v>2214</v>
      </c>
      <c r="N233" s="79">
        <f>ROUND(N62/($C62-$S62)*($C233-$S233),0)</f>
        <v>163</v>
      </c>
      <c r="O233" s="79">
        <f t="shared" si="39"/>
        <v>37546.315999999999</v>
      </c>
      <c r="P233" s="79">
        <f>ROUND(P62/($C62-$S62)*($C233-$S233),0)</f>
        <v>979</v>
      </c>
      <c r="Q233" s="79">
        <f>ROUND(Q62/($C62-$S62)*($C233-$S233),0)</f>
        <v>112</v>
      </c>
      <c r="R233" s="79">
        <f t="shared" si="40"/>
        <v>1091</v>
      </c>
      <c r="S233" s="78">
        <v>2677.6840000000002</v>
      </c>
      <c r="U233" s="80">
        <f t="shared" si="41"/>
        <v>0</v>
      </c>
      <c r="W233" s="81">
        <f t="shared" si="42"/>
        <v>0.97176300000000004</v>
      </c>
      <c r="X233" s="81">
        <f t="shared" si="43"/>
        <v>0.90878170000000003</v>
      </c>
      <c r="Y233" s="81">
        <f t="shared" si="44"/>
        <v>6.4811400000000005E-2</v>
      </c>
      <c r="Z233" s="79"/>
      <c r="AF233" s="79"/>
      <c r="AJ233" s="66"/>
      <c r="AK233" s="70"/>
    </row>
    <row r="234" spans="1:37" hidden="1">
      <c r="A234" s="65">
        <f t="shared" si="45"/>
        <v>7</v>
      </c>
      <c r="B234" s="66" t="s">
        <v>235</v>
      </c>
      <c r="C234" s="78">
        <f>15419-53</f>
        <v>15366</v>
      </c>
      <c r="D234" s="79">
        <f t="shared" si="35"/>
        <v>8086</v>
      </c>
      <c r="E234" s="79">
        <f>ROUND(E65/($C65-$S65)*($C234-$S234),0)</f>
        <v>207</v>
      </c>
      <c r="F234" s="79">
        <f t="shared" si="36"/>
        <v>8293</v>
      </c>
      <c r="G234" s="79">
        <f t="shared" ref="G234:L234" si="48">ROUND(G65/($C65-$S65)*($C234-$S234),0)</f>
        <v>405</v>
      </c>
      <c r="H234" s="79">
        <f t="shared" si="48"/>
        <v>3273</v>
      </c>
      <c r="I234" s="79">
        <f t="shared" si="48"/>
        <v>1902</v>
      </c>
      <c r="J234" s="79">
        <f t="shared" si="48"/>
        <v>817</v>
      </c>
      <c r="K234" s="79">
        <f t="shared" si="48"/>
        <v>59</v>
      </c>
      <c r="L234" s="79">
        <f t="shared" si="48"/>
        <v>34</v>
      </c>
      <c r="M234" s="79">
        <f t="shared" si="38"/>
        <v>910</v>
      </c>
      <c r="N234" s="79">
        <f>ROUND(N65/($C65-$S65)*($C234-$S234),0)</f>
        <v>64</v>
      </c>
      <c r="O234" s="79">
        <f t="shared" si="39"/>
        <v>14847</v>
      </c>
      <c r="P234" s="79">
        <f>ROUND(P65/($C65-$S65)*($C234-$S234),0)</f>
        <v>466</v>
      </c>
      <c r="Q234" s="79">
        <f>ROUND(Q65/($C65-$S65)*($C234-$S234),0)</f>
        <v>53</v>
      </c>
      <c r="R234" s="79">
        <f t="shared" si="40"/>
        <v>519</v>
      </c>
      <c r="S234" s="78">
        <v>0</v>
      </c>
      <c r="U234" s="80">
        <f t="shared" si="41"/>
        <v>0</v>
      </c>
      <c r="W234" s="81">
        <f t="shared" si="42"/>
        <v>0.96622410000000003</v>
      </c>
      <c r="X234" s="81">
        <f t="shared" si="43"/>
        <v>0.96622410000000003</v>
      </c>
      <c r="Y234" s="81">
        <f t="shared" si="44"/>
        <v>0</v>
      </c>
      <c r="Z234" s="79"/>
      <c r="AF234" s="79"/>
      <c r="AJ234" s="66"/>
      <c r="AK234" s="70"/>
    </row>
    <row r="235" spans="1:37" hidden="1">
      <c r="A235" s="65">
        <f t="shared" si="45"/>
        <v>8</v>
      </c>
      <c r="B235" s="66" t="s">
        <v>236</v>
      </c>
      <c r="C235" s="78">
        <f>30442-77</f>
        <v>30365</v>
      </c>
      <c r="D235" s="79">
        <f t="shared" si="35"/>
        <v>15980</v>
      </c>
      <c r="E235" s="79">
        <f>ROUND(E68/($C68-$S68)*($C235-$S235),0)</f>
        <v>408</v>
      </c>
      <c r="F235" s="79">
        <f t="shared" si="36"/>
        <v>16388</v>
      </c>
      <c r="G235" s="79">
        <f t="shared" ref="G235:L235" si="49">ROUND(G68/($C68-$S68)*($C235-$S235),0)</f>
        <v>800</v>
      </c>
      <c r="H235" s="79">
        <f t="shared" si="49"/>
        <v>6468</v>
      </c>
      <c r="I235" s="79">
        <f t="shared" si="49"/>
        <v>3758</v>
      </c>
      <c r="J235" s="79">
        <f t="shared" si="49"/>
        <v>1615</v>
      </c>
      <c r="K235" s="79">
        <f t="shared" si="49"/>
        <v>117</v>
      </c>
      <c r="L235" s="79">
        <f t="shared" si="49"/>
        <v>67</v>
      </c>
      <c r="M235" s="79">
        <f t="shared" si="38"/>
        <v>1799</v>
      </c>
      <c r="N235" s="79">
        <f>ROUND(N68/($C68-$S68)*($C235-$S235),0)</f>
        <v>126</v>
      </c>
      <c r="O235" s="79">
        <f t="shared" si="39"/>
        <v>29339</v>
      </c>
      <c r="P235" s="79">
        <f>ROUND(P68/($C68-$S68)*($C235-$S235),0)</f>
        <v>920</v>
      </c>
      <c r="Q235" s="79">
        <f>ROUND(Q68/($C68-$S68)*($C235-$S235),0)</f>
        <v>106</v>
      </c>
      <c r="R235" s="79">
        <f t="shared" si="40"/>
        <v>1026</v>
      </c>
      <c r="S235" s="78">
        <v>0</v>
      </c>
      <c r="U235" s="80">
        <f t="shared" si="41"/>
        <v>0</v>
      </c>
      <c r="W235" s="81">
        <f t="shared" si="42"/>
        <v>0.96621109999999999</v>
      </c>
      <c r="X235" s="81">
        <f t="shared" si="43"/>
        <v>0.96621109999999999</v>
      </c>
      <c r="Y235" s="81">
        <f t="shared" si="44"/>
        <v>0</v>
      </c>
      <c r="Z235" s="79"/>
      <c r="AF235" s="79"/>
      <c r="AJ235" s="66"/>
      <c r="AK235" s="70"/>
    </row>
    <row r="236" spans="1:37" hidden="1">
      <c r="A236" s="65">
        <f t="shared" si="45"/>
        <v>9</v>
      </c>
      <c r="B236" s="66" t="s">
        <v>237</v>
      </c>
      <c r="C236" s="78">
        <f>25021-59</f>
        <v>24962</v>
      </c>
      <c r="D236" s="79">
        <f t="shared" si="35"/>
        <v>13135</v>
      </c>
      <c r="E236" s="79">
        <f>ROUND(E71/($C71-$S71)*($C236-$S236),0)</f>
        <v>336</v>
      </c>
      <c r="F236" s="79">
        <f t="shared" si="36"/>
        <v>13471</v>
      </c>
      <c r="G236" s="79">
        <f t="shared" ref="G236:L236" si="50">ROUND(G71/($C71-$S71)*($C236-$S236),0)</f>
        <v>658</v>
      </c>
      <c r="H236" s="79">
        <f t="shared" si="50"/>
        <v>5317</v>
      </c>
      <c r="I236" s="79">
        <f t="shared" si="50"/>
        <v>3089</v>
      </c>
      <c r="J236" s="79">
        <f t="shared" si="50"/>
        <v>1328</v>
      </c>
      <c r="K236" s="79">
        <f t="shared" si="50"/>
        <v>96</v>
      </c>
      <c r="L236" s="79">
        <f t="shared" si="50"/>
        <v>55</v>
      </c>
      <c r="M236" s="79">
        <f t="shared" si="38"/>
        <v>1479</v>
      </c>
      <c r="N236" s="79">
        <f>ROUND(N71/($C71-$S71)*($C236-$S236),0)</f>
        <v>104</v>
      </c>
      <c r="O236" s="79">
        <f t="shared" si="39"/>
        <v>24118</v>
      </c>
      <c r="P236" s="79">
        <f>ROUND(P71/($C71-$S71)*($C236-$S236),0)</f>
        <v>757</v>
      </c>
      <c r="Q236" s="79">
        <f>ROUND(Q71/($C71-$S71)*($C236-$S236),0)</f>
        <v>87</v>
      </c>
      <c r="R236" s="79">
        <f t="shared" si="40"/>
        <v>844</v>
      </c>
      <c r="S236" s="78">
        <v>0</v>
      </c>
      <c r="U236" s="80">
        <f t="shared" si="41"/>
        <v>0</v>
      </c>
      <c r="W236" s="81">
        <f t="shared" si="42"/>
        <v>0.96618859999999995</v>
      </c>
      <c r="X236" s="81">
        <f t="shared" si="43"/>
        <v>0.96618859999999995</v>
      </c>
      <c r="Y236" s="81">
        <f t="shared" si="44"/>
        <v>0</v>
      </c>
      <c r="Z236" s="79"/>
      <c r="AF236" s="79"/>
      <c r="AJ236" s="66"/>
      <c r="AK236" s="70"/>
    </row>
    <row r="237" spans="1:37" hidden="1">
      <c r="A237" s="65">
        <f t="shared" si="45"/>
        <v>10</v>
      </c>
      <c r="B237" s="66" t="s">
        <v>238</v>
      </c>
      <c r="C237" s="78">
        <v>5264</v>
      </c>
      <c r="D237" s="79">
        <f t="shared" si="35"/>
        <v>2770</v>
      </c>
      <c r="E237" s="79">
        <f>ROUND(E74/($C74-$S74)*($C237-$S237),0)</f>
        <v>71</v>
      </c>
      <c r="F237" s="79">
        <f t="shared" si="36"/>
        <v>2841</v>
      </c>
      <c r="G237" s="79">
        <f t="shared" ref="G237:L237" si="51">ROUND(G74/($C74-$S74)*($C237-$S237),0)</f>
        <v>139</v>
      </c>
      <c r="H237" s="79">
        <f t="shared" si="51"/>
        <v>1121</v>
      </c>
      <c r="I237" s="79">
        <f t="shared" si="51"/>
        <v>652</v>
      </c>
      <c r="J237" s="79">
        <f t="shared" si="51"/>
        <v>280</v>
      </c>
      <c r="K237" s="79">
        <f t="shared" si="51"/>
        <v>20</v>
      </c>
      <c r="L237" s="79">
        <f t="shared" si="51"/>
        <v>11</v>
      </c>
      <c r="M237" s="79">
        <f t="shared" si="38"/>
        <v>311</v>
      </c>
      <c r="N237" s="79">
        <f>ROUND(N74/($C74-$S74)*($C237-$S237),0)</f>
        <v>22</v>
      </c>
      <c r="O237" s="79">
        <f t="shared" si="39"/>
        <v>5086</v>
      </c>
      <c r="P237" s="79">
        <f>ROUND(P74/($C74-$S74)*($C237-$S237),0)</f>
        <v>160</v>
      </c>
      <c r="Q237" s="79">
        <f>ROUND(Q74/($C74-$S74)*($C237-$S237),0)</f>
        <v>18</v>
      </c>
      <c r="R237" s="79">
        <f t="shared" si="40"/>
        <v>178</v>
      </c>
      <c r="S237" s="79">
        <v>0</v>
      </c>
      <c r="U237" s="80">
        <f t="shared" si="41"/>
        <v>0</v>
      </c>
      <c r="W237" s="81">
        <f t="shared" si="42"/>
        <v>0.96618539999999997</v>
      </c>
      <c r="X237" s="81">
        <f t="shared" si="43"/>
        <v>0.96618539999999997</v>
      </c>
      <c r="Y237" s="81">
        <f t="shared" si="44"/>
        <v>0</v>
      </c>
      <c r="Z237" s="79"/>
      <c r="AF237" s="79"/>
      <c r="AJ237" s="66"/>
      <c r="AK237" s="70"/>
    </row>
    <row r="238" spans="1:37" hidden="1">
      <c r="A238" s="65">
        <f t="shared" si="45"/>
        <v>11</v>
      </c>
      <c r="B238" s="66" t="s">
        <v>239</v>
      </c>
      <c r="C238" s="78">
        <f>23+4-4</f>
        <v>23</v>
      </c>
      <c r="D238" s="79">
        <f t="shared" si="35"/>
        <v>12</v>
      </c>
      <c r="E238" s="79">
        <f>ROUND(E77/($C77-$S77)*($C238-$S238),0)</f>
        <v>0</v>
      </c>
      <c r="F238" s="79">
        <f t="shared" si="36"/>
        <v>12</v>
      </c>
      <c r="G238" s="79">
        <f t="shared" ref="G238:L238" si="52">ROUND(G77/($C77-$S77)*($C238-$S238),0)</f>
        <v>1</v>
      </c>
      <c r="H238" s="79">
        <f t="shared" si="52"/>
        <v>5</v>
      </c>
      <c r="I238" s="79">
        <f t="shared" si="52"/>
        <v>3</v>
      </c>
      <c r="J238" s="79">
        <f t="shared" si="52"/>
        <v>1</v>
      </c>
      <c r="K238" s="79">
        <f t="shared" si="52"/>
        <v>0</v>
      </c>
      <c r="L238" s="79">
        <f t="shared" si="52"/>
        <v>0</v>
      </c>
      <c r="M238" s="79">
        <f t="shared" si="38"/>
        <v>1</v>
      </c>
      <c r="N238" s="79">
        <f>ROUND(N77/($C77-$S77)*($C238-$S238),0)</f>
        <v>0</v>
      </c>
      <c r="O238" s="79">
        <f t="shared" si="39"/>
        <v>22</v>
      </c>
      <c r="P238" s="79">
        <f>ROUND(P77/($C77-$S77)*($C238-$S238),0)</f>
        <v>1</v>
      </c>
      <c r="Q238" s="79">
        <f>ROUND(Q77/($C77-$S77)*($C238-$S238),0)</f>
        <v>0</v>
      </c>
      <c r="R238" s="79">
        <f t="shared" si="40"/>
        <v>1</v>
      </c>
      <c r="S238" s="78">
        <v>0</v>
      </c>
      <c r="U238" s="80">
        <f t="shared" si="41"/>
        <v>0</v>
      </c>
      <c r="W238" s="81">
        <f t="shared" si="42"/>
        <v>0.95652170000000003</v>
      </c>
      <c r="X238" s="81">
        <f t="shared" si="43"/>
        <v>0.95652170000000003</v>
      </c>
      <c r="Y238" s="81">
        <f t="shared" si="44"/>
        <v>0</v>
      </c>
      <c r="Z238" s="79"/>
      <c r="AF238" s="79"/>
      <c r="AJ238" s="66"/>
      <c r="AK238" s="70"/>
    </row>
    <row r="239" spans="1:37" hidden="1">
      <c r="A239" s="65">
        <f t="shared" si="45"/>
        <v>12</v>
      </c>
      <c r="B239" s="66" t="s">
        <v>240</v>
      </c>
      <c r="C239" s="79">
        <f>O239+R239+S239</f>
        <v>127209.99999999999</v>
      </c>
      <c r="D239" s="79">
        <f t="shared" ref="D239:L239" si="53">SUM(D231:D238)</f>
        <v>65848.315999999992</v>
      </c>
      <c r="E239" s="79">
        <f t="shared" si="53"/>
        <v>1682</v>
      </c>
      <c r="F239" s="79">
        <f t="shared" si="53"/>
        <v>67530.315999999992</v>
      </c>
      <c r="G239" s="79">
        <f t="shared" si="53"/>
        <v>3298</v>
      </c>
      <c r="H239" s="79">
        <f t="shared" si="53"/>
        <v>26653</v>
      </c>
      <c r="I239" s="79">
        <f t="shared" si="53"/>
        <v>15248</v>
      </c>
      <c r="J239" s="79">
        <f t="shared" si="53"/>
        <v>6538</v>
      </c>
      <c r="K239" s="79">
        <f t="shared" si="53"/>
        <v>486</v>
      </c>
      <c r="L239" s="79">
        <f t="shared" si="53"/>
        <v>275</v>
      </c>
      <c r="M239" s="79">
        <f t="shared" si="38"/>
        <v>7299</v>
      </c>
      <c r="N239" s="79">
        <f>SUM(N231:N238)</f>
        <v>520</v>
      </c>
      <c r="O239" s="79">
        <f t="shared" si="39"/>
        <v>120548.31599999999</v>
      </c>
      <c r="P239" s="79">
        <f>SUM(P231:P238)</f>
        <v>3575</v>
      </c>
      <c r="Q239" s="79">
        <f>SUM(Q231:Q238)</f>
        <v>409</v>
      </c>
      <c r="R239" s="79">
        <f t="shared" si="40"/>
        <v>3984</v>
      </c>
      <c r="S239" s="79">
        <f>SUM(S231:S238)</f>
        <v>2677.6840000000002</v>
      </c>
      <c r="U239" s="80">
        <f t="shared" si="41"/>
        <v>0</v>
      </c>
      <c r="W239" s="81">
        <f t="shared" si="42"/>
        <v>0.96800830000000004</v>
      </c>
      <c r="X239" s="81">
        <f t="shared" si="43"/>
        <v>0.94763240000000004</v>
      </c>
      <c r="Y239" s="81">
        <f t="shared" si="44"/>
        <v>2.10493E-2</v>
      </c>
      <c r="Z239" s="79"/>
      <c r="AF239" s="79"/>
      <c r="AJ239" s="66"/>
      <c r="AK239" s="65"/>
    </row>
    <row r="240" spans="1:37" hidden="1"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U240" s="80"/>
      <c r="W240" s="81" t="str">
        <f>IF((P240+Q240)=0," ",ROUND((P240/(P240+Q240)),74))</f>
        <v xml:space="preserve"> </v>
      </c>
      <c r="X240" s="81" t="str">
        <f>IF((C240)=0," ",ROUND((P240/(C240)),74))</f>
        <v xml:space="preserve"> </v>
      </c>
      <c r="Y240" s="81" t="str">
        <f>IF((C240)=0," ",ROUND((R240/(C240)),7))</f>
        <v xml:space="preserve"> </v>
      </c>
      <c r="Z240" s="79"/>
      <c r="AF240" s="79"/>
      <c r="AJ240" s="66"/>
      <c r="AK240" s="65"/>
    </row>
    <row r="241" spans="1:37" hidden="1">
      <c r="B241" s="65" t="s">
        <v>241</v>
      </c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U241" s="80"/>
      <c r="W241" s="81" t="str">
        <f>IF((P241+Q241)=0," ",ROUND((P241/(P241+Q241)),74))</f>
        <v xml:space="preserve"> </v>
      </c>
      <c r="X241" s="81" t="str">
        <f>IF((C241)=0," ",ROUND((P241/(C241)),74))</f>
        <v xml:space="preserve"> </v>
      </c>
      <c r="Y241" s="81" t="str">
        <f>IF((C241)=0," ",ROUND((R241/(C241)),7))</f>
        <v xml:space="preserve"> </v>
      </c>
      <c r="Z241" s="79"/>
      <c r="AF241" s="79"/>
      <c r="AJ241" s="66"/>
      <c r="AK241" s="65"/>
    </row>
    <row r="242" spans="1:37" hidden="1">
      <c r="B242" s="83" t="s">
        <v>170</v>
      </c>
      <c r="W242" s="81" t="str">
        <f>IF((P242+Q242)=0," ",ROUND((P242/(P242+Q242)),74))</f>
        <v xml:space="preserve"> </v>
      </c>
      <c r="X242" s="81" t="str">
        <f>IF((C242)=0," ",ROUND((P242/(C242)),74))</f>
        <v xml:space="preserve"> </v>
      </c>
      <c r="Y242" s="81" t="str">
        <f>IF((C242)=0," ",ROUND((R242/(C242)),7))</f>
        <v xml:space="preserve"> </v>
      </c>
      <c r="AJ242" s="66"/>
      <c r="AK242" s="65"/>
    </row>
    <row r="243" spans="1:37" hidden="1">
      <c r="W243" s="81" t="str">
        <f>IF((P243+Q243)=0," ",ROUND((P243/(P243+Q243)),74))</f>
        <v xml:space="preserve"> </v>
      </c>
      <c r="X243" s="81" t="str">
        <f>IF((C243)=0," ",ROUND((P243/(C243)),74))</f>
        <v xml:space="preserve"> </v>
      </c>
      <c r="Y243" s="81" t="str">
        <f>IF((C243)=0," ",ROUND((R243/(C243)),7))</f>
        <v xml:space="preserve"> </v>
      </c>
      <c r="AJ243" s="66"/>
      <c r="AK243" s="65"/>
    </row>
    <row r="244" spans="1:37" hidden="1">
      <c r="A244" s="65">
        <f>A239+1</f>
        <v>13</v>
      </c>
      <c r="B244" s="71" t="s">
        <v>242</v>
      </c>
      <c r="C244" s="78">
        <v>6</v>
      </c>
      <c r="D244" s="79">
        <f>C244-E244-SUM(G244:I244)-SUM(M244:N244)-R244-S244</f>
        <v>4</v>
      </c>
      <c r="E244" s="79">
        <f>ROUND(E96/($C96-$S96)*($C244-$S244),0)</f>
        <v>0</v>
      </c>
      <c r="F244" s="79">
        <f>D244+E244</f>
        <v>4</v>
      </c>
      <c r="G244" s="79">
        <f t="shared" ref="G244:L244" si="54">ROUND(G96/($C96-$S96)*($C244-$S244),0)</f>
        <v>0</v>
      </c>
      <c r="H244" s="79">
        <f t="shared" si="54"/>
        <v>1</v>
      </c>
      <c r="I244" s="79">
        <f t="shared" si="54"/>
        <v>1</v>
      </c>
      <c r="J244" s="79">
        <f t="shared" si="54"/>
        <v>0</v>
      </c>
      <c r="K244" s="79">
        <f t="shared" si="54"/>
        <v>0</v>
      </c>
      <c r="L244" s="79">
        <f t="shared" si="54"/>
        <v>0</v>
      </c>
      <c r="M244" s="79">
        <f>SUM(J244:L244)</f>
        <v>0</v>
      </c>
      <c r="N244" s="79">
        <f>ROUND(N96/($C96-$S96)*($C244-$S244),0)</f>
        <v>0</v>
      </c>
      <c r="O244" s="79">
        <f>SUM(F244:I244)+SUM(M244:N244)</f>
        <v>6</v>
      </c>
      <c r="P244" s="79">
        <f>ROUND(P96/($C96-$S96)*($C244-$S244),0)</f>
        <v>0</v>
      </c>
      <c r="Q244" s="79">
        <f>ROUND(Q96/($C96-$S96)*($C244-$S244),0)</f>
        <v>0</v>
      </c>
      <c r="R244" s="79">
        <f>P244+Q244</f>
        <v>0</v>
      </c>
      <c r="S244" s="79">
        <v>0</v>
      </c>
      <c r="U244" s="80">
        <f>O244+R244+S244-C244</f>
        <v>0</v>
      </c>
      <c r="W244" s="81">
        <f>IF((O244+R244)=0," ",ROUND((O244/(O244+R244)),7))</f>
        <v>1</v>
      </c>
      <c r="X244" s="81">
        <f>IF((C244)=0," ",ROUND((O244/(C244)),7))</f>
        <v>1</v>
      </c>
      <c r="Y244" s="81">
        <f>IF((C244)=0," ",ROUND((S244/(C244)),7))</f>
        <v>0</v>
      </c>
      <c r="Z244" s="79"/>
      <c r="AF244" s="79"/>
      <c r="AJ244" s="66"/>
      <c r="AK244" s="70"/>
    </row>
    <row r="245" spans="1:37" hidden="1">
      <c r="W245" s="81" t="str">
        <f>IF((P245+Q245)=0," ",ROUND((P245/(P245+Q245)),74))</f>
        <v xml:space="preserve"> </v>
      </c>
      <c r="X245" s="81" t="str">
        <f>IF((C245)=0," ",ROUND((P245/(C245)),74))</f>
        <v xml:space="preserve"> </v>
      </c>
      <c r="Y245" s="81" t="str">
        <f>IF((C245)=0," ",ROUND((R245/(C245)),7))</f>
        <v xml:space="preserve"> </v>
      </c>
      <c r="AJ245" s="66"/>
      <c r="AK245" s="65"/>
    </row>
    <row r="246" spans="1:37" hidden="1">
      <c r="A246" s="65">
        <f>A244+1</f>
        <v>14</v>
      </c>
      <c r="B246" s="66" t="s">
        <v>243</v>
      </c>
      <c r="C246" s="78">
        <v>7823</v>
      </c>
      <c r="D246" s="79">
        <f>C246-E246-SUM(G246:I246)-SUM(M246:N246)-R246-S246</f>
        <v>4111</v>
      </c>
      <c r="E246" s="79">
        <f>ROUND(E102/($C102-$S102)*($C246-$S246),0)</f>
        <v>105</v>
      </c>
      <c r="F246" s="79">
        <f>D246+E246</f>
        <v>4216</v>
      </c>
      <c r="G246" s="79">
        <f t="shared" ref="G246:L246" si="55">ROUND(G102/($C102-$S102)*($C246-$S246),0)</f>
        <v>206</v>
      </c>
      <c r="H246" s="79">
        <f t="shared" si="55"/>
        <v>1663</v>
      </c>
      <c r="I246" s="79">
        <f t="shared" si="55"/>
        <v>921</v>
      </c>
      <c r="J246" s="79">
        <f t="shared" si="55"/>
        <v>542</v>
      </c>
      <c r="K246" s="79">
        <f t="shared" si="55"/>
        <v>29</v>
      </c>
      <c r="L246" s="79">
        <f t="shared" si="55"/>
        <v>17</v>
      </c>
      <c r="M246" s="79">
        <f>SUM(J246:L246)</f>
        <v>588</v>
      </c>
      <c r="N246" s="79">
        <f>ROUND(N102/($C102-$S102)*($C246-$S246),0)</f>
        <v>32</v>
      </c>
      <c r="O246" s="79">
        <f>SUM(F246:I246)+SUM(M246:N246)</f>
        <v>7626</v>
      </c>
      <c r="P246" s="79">
        <f>ROUND(P102/($C102-$S102)*($C246-$S246),0)</f>
        <v>174</v>
      </c>
      <c r="Q246" s="79">
        <f>ROUND(Q102/($C102-$S102)*($C246-$S246),0)</f>
        <v>23</v>
      </c>
      <c r="R246" s="79">
        <f>P246+Q246</f>
        <v>197</v>
      </c>
      <c r="S246" s="79">
        <v>0</v>
      </c>
      <c r="U246" s="80">
        <f>O246+R246+S246-C246</f>
        <v>0</v>
      </c>
      <c r="W246" s="81">
        <f>IF((O246+R246)=0," ",ROUND((O246/(O246+R246)),7))</f>
        <v>0.97481779999999996</v>
      </c>
      <c r="X246" s="81">
        <f>IF((C246)=0," ",ROUND((O246/(C246)),7))</f>
        <v>0.97481779999999996</v>
      </c>
      <c r="Y246" s="81">
        <f>IF((C246)=0," ",ROUND((S246/(C246)),7))</f>
        <v>0</v>
      </c>
      <c r="Z246" s="79"/>
      <c r="AF246" s="79"/>
      <c r="AJ246" s="66"/>
      <c r="AK246" s="70"/>
    </row>
    <row r="247" spans="1:37" hidden="1">
      <c r="W247" s="81" t="str">
        <f>IF((P247+Q247)=0," ",ROUND((P247/(P247+Q247)),74))</f>
        <v xml:space="preserve"> </v>
      </c>
      <c r="X247" s="81" t="str">
        <f>IF((C247)=0," ",ROUND((P247/(C247)),74))</f>
        <v xml:space="preserve"> </v>
      </c>
      <c r="Y247" s="81" t="str">
        <f>IF((C247)=0," ",ROUND((R247/(C247)),7))</f>
        <v xml:space="preserve"> </v>
      </c>
      <c r="AJ247" s="66"/>
      <c r="AK247" s="65"/>
    </row>
    <row r="248" spans="1:37" hidden="1">
      <c r="A248" s="65">
        <f>A246+1</f>
        <v>15</v>
      </c>
      <c r="B248" s="66" t="s">
        <v>244</v>
      </c>
      <c r="C248" s="78">
        <f>70397-231</f>
        <v>70166</v>
      </c>
      <c r="D248" s="79">
        <f>C248-E248-SUM(G248:I248)-SUM(M248:N248)-R248-S248</f>
        <v>37024</v>
      </c>
      <c r="E248" s="79">
        <f>ROUND(E108/($C108-$S108)*($C248-$S248),0)</f>
        <v>947</v>
      </c>
      <c r="F248" s="79">
        <f>D248+E248</f>
        <v>37971</v>
      </c>
      <c r="G248" s="79">
        <f t="shared" ref="G248:L248" si="56">ROUND(G108/($C108-$S108)*($C248-$S248),0)</f>
        <v>1854</v>
      </c>
      <c r="H248" s="79">
        <f t="shared" si="56"/>
        <v>14986</v>
      </c>
      <c r="I248" s="79">
        <f t="shared" si="56"/>
        <v>7765</v>
      </c>
      <c r="J248" s="79">
        <f t="shared" si="56"/>
        <v>5283</v>
      </c>
      <c r="K248" s="79">
        <f t="shared" si="56"/>
        <v>261</v>
      </c>
      <c r="L248" s="79">
        <f t="shared" si="56"/>
        <v>155</v>
      </c>
      <c r="M248" s="79">
        <f>SUM(J248:L248)</f>
        <v>5699</v>
      </c>
      <c r="N248" s="79">
        <f>ROUND(N108/($C108-$S108)*($C248-$S248),0)</f>
        <v>293</v>
      </c>
      <c r="O248" s="79">
        <f>SUM(F248:I248)+SUM(M248:N248)</f>
        <v>68568</v>
      </c>
      <c r="P248" s="79">
        <f>ROUND(P108/($C108-$S108)*($C248-$S248),0)</f>
        <v>1469</v>
      </c>
      <c r="Q248" s="79">
        <f>ROUND(Q108/($C108-$S108)*($C248-$S248),0)</f>
        <v>129</v>
      </c>
      <c r="R248" s="79">
        <f>P248+Q248</f>
        <v>1598</v>
      </c>
      <c r="S248" s="79">
        <v>0</v>
      </c>
      <c r="U248" s="80">
        <f>O248+R248+S248-C248</f>
        <v>0</v>
      </c>
      <c r="W248" s="81">
        <f>IF((O248+R248)=0," ",ROUND((O248/(O248+R248)),7))</f>
        <v>0.97722540000000002</v>
      </c>
      <c r="X248" s="81">
        <f>IF((C248)=0," ",ROUND((O248/(C248)),7))</f>
        <v>0.97722540000000002</v>
      </c>
      <c r="Y248" s="81">
        <f>IF((C248)=0," ",ROUND((S248/(C248)),7))</f>
        <v>0</v>
      </c>
      <c r="Z248" s="79"/>
      <c r="AF248" s="79"/>
      <c r="AJ248" s="66"/>
      <c r="AK248" s="70"/>
    </row>
    <row r="249" spans="1:37" hidden="1">
      <c r="W249" s="81" t="str">
        <f>IF((P249+Q249)=0," ",ROUND((P249/(P249+Q249)),74))</f>
        <v xml:space="preserve"> </v>
      </c>
      <c r="X249" s="81" t="str">
        <f>IF((C249)=0," ",ROUND((P249/(C249)),74))</f>
        <v xml:space="preserve"> </v>
      </c>
      <c r="Y249" s="81" t="str">
        <f>IF((C249)=0," ",ROUND((R249/(C249)),7))</f>
        <v xml:space="preserve"> </v>
      </c>
      <c r="AJ249" s="66"/>
      <c r="AK249" s="65"/>
    </row>
    <row r="250" spans="1:37" hidden="1">
      <c r="B250" s="66" t="s">
        <v>245</v>
      </c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U250" s="80"/>
      <c r="W250" s="81" t="str">
        <f>IF((P250+Q250)=0," ",ROUND((P250/(P250+Q250)),74))</f>
        <v xml:space="preserve"> </v>
      </c>
      <c r="X250" s="81" t="str">
        <f>IF((C250)=0," ",ROUND((P250/(C250)),74))</f>
        <v xml:space="preserve"> </v>
      </c>
      <c r="Y250" s="81" t="str">
        <f>IF((C250)=0," ",ROUND((R250/(C250)),7))</f>
        <v xml:space="preserve"> </v>
      </c>
      <c r="Z250" s="79"/>
      <c r="AF250" s="79"/>
      <c r="AJ250" s="66"/>
      <c r="AK250" s="65"/>
    </row>
    <row r="251" spans="1:37" hidden="1">
      <c r="A251" s="65">
        <f>A248+1</f>
        <v>16</v>
      </c>
      <c r="B251" s="66" t="s">
        <v>246</v>
      </c>
      <c r="C251" s="79">
        <f>ROUND((C111+C113)/C115*C253,0)</f>
        <v>18682</v>
      </c>
      <c r="D251" s="79">
        <f>C251-E251-SUM(G251:I251)-SUM(M251:N251)-R251-S251</f>
        <v>10712</v>
      </c>
      <c r="E251" s="79">
        <f>ROUND((E111+E113)/($C111-$S111+$C113-$S113)*($C251-$S251),0)</f>
        <v>355</v>
      </c>
      <c r="F251" s="79">
        <f>D251+E251</f>
        <v>11067</v>
      </c>
      <c r="G251" s="79">
        <f t="shared" ref="G251:L251" si="57">ROUND((G111+G113)/($C111-$S111+$C113-$S113)*($C251-$S251),0)</f>
        <v>571</v>
      </c>
      <c r="H251" s="79">
        <f t="shared" si="57"/>
        <v>4311</v>
      </c>
      <c r="I251" s="79">
        <f t="shared" si="57"/>
        <v>1648</v>
      </c>
      <c r="J251" s="79">
        <f t="shared" si="57"/>
        <v>612</v>
      </c>
      <c r="K251" s="79">
        <f t="shared" si="57"/>
        <v>166</v>
      </c>
      <c r="L251" s="79">
        <f t="shared" si="57"/>
        <v>30</v>
      </c>
      <c r="M251" s="79">
        <f>SUM(J251:L251)</f>
        <v>808</v>
      </c>
      <c r="N251" s="79">
        <f>ROUND((N111+N113)/($C111-$S111+$C113-$S113)*($C251-$S251),0)</f>
        <v>277</v>
      </c>
      <c r="O251" s="79">
        <f>SUM(F251:I251)+SUM(M251:N251)</f>
        <v>18682</v>
      </c>
      <c r="P251" s="79">
        <f>ROUND((P111+P113)/($C111-$S111+$C113-$S113)*($C251-$S251),0)</f>
        <v>0</v>
      </c>
      <c r="Q251" s="79">
        <f>ROUND((Q111+Q113)/($C111-$S111+$C113-$S113)*($C251-$S251),0)</f>
        <v>0</v>
      </c>
      <c r="R251" s="79">
        <f>P251+Q251</f>
        <v>0</v>
      </c>
      <c r="S251" s="79">
        <v>0</v>
      </c>
      <c r="U251" s="80">
        <f>O251+R251+S251-C251</f>
        <v>0</v>
      </c>
      <c r="W251" s="81">
        <f>IF((O251+R251)=0," ",ROUND((O251/(O251+R251)),7))</f>
        <v>1</v>
      </c>
      <c r="X251" s="81">
        <f>IF((C251)=0," ",ROUND((O251/(C251)),7))</f>
        <v>1</v>
      </c>
      <c r="Y251" s="81">
        <f>IF((C251)=0," ",ROUND((S251/(C251)),7))</f>
        <v>0</v>
      </c>
      <c r="Z251" s="79"/>
      <c r="AF251" s="79"/>
      <c r="AJ251" s="66"/>
      <c r="AK251" s="70"/>
    </row>
    <row r="252" spans="1:37" hidden="1">
      <c r="A252" s="65">
        <f>A251+1</f>
        <v>17</v>
      </c>
      <c r="B252" s="66" t="s">
        <v>44</v>
      </c>
      <c r="C252" s="79">
        <f>C253-C251</f>
        <v>35002</v>
      </c>
      <c r="D252" s="79">
        <f>C252-E252-SUM(G252:I252)-SUM(M252:N252)-R252-S252</f>
        <v>29602</v>
      </c>
      <c r="E252" s="79">
        <f>E253-E251</f>
        <v>822</v>
      </c>
      <c r="F252" s="79">
        <f>D252+E252</f>
        <v>30424</v>
      </c>
      <c r="G252" s="79">
        <f t="shared" ref="G252:L252" si="58">G253-G251</f>
        <v>2338</v>
      </c>
      <c r="H252" s="79">
        <f t="shared" si="58"/>
        <v>1394</v>
      </c>
      <c r="I252" s="79">
        <f t="shared" si="58"/>
        <v>24</v>
      </c>
      <c r="J252" s="79">
        <f t="shared" si="58"/>
        <v>1</v>
      </c>
      <c r="K252" s="79">
        <f t="shared" si="58"/>
        <v>0</v>
      </c>
      <c r="L252" s="79">
        <f t="shared" si="58"/>
        <v>0</v>
      </c>
      <c r="M252" s="79">
        <f>SUM(J252:L252)</f>
        <v>1</v>
      </c>
      <c r="N252" s="79">
        <f>N253-N251</f>
        <v>821</v>
      </c>
      <c r="O252" s="79">
        <f>SUM(F252:I252)+SUM(M252:N252)</f>
        <v>35002</v>
      </c>
      <c r="P252" s="79">
        <f>P253-P251</f>
        <v>0</v>
      </c>
      <c r="Q252" s="79">
        <f>Q253-Q251</f>
        <v>0</v>
      </c>
      <c r="R252" s="79">
        <f>P252+Q252</f>
        <v>0</v>
      </c>
      <c r="S252" s="79">
        <f>S253-S251</f>
        <v>0</v>
      </c>
      <c r="U252" s="80">
        <f>O252+R252+S252-C252</f>
        <v>0</v>
      </c>
      <c r="W252" s="81">
        <f>IF((O252+R252)=0," ",ROUND((O252/(O252+R252)),7))</f>
        <v>1</v>
      </c>
      <c r="X252" s="81">
        <f>IF((C252)=0," ",ROUND((O252/(C252)),7))</f>
        <v>1</v>
      </c>
      <c r="Y252" s="81">
        <f>IF((C252)=0," ",ROUND((S252/(C252)),7))</f>
        <v>0</v>
      </c>
      <c r="Z252" s="79"/>
      <c r="AF252" s="79"/>
      <c r="AJ252" s="66"/>
      <c r="AK252" s="70"/>
    </row>
    <row r="253" spans="1:37" hidden="1">
      <c r="A253" s="65">
        <f>A252+1</f>
        <v>18</v>
      </c>
      <c r="B253" s="66" t="s">
        <v>55</v>
      </c>
      <c r="C253" s="78">
        <v>53684</v>
      </c>
      <c r="D253" s="79">
        <f>C253-E253-SUM(G253:I253)-SUM(M253:N253)-R253-S253</f>
        <v>40314</v>
      </c>
      <c r="E253" s="79">
        <f>ROUND(E115/($C115-$S115)*($C253-$S253),0)</f>
        <v>1177</v>
      </c>
      <c r="F253" s="79">
        <f>D253+E253</f>
        <v>41491</v>
      </c>
      <c r="G253" s="79">
        <f>ROUND(G115/($C115-$S115)*($C253-$S253),0)</f>
        <v>2909</v>
      </c>
      <c r="H253" s="79">
        <f>ROUND(H115/($C115-$S115)*($C253-$S253),0)+1</f>
        <v>5705</v>
      </c>
      <c r="I253" s="79">
        <f>ROUND(I115/($C115-$S115)*($C253-$S253),0)</f>
        <v>1672</v>
      </c>
      <c r="J253" s="79">
        <f>ROUND(J115/($C115-$S115)*($C253-$S253),0)</f>
        <v>613</v>
      </c>
      <c r="K253" s="79">
        <f>ROUND(K115/($C115-$S115)*($C253-$S253),0)</f>
        <v>166</v>
      </c>
      <c r="L253" s="79">
        <f>ROUND(L115/($C115-$S115)*($C253-$S253),0)</f>
        <v>30</v>
      </c>
      <c r="M253" s="79">
        <f>SUM(J253:L253)</f>
        <v>809</v>
      </c>
      <c r="N253" s="79">
        <f>ROUND(N115/($C115-$S115)*($C253-$S253),0)</f>
        <v>1098</v>
      </c>
      <c r="O253" s="79">
        <f>SUM(F253:I253)+SUM(M253:N253)</f>
        <v>53684</v>
      </c>
      <c r="P253" s="79">
        <f>ROUND(P115/($C115-$S115)*($C253-$S253),0)</f>
        <v>0</v>
      </c>
      <c r="Q253" s="79">
        <f>ROUND(Q115/($C115-$S115)*($C253-$S253),0)</f>
        <v>0</v>
      </c>
      <c r="R253" s="79">
        <f>P253+Q253</f>
        <v>0</v>
      </c>
      <c r="S253" s="79">
        <v>0</v>
      </c>
      <c r="U253" s="80">
        <f>O253+R253+S253-C253</f>
        <v>0</v>
      </c>
      <c r="W253" s="81">
        <f>IF((O253+R253)=0," ",ROUND((O253/(O253+R253)),7))</f>
        <v>1</v>
      </c>
      <c r="X253" s="81">
        <f>IF((C253)=0," ",ROUND((O253/(C253)),7))</f>
        <v>1</v>
      </c>
      <c r="Y253" s="81">
        <f>IF((C253)=0," ",ROUND((S253/(C253)),7))</f>
        <v>0</v>
      </c>
      <c r="Z253" s="79"/>
      <c r="AF253" s="79"/>
      <c r="AJ253" s="66"/>
      <c r="AK253" s="65"/>
    </row>
    <row r="254" spans="1:37" hidden="1">
      <c r="D254" s="79"/>
      <c r="W254" s="81" t="str">
        <f>IF((P254+Q254)=0," ",ROUND((P254/(P254+Q254)),74))</f>
        <v xml:space="preserve"> </v>
      </c>
      <c r="X254" s="81" t="str">
        <f>IF((C254)=0," ",ROUND((P254/(C254)),74))</f>
        <v xml:space="preserve"> </v>
      </c>
      <c r="Y254" s="81" t="str">
        <f>IF((C254)=0," ",ROUND((R254/(C254)),7))</f>
        <v xml:space="preserve"> </v>
      </c>
      <c r="AJ254" s="66"/>
      <c r="AK254" s="65"/>
    </row>
    <row r="255" spans="1:37" hidden="1">
      <c r="B255" s="66" t="s">
        <v>247</v>
      </c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U255" s="80"/>
      <c r="W255" s="81" t="str">
        <f>IF((P255+Q255)=0," ",ROUND((P255/(P255+Q255)),74))</f>
        <v xml:space="preserve"> </v>
      </c>
      <c r="X255" s="81" t="str">
        <f>IF((C255)=0," ",ROUND((P255/(C255)),74))</f>
        <v xml:space="preserve"> </v>
      </c>
      <c r="Y255" s="81" t="str">
        <f>IF((C255)=0," ",ROUND((R255/(C255)),7))</f>
        <v xml:space="preserve"> </v>
      </c>
      <c r="Z255" s="79"/>
      <c r="AF255" s="79"/>
      <c r="AJ255" s="66"/>
      <c r="AK255" s="65"/>
    </row>
    <row r="256" spans="1:37" hidden="1">
      <c r="A256" s="65">
        <f>A253+1</f>
        <v>19</v>
      </c>
      <c r="B256" s="66" t="s">
        <v>246</v>
      </c>
      <c r="C256" s="79">
        <f>ROUND((C118+C120)/C122*C258,0)</f>
        <v>45357</v>
      </c>
      <c r="D256" s="79">
        <f>C256-E256-SUM(G256:I256)-SUM(M256:N256)-R256-S256</f>
        <v>26001</v>
      </c>
      <c r="E256" s="79">
        <f>ROUND((E118+E120)/($C118+$C120-$S118-$S$120)*($C256-$S256),0)</f>
        <v>862</v>
      </c>
      <c r="F256" s="79">
        <f>D256+E256</f>
        <v>26863</v>
      </c>
      <c r="G256" s="79">
        <f t="shared" ref="G256:L256" si="59">ROUND((G118+G120)/($C118+$C120-$S118-$S$120)*($C256-$S256),0)</f>
        <v>1387</v>
      </c>
      <c r="H256" s="79">
        <f t="shared" si="59"/>
        <v>10465</v>
      </c>
      <c r="I256" s="79">
        <f t="shared" si="59"/>
        <v>4003</v>
      </c>
      <c r="J256" s="79">
        <f t="shared" si="59"/>
        <v>1491</v>
      </c>
      <c r="K256" s="79">
        <f t="shared" si="59"/>
        <v>403</v>
      </c>
      <c r="L256" s="79">
        <f t="shared" si="59"/>
        <v>74</v>
      </c>
      <c r="M256" s="79">
        <f>SUM(J256:L256)</f>
        <v>1968</v>
      </c>
      <c r="N256" s="79">
        <f>ROUND((N118+N120)/($C118+$C120-$S118-$S$120)*($C256-$S256),0)</f>
        <v>671</v>
      </c>
      <c r="O256" s="79">
        <f>SUM(F256:I256)+SUM(M256:N256)</f>
        <v>45357</v>
      </c>
      <c r="P256" s="79">
        <f>ROUND((P118+P120)/($C118+$C120-$S118-$S$120)*($C256-$S256),0)</f>
        <v>0</v>
      </c>
      <c r="Q256" s="79">
        <f>ROUND((Q118+Q120)/($C118+$C120-$S118-$S$120)*($C256-$S256),0)</f>
        <v>0</v>
      </c>
      <c r="R256" s="79">
        <f>P256+Q256</f>
        <v>0</v>
      </c>
      <c r="S256" s="79">
        <v>0</v>
      </c>
      <c r="U256" s="80">
        <f>O256+R256+S256-C256</f>
        <v>0</v>
      </c>
      <c r="W256" s="81">
        <f>IF((O256+R256)=0," ",ROUND((O256/(O256+R256)),7))</f>
        <v>1</v>
      </c>
      <c r="X256" s="81">
        <f>IF((C256)=0," ",ROUND((O256/(C256)),7))</f>
        <v>1</v>
      </c>
      <c r="Y256" s="81">
        <f>IF((C256)=0," ",ROUND((S256/(C256)),7))</f>
        <v>0</v>
      </c>
      <c r="Z256" s="79"/>
      <c r="AF256" s="79"/>
      <c r="AJ256" s="66"/>
      <c r="AK256" s="70"/>
    </row>
    <row r="257" spans="1:37" hidden="1">
      <c r="A257" s="65">
        <f>A256+1</f>
        <v>20</v>
      </c>
      <c r="B257" s="66" t="s">
        <v>44</v>
      </c>
      <c r="C257" s="79">
        <f>C258-C256</f>
        <v>6897</v>
      </c>
      <c r="D257" s="79">
        <f>C257-E257-SUM(G257:I257)-SUM(M257:N257)-R257-S257</f>
        <v>5834</v>
      </c>
      <c r="E257" s="79">
        <f>E258-E256</f>
        <v>162</v>
      </c>
      <c r="F257" s="79">
        <f>D257+E257</f>
        <v>5996</v>
      </c>
      <c r="G257" s="79">
        <f t="shared" ref="G257:L257" si="60">G258-G256</f>
        <v>461</v>
      </c>
      <c r="H257" s="79">
        <f t="shared" si="60"/>
        <v>274</v>
      </c>
      <c r="I257" s="79">
        <f t="shared" si="60"/>
        <v>4</v>
      </c>
      <c r="J257" s="79">
        <f t="shared" si="60"/>
        <v>0</v>
      </c>
      <c r="K257" s="79">
        <f t="shared" si="60"/>
        <v>0</v>
      </c>
      <c r="L257" s="79">
        <f t="shared" si="60"/>
        <v>0</v>
      </c>
      <c r="M257" s="79">
        <f>SUM(J257:L257)</f>
        <v>0</v>
      </c>
      <c r="N257" s="79">
        <f>N258-N256</f>
        <v>162</v>
      </c>
      <c r="O257" s="79">
        <f>SUM(F257:I257)+SUM(M257:N257)</f>
        <v>6897</v>
      </c>
      <c r="P257" s="79">
        <f>P258-P256</f>
        <v>0</v>
      </c>
      <c r="Q257" s="79">
        <f>Q258-Q256</f>
        <v>0</v>
      </c>
      <c r="R257" s="79">
        <f>P257+Q257</f>
        <v>0</v>
      </c>
      <c r="S257" s="79">
        <v>0</v>
      </c>
      <c r="U257" s="80">
        <f>O257+R257+S257-C257</f>
        <v>0</v>
      </c>
      <c r="W257" s="81">
        <f>IF((O257+R257)=0," ",ROUND((O257/(O257+R257)),7))</f>
        <v>1</v>
      </c>
      <c r="X257" s="81">
        <f>IF((C257)=0," ",ROUND((O257/(C257)),7))</f>
        <v>1</v>
      </c>
      <c r="Y257" s="81">
        <f>IF((C257)=0," ",ROUND((S257/(C257)),7))</f>
        <v>0</v>
      </c>
      <c r="Z257" s="79"/>
      <c r="AF257" s="79"/>
      <c r="AJ257" s="66"/>
      <c r="AK257" s="70"/>
    </row>
    <row r="258" spans="1:37" hidden="1">
      <c r="A258" s="65">
        <f>A257+1</f>
        <v>21</v>
      </c>
      <c r="B258" s="66" t="s">
        <v>53</v>
      </c>
      <c r="C258" s="78">
        <v>52254</v>
      </c>
      <c r="D258" s="79">
        <f>C258-E258-SUM(G258:I258)-SUM(M258:N258)-R258-S258</f>
        <v>31835</v>
      </c>
      <c r="E258" s="79">
        <f>ROUND(E122/($C122-$S122)*($C258-$S258),0)</f>
        <v>1024</v>
      </c>
      <c r="F258" s="79">
        <f>D258+E258</f>
        <v>32859</v>
      </c>
      <c r="G258" s="79">
        <f t="shared" ref="G258:L258" si="61">ROUND(G122/($C122-$S122)*($C258-$S258),0)</f>
        <v>1848</v>
      </c>
      <c r="H258" s="79">
        <f t="shared" si="61"/>
        <v>10739</v>
      </c>
      <c r="I258" s="79">
        <f t="shared" si="61"/>
        <v>4007</v>
      </c>
      <c r="J258" s="79">
        <f t="shared" si="61"/>
        <v>1491</v>
      </c>
      <c r="K258" s="79">
        <f t="shared" si="61"/>
        <v>403</v>
      </c>
      <c r="L258" s="79">
        <f t="shared" si="61"/>
        <v>74</v>
      </c>
      <c r="M258" s="79">
        <f>SUM(J258:L258)</f>
        <v>1968</v>
      </c>
      <c r="N258" s="79">
        <f>ROUND(N122/($C122-$S122)*($C258-$S258),0)</f>
        <v>833</v>
      </c>
      <c r="O258" s="79">
        <f>SUM(F258:I258)+SUM(M258:N258)</f>
        <v>52254</v>
      </c>
      <c r="P258" s="79">
        <f>ROUND(P122/($C122-$S122)*($C258-$S258),0)</f>
        <v>0</v>
      </c>
      <c r="Q258" s="79">
        <f>ROUND(Q122/($C122-$S122)*($C258-$S258),0)</f>
        <v>0</v>
      </c>
      <c r="R258" s="79">
        <f>P258+Q258</f>
        <v>0</v>
      </c>
      <c r="S258" s="79">
        <v>0</v>
      </c>
      <c r="U258" s="80">
        <f>O258+R258+S258-C258</f>
        <v>0</v>
      </c>
      <c r="W258" s="81">
        <f>IF((O258+R258)=0," ",ROUND((O258/(O258+R258)),7))</f>
        <v>1</v>
      </c>
      <c r="X258" s="81">
        <f>IF((C258)=0," ",ROUND((O258/(C258)),7))</f>
        <v>1</v>
      </c>
      <c r="Y258" s="81">
        <f>IF((C258)=0," ",ROUND((S258/(C258)),7))</f>
        <v>0</v>
      </c>
      <c r="Z258" s="79"/>
      <c r="AF258" s="79"/>
      <c r="AJ258" s="66"/>
      <c r="AK258" s="65"/>
    </row>
    <row r="259" spans="1:37" hidden="1">
      <c r="B259" s="72"/>
      <c r="C259" s="79"/>
      <c r="H259" s="65" t="s">
        <v>80</v>
      </c>
      <c r="I259" s="79"/>
      <c r="J259" s="79"/>
      <c r="K259" s="79"/>
      <c r="L259" s="79"/>
      <c r="M259" s="79"/>
      <c r="Q259" s="65" t="s">
        <v>80</v>
      </c>
      <c r="R259" s="79"/>
      <c r="S259" s="65"/>
      <c r="W259" s="73"/>
      <c r="X259" s="73"/>
      <c r="Y259" s="81"/>
      <c r="Z259" s="65"/>
      <c r="AJ259" s="66"/>
      <c r="AK259" s="65"/>
    </row>
    <row r="260" spans="1:37" hidden="1">
      <c r="C260" s="79"/>
      <c r="H260" s="70" t="str">
        <f>$H$24</f>
        <v>12 MONTHS ENDING DECEMBER 31, 2012</v>
      </c>
      <c r="I260" s="79"/>
      <c r="J260" s="79"/>
      <c r="K260" s="79"/>
      <c r="L260" s="79"/>
      <c r="M260" s="79"/>
      <c r="Q260" s="70" t="str">
        <f>$H$24</f>
        <v>12 MONTHS ENDING DECEMBER 31, 2012</v>
      </c>
      <c r="R260" s="79"/>
      <c r="S260" s="79"/>
      <c r="U260" s="80"/>
      <c r="W260" s="73"/>
      <c r="X260" s="73"/>
      <c r="Y260" s="81"/>
      <c r="Z260" s="70"/>
      <c r="AJ260" s="66"/>
      <c r="AK260" s="65"/>
    </row>
    <row r="261" spans="1:37" hidden="1">
      <c r="C261" s="79"/>
      <c r="H261" s="70" t="str">
        <f>$H$25</f>
        <v>12/13 DEMAND ALLOCATION WITH MDS METHODOLOGY</v>
      </c>
      <c r="Q261" s="70" t="str">
        <f>$H$25</f>
        <v>12/13 DEMAND ALLOCATION WITH MDS METHODOLOGY</v>
      </c>
      <c r="R261" s="79"/>
      <c r="S261" s="79"/>
      <c r="W261" s="73"/>
      <c r="X261" s="73"/>
      <c r="Y261" s="81"/>
      <c r="Z261" s="70"/>
      <c r="AJ261" s="66"/>
      <c r="AK261" s="65"/>
    </row>
    <row r="262" spans="1:37" hidden="1">
      <c r="C262" s="79"/>
      <c r="H262" s="87" t="s">
        <v>226</v>
      </c>
      <c r="I262" s="79"/>
      <c r="J262" s="79"/>
      <c r="K262" s="79"/>
      <c r="L262" s="79"/>
      <c r="M262" s="79"/>
      <c r="Q262" s="87" t="s">
        <v>226</v>
      </c>
      <c r="S262" s="79"/>
      <c r="U262" s="80"/>
      <c r="X262" s="73"/>
      <c r="Y262" s="73"/>
      <c r="Z262" s="87"/>
      <c r="AF262" s="79"/>
      <c r="AJ262" s="66"/>
      <c r="AK262" s="65"/>
    </row>
    <row r="263" spans="1:37" hidden="1">
      <c r="C263" s="79"/>
      <c r="H263" s="87" t="s">
        <v>114</v>
      </c>
      <c r="I263" s="79"/>
      <c r="J263" s="79"/>
      <c r="K263" s="79"/>
      <c r="L263" s="79"/>
      <c r="M263" s="79"/>
      <c r="Q263" s="87" t="s">
        <v>114</v>
      </c>
      <c r="S263" s="79"/>
      <c r="U263" s="80"/>
      <c r="X263" s="73"/>
      <c r="Y263" s="73"/>
      <c r="Z263" s="87"/>
      <c r="AF263" s="79"/>
      <c r="AJ263" s="66"/>
      <c r="AK263" s="65"/>
    </row>
    <row r="264" spans="1:37" hidden="1">
      <c r="C264" s="65" t="s">
        <v>59</v>
      </c>
      <c r="K264" s="65"/>
      <c r="L264" s="65"/>
      <c r="M264" s="65"/>
      <c r="O264" s="65" t="s">
        <v>59</v>
      </c>
      <c r="P264" s="65"/>
      <c r="Q264" s="65"/>
      <c r="R264" s="65"/>
      <c r="S264" s="65" t="s">
        <v>115</v>
      </c>
      <c r="W264" s="76" t="s">
        <v>116</v>
      </c>
      <c r="X264" s="76" t="s">
        <v>116</v>
      </c>
      <c r="Y264" s="76" t="s">
        <v>117</v>
      </c>
      <c r="AF264" s="65"/>
      <c r="AJ264" s="66"/>
      <c r="AK264" s="65"/>
    </row>
    <row r="265" spans="1:37" hidden="1">
      <c r="A265" s="65" t="s">
        <v>118</v>
      </c>
      <c r="C265" s="65" t="s">
        <v>58</v>
      </c>
      <c r="D265" s="70" t="s">
        <v>119</v>
      </c>
      <c r="E265" s="70" t="s">
        <v>119</v>
      </c>
      <c r="F265" s="70" t="s">
        <v>119</v>
      </c>
      <c r="G265" s="70" t="s">
        <v>119</v>
      </c>
      <c r="H265" s="70" t="s">
        <v>119</v>
      </c>
      <c r="I265" s="70" t="s">
        <v>119</v>
      </c>
      <c r="J265" s="70" t="s">
        <v>119</v>
      </c>
      <c r="K265" s="70" t="s">
        <v>119</v>
      </c>
      <c r="L265" s="70" t="s">
        <v>119</v>
      </c>
      <c r="M265" s="70" t="s">
        <v>119</v>
      </c>
      <c r="N265" s="70" t="s">
        <v>119</v>
      </c>
      <c r="O265" s="65" t="s">
        <v>116</v>
      </c>
      <c r="P265" s="65"/>
      <c r="Q265" s="70" t="s">
        <v>120</v>
      </c>
      <c r="R265" s="65"/>
      <c r="S265" s="65" t="s">
        <v>121</v>
      </c>
      <c r="W265" s="76" t="s">
        <v>122</v>
      </c>
      <c r="X265" s="76" t="s">
        <v>123</v>
      </c>
      <c r="Y265" s="76" t="s">
        <v>124</v>
      </c>
      <c r="Z265" s="65"/>
      <c r="AF265" s="70"/>
      <c r="AJ265" s="66"/>
      <c r="AK265" s="65"/>
    </row>
    <row r="266" spans="1:37" hidden="1">
      <c r="A266" s="65" t="s">
        <v>125</v>
      </c>
      <c r="B266" s="65" t="s">
        <v>126</v>
      </c>
      <c r="C266" s="65" t="s">
        <v>57</v>
      </c>
      <c r="D266" s="70" t="s">
        <v>127</v>
      </c>
      <c r="E266" s="70" t="s">
        <v>128</v>
      </c>
      <c r="F266" s="70" t="s">
        <v>129</v>
      </c>
      <c r="G266" s="70" t="s">
        <v>130</v>
      </c>
      <c r="H266" s="70" t="s">
        <v>131</v>
      </c>
      <c r="I266" s="65" t="s">
        <v>132</v>
      </c>
      <c r="J266" s="70" t="s">
        <v>133</v>
      </c>
      <c r="K266" s="70" t="s">
        <v>134</v>
      </c>
      <c r="L266" s="70" t="s">
        <v>135</v>
      </c>
      <c r="M266" s="70" t="s">
        <v>136</v>
      </c>
      <c r="N266" s="70" t="s">
        <v>137</v>
      </c>
      <c r="O266" s="65" t="s">
        <v>138</v>
      </c>
      <c r="P266" s="70" t="s">
        <v>139</v>
      </c>
      <c r="Q266" s="70" t="s">
        <v>140</v>
      </c>
      <c r="R266" s="65" t="s">
        <v>122</v>
      </c>
      <c r="S266" s="65" t="s">
        <v>141</v>
      </c>
      <c r="U266" s="65" t="s">
        <v>162</v>
      </c>
      <c r="W266" s="76" t="s">
        <v>142</v>
      </c>
      <c r="X266" s="76" t="s">
        <v>142</v>
      </c>
      <c r="Y266" s="76" t="s">
        <v>142</v>
      </c>
      <c r="Z266" s="65"/>
      <c r="AF266" s="70"/>
      <c r="AJ266" s="66"/>
      <c r="AK266" s="65"/>
    </row>
    <row r="267" spans="1:37" hidden="1">
      <c r="A267" s="65" t="s">
        <v>143</v>
      </c>
      <c r="B267" s="65" t="s">
        <v>144</v>
      </c>
      <c r="C267" s="65" t="s">
        <v>145</v>
      </c>
      <c r="D267" s="70" t="s">
        <v>146</v>
      </c>
      <c r="E267" s="70" t="s">
        <v>147</v>
      </c>
      <c r="F267" s="70" t="s">
        <v>148</v>
      </c>
      <c r="G267" s="65" t="s">
        <v>149</v>
      </c>
      <c r="H267" s="65" t="s">
        <v>150</v>
      </c>
      <c r="I267" s="65" t="s">
        <v>151</v>
      </c>
      <c r="J267" s="70" t="s">
        <v>152</v>
      </c>
      <c r="K267" s="70" t="s">
        <v>153</v>
      </c>
      <c r="L267" s="70" t="s">
        <v>154</v>
      </c>
      <c r="M267" s="70" t="s">
        <v>155</v>
      </c>
      <c r="N267" s="70" t="s">
        <v>156</v>
      </c>
      <c r="O267" s="70" t="s">
        <v>157</v>
      </c>
      <c r="P267" s="70" t="s">
        <v>158</v>
      </c>
      <c r="Q267" s="70" t="s">
        <v>159</v>
      </c>
      <c r="R267" s="70" t="s">
        <v>160</v>
      </c>
      <c r="S267" s="70" t="s">
        <v>161</v>
      </c>
      <c r="W267" s="77" t="s">
        <v>163</v>
      </c>
      <c r="X267" s="77" t="s">
        <v>164</v>
      </c>
      <c r="Y267" s="76" t="s">
        <v>165</v>
      </c>
      <c r="Z267" s="70"/>
      <c r="AF267" s="76"/>
      <c r="AJ267" s="66"/>
      <c r="AK267" s="70"/>
    </row>
    <row r="268" spans="1:37" hidden="1">
      <c r="Y268" s="65"/>
      <c r="AJ268" s="66"/>
    </row>
    <row r="269" spans="1:37" hidden="1">
      <c r="Y269" s="65"/>
      <c r="AJ269" s="66"/>
    </row>
    <row r="270" spans="1:37" hidden="1">
      <c r="B270" s="66" t="s">
        <v>248</v>
      </c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U270" s="80"/>
      <c r="W270" s="81" t="str">
        <f>IF((P270+Q270)=0," ",ROUND((P270/(P270+Q270)),74))</f>
        <v xml:space="preserve"> </v>
      </c>
      <c r="X270" s="81" t="str">
        <f>IF((C270)=0," ",ROUND((P270/(C270)),74))</f>
        <v xml:space="preserve"> </v>
      </c>
      <c r="Y270" s="81" t="str">
        <f>IF((C270)=0," ",ROUND((R270/(C270)),7))</f>
        <v xml:space="preserve"> </v>
      </c>
      <c r="Z270" s="79"/>
      <c r="AF270" s="79"/>
      <c r="AJ270" s="66"/>
      <c r="AK270" s="65"/>
    </row>
    <row r="271" spans="1:37" hidden="1">
      <c r="A271" s="65">
        <f>A258+1</f>
        <v>22</v>
      </c>
      <c r="B271" s="66" t="s">
        <v>246</v>
      </c>
      <c r="C271" s="79">
        <f>ROUND((C125+C127)/C129*C273,0)</f>
        <v>501</v>
      </c>
      <c r="D271" s="79">
        <f>C271-E271-SUM(G271:I271)-SUM(M271:N271)-R271-S271</f>
        <v>294</v>
      </c>
      <c r="E271" s="79">
        <f>ROUND((E125+E127)/($C125+$C127-$S125-$S$127)*($C271-$S271),0)</f>
        <v>10</v>
      </c>
      <c r="F271" s="79">
        <f>D271+E271</f>
        <v>304</v>
      </c>
      <c r="G271" s="79">
        <f>ROUND((G125+G127)/($C125+$C127-$S125-$S$127)*($C271-$S271),0)</f>
        <v>15</v>
      </c>
      <c r="H271" s="79">
        <f>ROUND((H125+H127)/($C125+$C127-$S125-$S$127)*($C271-$S271),0)+1</f>
        <v>118</v>
      </c>
      <c r="I271" s="79">
        <f>ROUND((I125+I127)/($C125+$C127-$S125-$S$127)*($C271-$S271),0)</f>
        <v>42</v>
      </c>
      <c r="J271" s="79">
        <f>ROUND((J125+J127)/($C125+$C127-$S125-$S$127)*($C271-$S271),0)</f>
        <v>12</v>
      </c>
      <c r="K271" s="79">
        <f>ROUND((K125+K127)/($C125+$C127-$S125-$S$127)*($C271-$S271),0)</f>
        <v>3</v>
      </c>
      <c r="L271" s="79">
        <f>ROUND((L125+L127)/($C125+$C127-$S125-$S$127)*($C271-$S271),0)</f>
        <v>0</v>
      </c>
      <c r="M271" s="79">
        <f>SUM(J271:L271)</f>
        <v>15</v>
      </c>
      <c r="N271" s="79">
        <f>ROUND((N125+N127)/($C125+$C127-$S125-$S$127)*($C271-$S271),0)</f>
        <v>7</v>
      </c>
      <c r="O271" s="79">
        <f>SUM(F271:I271)+SUM(M271:N271)</f>
        <v>501</v>
      </c>
      <c r="P271" s="79">
        <f>ROUND((P125+P127)/($C125+$C127-$S125-$S$127)*($C271-$S271),0)</f>
        <v>0</v>
      </c>
      <c r="Q271" s="79">
        <f>ROUND((Q125+Q127)/($C125+$C127-$S125-$S$127)*($C271-$S271),0)</f>
        <v>0</v>
      </c>
      <c r="R271" s="79">
        <f>P271+Q271</f>
        <v>0</v>
      </c>
      <c r="S271" s="79">
        <v>0</v>
      </c>
      <c r="U271" s="80">
        <f>O271+R271+S271-C271</f>
        <v>0</v>
      </c>
      <c r="W271" s="81">
        <f>IF((O271+R271)=0," ",ROUND((O271/(O271+R271)),7))</f>
        <v>1</v>
      </c>
      <c r="X271" s="81">
        <f>IF((C271)=0," ",ROUND((O271/(C271)),7))</f>
        <v>1</v>
      </c>
      <c r="Y271" s="81">
        <f>IF((C271)=0," ",ROUND((S271/(C271)),7))</f>
        <v>0</v>
      </c>
      <c r="Z271" s="79"/>
      <c r="AF271" s="79"/>
      <c r="AJ271" s="66"/>
      <c r="AK271" s="70"/>
    </row>
    <row r="272" spans="1:37" hidden="1">
      <c r="A272" s="65">
        <f>A271+1</f>
        <v>23</v>
      </c>
      <c r="B272" s="66" t="s">
        <v>44</v>
      </c>
      <c r="C272" s="79">
        <f>C273-C271</f>
        <v>21</v>
      </c>
      <c r="D272" s="79">
        <f>C272-E272-SUM(G272:I272)-SUM(M272:N272)-R272-S272</f>
        <v>16</v>
      </c>
      <c r="E272" s="79">
        <f>E273-E271</f>
        <v>0</v>
      </c>
      <c r="F272" s="79">
        <f>D272+E272</f>
        <v>16</v>
      </c>
      <c r="G272" s="79">
        <f t="shared" ref="G272:L272" si="62">G273-G271</f>
        <v>2</v>
      </c>
      <c r="H272" s="79">
        <f t="shared" si="62"/>
        <v>1</v>
      </c>
      <c r="I272" s="79">
        <f t="shared" si="62"/>
        <v>1</v>
      </c>
      <c r="J272" s="79">
        <f t="shared" si="62"/>
        <v>0</v>
      </c>
      <c r="K272" s="79">
        <f t="shared" si="62"/>
        <v>0</v>
      </c>
      <c r="L272" s="79">
        <f t="shared" si="62"/>
        <v>0</v>
      </c>
      <c r="M272" s="79">
        <f>SUM(J272:L272)</f>
        <v>0</v>
      </c>
      <c r="N272" s="79">
        <f>N273-N271</f>
        <v>1</v>
      </c>
      <c r="O272" s="79">
        <f>SUM(F272:I272)+SUM(M272:N272)</f>
        <v>21</v>
      </c>
      <c r="P272" s="79">
        <f>P273-P271</f>
        <v>0</v>
      </c>
      <c r="Q272" s="79">
        <f>Q273-Q271</f>
        <v>0</v>
      </c>
      <c r="R272" s="79">
        <f>P272+Q272</f>
        <v>0</v>
      </c>
      <c r="S272" s="79">
        <f>S273-S271</f>
        <v>0</v>
      </c>
      <c r="U272" s="80">
        <f>O272+R272+S272-C272</f>
        <v>0</v>
      </c>
      <c r="W272" s="81">
        <f>IF((O272+R272)=0," ",ROUND((O272/(O272+R272)),7))</f>
        <v>1</v>
      </c>
      <c r="X272" s="81">
        <f>IF((C272)=0," ",ROUND((O272/(C272)),7))</f>
        <v>1</v>
      </c>
      <c r="Y272" s="81">
        <f>IF((C272)=0," ",ROUND((S272/(C272)),7))</f>
        <v>0</v>
      </c>
      <c r="Z272" s="79"/>
      <c r="AF272" s="79"/>
      <c r="AJ272" s="66"/>
      <c r="AK272" s="70"/>
    </row>
    <row r="273" spans="1:37" hidden="1">
      <c r="A273" s="65">
        <f>A272+1</f>
        <v>24</v>
      </c>
      <c r="B273" s="66" t="s">
        <v>51</v>
      </c>
      <c r="C273" s="78">
        <v>522</v>
      </c>
      <c r="D273" s="79">
        <f>C273-E273-SUM(G273:I273)-SUM(M273:N273)-R273-S273</f>
        <v>310</v>
      </c>
      <c r="E273" s="79">
        <f>ROUND(E129/($C129-$S129)*($C273-$S271),0)</f>
        <v>10</v>
      </c>
      <c r="F273" s="79">
        <f>D273+E273</f>
        <v>320</v>
      </c>
      <c r="G273" s="79">
        <f>ROUND(G129/($C129-$S129)*($C273-$S271),0)</f>
        <v>17</v>
      </c>
      <c r="H273" s="79">
        <f>ROUND(H129/($C129-$S129)*($C273-$S271),0)+1</f>
        <v>119</v>
      </c>
      <c r="I273" s="79">
        <f>ROUND(I129/($C129-$S129)*($C273-$S271),0)</f>
        <v>43</v>
      </c>
      <c r="J273" s="79">
        <f>ROUND(J129/($C129-$S129)*($C273-$S271),0)</f>
        <v>12</v>
      </c>
      <c r="K273" s="79">
        <f>ROUND(K129/($C129-$S129)*($C273-$S271),0)</f>
        <v>3</v>
      </c>
      <c r="L273" s="79">
        <f>ROUND(L129/($C129-$S129)*($C273-$S271),0)</f>
        <v>0</v>
      </c>
      <c r="M273" s="79">
        <f>SUM(J273:L273)</f>
        <v>15</v>
      </c>
      <c r="N273" s="79">
        <f>ROUND(N129/($C129-$S129)*($C273-$S271),0)</f>
        <v>8</v>
      </c>
      <c r="O273" s="79">
        <f>SUM(F273:I273)+SUM(M273:N273)</f>
        <v>522</v>
      </c>
      <c r="P273" s="79">
        <f>ROUND(P129/($C129-$S129)*($C273-$S271),0)</f>
        <v>0</v>
      </c>
      <c r="Q273" s="79">
        <f>ROUND(Q129/($C129-$S129)*($C273-$S271),0)</f>
        <v>0</v>
      </c>
      <c r="R273" s="79">
        <f>P273+Q273</f>
        <v>0</v>
      </c>
      <c r="S273" s="79">
        <v>0</v>
      </c>
      <c r="U273" s="80">
        <f>O273+R273+S273-C273</f>
        <v>0</v>
      </c>
      <c r="W273" s="81">
        <f>IF((O273+R273)=0," ",ROUND((O273/(O273+R273)),7))</f>
        <v>1</v>
      </c>
      <c r="X273" s="81">
        <f>IF((C273)=0," ",ROUND((O273/(C273)),7))</f>
        <v>1</v>
      </c>
      <c r="Y273" s="81">
        <f>IF((C273)=0," ",ROUND((S273/(C273)),7))</f>
        <v>0</v>
      </c>
      <c r="Z273" s="79"/>
      <c r="AF273" s="79"/>
      <c r="AJ273" s="66"/>
      <c r="AK273" s="65"/>
    </row>
    <row r="274" spans="1:37" hidden="1">
      <c r="Y274" s="65"/>
    </row>
    <row r="275" spans="1:37" hidden="1">
      <c r="B275" s="71" t="s">
        <v>207</v>
      </c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U275" s="80"/>
      <c r="W275" s="81" t="str">
        <f>IF((P275+Q275)=0," ",ROUND((P275/(P275+Q275)),74))</f>
        <v xml:space="preserve"> </v>
      </c>
      <c r="X275" s="81" t="str">
        <f>IF((C275)=0," ",ROUND((P275/(C275)),74))</f>
        <v xml:space="preserve"> </v>
      </c>
      <c r="Y275" s="81" t="str">
        <f>IF((C275)=0," ",ROUND((R275/(C275)),7))</f>
        <v xml:space="preserve"> </v>
      </c>
      <c r="Z275" s="79"/>
      <c r="AF275" s="79"/>
      <c r="AJ275" s="66"/>
      <c r="AK275" s="65"/>
    </row>
    <row r="276" spans="1:37" hidden="1">
      <c r="A276" s="65">
        <f>A273+1</f>
        <v>25</v>
      </c>
      <c r="B276" s="66" t="s">
        <v>246</v>
      </c>
      <c r="C276" s="79">
        <f>ROUND((C132+C134)/C136*C278,0)</f>
        <v>48258</v>
      </c>
      <c r="D276" s="79">
        <f>C276-E276-SUM(G276:I276)-SUM(M276:N276)-R276-S276</f>
        <v>27826</v>
      </c>
      <c r="E276" s="79">
        <f>ROUND((E132+E134)/($C132+$C134-$S132-$S$134)*($C276-$S276),0)</f>
        <v>922</v>
      </c>
      <c r="F276" s="79">
        <f>D276+E276</f>
        <v>28748</v>
      </c>
      <c r="G276" s="79">
        <f>ROUND((G132+G134)/($C132+$C134-$S132-$S$134)*($C276-$S276),0)</f>
        <v>1485</v>
      </c>
      <c r="H276" s="79">
        <f>ROUND((H132+H134)/($C132+$C134-$S132-$S$134)*($C276-$S276),0)+1</f>
        <v>11194</v>
      </c>
      <c r="I276" s="79">
        <f>ROUND((I132+I134)/($C132+$C134-$S132-$S$134)*($C276-$S276),0)</f>
        <v>4201</v>
      </c>
      <c r="J276" s="79">
        <f>ROUND((J132+J134)/($C132+$C134-$S132-$S$134)*($C276-$S276),0)</f>
        <v>1451</v>
      </c>
      <c r="K276" s="79">
        <f>ROUND((K132+K134)/($C132+$C134-$S132-$S$134)*($C276-$S276),0)</f>
        <v>390</v>
      </c>
      <c r="L276" s="79">
        <f>ROUND((L132+L134)/($C132+$C134-$S132-$S$134)*($C276-$S276),0)</f>
        <v>71</v>
      </c>
      <c r="M276" s="79">
        <f>SUM(J276:L276)</f>
        <v>1912</v>
      </c>
      <c r="N276" s="79">
        <f>ROUND((N132+N134)/($C132+$C134-$S132-$S$134)*($C276-$S276),0)</f>
        <v>718</v>
      </c>
      <c r="O276" s="79">
        <f>SUM(F276:I276)+SUM(M276:N276)</f>
        <v>48258</v>
      </c>
      <c r="P276" s="79">
        <f>ROUND((P132+P134)/($C132+$C134-$S132-$S$134)*($C276-$S276),0)</f>
        <v>0</v>
      </c>
      <c r="Q276" s="79">
        <f>ROUND((Q132+Q134)/($C132+$C134-$S132-$S$134)*($C276-$S276),0)</f>
        <v>0</v>
      </c>
      <c r="R276" s="79">
        <f>P276+Q276</f>
        <v>0</v>
      </c>
      <c r="S276" s="79">
        <v>0</v>
      </c>
      <c r="U276" s="80">
        <f>O276+R276+S276-C276</f>
        <v>0</v>
      </c>
      <c r="W276" s="81">
        <f>IF((O276+R276)=0," ",ROUND((O276/(O276+R276)),7))</f>
        <v>1</v>
      </c>
      <c r="X276" s="81">
        <f>IF((C276)=0," ",ROUND((O276/(C276)),7))</f>
        <v>1</v>
      </c>
      <c r="Y276" s="81">
        <f>IF((C276)=0," ",ROUND((S276/(C276)),7))</f>
        <v>0</v>
      </c>
      <c r="Z276" s="79"/>
      <c r="AF276" s="79"/>
      <c r="AJ276" s="66"/>
      <c r="AK276" s="70"/>
    </row>
    <row r="277" spans="1:37" hidden="1">
      <c r="A277" s="65">
        <f>A276+1</f>
        <v>26</v>
      </c>
      <c r="B277" s="66" t="s">
        <v>44</v>
      </c>
      <c r="C277" s="79">
        <f>C278-C276</f>
        <v>2433</v>
      </c>
      <c r="D277" s="79">
        <f>C277-E277-SUM(G277:I277)-SUM(M277:N277)-R277-S277</f>
        <v>2057</v>
      </c>
      <c r="E277" s="79">
        <f>E278-E276</f>
        <v>57</v>
      </c>
      <c r="F277" s="79">
        <f>D277+E277</f>
        <v>2114</v>
      </c>
      <c r="G277" s="79">
        <f t="shared" ref="G277:L277" si="63">G278-G276</f>
        <v>162</v>
      </c>
      <c r="H277" s="79">
        <f t="shared" si="63"/>
        <v>98</v>
      </c>
      <c r="I277" s="79">
        <f t="shared" si="63"/>
        <v>2</v>
      </c>
      <c r="J277" s="79">
        <f t="shared" si="63"/>
        <v>0</v>
      </c>
      <c r="K277" s="79">
        <f t="shared" si="63"/>
        <v>0</v>
      </c>
      <c r="L277" s="79">
        <f t="shared" si="63"/>
        <v>0</v>
      </c>
      <c r="M277" s="79">
        <f>SUM(J277:L277)</f>
        <v>0</v>
      </c>
      <c r="N277" s="79">
        <f>N278-N276</f>
        <v>57</v>
      </c>
      <c r="O277" s="79">
        <f>SUM(F277:I277)+SUM(M277:N277)</f>
        <v>2433</v>
      </c>
      <c r="P277" s="79">
        <f>P278-P276</f>
        <v>0</v>
      </c>
      <c r="Q277" s="79">
        <f>Q278-Q276</f>
        <v>0</v>
      </c>
      <c r="R277" s="79">
        <f>P277+Q277</f>
        <v>0</v>
      </c>
      <c r="S277" s="79">
        <f>S278-S276</f>
        <v>0</v>
      </c>
      <c r="U277" s="80">
        <f>O277+R277+S277-C277</f>
        <v>0</v>
      </c>
      <c r="W277" s="81">
        <f>IF((O277+R277)=0," ",ROUND((O277/(O277+R277)),7))</f>
        <v>1</v>
      </c>
      <c r="X277" s="81">
        <f>IF((C277)=0," ",ROUND((O277/(C277)),7))</f>
        <v>1</v>
      </c>
      <c r="Y277" s="81">
        <f>IF((C277)=0," ",ROUND((S277/(C277)),7))</f>
        <v>0</v>
      </c>
      <c r="Z277" s="79"/>
      <c r="AF277" s="79"/>
      <c r="AJ277" s="66"/>
      <c r="AK277" s="70"/>
    </row>
    <row r="278" spans="1:37" hidden="1">
      <c r="A278" s="65">
        <f>A277+1</f>
        <v>27</v>
      </c>
      <c r="B278" s="66" t="s">
        <v>49</v>
      </c>
      <c r="C278" s="78">
        <v>50691</v>
      </c>
      <c r="D278" s="79">
        <f>C278-E278-SUM(G278:I278)-SUM(M278:N278)-R278-S278</f>
        <v>29883</v>
      </c>
      <c r="E278" s="79">
        <f>ROUND(E136/($C136-$S136)*($C278-$S278),0)</f>
        <v>979</v>
      </c>
      <c r="F278" s="79">
        <f>D278+E278</f>
        <v>30862</v>
      </c>
      <c r="G278" s="79">
        <f>ROUND(G136/($C136-$S136)*($C278-$S278),0)</f>
        <v>1647</v>
      </c>
      <c r="H278" s="79">
        <f>ROUND(H136/($C136-$S136)*($C278-$S278),0)+1</f>
        <v>11292</v>
      </c>
      <c r="I278" s="79">
        <f>ROUND(I136/($C136-$S136)*($C278-$S278),0)</f>
        <v>4203</v>
      </c>
      <c r="J278" s="79">
        <f>ROUND(J136/($C136-$S136)*($C278-$S278),0)</f>
        <v>1451</v>
      </c>
      <c r="K278" s="79">
        <f>ROUND(K136/($C136-$S136)*($C278-$S278),0)</f>
        <v>390</v>
      </c>
      <c r="L278" s="79">
        <f>ROUND(L136/($C136-$S136)*($C278-$S278),0)</f>
        <v>71</v>
      </c>
      <c r="M278" s="79">
        <f>SUM(J278:L278)</f>
        <v>1912</v>
      </c>
      <c r="N278" s="79">
        <f>ROUND(N136/($C136-$S136)*($C278-$S278),0)</f>
        <v>775</v>
      </c>
      <c r="O278" s="79">
        <f>SUM(F278:I278)+SUM(M278:N278)</f>
        <v>50691</v>
      </c>
      <c r="P278" s="79">
        <f>ROUND(P136/($C136-$S136)*($C278-$S278),0)</f>
        <v>0</v>
      </c>
      <c r="Q278" s="79">
        <f>ROUND(Q136/($C136-$S136)*($C278-$S278),0)</f>
        <v>0</v>
      </c>
      <c r="R278" s="79">
        <f>P278+Q278</f>
        <v>0</v>
      </c>
      <c r="S278" s="79">
        <v>0</v>
      </c>
      <c r="U278" s="80">
        <f>O278+R278+S278-C278</f>
        <v>0</v>
      </c>
      <c r="W278" s="81">
        <f>IF((O278+R278)=0," ",ROUND((O278/(O278+R278)),7))</f>
        <v>1</v>
      </c>
      <c r="X278" s="81">
        <f>IF((C278)=0," ",ROUND((O278/(C278)),7))</f>
        <v>1</v>
      </c>
      <c r="Y278" s="81">
        <f>IF((C278)=0," ",ROUND((S278/(C278)),7))</f>
        <v>0</v>
      </c>
      <c r="Z278" s="79"/>
      <c r="AF278" s="79"/>
      <c r="AJ278" s="66"/>
      <c r="AK278" s="65"/>
    </row>
    <row r="279" spans="1:37" hidden="1">
      <c r="W279" s="81" t="str">
        <f>IF((P279+Q279)=0," ",ROUND((P279/(P279+Q279)),74))</f>
        <v xml:space="preserve"> </v>
      </c>
      <c r="X279" s="81" t="str">
        <f>IF((C279)=0," ",ROUND((P279/(C279)),74))</f>
        <v xml:space="preserve"> </v>
      </c>
      <c r="Y279" s="81" t="str">
        <f>IF((C279)=0," ",ROUND((R279/(C279)),7))</f>
        <v xml:space="preserve"> </v>
      </c>
      <c r="AJ279" s="66"/>
      <c r="AK279" s="65"/>
    </row>
    <row r="280" spans="1:37" hidden="1">
      <c r="B280" s="66" t="s">
        <v>208</v>
      </c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U280" s="80"/>
      <c r="W280" s="81" t="str">
        <f>IF((P280+Q280)=0," ",ROUND((P280/(P280+Q280)),74))</f>
        <v xml:space="preserve"> </v>
      </c>
      <c r="X280" s="81" t="str">
        <f>IF((C280)=0," ",ROUND((P280/(C280)),74))</f>
        <v xml:space="preserve"> </v>
      </c>
      <c r="Y280" s="81" t="str">
        <f>IF((C280)=0," ",ROUND((R280/(C280)),7))</f>
        <v xml:space="preserve"> </v>
      </c>
      <c r="Z280" s="79"/>
      <c r="AF280" s="79"/>
      <c r="AJ280" s="66"/>
      <c r="AK280" s="65"/>
    </row>
    <row r="281" spans="1:37" hidden="1">
      <c r="A281" s="65">
        <f>A278+1</f>
        <v>28</v>
      </c>
      <c r="B281" s="66" t="s">
        <v>246</v>
      </c>
      <c r="C281" s="79">
        <f>ROUND((C149+C151)/C153*C283,0)</f>
        <v>70362</v>
      </c>
      <c r="D281" s="79">
        <f>C281-E281-SUM(G281:I281)-SUM(M281:N281)-R281-S281</f>
        <v>42228</v>
      </c>
      <c r="E281" s="79">
        <f>ROUND((E149+E151)/($C$149+$C151-$S$149-$S151)*($C281-$S281),0)</f>
        <v>1399</v>
      </c>
      <c r="F281" s="79">
        <f t="shared" ref="F281:F293" si="64">D281+E281</f>
        <v>43627</v>
      </c>
      <c r="G281" s="79">
        <f t="shared" ref="G281:L281" si="65">ROUND((G149+G151)/($C$149+$C151-$S$149-$S151)*($C281-$S281),0)</f>
        <v>2253</v>
      </c>
      <c r="H281" s="79">
        <f t="shared" si="65"/>
        <v>16933</v>
      </c>
      <c r="I281" s="79">
        <f t="shared" si="65"/>
        <v>5534</v>
      </c>
      <c r="J281" s="79">
        <f t="shared" si="65"/>
        <v>728</v>
      </c>
      <c r="K281" s="79">
        <f t="shared" si="65"/>
        <v>167</v>
      </c>
      <c r="L281" s="79">
        <f t="shared" si="65"/>
        <v>30</v>
      </c>
      <c r="M281" s="79">
        <f t="shared" ref="M281:M289" si="66">SUM(J281:L281)</f>
        <v>925</v>
      </c>
      <c r="N281" s="79">
        <f>ROUND((N149+N151)/($C$149+$C151-$S$149-$S151)*($C281-$S281),0)</f>
        <v>1090</v>
      </c>
      <c r="O281" s="79">
        <f t="shared" ref="O281:O289" si="67">SUM(F281:I281)+SUM(M281:N281)</f>
        <v>70362</v>
      </c>
      <c r="P281" s="79">
        <f>ROUND((P149+P151)/($C$149+$C151-$S$149-$S151)*($C281-$S281),0)</f>
        <v>0</v>
      </c>
      <c r="Q281" s="79">
        <f>ROUND((Q149+Q151)/($C$149+$C151-$S$149-$S151)*($C281-$S281),0)</f>
        <v>0</v>
      </c>
      <c r="R281" s="79">
        <f t="shared" ref="R281:R289" si="68">P281+Q281</f>
        <v>0</v>
      </c>
      <c r="S281" s="79">
        <v>0</v>
      </c>
      <c r="U281" s="80">
        <f t="shared" ref="U281:U293" si="69">O281+R281+S281-C281</f>
        <v>0</v>
      </c>
      <c r="W281" s="81">
        <f>IF((O281+R281)=0," ",ROUND((O281/(O281+R281)),7))</f>
        <v>1</v>
      </c>
      <c r="X281" s="81">
        <f>IF((C281)=0," ",ROUND((O281/(C281)),7))</f>
        <v>1</v>
      </c>
      <c r="Y281" s="81">
        <f>IF((C281)=0," ",ROUND((S281/(C281)),7))</f>
        <v>0</v>
      </c>
      <c r="Z281" s="79"/>
      <c r="AF281" s="79"/>
      <c r="AJ281" s="66"/>
      <c r="AK281" s="70"/>
    </row>
    <row r="282" spans="1:37" hidden="1">
      <c r="A282" s="65">
        <f>A281+1</f>
        <v>29</v>
      </c>
      <c r="B282" s="66" t="s">
        <v>44</v>
      </c>
      <c r="C282" s="79">
        <f>C283-C281</f>
        <v>23957</v>
      </c>
      <c r="D282" s="79">
        <f>C282-E282-SUM(G282:I282)-SUM(M282:N282)-R282-S282</f>
        <v>20264</v>
      </c>
      <c r="E282" s="79">
        <f>E283-E281</f>
        <v>563</v>
      </c>
      <c r="F282" s="79">
        <f t="shared" si="64"/>
        <v>20827</v>
      </c>
      <c r="G282" s="79">
        <f t="shared" ref="G282:L282" si="70">G283-G281</f>
        <v>1600</v>
      </c>
      <c r="H282" s="79">
        <f t="shared" si="70"/>
        <v>952</v>
      </c>
      <c r="I282" s="79">
        <f t="shared" si="70"/>
        <v>16</v>
      </c>
      <c r="J282" s="79">
        <f t="shared" si="70"/>
        <v>0</v>
      </c>
      <c r="K282" s="79">
        <f t="shared" si="70"/>
        <v>0</v>
      </c>
      <c r="L282" s="79">
        <f t="shared" si="70"/>
        <v>0</v>
      </c>
      <c r="M282" s="79">
        <f t="shared" si="66"/>
        <v>0</v>
      </c>
      <c r="N282" s="79">
        <f>N283-N281</f>
        <v>562</v>
      </c>
      <c r="O282" s="79">
        <f t="shared" si="67"/>
        <v>23957</v>
      </c>
      <c r="P282" s="79">
        <f>P283-P281</f>
        <v>0</v>
      </c>
      <c r="Q282" s="79">
        <f>Q283-Q281</f>
        <v>0</v>
      </c>
      <c r="R282" s="79">
        <f t="shared" si="68"/>
        <v>0</v>
      </c>
      <c r="S282" s="79">
        <f>S283-S281</f>
        <v>0</v>
      </c>
      <c r="U282" s="80">
        <f t="shared" si="69"/>
        <v>0</v>
      </c>
      <c r="W282" s="81">
        <f>IF((O282+R282)=0," ",ROUND((O282/(O282+R282)),7))</f>
        <v>1</v>
      </c>
      <c r="X282" s="81">
        <f>IF((C282)=0," ",ROUND((O282/(C282)),7))</f>
        <v>1</v>
      </c>
      <c r="Y282" s="81">
        <f>IF((C282)=0," ",ROUND((S282/(C282)),7))</f>
        <v>0</v>
      </c>
      <c r="Z282" s="79"/>
      <c r="AF282" s="79"/>
      <c r="AJ282" s="66"/>
      <c r="AK282" s="70"/>
    </row>
    <row r="283" spans="1:37" hidden="1">
      <c r="A283" s="65">
        <f>A282+1</f>
        <v>30</v>
      </c>
      <c r="B283" s="66" t="s">
        <v>37</v>
      </c>
      <c r="C283" s="78">
        <f>94319+23-23</f>
        <v>94319</v>
      </c>
      <c r="D283" s="79">
        <f>C283-E283-SUM(G283:I283)-SUM(M283:N283)-R283-S283</f>
        <v>62492</v>
      </c>
      <c r="E283" s="79">
        <f>ROUND(E153/($C153-$S153)*($C283-$S283),0)</f>
        <v>1962</v>
      </c>
      <c r="F283" s="79">
        <f t="shared" si="64"/>
        <v>64454</v>
      </c>
      <c r="G283" s="79">
        <f t="shared" ref="G283:L283" si="71">ROUND(G153/($C153-$S153)*($C283-$S283),0)</f>
        <v>3853</v>
      </c>
      <c r="H283" s="79">
        <f t="shared" si="71"/>
        <v>17885</v>
      </c>
      <c r="I283" s="79">
        <f t="shared" si="71"/>
        <v>5550</v>
      </c>
      <c r="J283" s="79">
        <f t="shared" si="71"/>
        <v>728</v>
      </c>
      <c r="K283" s="79">
        <f t="shared" si="71"/>
        <v>167</v>
      </c>
      <c r="L283" s="79">
        <f t="shared" si="71"/>
        <v>30</v>
      </c>
      <c r="M283" s="79">
        <f t="shared" si="66"/>
        <v>925</v>
      </c>
      <c r="N283" s="79">
        <f>ROUND(N153/($C153-$S153)*($C283-$S283),0)</f>
        <v>1652</v>
      </c>
      <c r="O283" s="79">
        <f t="shared" si="67"/>
        <v>94319</v>
      </c>
      <c r="P283" s="79">
        <f>ROUND(P153/($C153-$S153)*($C283-$S283),0)</f>
        <v>0</v>
      </c>
      <c r="Q283" s="79">
        <f>ROUND(Q153/($C153-$S153)*($C283-$S283),0)</f>
        <v>0</v>
      </c>
      <c r="R283" s="79">
        <f t="shared" si="68"/>
        <v>0</v>
      </c>
      <c r="S283" s="79">
        <v>0</v>
      </c>
      <c r="U283" s="80">
        <f t="shared" si="69"/>
        <v>0</v>
      </c>
      <c r="W283" s="81">
        <f>IF((O283+R283)=0," ",ROUND((O283/(O283+R283)),7))</f>
        <v>1</v>
      </c>
      <c r="X283" s="81">
        <f>IF((C283)=0," ",ROUND((O283/(C283)),7))</f>
        <v>1</v>
      </c>
      <c r="Y283" s="81">
        <f>IF((C283)=0," ",ROUND((S283/(C283)),7))</f>
        <v>0</v>
      </c>
      <c r="Z283" s="79"/>
      <c r="AF283" s="79"/>
      <c r="AJ283" s="66"/>
      <c r="AK283" s="65"/>
    </row>
    <row r="284" spans="1:37" hidden="1">
      <c r="W284" s="81" t="str">
        <f>IF((P284+Q284)=0," ",ROUND((P284/(P284+Q284)),74))</f>
        <v xml:space="preserve"> </v>
      </c>
      <c r="X284" s="81" t="str">
        <f>IF((C284)=0," ",ROUND((P284/(C284)),74))</f>
        <v xml:space="preserve"> </v>
      </c>
      <c r="Y284" s="81" t="str">
        <f>IF((C284)=0," ",ROUND((R284/(C284)),7))</f>
        <v xml:space="preserve"> </v>
      </c>
      <c r="AJ284" s="66"/>
      <c r="AK284" s="65"/>
    </row>
    <row r="285" spans="1:37" hidden="1">
      <c r="A285" s="65">
        <f>A283+1</f>
        <v>31</v>
      </c>
      <c r="B285" s="66" t="s">
        <v>249</v>
      </c>
      <c r="C285" s="78">
        <f>21675+18192</f>
        <v>39867</v>
      </c>
      <c r="D285" s="79">
        <f>C285-E285-SUM(G285:I285)-SUM(M285:N285)-R285-S285</f>
        <v>34532</v>
      </c>
      <c r="E285" s="79">
        <f>ROUND(E158/($C158-$S158)*($C285-$S285),0)</f>
        <v>959</v>
      </c>
      <c r="F285" s="79">
        <f t="shared" si="64"/>
        <v>35491</v>
      </c>
      <c r="G285" s="79">
        <f t="shared" ref="G285:L285" si="72">ROUND(G158/($C158-$S158)*($C285-$S285),0)</f>
        <v>2727</v>
      </c>
      <c r="H285" s="79">
        <f t="shared" si="72"/>
        <v>1623</v>
      </c>
      <c r="I285" s="79">
        <f t="shared" si="72"/>
        <v>26</v>
      </c>
      <c r="J285" s="79">
        <f t="shared" si="72"/>
        <v>0</v>
      </c>
      <c r="K285" s="79">
        <f t="shared" si="72"/>
        <v>0</v>
      </c>
      <c r="L285" s="79">
        <f t="shared" si="72"/>
        <v>0</v>
      </c>
      <c r="M285" s="79">
        <f t="shared" si="66"/>
        <v>0</v>
      </c>
      <c r="N285" s="79">
        <f>ROUND(N158/($C158-$S158)*($C285-$S285),0)</f>
        <v>0</v>
      </c>
      <c r="O285" s="79">
        <f t="shared" si="67"/>
        <v>39867</v>
      </c>
      <c r="P285" s="79">
        <f>ROUND(P158/($C158-$S158)*($C285-$S285),0)</f>
        <v>0</v>
      </c>
      <c r="Q285" s="79">
        <f>ROUND(Q158/($C158-$S158)*($C285-$S285),0)</f>
        <v>0</v>
      </c>
      <c r="R285" s="79">
        <f t="shared" si="68"/>
        <v>0</v>
      </c>
      <c r="S285" s="79">
        <v>0</v>
      </c>
      <c r="U285" s="80">
        <f t="shared" si="69"/>
        <v>0</v>
      </c>
      <c r="W285" s="81">
        <f>IF((O285+R285)=0," ",ROUND((O285/(O285+R285)),7))</f>
        <v>1</v>
      </c>
      <c r="X285" s="81">
        <f>IF((C285)=0," ",ROUND((O285/(C285)),7))</f>
        <v>1</v>
      </c>
      <c r="Y285" s="81">
        <f>IF((C285)=0," ",ROUND((S285/(C285)),7))</f>
        <v>0</v>
      </c>
      <c r="Z285" s="79"/>
      <c r="AF285" s="79"/>
      <c r="AJ285" s="66"/>
      <c r="AK285" s="70"/>
    </row>
    <row r="286" spans="1:37" hidden="1">
      <c r="F286" s="79"/>
      <c r="W286" s="81" t="str">
        <f>IF((P286+Q286)=0," ",ROUND((P286/(P286+Q286)),74))</f>
        <v xml:space="preserve"> </v>
      </c>
      <c r="X286" s="81" t="str">
        <f>IF((C286)=0," ",ROUND((P286/(C286)),74))</f>
        <v xml:space="preserve"> </v>
      </c>
      <c r="Y286" s="81" t="str">
        <f>IF((C286)=0," ",ROUND((R286/(C286)),7))</f>
        <v xml:space="preserve"> </v>
      </c>
      <c r="AJ286" s="66"/>
      <c r="AK286" s="65"/>
    </row>
    <row r="287" spans="1:37" hidden="1">
      <c r="A287" s="65">
        <f>A285+1</f>
        <v>32</v>
      </c>
      <c r="B287" s="66" t="s">
        <v>213</v>
      </c>
      <c r="C287" s="78">
        <f>8408+42+886+616</f>
        <v>9952</v>
      </c>
      <c r="D287" s="79">
        <f>C287-E287-SUM(G287:I287)-SUM(M287:N287)-R287-S287</f>
        <v>6762</v>
      </c>
      <c r="E287" s="79">
        <f>ROUND(E160/($C160-$S160)*($C287-228-$S287),0)-42</f>
        <v>193</v>
      </c>
      <c r="F287" s="79">
        <f t="shared" si="64"/>
        <v>6955</v>
      </c>
      <c r="G287" s="79">
        <f t="shared" ref="G287:L287" si="73">ROUND(G160/($C160-$S160)*($C287-228-$S287),0)</f>
        <v>1436</v>
      </c>
      <c r="H287" s="79">
        <f t="shared" si="73"/>
        <v>1363</v>
      </c>
      <c r="I287" s="79">
        <f t="shared" si="73"/>
        <v>109</v>
      </c>
      <c r="J287" s="79">
        <f t="shared" si="73"/>
        <v>8</v>
      </c>
      <c r="K287" s="79">
        <f t="shared" si="73"/>
        <v>1</v>
      </c>
      <c r="L287" s="79">
        <f t="shared" si="73"/>
        <v>0</v>
      </c>
      <c r="M287" s="79">
        <f t="shared" si="66"/>
        <v>9</v>
      </c>
      <c r="N287" s="79">
        <f>ROUND(N160/($C160-$S160)*($C287-228-$S287),0)</f>
        <v>80</v>
      </c>
      <c r="O287" s="79">
        <f t="shared" si="67"/>
        <v>9952</v>
      </c>
      <c r="P287" s="79">
        <f>ROUND(P160/($C160-$S160)*($C287-228-$S287),0)</f>
        <v>0</v>
      </c>
      <c r="Q287" s="79">
        <f>ROUND(Q160/($C160-$S160)*($C287-228-$S287),0)</f>
        <v>0</v>
      </c>
      <c r="R287" s="79">
        <f t="shared" si="68"/>
        <v>0</v>
      </c>
      <c r="S287" s="79">
        <v>0</v>
      </c>
      <c r="U287" s="80">
        <f t="shared" si="69"/>
        <v>0</v>
      </c>
      <c r="W287" s="81">
        <f>IF((O287+R287)=0," ",ROUND((O287/(O287+R287)),7))</f>
        <v>1</v>
      </c>
      <c r="X287" s="81">
        <f>IF((C287)=0," ",ROUND((O287/(C287)),7))</f>
        <v>1</v>
      </c>
      <c r="Y287" s="81">
        <f>IF((C287)=0," ",ROUND((S287/(C287)),7))</f>
        <v>0</v>
      </c>
      <c r="Z287" s="79"/>
      <c r="AF287" s="79"/>
      <c r="AJ287" s="66"/>
      <c r="AK287" s="70"/>
    </row>
    <row r="288" spans="1:37" hidden="1">
      <c r="W288" s="81" t="str">
        <f>IF((P288+Q288)=0," ",ROUND((P288/(P288+Q288)),74))</f>
        <v xml:space="preserve"> </v>
      </c>
      <c r="X288" s="81" t="str">
        <f>IF((C288)=0," ",ROUND((P288/(C288)),74))</f>
        <v xml:space="preserve"> </v>
      </c>
      <c r="Y288" s="81" t="str">
        <f>IF((C288)=0," ",ROUND((R288/(C288)),7))</f>
        <v xml:space="preserve"> </v>
      </c>
      <c r="AJ288" s="66"/>
      <c r="AK288" s="65"/>
    </row>
    <row r="289" spans="1:37" hidden="1">
      <c r="A289" s="65">
        <f>A287+1</f>
        <v>33</v>
      </c>
      <c r="B289" s="66" t="s">
        <v>214</v>
      </c>
      <c r="C289" s="78">
        <v>25177</v>
      </c>
      <c r="D289" s="79">
        <f>C289-E289-SUM(G289:I289)-SUM(M289:N289)-R289-S289</f>
        <v>0</v>
      </c>
      <c r="E289" s="79">
        <f>ROUND(E162/($C162-$S162)*($C289-$S289),0)</f>
        <v>0</v>
      </c>
      <c r="F289" s="79">
        <f t="shared" si="64"/>
        <v>0</v>
      </c>
      <c r="G289" s="79">
        <f t="shared" ref="G289:L289" si="74">ROUND(G162/($C162-$S162)*($C289-$S289),0)</f>
        <v>0</v>
      </c>
      <c r="H289" s="79">
        <f t="shared" si="74"/>
        <v>0</v>
      </c>
      <c r="I289" s="79">
        <f t="shared" si="74"/>
        <v>0</v>
      </c>
      <c r="J289" s="79">
        <f t="shared" si="74"/>
        <v>0</v>
      </c>
      <c r="K289" s="79">
        <f t="shared" si="74"/>
        <v>0</v>
      </c>
      <c r="L289" s="79">
        <f t="shared" si="74"/>
        <v>0</v>
      </c>
      <c r="M289" s="79">
        <f t="shared" si="66"/>
        <v>0</v>
      </c>
      <c r="N289" s="79">
        <f>ROUND(N162/($C162-$S162)*($C289-$S289),0)</f>
        <v>25177</v>
      </c>
      <c r="O289" s="79">
        <f t="shared" si="67"/>
        <v>25177</v>
      </c>
      <c r="P289" s="79">
        <f>ROUND(P162/($C162-$S162)*($C289-$S289),0)</f>
        <v>0</v>
      </c>
      <c r="Q289" s="79">
        <f>ROUND(Q162/($C162-$S162)*($C289-$S289),0)</f>
        <v>0</v>
      </c>
      <c r="R289" s="79">
        <f t="shared" si="68"/>
        <v>0</v>
      </c>
      <c r="S289" s="79">
        <v>0</v>
      </c>
      <c r="U289" s="80">
        <f t="shared" si="69"/>
        <v>0</v>
      </c>
      <c r="W289" s="81">
        <f>IF((O289+R289)=0," ",ROUND((O289/(O289+R289)),7))</f>
        <v>1</v>
      </c>
      <c r="X289" s="81">
        <f>IF((C289)=0," ",ROUND((O289/(C289)),7))</f>
        <v>1</v>
      </c>
      <c r="Y289" s="81">
        <f>IF((C289)=0," ",ROUND((S289/(C289)),7))</f>
        <v>0</v>
      </c>
      <c r="Z289" s="79"/>
      <c r="AF289" s="79"/>
      <c r="AJ289" s="66"/>
      <c r="AK289" s="70"/>
    </row>
    <row r="290" spans="1:37" hidden="1"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U290" s="80"/>
      <c r="W290" s="81" t="str">
        <f>IF((P290+Q290)=0," ",ROUND((P290/(P290+Q290)),74))</f>
        <v xml:space="preserve"> </v>
      </c>
      <c r="X290" s="81" t="str">
        <f>IF((C290)=0," ",ROUND((P290/(C290)),74))</f>
        <v xml:space="preserve"> </v>
      </c>
      <c r="Y290" s="81" t="str">
        <f>IF((C290)=0," ",ROUND((R290/(C290)),7))</f>
        <v xml:space="preserve"> </v>
      </c>
      <c r="Z290" s="79"/>
      <c r="AF290" s="79"/>
      <c r="AJ290" s="66"/>
      <c r="AK290" s="65"/>
    </row>
    <row r="291" spans="1:37" hidden="1">
      <c r="A291" s="65">
        <f>A289+1</f>
        <v>34</v>
      </c>
      <c r="B291" s="66" t="s">
        <v>250</v>
      </c>
      <c r="C291" s="79">
        <f>O291+R291+S291</f>
        <v>404461</v>
      </c>
      <c r="D291" s="79">
        <f>SUM(D244:D248)+D253+D258+D273+D278+SUM(D283:D289)</f>
        <v>247267</v>
      </c>
      <c r="E291" s="79">
        <f>SUM(E244:E248)+E253+E258+E273+E278+SUM(E283:E289)</f>
        <v>7356</v>
      </c>
      <c r="F291" s="79">
        <f>D291+E291</f>
        <v>254623</v>
      </c>
      <c r="G291" s="79">
        <f t="shared" ref="G291:L291" si="75">SUM(G244:G248)+G253+G258+G273+G278+SUM(G283:G289)</f>
        <v>16497</v>
      </c>
      <c r="H291" s="79">
        <f t="shared" si="75"/>
        <v>65376</v>
      </c>
      <c r="I291" s="79">
        <f t="shared" si="75"/>
        <v>24297</v>
      </c>
      <c r="J291" s="79">
        <f t="shared" si="75"/>
        <v>10128</v>
      </c>
      <c r="K291" s="79">
        <f t="shared" si="75"/>
        <v>1420</v>
      </c>
      <c r="L291" s="79">
        <f t="shared" si="75"/>
        <v>377</v>
      </c>
      <c r="M291" s="79">
        <f>SUM(J291:L291)</f>
        <v>11925</v>
      </c>
      <c r="N291" s="79">
        <f>SUM(N244:N248)+N253+N258+N273+N278+SUM(N283:N289)</f>
        <v>29948</v>
      </c>
      <c r="O291" s="79">
        <f>SUM(F291:I291)+SUM(M291:N291)</f>
        <v>402666</v>
      </c>
      <c r="P291" s="79">
        <f>SUM(P244:P248)+P253+P258+P273+P278+SUM(P283:P289)</f>
        <v>1643</v>
      </c>
      <c r="Q291" s="79">
        <f>SUM(Q244:Q248)+Q253+Q258+Q273+Q278+SUM(Q283:Q289)</f>
        <v>152</v>
      </c>
      <c r="R291" s="79">
        <f>P291+Q291</f>
        <v>1795</v>
      </c>
      <c r="S291" s="79">
        <f>SUM(S244:S248)+S253+S258+S273+S278+SUM(S283:S289)</f>
        <v>0</v>
      </c>
      <c r="U291" s="80">
        <f t="shared" si="69"/>
        <v>0</v>
      </c>
      <c r="W291" s="81">
        <f>IF((O291+R291)=0," ",ROUND((O291/(O291+R291)),7))</f>
        <v>0.99556199999999995</v>
      </c>
      <c r="X291" s="81">
        <f>IF((C291)=0," ",ROUND((O291/(C291)),7))</f>
        <v>0.99556199999999995</v>
      </c>
      <c r="Y291" s="81">
        <f>IF((C291)=0," ",ROUND((S291/(C291)),7))</f>
        <v>0</v>
      </c>
      <c r="Z291" s="79"/>
      <c r="AF291" s="79"/>
      <c r="AJ291" s="66"/>
      <c r="AK291" s="65"/>
    </row>
    <row r="292" spans="1:37" hidden="1">
      <c r="A292" s="65">
        <f>A291+1</f>
        <v>35</v>
      </c>
      <c r="B292" s="66" t="s">
        <v>216</v>
      </c>
      <c r="C292" s="79">
        <f>O292+R292+S292</f>
        <v>261155</v>
      </c>
      <c r="D292" s="79">
        <f>D244+D246+D248+D251+D256+D271+D276+D281</f>
        <v>148200</v>
      </c>
      <c r="E292" s="79">
        <f>E244+E246+E248+E251+E256+E271+E276+E281</f>
        <v>4600</v>
      </c>
      <c r="F292" s="79">
        <f t="shared" si="64"/>
        <v>152800</v>
      </c>
      <c r="G292" s="79">
        <f t="shared" ref="G292:L292" si="76">G244+G246+G248+G251+G256+G271+G276+G281</f>
        <v>7771</v>
      </c>
      <c r="H292" s="79">
        <f t="shared" si="76"/>
        <v>59671</v>
      </c>
      <c r="I292" s="79">
        <f t="shared" si="76"/>
        <v>24115</v>
      </c>
      <c r="J292" s="79">
        <f t="shared" si="76"/>
        <v>10119</v>
      </c>
      <c r="K292" s="79">
        <f t="shared" si="76"/>
        <v>1419</v>
      </c>
      <c r="L292" s="79">
        <f t="shared" si="76"/>
        <v>377</v>
      </c>
      <c r="M292" s="79">
        <f>SUM(J292:L292)</f>
        <v>11915</v>
      </c>
      <c r="N292" s="79">
        <f>N244+N246+N248+N251+N256+N271+N276+N281</f>
        <v>3088</v>
      </c>
      <c r="O292" s="79">
        <f>SUM(F292:I292)+SUM(M292:N292)</f>
        <v>259360</v>
      </c>
      <c r="P292" s="79">
        <f>P244+P246+P248+P251+P256+P271+P276+P281</f>
        <v>1643</v>
      </c>
      <c r="Q292" s="79">
        <f>Q244+Q246+Q248+Q251+Q256+Q271+Q276+Q281</f>
        <v>152</v>
      </c>
      <c r="R292" s="79">
        <f>P292+Q292</f>
        <v>1795</v>
      </c>
      <c r="S292" s="79">
        <f>S244+S246+S248+S251+S256+S271+S276+S281</f>
        <v>0</v>
      </c>
      <c r="U292" s="80">
        <f t="shared" si="69"/>
        <v>0</v>
      </c>
      <c r="W292" s="81">
        <f>IF((O292+R292)=0," ",ROUND((O292/(O292+R292)),7))</f>
        <v>0.99312670000000003</v>
      </c>
      <c r="X292" s="81">
        <f>IF((C292)=0," ",ROUND((O292/(C292)),7))</f>
        <v>0.99312670000000003</v>
      </c>
      <c r="Y292" s="81">
        <f>IF((C292)=0," ",ROUND((S292/(C292)),7))</f>
        <v>0</v>
      </c>
      <c r="Z292" s="79"/>
      <c r="AF292" s="79"/>
      <c r="AJ292" s="66"/>
      <c r="AK292" s="65"/>
    </row>
    <row r="293" spans="1:37" hidden="1">
      <c r="A293" s="65">
        <f>A292+1</f>
        <v>36</v>
      </c>
      <c r="B293" s="66" t="s">
        <v>217</v>
      </c>
      <c r="C293" s="79">
        <f>O293+R293+S293</f>
        <v>143306</v>
      </c>
      <c r="D293" s="79">
        <f>D291-D292</f>
        <v>99067</v>
      </c>
      <c r="E293" s="79">
        <f>E291-E292</f>
        <v>2756</v>
      </c>
      <c r="F293" s="79">
        <f t="shared" si="64"/>
        <v>101823</v>
      </c>
      <c r="G293" s="79">
        <f t="shared" ref="G293:L293" si="77">G291-G292</f>
        <v>8726</v>
      </c>
      <c r="H293" s="79">
        <f t="shared" si="77"/>
        <v>5705</v>
      </c>
      <c r="I293" s="79">
        <f t="shared" si="77"/>
        <v>182</v>
      </c>
      <c r="J293" s="79">
        <f t="shared" si="77"/>
        <v>9</v>
      </c>
      <c r="K293" s="79">
        <f t="shared" si="77"/>
        <v>1</v>
      </c>
      <c r="L293" s="79">
        <f t="shared" si="77"/>
        <v>0</v>
      </c>
      <c r="M293" s="79">
        <f>SUM(J293:L293)</f>
        <v>10</v>
      </c>
      <c r="N293" s="79">
        <f>N291-N292</f>
        <v>26860</v>
      </c>
      <c r="O293" s="79">
        <f>SUM(F293:I293)+SUM(M293:N293)</f>
        <v>143306</v>
      </c>
      <c r="P293" s="79">
        <f>P291-P292</f>
        <v>0</v>
      </c>
      <c r="Q293" s="79">
        <f>Q291-Q292</f>
        <v>0</v>
      </c>
      <c r="R293" s="79">
        <f>P293+Q293</f>
        <v>0</v>
      </c>
      <c r="S293" s="79">
        <f>S291-S292</f>
        <v>0</v>
      </c>
      <c r="U293" s="80">
        <f t="shared" si="69"/>
        <v>0</v>
      </c>
      <c r="W293" s="81">
        <f>IF((O293+R293)=0," ",ROUND((O293/(O293+R293)),7))</f>
        <v>1</v>
      </c>
      <c r="X293" s="81">
        <f>IF((C293)=0," ",ROUND((O293/(C293)),7))</f>
        <v>1</v>
      </c>
      <c r="Y293" s="81">
        <f>IF((C293)=0," ",ROUND((S293/(C293)),7))</f>
        <v>0</v>
      </c>
      <c r="Z293" s="79"/>
      <c r="AF293" s="79"/>
      <c r="AJ293" s="66"/>
      <c r="AK293" s="65"/>
    </row>
    <row r="294" spans="1:37" hidden="1"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U294" s="80"/>
      <c r="W294" s="81" t="str">
        <f>IF((P294+Q294)=0," ",ROUND((P294/(P294+Q294)),74))</f>
        <v xml:space="preserve"> </v>
      </c>
      <c r="X294" s="81" t="str">
        <f>IF((C294)=0," ",ROUND((P294/(C294)),74))</f>
        <v xml:space="preserve"> </v>
      </c>
      <c r="Y294" s="81" t="str">
        <f>IF((C294)=0," ",ROUND((R294/(C294)),7))</f>
        <v xml:space="preserve"> </v>
      </c>
      <c r="Z294" s="79"/>
      <c r="AF294" s="79"/>
      <c r="AJ294" s="66"/>
      <c r="AK294" s="65"/>
    </row>
    <row r="295" spans="1:37" hidden="1">
      <c r="B295" s="65" t="s">
        <v>218</v>
      </c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U295" s="80"/>
      <c r="W295" s="81" t="str">
        <f>IF((P295+Q295)=0," ",ROUND((P295/(P295+Q295)),74))</f>
        <v xml:space="preserve"> </v>
      </c>
      <c r="X295" s="81" t="str">
        <f>IF((C295)=0," ",ROUND((P295/(C295)),74))</f>
        <v xml:space="preserve"> </v>
      </c>
      <c r="Y295" s="81" t="str">
        <f>IF((C295)=0," ",ROUND((R295/(C295)),7))</f>
        <v xml:space="preserve"> </v>
      </c>
      <c r="Z295" s="79"/>
      <c r="AF295" s="79"/>
      <c r="AJ295" s="66"/>
      <c r="AK295" s="65"/>
    </row>
    <row r="296" spans="1:37" hidden="1">
      <c r="B296" s="83" t="s">
        <v>170</v>
      </c>
      <c r="W296" s="81" t="str">
        <f>IF((P296+Q296)=0," ",ROUND((P296/(P296+Q296)),74))</f>
        <v xml:space="preserve"> </v>
      </c>
      <c r="X296" s="81" t="str">
        <f>IF((C296)=0," ",ROUND((P296/(C296)),74))</f>
        <v xml:space="preserve"> </v>
      </c>
      <c r="Y296" s="81" t="str">
        <f>IF((C296)=0," ",ROUND((R296/(C296)),7))</f>
        <v xml:space="preserve"> </v>
      </c>
      <c r="AJ296" s="66"/>
      <c r="AK296" s="65"/>
    </row>
    <row r="297" spans="1:37" hidden="1">
      <c r="W297" s="81" t="str">
        <f>IF((P297+Q297)=0," ",ROUND((P297/(P297+Q297)),74))</f>
        <v xml:space="preserve"> </v>
      </c>
      <c r="X297" s="81" t="str">
        <f>IF((C297)=0," ",ROUND((P297/(C297)),74))</f>
        <v xml:space="preserve"> </v>
      </c>
      <c r="Y297" s="81" t="str">
        <f>IF((C297)=0," ",ROUND((R297/(C297)),7))</f>
        <v xml:space="preserve"> </v>
      </c>
      <c r="AJ297" s="66"/>
      <c r="AK297" s="65"/>
    </row>
    <row r="298" spans="1:37" hidden="1">
      <c r="B298" s="66" t="s">
        <v>219</v>
      </c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U298" s="80"/>
      <c r="W298" s="81" t="str">
        <f>IF((P298+Q298)=0," ",ROUND((P298/(P298+Q298)),74))</f>
        <v xml:space="preserve"> </v>
      </c>
      <c r="X298" s="81" t="str">
        <f>IF((C298)=0," ",ROUND((P298/(C298)),74))</f>
        <v xml:space="preserve"> </v>
      </c>
      <c r="Y298" s="81" t="str">
        <f>IF((C298)=0," ",ROUND((R298/(C298)),7))</f>
        <v xml:space="preserve"> </v>
      </c>
      <c r="Z298" s="79"/>
      <c r="AF298" s="79"/>
      <c r="AJ298" s="66"/>
      <c r="AK298" s="65"/>
    </row>
    <row r="299" spans="1:37" hidden="1">
      <c r="A299" s="65">
        <f>A293+1</f>
        <v>37</v>
      </c>
      <c r="B299" s="66" t="s">
        <v>39</v>
      </c>
      <c r="C299" s="79">
        <v>40274</v>
      </c>
      <c r="D299" s="79">
        <f>C299-E299-SUM(G299:I299)-SUM(M299:N299)-R299-S299</f>
        <v>20588.501</v>
      </c>
      <c r="E299" s="79">
        <v>552</v>
      </c>
      <c r="F299" s="79">
        <f>D299+E299</f>
        <v>21140.501</v>
      </c>
      <c r="G299" s="79">
        <v>1043</v>
      </c>
      <c r="H299" s="79">
        <v>8324</v>
      </c>
      <c r="I299" s="79">
        <v>4512</v>
      </c>
      <c r="J299" s="79">
        <v>1904</v>
      </c>
      <c r="K299" s="79">
        <v>168</v>
      </c>
      <c r="L299" s="79">
        <v>81</v>
      </c>
      <c r="M299" s="79">
        <f>SUM(J299:L299)</f>
        <v>2153</v>
      </c>
      <c r="N299" s="79">
        <v>223</v>
      </c>
      <c r="O299" s="79">
        <f>SUM(F299:I299)+SUM(M299:N299)</f>
        <v>37395.501000000004</v>
      </c>
      <c r="P299" s="79">
        <v>1036</v>
      </c>
      <c r="Q299" s="79">
        <v>119</v>
      </c>
      <c r="R299" s="79">
        <f>P299+Q299</f>
        <v>1155</v>
      </c>
      <c r="S299" s="79">
        <f>S302</f>
        <v>1723.499</v>
      </c>
      <c r="U299" s="80">
        <f>O299+R299+S299-C299</f>
        <v>0</v>
      </c>
      <c r="W299" s="81">
        <f>IF((O299+R299)=0," ",ROUND((O299/(O299+R299)),7))</f>
        <v>0.97003930000000005</v>
      </c>
      <c r="X299" s="81">
        <f>IF((C299)=0," ",ROUND((O299/(C299)),7))</f>
        <v>0.92852710000000005</v>
      </c>
      <c r="Y299" s="81">
        <f>IF((C299)=0," ",ROUND((S299/(C299)),7))</f>
        <v>4.27943E-2</v>
      </c>
      <c r="Z299" s="79"/>
      <c r="AF299" s="79"/>
      <c r="AJ299" s="66"/>
      <c r="AK299" s="70"/>
    </row>
    <row r="300" spans="1:37" hidden="1">
      <c r="A300" s="65">
        <f>A299+1</f>
        <v>38</v>
      </c>
      <c r="B300" s="66" t="s">
        <v>44</v>
      </c>
      <c r="C300" s="79">
        <v>23428</v>
      </c>
      <c r="D300" s="79">
        <f>C300-E300-SUM(G300:I300)-SUM(M300:N300)-R300-S300</f>
        <v>17230</v>
      </c>
      <c r="E300" s="79">
        <v>466</v>
      </c>
      <c r="F300" s="79">
        <f>D300+E300</f>
        <v>17696</v>
      </c>
      <c r="G300" s="79">
        <v>2430</v>
      </c>
      <c r="H300" s="79">
        <v>2026</v>
      </c>
      <c r="I300" s="79">
        <v>268</v>
      </c>
      <c r="J300" s="79">
        <v>88</v>
      </c>
      <c r="K300" s="79">
        <v>14</v>
      </c>
      <c r="L300" s="79">
        <v>4</v>
      </c>
      <c r="M300" s="79">
        <f>SUM(J300:L300)</f>
        <v>106</v>
      </c>
      <c r="N300" s="79">
        <v>900</v>
      </c>
      <c r="O300" s="79">
        <f>SUM(F300:I300)+SUM(M300:N300)</f>
        <v>23426</v>
      </c>
      <c r="P300" s="79">
        <v>1</v>
      </c>
      <c r="Q300" s="79">
        <v>1</v>
      </c>
      <c r="R300" s="79">
        <f>P300+Q300</f>
        <v>2</v>
      </c>
      <c r="S300" s="79">
        <v>0</v>
      </c>
      <c r="U300" s="80">
        <f>O300+R300+S300-C300</f>
        <v>0</v>
      </c>
      <c r="W300" s="81">
        <f>IF((O300+R300)=0," ",ROUND((O300/(O300+R300)),7))</f>
        <v>0.99991459999999999</v>
      </c>
      <c r="X300" s="81">
        <f>IF((C300)=0," ",ROUND((O300/(C300)),7))</f>
        <v>0.99991459999999999</v>
      </c>
      <c r="Y300" s="81">
        <f>IF((C300)=0," ",ROUND((S300/(C300)),7))</f>
        <v>0</v>
      </c>
      <c r="Z300" s="79"/>
      <c r="AF300" s="79"/>
      <c r="AJ300" s="66"/>
      <c r="AK300" s="70"/>
    </row>
    <row r="301" spans="1:37" hidden="1">
      <c r="A301" s="65">
        <f>A300+1</f>
        <v>39</v>
      </c>
      <c r="B301" s="66" t="s">
        <v>168</v>
      </c>
      <c r="C301" s="79">
        <f>O301+R301+S301</f>
        <v>2301.9999999999964</v>
      </c>
      <c r="D301" s="79">
        <f>D302-D299-D300</f>
        <v>1066.9999999999964</v>
      </c>
      <c r="E301" s="79">
        <f>E302-E299-E300</f>
        <v>41</v>
      </c>
      <c r="F301" s="79">
        <f>D301+E301</f>
        <v>1107.9999999999964</v>
      </c>
      <c r="G301" s="79">
        <f t="shared" ref="G301:L301" si="78">G302-G299-G300</f>
        <v>58</v>
      </c>
      <c r="H301" s="79">
        <f t="shared" si="78"/>
        <v>536</v>
      </c>
      <c r="I301" s="79">
        <f t="shared" si="78"/>
        <v>360</v>
      </c>
      <c r="J301" s="79">
        <f t="shared" si="78"/>
        <v>194</v>
      </c>
      <c r="K301" s="79">
        <f t="shared" si="78"/>
        <v>8</v>
      </c>
      <c r="L301" s="79">
        <f t="shared" si="78"/>
        <v>7</v>
      </c>
      <c r="M301" s="79">
        <f>SUM(J301:L301)</f>
        <v>209</v>
      </c>
      <c r="N301" s="79">
        <f>N302-N299-N300</f>
        <v>31</v>
      </c>
      <c r="O301" s="79">
        <f>SUM(F301:I301)+SUM(M301:N301)</f>
        <v>2301.9999999999964</v>
      </c>
      <c r="P301" s="79">
        <f>P302-P299-P300</f>
        <v>0</v>
      </c>
      <c r="Q301" s="79">
        <f>Q302-Q299-Q300</f>
        <v>0</v>
      </c>
      <c r="R301" s="79">
        <f>P301+Q301</f>
        <v>0</v>
      </c>
      <c r="S301" s="79">
        <v>0</v>
      </c>
      <c r="U301" s="80">
        <f>O301+R301+S301-C301</f>
        <v>0</v>
      </c>
      <c r="W301" s="81">
        <f>IF((O301+R301)=0," ",ROUND((O301/(O301+R301)),7))</f>
        <v>1</v>
      </c>
      <c r="X301" s="81">
        <f>IF((C301)=0," ",ROUND((O301/(C301)),7))</f>
        <v>1</v>
      </c>
      <c r="Y301" s="81">
        <f>IF((C301)=0," ",ROUND((S301/(C301)),7))</f>
        <v>0</v>
      </c>
      <c r="Z301" s="79"/>
      <c r="AF301" s="79"/>
      <c r="AJ301" s="66"/>
      <c r="AK301" s="70"/>
    </row>
    <row r="302" spans="1:37" hidden="1">
      <c r="A302" s="65">
        <f>A301+1</f>
        <v>40</v>
      </c>
      <c r="B302" s="71" t="s">
        <v>251</v>
      </c>
      <c r="C302" s="78">
        <f>53094+13021-111</f>
        <v>66004</v>
      </c>
      <c r="D302" s="79">
        <f>C302-E302-SUM(G302:I302)-SUM(M302:N302)-R302-S302</f>
        <v>38885.500999999997</v>
      </c>
      <c r="E302" s="79">
        <v>1059</v>
      </c>
      <c r="F302" s="79">
        <f>D302+E302</f>
        <v>39944.500999999997</v>
      </c>
      <c r="G302" s="79">
        <v>3531</v>
      </c>
      <c r="H302" s="79">
        <v>10886</v>
      </c>
      <c r="I302" s="79">
        <v>5140</v>
      </c>
      <c r="J302" s="79">
        <v>2186</v>
      </c>
      <c r="K302" s="79">
        <v>190</v>
      </c>
      <c r="L302" s="79">
        <v>92</v>
      </c>
      <c r="M302" s="79">
        <f>SUM(J302:L302)</f>
        <v>2468</v>
      </c>
      <c r="N302" s="79">
        <v>1154</v>
      </c>
      <c r="O302" s="79">
        <f>SUM(F302:I302)+SUM(M302:N302)</f>
        <v>63123.500999999997</v>
      </c>
      <c r="P302" s="79">
        <v>1037</v>
      </c>
      <c r="Q302" s="79">
        <v>120</v>
      </c>
      <c r="R302" s="79">
        <f>P302+Q302</f>
        <v>1157</v>
      </c>
      <c r="S302" s="78">
        <v>1723.499</v>
      </c>
      <c r="U302" s="80">
        <f>O302+R302+S302-C302</f>
        <v>0</v>
      </c>
      <c r="W302" s="81">
        <f>IF((O302+R302)=0," ",ROUND((O302/(O302+R302)),7))</f>
        <v>0.98200080000000001</v>
      </c>
      <c r="X302" s="81">
        <f>IF((C302)=0," ",ROUND((O302/(C302)),7))</f>
        <v>0.95635870000000001</v>
      </c>
      <c r="Y302" s="81">
        <f>IF((C302)=0," ",ROUND((S302/(C302)),7))</f>
        <v>2.6112E-2</v>
      </c>
      <c r="Z302" s="79"/>
      <c r="AF302" s="79"/>
      <c r="AJ302" s="66"/>
      <c r="AK302" s="70"/>
    </row>
    <row r="303" spans="1:37" hidden="1">
      <c r="W303" s="81" t="str">
        <f>IF((P303+Q303)=0," ",ROUND((P303/(P303+Q303)),74))</f>
        <v xml:space="preserve"> </v>
      </c>
      <c r="X303" s="81" t="str">
        <f>IF((C303)=0," ",ROUND((P303/(C303)),74))</f>
        <v xml:space="preserve"> </v>
      </c>
      <c r="Y303" s="81" t="str">
        <f>IF((C303)=0," ",ROUND((R303/(C303)),7))</f>
        <v xml:space="preserve"> </v>
      </c>
      <c r="AJ303" s="66"/>
      <c r="AK303" s="65"/>
    </row>
    <row r="304" spans="1:37" hidden="1">
      <c r="A304" s="65">
        <f>A302+1</f>
        <v>41</v>
      </c>
      <c r="B304" s="66" t="s">
        <v>252</v>
      </c>
      <c r="C304" s="79">
        <f>ROUND((O304+R304+S304),0)</f>
        <v>1323774</v>
      </c>
      <c r="D304" s="79">
        <f>ROUND((SUM(D305:D307)),0)</f>
        <v>671518</v>
      </c>
      <c r="E304" s="79">
        <f>SUM(E305:E307)</f>
        <v>18524</v>
      </c>
      <c r="F304" s="79">
        <f>D304+E304</f>
        <v>690042</v>
      </c>
      <c r="G304" s="79">
        <f t="shared" ref="G304:L304" si="79">SUM(G305:G307)</f>
        <v>39429</v>
      </c>
      <c r="H304" s="79">
        <f t="shared" si="79"/>
        <v>234311</v>
      </c>
      <c r="I304" s="79">
        <f t="shared" si="79"/>
        <v>121976</v>
      </c>
      <c r="J304" s="79">
        <f t="shared" si="79"/>
        <v>52869</v>
      </c>
      <c r="K304" s="79">
        <f t="shared" si="79"/>
        <v>4455</v>
      </c>
      <c r="L304" s="79">
        <f t="shared" si="79"/>
        <v>2142</v>
      </c>
      <c r="M304" s="79">
        <f>SUM(J304:L304)</f>
        <v>59466</v>
      </c>
      <c r="N304" s="79">
        <f>SUM(N305:N307)</f>
        <v>34599</v>
      </c>
      <c r="O304" s="79">
        <f>SUM(F304:I304)+SUM(M304:N304)</f>
        <v>1179823</v>
      </c>
      <c r="P304" s="79">
        <f>SUM(P305:P307)</f>
        <v>24873</v>
      </c>
      <c r="Q304" s="79">
        <f>SUM(Q305:Q307)</f>
        <v>2817</v>
      </c>
      <c r="R304" s="79">
        <f>P304+Q304</f>
        <v>27690</v>
      </c>
      <c r="S304" s="79">
        <f>SUM(S305:S307)</f>
        <v>116261.43299999999</v>
      </c>
      <c r="U304" s="80">
        <f>O304+R304+S304-C304</f>
        <v>0.43299999996088445</v>
      </c>
      <c r="W304" s="81">
        <f>IF((O304+R304)=0," ",ROUND((O304/(O304+R304)),7))</f>
        <v>0.97706859999999995</v>
      </c>
      <c r="X304" s="81">
        <f>IF((C304)=0," ",ROUND((O304/(C304)),7))</f>
        <v>0.89125710000000002</v>
      </c>
      <c r="Y304" s="81">
        <f>IF((C304)=0," ",ROUND((S304/(C304)),7))</f>
        <v>8.7825700000000007E-2</v>
      </c>
      <c r="Z304" s="79"/>
      <c r="AF304" s="79"/>
      <c r="AJ304" s="66"/>
    </row>
    <row r="305" spans="1:37" hidden="1">
      <c r="A305" s="65">
        <f>A304+1</f>
        <v>42</v>
      </c>
      <c r="B305" s="66" t="s">
        <v>229</v>
      </c>
      <c r="C305" s="79">
        <f>O305+R305+S305</f>
        <v>1109085.25</v>
      </c>
      <c r="D305" s="79">
        <f>D225+D239+D292+D299</f>
        <v>533013.81700000004</v>
      </c>
      <c r="E305" s="79">
        <f>E225+E239+E292+E299</f>
        <v>14462</v>
      </c>
      <c r="F305" s="79">
        <f>D305+E305</f>
        <v>547475.81700000004</v>
      </c>
      <c r="G305" s="79">
        <f t="shared" ref="G305:L305" si="80">G225+G239+G292+G299</f>
        <v>27055</v>
      </c>
      <c r="H305" s="79">
        <f t="shared" si="80"/>
        <v>215415</v>
      </c>
      <c r="I305" s="79">
        <f t="shared" si="80"/>
        <v>114044</v>
      </c>
      <c r="J305" s="79">
        <f t="shared" si="80"/>
        <v>48721</v>
      </c>
      <c r="K305" s="79">
        <f t="shared" si="80"/>
        <v>4257</v>
      </c>
      <c r="L305" s="79">
        <f t="shared" si="80"/>
        <v>1983</v>
      </c>
      <c r="M305" s="79">
        <f>SUM(J305:L305)</f>
        <v>54961</v>
      </c>
      <c r="N305" s="79">
        <f>N225+N239+N292+N299</f>
        <v>6185</v>
      </c>
      <c r="O305" s="79">
        <f>SUM(F305:I305)+SUM(M305:N305)</f>
        <v>965135.81700000004</v>
      </c>
      <c r="P305" s="79">
        <f>P222+P239+P292+P299</f>
        <v>24872</v>
      </c>
      <c r="Q305" s="79">
        <f>Q222+Q239+Q292+Q299</f>
        <v>2816</v>
      </c>
      <c r="R305" s="79">
        <f>P305+Q305</f>
        <v>27688</v>
      </c>
      <c r="S305" s="79">
        <f>S222+S239+S292+S299</f>
        <v>116261.43299999999</v>
      </c>
      <c r="U305" s="80">
        <f>O305+R305+S305-C305</f>
        <v>0</v>
      </c>
      <c r="W305" s="81">
        <f>IF((O305+R305)=0," ",ROUND((O305/(O305+R305)),7))</f>
        <v>0.97211190000000003</v>
      </c>
      <c r="X305" s="81">
        <f>IF((C305)=0," ",ROUND((O305/(C305)),7))</f>
        <v>0.87020889999999995</v>
      </c>
      <c r="Y305" s="81">
        <f>IF((C305)=0," ",ROUND((S305/(C305)),7))</f>
        <v>0.1048264</v>
      </c>
      <c r="Z305" s="79"/>
      <c r="AF305" s="79"/>
    </row>
    <row r="306" spans="1:37" hidden="1">
      <c r="A306" s="65">
        <f>A305+1</f>
        <v>43</v>
      </c>
      <c r="B306" s="66" t="s">
        <v>253</v>
      </c>
      <c r="C306" s="79">
        <f>O306+R306+S306</f>
        <v>166734</v>
      </c>
      <c r="D306" s="79">
        <f>D300+D293</f>
        <v>116297</v>
      </c>
      <c r="E306" s="79">
        <f>E300+E293</f>
        <v>3222</v>
      </c>
      <c r="F306" s="79">
        <f>D306+E306</f>
        <v>119519</v>
      </c>
      <c r="G306" s="79">
        <f t="shared" ref="G306:L306" si="81">G300+G293</f>
        <v>11156</v>
      </c>
      <c r="H306" s="79">
        <f t="shared" si="81"/>
        <v>7731</v>
      </c>
      <c r="I306" s="79">
        <f t="shared" si="81"/>
        <v>450</v>
      </c>
      <c r="J306" s="79">
        <f t="shared" si="81"/>
        <v>97</v>
      </c>
      <c r="K306" s="79">
        <f t="shared" si="81"/>
        <v>15</v>
      </c>
      <c r="L306" s="79">
        <f t="shared" si="81"/>
        <v>4</v>
      </c>
      <c r="M306" s="79">
        <f>SUM(J306:L306)</f>
        <v>116</v>
      </c>
      <c r="N306" s="79">
        <f>N300+N293</f>
        <v>27760</v>
      </c>
      <c r="O306" s="79">
        <f>SUM(F306:I306)+SUM(M306:N306)</f>
        <v>166732</v>
      </c>
      <c r="P306" s="79">
        <f>P300+P293</f>
        <v>1</v>
      </c>
      <c r="Q306" s="79">
        <f>Q300+Q293</f>
        <v>1</v>
      </c>
      <c r="R306" s="79">
        <f>P306+Q306</f>
        <v>2</v>
      </c>
      <c r="S306" s="79">
        <f>S300+S293</f>
        <v>0</v>
      </c>
      <c r="U306" s="80">
        <f>O306+R306+S306-C306</f>
        <v>0</v>
      </c>
      <c r="W306" s="81">
        <f>IF((O306+R306)=0," ",ROUND((O306/(O306+R306)),7))</f>
        <v>0.99998799999999999</v>
      </c>
      <c r="X306" s="81">
        <f>IF((C306)=0," ",ROUND((O306/(C306)),7))</f>
        <v>0.99998799999999999</v>
      </c>
      <c r="Y306" s="81">
        <f>IF((C306)=0," ",ROUND((S306/(C306)),7))</f>
        <v>0</v>
      </c>
      <c r="Z306" s="79"/>
      <c r="AF306" s="79"/>
    </row>
    <row r="307" spans="1:37" hidden="1">
      <c r="A307" s="65">
        <f>A306+1</f>
        <v>44</v>
      </c>
      <c r="B307" s="66" t="s">
        <v>230</v>
      </c>
      <c r="C307" s="79">
        <f>O307+R307+S307</f>
        <v>47955</v>
      </c>
      <c r="D307" s="79">
        <f>D301+D226</f>
        <v>22206.999999999996</v>
      </c>
      <c r="E307" s="79">
        <f>E301+E226</f>
        <v>840</v>
      </c>
      <c r="F307" s="79">
        <f>D307+E307</f>
        <v>23046.999999999996</v>
      </c>
      <c r="G307" s="79">
        <f t="shared" ref="G307:L307" si="82">G301+G226</f>
        <v>1218</v>
      </c>
      <c r="H307" s="79">
        <f t="shared" si="82"/>
        <v>11165</v>
      </c>
      <c r="I307" s="79">
        <f t="shared" si="82"/>
        <v>7482</v>
      </c>
      <c r="J307" s="79">
        <f t="shared" si="82"/>
        <v>4051</v>
      </c>
      <c r="K307" s="79">
        <f t="shared" si="82"/>
        <v>183</v>
      </c>
      <c r="L307" s="79">
        <f t="shared" si="82"/>
        <v>155</v>
      </c>
      <c r="M307" s="79">
        <f>SUM(J307:L307)</f>
        <v>4389</v>
      </c>
      <c r="N307" s="79">
        <f>N301+N226</f>
        <v>654</v>
      </c>
      <c r="O307" s="79">
        <f>SUM(F307:I307)+SUM(M307:N307)</f>
        <v>47955</v>
      </c>
      <c r="P307" s="79">
        <f>P301+P226</f>
        <v>0</v>
      </c>
      <c r="Q307" s="79">
        <f>Q301+Q226</f>
        <v>0</v>
      </c>
      <c r="R307" s="79">
        <f>P307+Q307</f>
        <v>0</v>
      </c>
      <c r="S307" s="79">
        <f>S301+S226</f>
        <v>0</v>
      </c>
      <c r="U307" s="80">
        <f>O307+R307+S307-C307</f>
        <v>0</v>
      </c>
      <c r="W307" s="81">
        <f>IF((O307+R307)=0," ",ROUND((O307/(O307+R307)),7))</f>
        <v>1</v>
      </c>
      <c r="X307" s="81">
        <f>IF((C307)=0," ",ROUND((O307/(C307)),7))</f>
        <v>1</v>
      </c>
      <c r="Y307" s="81">
        <f>IF((C307)=0," ",ROUND((S307/(C307)),7))</f>
        <v>0</v>
      </c>
      <c r="Z307" s="79"/>
      <c r="AF307" s="79"/>
      <c r="AJ307" s="66"/>
      <c r="AK307" s="65"/>
    </row>
    <row r="308" spans="1:37" hidden="1">
      <c r="B308" s="72"/>
      <c r="C308" s="79"/>
      <c r="H308" s="65" t="s">
        <v>80</v>
      </c>
      <c r="I308" s="79"/>
      <c r="J308" s="79"/>
      <c r="K308" s="79"/>
      <c r="L308" s="79"/>
      <c r="M308" s="79"/>
      <c r="Q308" s="65" t="s">
        <v>80</v>
      </c>
      <c r="R308" s="79"/>
      <c r="S308" s="65"/>
      <c r="W308" s="81"/>
      <c r="X308" s="81"/>
      <c r="Y308" s="81"/>
      <c r="Z308" s="65"/>
      <c r="AJ308" s="66"/>
      <c r="AK308" s="65"/>
    </row>
    <row r="309" spans="1:37" hidden="1">
      <c r="C309" s="79"/>
      <c r="H309" s="70" t="str">
        <f>H24</f>
        <v>12 MONTHS ENDING DECEMBER 31, 2012</v>
      </c>
      <c r="I309" s="79"/>
      <c r="J309" s="79"/>
      <c r="K309" s="79"/>
      <c r="L309" s="79"/>
      <c r="M309" s="79"/>
      <c r="N309" s="79"/>
      <c r="Q309" s="70" t="str">
        <f>$H$24</f>
        <v>12 MONTHS ENDING DECEMBER 31, 2012</v>
      </c>
      <c r="R309" s="79"/>
      <c r="S309" s="79"/>
      <c r="U309" s="80"/>
      <c r="W309" s="81"/>
      <c r="X309" s="81"/>
      <c r="Y309" s="81"/>
      <c r="Z309" s="70"/>
      <c r="AJ309" s="66"/>
      <c r="AK309" s="65"/>
    </row>
    <row r="310" spans="1:37" hidden="1">
      <c r="C310" s="79"/>
      <c r="H310" s="70" t="str">
        <f>$H$25</f>
        <v>12/13 DEMAND ALLOCATION WITH MDS METHODOLOGY</v>
      </c>
      <c r="Q310" s="70" t="str">
        <f>$H$25</f>
        <v>12/13 DEMAND ALLOCATION WITH MDS METHODOLOGY</v>
      </c>
      <c r="S310" s="79"/>
      <c r="X310" s="81"/>
      <c r="Y310" s="81"/>
      <c r="Z310" s="70"/>
      <c r="AF310" s="79"/>
      <c r="AJ310" s="66"/>
      <c r="AK310" s="65"/>
    </row>
    <row r="311" spans="1:37" hidden="1">
      <c r="C311" s="79"/>
      <c r="H311" s="87" t="s">
        <v>96</v>
      </c>
      <c r="I311" s="79"/>
      <c r="J311" s="79"/>
      <c r="K311" s="79"/>
      <c r="L311" s="79"/>
      <c r="M311" s="79"/>
      <c r="N311" s="79"/>
      <c r="Q311" s="87" t="s">
        <v>96</v>
      </c>
      <c r="S311" s="79"/>
      <c r="U311" s="80"/>
      <c r="X311" s="81"/>
      <c r="Y311" s="81"/>
      <c r="Z311" s="87"/>
      <c r="AF311" s="79"/>
      <c r="AJ311" s="66"/>
      <c r="AK311" s="65"/>
    </row>
    <row r="312" spans="1:37" hidden="1">
      <c r="C312" s="79"/>
      <c r="H312" s="87" t="s">
        <v>114</v>
      </c>
      <c r="I312" s="79"/>
      <c r="J312" s="79"/>
      <c r="K312" s="79"/>
      <c r="L312" s="79"/>
      <c r="M312" s="79"/>
      <c r="N312" s="79"/>
      <c r="Q312" s="87" t="s">
        <v>114</v>
      </c>
      <c r="S312" s="79"/>
      <c r="U312" s="80"/>
      <c r="X312" s="81"/>
      <c r="Y312" s="81"/>
      <c r="Z312" s="87"/>
      <c r="AF312" s="79"/>
      <c r="AJ312" s="66"/>
      <c r="AK312" s="65"/>
    </row>
    <row r="313" spans="1:37" hidden="1">
      <c r="C313" s="65" t="s">
        <v>59</v>
      </c>
      <c r="K313" s="65"/>
      <c r="L313" s="65"/>
      <c r="M313" s="65"/>
      <c r="O313" s="65" t="s">
        <v>59</v>
      </c>
      <c r="P313" s="65"/>
      <c r="Q313" s="65"/>
      <c r="R313" s="65"/>
      <c r="S313" s="65" t="s">
        <v>115</v>
      </c>
      <c r="W313" s="76" t="s">
        <v>116</v>
      </c>
      <c r="X313" s="76" t="s">
        <v>116</v>
      </c>
      <c r="Y313" s="76" t="s">
        <v>117</v>
      </c>
      <c r="AF313" s="65"/>
      <c r="AJ313" s="66"/>
      <c r="AK313" s="65"/>
    </row>
    <row r="314" spans="1:37" hidden="1">
      <c r="A314" s="65" t="s">
        <v>118</v>
      </c>
      <c r="C314" s="65" t="s">
        <v>58</v>
      </c>
      <c r="D314" s="70" t="s">
        <v>119</v>
      </c>
      <c r="E314" s="70" t="s">
        <v>119</v>
      </c>
      <c r="F314" s="70" t="s">
        <v>119</v>
      </c>
      <c r="G314" s="70" t="s">
        <v>119</v>
      </c>
      <c r="H314" s="70" t="s">
        <v>119</v>
      </c>
      <c r="I314" s="70" t="s">
        <v>119</v>
      </c>
      <c r="J314" s="70" t="s">
        <v>119</v>
      </c>
      <c r="K314" s="70" t="s">
        <v>119</v>
      </c>
      <c r="L314" s="70" t="s">
        <v>119</v>
      </c>
      <c r="M314" s="70" t="s">
        <v>119</v>
      </c>
      <c r="N314" s="70" t="s">
        <v>119</v>
      </c>
      <c r="O314" s="65" t="s">
        <v>116</v>
      </c>
      <c r="P314" s="65"/>
      <c r="Q314" s="70" t="s">
        <v>120</v>
      </c>
      <c r="R314" s="65"/>
      <c r="S314" s="65" t="s">
        <v>121</v>
      </c>
      <c r="W314" s="76" t="s">
        <v>122</v>
      </c>
      <c r="X314" s="76" t="s">
        <v>123</v>
      </c>
      <c r="Y314" s="76" t="s">
        <v>124</v>
      </c>
      <c r="Z314" s="65"/>
      <c r="AF314" s="70"/>
      <c r="AJ314" s="66"/>
      <c r="AK314" s="65"/>
    </row>
    <row r="315" spans="1:37" hidden="1">
      <c r="A315" s="65" t="s">
        <v>125</v>
      </c>
      <c r="B315" s="65" t="s">
        <v>126</v>
      </c>
      <c r="C315" s="65" t="s">
        <v>57</v>
      </c>
      <c r="D315" s="70" t="s">
        <v>127</v>
      </c>
      <c r="E315" s="70" t="s">
        <v>128</v>
      </c>
      <c r="F315" s="70" t="s">
        <v>129</v>
      </c>
      <c r="G315" s="70" t="s">
        <v>130</v>
      </c>
      <c r="H315" s="70" t="s">
        <v>131</v>
      </c>
      <c r="I315" s="65" t="s">
        <v>132</v>
      </c>
      <c r="J315" s="70" t="s">
        <v>133</v>
      </c>
      <c r="K315" s="70" t="s">
        <v>134</v>
      </c>
      <c r="L315" s="70" t="s">
        <v>135</v>
      </c>
      <c r="M315" s="70" t="s">
        <v>136</v>
      </c>
      <c r="N315" s="70" t="s">
        <v>137</v>
      </c>
      <c r="O315" s="65" t="s">
        <v>138</v>
      </c>
      <c r="P315" s="70" t="s">
        <v>139</v>
      </c>
      <c r="Q315" s="70" t="s">
        <v>140</v>
      </c>
      <c r="R315" s="65" t="s">
        <v>122</v>
      </c>
      <c r="S315" s="65" t="s">
        <v>141</v>
      </c>
      <c r="W315" s="76" t="s">
        <v>142</v>
      </c>
      <c r="X315" s="76" t="s">
        <v>142</v>
      </c>
      <c r="Y315" s="76" t="s">
        <v>142</v>
      </c>
      <c r="Z315" s="65"/>
      <c r="AF315" s="70"/>
      <c r="AJ315" s="66"/>
      <c r="AK315" s="65"/>
    </row>
    <row r="316" spans="1:37" hidden="1">
      <c r="A316" s="65" t="s">
        <v>143</v>
      </c>
      <c r="B316" s="65" t="s">
        <v>144</v>
      </c>
      <c r="C316" s="65" t="s">
        <v>145</v>
      </c>
      <c r="D316" s="70" t="s">
        <v>146</v>
      </c>
      <c r="E316" s="70" t="s">
        <v>147</v>
      </c>
      <c r="F316" s="70" t="s">
        <v>148</v>
      </c>
      <c r="G316" s="65" t="s">
        <v>149</v>
      </c>
      <c r="H316" s="65" t="s">
        <v>150</v>
      </c>
      <c r="I316" s="65" t="s">
        <v>151</v>
      </c>
      <c r="J316" s="70" t="s">
        <v>152</v>
      </c>
      <c r="K316" s="70" t="s">
        <v>153</v>
      </c>
      <c r="L316" s="70" t="s">
        <v>154</v>
      </c>
      <c r="M316" s="70" t="s">
        <v>155</v>
      </c>
      <c r="N316" s="70" t="s">
        <v>156</v>
      </c>
      <c r="O316" s="70" t="s">
        <v>157</v>
      </c>
      <c r="P316" s="70" t="s">
        <v>158</v>
      </c>
      <c r="Q316" s="70" t="s">
        <v>159</v>
      </c>
      <c r="R316" s="70" t="s">
        <v>160</v>
      </c>
      <c r="S316" s="70" t="s">
        <v>161</v>
      </c>
      <c r="U316" s="65" t="s">
        <v>162</v>
      </c>
      <c r="W316" s="77" t="s">
        <v>163</v>
      </c>
      <c r="X316" s="77" t="s">
        <v>164</v>
      </c>
      <c r="Y316" s="76" t="s">
        <v>165</v>
      </c>
      <c r="Z316" s="70"/>
      <c r="AF316" s="76"/>
      <c r="AJ316" s="66"/>
      <c r="AK316" s="70"/>
    </row>
    <row r="317" spans="1:37" hidden="1"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U317" s="80"/>
      <c r="W317" s="81" t="str">
        <f>IF((P317+Q317)=0," ",ROUND((P317/(P317+Q317)),74))</f>
        <v xml:space="preserve"> </v>
      </c>
      <c r="X317" s="81" t="str">
        <f>IF((C317)=0," ",ROUND((P317/(C317)),74))</f>
        <v xml:space="preserve"> </v>
      </c>
      <c r="Y317" s="81" t="str">
        <f>IF((C317)=0," ",ROUND((R317/(C317)),7))</f>
        <v xml:space="preserve"> </v>
      </c>
      <c r="Z317" s="79"/>
      <c r="AF317" s="79"/>
      <c r="AJ317" s="66"/>
      <c r="AK317" s="65"/>
    </row>
    <row r="318" spans="1:37" hidden="1">
      <c r="B318" s="65" t="s">
        <v>254</v>
      </c>
      <c r="W318" s="81" t="str">
        <f>IF((P318+Q318)=0," ",ROUND((P318/(P318+Q318)),74))</f>
        <v xml:space="preserve"> </v>
      </c>
      <c r="X318" s="81" t="str">
        <f>IF((C318)=0," ",ROUND((P318/(C318)),74))</f>
        <v xml:space="preserve"> </v>
      </c>
      <c r="Y318" s="81" t="str">
        <f>IF((C318)=0," ",ROUND((R318/(C318)),7))</f>
        <v xml:space="preserve"> </v>
      </c>
      <c r="AJ318" s="66"/>
      <c r="AK318" s="65"/>
    </row>
    <row r="319" spans="1:37" hidden="1">
      <c r="B319" s="83" t="s">
        <v>170</v>
      </c>
      <c r="Y319" s="65"/>
      <c r="AJ319" s="66"/>
    </row>
    <row r="320" spans="1:37" hidden="1">
      <c r="Y320" s="65"/>
      <c r="AJ320" s="66"/>
    </row>
    <row r="321" spans="1:37" hidden="1">
      <c r="A321" s="65">
        <f>A320+1</f>
        <v>1</v>
      </c>
      <c r="B321" s="66" t="s">
        <v>255</v>
      </c>
      <c r="C321" s="79">
        <f>O321+R321+S321</f>
        <v>27141.865021521517</v>
      </c>
      <c r="D321" s="79">
        <f t="shared" ref="D321:I321" si="83">SUM(D323:D324)</f>
        <v>12855.865021521517</v>
      </c>
      <c r="E321" s="79">
        <f>SUM(E323:E324)</f>
        <v>339</v>
      </c>
      <c r="F321" s="79">
        <f>D321+E321</f>
        <v>13194.865021521517</v>
      </c>
      <c r="G321" s="79">
        <f t="shared" si="83"/>
        <v>648</v>
      </c>
      <c r="H321" s="79">
        <f t="shared" si="83"/>
        <v>5287</v>
      </c>
      <c r="I321" s="79">
        <f t="shared" si="83"/>
        <v>3110</v>
      </c>
      <c r="J321" s="79">
        <f>SUM(J323:J324)</f>
        <v>1369</v>
      </c>
      <c r="K321" s="79">
        <f>SUM(K323:K324)</f>
        <v>95</v>
      </c>
      <c r="L321" s="79">
        <f>SUM(L323:L324)</f>
        <v>56</v>
      </c>
      <c r="M321" s="79">
        <f>SUM(J321:L321)</f>
        <v>1520</v>
      </c>
      <c r="N321" s="79">
        <f>SUM(N323:N324)</f>
        <v>120</v>
      </c>
      <c r="O321" s="79">
        <f>SUM(O323:O324)</f>
        <v>23879.865021521517</v>
      </c>
      <c r="P321" s="79">
        <f>P327-P326</f>
        <v>749</v>
      </c>
      <c r="Q321" s="79">
        <f>Q327-Q326</f>
        <v>86</v>
      </c>
      <c r="R321" s="79">
        <f>P321+Q321</f>
        <v>835</v>
      </c>
      <c r="S321" s="79">
        <f>S327-S326</f>
        <v>2427</v>
      </c>
      <c r="U321" s="80">
        <f>O321+R321+S321-C321</f>
        <v>0</v>
      </c>
      <c r="W321" s="81">
        <f>IF((O321+R321)=0," ",ROUND((O321/(O321+R321)),7))</f>
        <v>0.96621469999999998</v>
      </c>
      <c r="X321" s="81">
        <f>IF((C321)=0," ",ROUND((O321/(C321)),7))</f>
        <v>0.87981670000000001</v>
      </c>
      <c r="Y321" s="81">
        <f>IF((C321)=0," ",ROUND((S321/(C321)),7))</f>
        <v>8.9419100000000001E-2</v>
      </c>
      <c r="Z321" s="79"/>
      <c r="AF321" s="79"/>
      <c r="AJ321" s="66"/>
      <c r="AK321" s="70"/>
    </row>
    <row r="322" spans="1:37" hidden="1">
      <c r="B322" s="66" t="s">
        <v>167</v>
      </c>
      <c r="W322" s="81" t="str">
        <f>IF((P322+Q322)=0," ",ROUND((P322/(P322+Q322)),74))</f>
        <v xml:space="preserve"> </v>
      </c>
      <c r="X322" s="81" t="str">
        <f>IF((C322)=0," ",ROUND((P322/(C322)),74))</f>
        <v xml:space="preserve"> </v>
      </c>
      <c r="Y322" s="81" t="str">
        <f>IF((C322)=0," ",ROUND((R322/(C322)),7))</f>
        <v xml:space="preserve"> </v>
      </c>
      <c r="AJ322" s="66"/>
      <c r="AK322" s="65"/>
    </row>
    <row r="323" spans="1:37" hidden="1">
      <c r="A323" s="65">
        <f>A321+1</f>
        <v>2</v>
      </c>
      <c r="B323" s="66" t="s">
        <v>39</v>
      </c>
      <c r="C323" s="78"/>
      <c r="D323" s="79">
        <f>O323-E323-SUM(G323:I323)-M323-N323</f>
        <v>12006</v>
      </c>
      <c r="E323" s="79">
        <v>307</v>
      </c>
      <c r="F323" s="79">
        <f>D323+E323</f>
        <v>12313</v>
      </c>
      <c r="G323" s="79">
        <v>601</v>
      </c>
      <c r="H323" s="79">
        <v>4859</v>
      </c>
      <c r="I323" s="79">
        <v>2823</v>
      </c>
      <c r="J323" s="79">
        <v>1214</v>
      </c>
      <c r="K323" s="79">
        <v>88</v>
      </c>
      <c r="L323" s="79">
        <v>50</v>
      </c>
      <c r="M323" s="79">
        <f>SUM(J323:L323)</f>
        <v>1352</v>
      </c>
      <c r="N323" s="79">
        <v>95</v>
      </c>
      <c r="O323" s="79">
        <f>ROUND(O37/O34*(O327-O326),0)</f>
        <v>22043</v>
      </c>
      <c r="P323" s="79"/>
      <c r="Q323" s="79"/>
      <c r="R323" s="78"/>
      <c r="S323" s="78"/>
      <c r="U323" s="80"/>
      <c r="W323" s="81" t="str">
        <f>IF((P323+Q323)=0," ",ROUND((P323/(P323+Q323)),74))</f>
        <v xml:space="preserve"> </v>
      </c>
      <c r="X323" s="81" t="str">
        <f>IF((C323)=0," ",ROUND((P323/(C323)),74))</f>
        <v xml:space="preserve"> </v>
      </c>
      <c r="Y323" s="81" t="str">
        <f>IF((C323)=0," ",ROUND((R323/(C323)),7))</f>
        <v xml:space="preserve"> </v>
      </c>
      <c r="Z323" s="79"/>
      <c r="AF323" s="79"/>
      <c r="AJ323" s="66"/>
      <c r="AK323" s="70"/>
    </row>
    <row r="324" spans="1:37" hidden="1">
      <c r="A324" s="65">
        <f>A323+1</f>
        <v>3</v>
      </c>
      <c r="B324" s="66" t="s">
        <v>168</v>
      </c>
      <c r="C324" s="79"/>
      <c r="D324" s="79">
        <f>O324-E324-SUM(G324:I324)-M324-N324</f>
        <v>849.86502152151661</v>
      </c>
      <c r="E324" s="79">
        <v>32</v>
      </c>
      <c r="F324" s="79">
        <f>D324+E324</f>
        <v>881.86502152151661</v>
      </c>
      <c r="G324" s="79">
        <v>47</v>
      </c>
      <c r="H324" s="79">
        <v>428</v>
      </c>
      <c r="I324" s="79">
        <v>287</v>
      </c>
      <c r="J324" s="79">
        <v>155</v>
      </c>
      <c r="K324" s="79">
        <v>7</v>
      </c>
      <c r="L324" s="79">
        <v>6</v>
      </c>
      <c r="M324" s="79">
        <f>SUM(J324:L324)</f>
        <v>168</v>
      </c>
      <c r="N324" s="79">
        <v>25</v>
      </c>
      <c r="O324" s="79">
        <f>O327-O323-O326</f>
        <v>1836.8650215215166</v>
      </c>
      <c r="P324" s="79"/>
      <c r="Q324" s="79"/>
      <c r="R324" s="79"/>
      <c r="S324" s="79"/>
      <c r="U324" s="80"/>
      <c r="W324" s="81" t="str">
        <f>IF((P324+Q324)=0," ",ROUND((P324/(P324+Q324)),74))</f>
        <v xml:space="preserve"> </v>
      </c>
      <c r="X324" s="81" t="str">
        <f>IF((C324)=0," ",ROUND((P324/(C324)),74))</f>
        <v xml:space="preserve"> </v>
      </c>
      <c r="Y324" s="81" t="str">
        <f>IF((C324)=0," ",ROUND((R324/(C324)),7))</f>
        <v xml:space="preserve"> </v>
      </c>
      <c r="Z324" s="79"/>
      <c r="AF324" s="79"/>
      <c r="AJ324" s="66"/>
      <c r="AK324" s="70"/>
    </row>
    <row r="325" spans="1:37" hidden="1">
      <c r="W325" s="81" t="str">
        <f>IF((P325+Q325)=0," ",ROUND((P325/(P325+Q325)),74))</f>
        <v xml:space="preserve"> </v>
      </c>
      <c r="X325" s="81" t="str">
        <f>IF((C325)=0," ",ROUND((P325/(C325)),74))</f>
        <v xml:space="preserve"> </v>
      </c>
      <c r="Y325" s="81" t="str">
        <f>IF((C325)=0," ",ROUND((R325/(C325)),7))</f>
        <v xml:space="preserve"> </v>
      </c>
      <c r="AJ325" s="66"/>
      <c r="AK325" s="65"/>
    </row>
    <row r="326" spans="1:37" hidden="1">
      <c r="A326" s="65">
        <f>A324+1</f>
        <v>4</v>
      </c>
      <c r="B326" s="66" t="s">
        <v>256</v>
      </c>
      <c r="C326" s="78">
        <v>94042</v>
      </c>
      <c r="D326" s="79">
        <f>C326-E326-SUM(G326:I326)-SUM(M326:N326)-R326-S326</f>
        <v>38836</v>
      </c>
      <c r="E326" s="79">
        <v>1467</v>
      </c>
      <c r="F326" s="79">
        <f>D326+E326</f>
        <v>40303</v>
      </c>
      <c r="G326" s="79">
        <v>2131</v>
      </c>
      <c r="H326" s="79">
        <v>19527</v>
      </c>
      <c r="I326" s="79">
        <v>13085</v>
      </c>
      <c r="J326" s="79">
        <v>7085</v>
      </c>
      <c r="K326" s="79">
        <v>322</v>
      </c>
      <c r="L326" s="79">
        <v>273</v>
      </c>
      <c r="M326" s="79">
        <f>SUM(J326:L326)</f>
        <v>7680</v>
      </c>
      <c r="N326" s="79">
        <v>1145</v>
      </c>
      <c r="O326" s="79">
        <v>83871</v>
      </c>
      <c r="P326" s="79">
        <v>2631</v>
      </c>
      <c r="Q326" s="79">
        <v>302</v>
      </c>
      <c r="R326" s="79">
        <f>P326+Q326</f>
        <v>2933</v>
      </c>
      <c r="S326" s="78">
        <v>7238</v>
      </c>
      <c r="U326" s="80">
        <f>O326+R326+S326-C326</f>
        <v>0</v>
      </c>
      <c r="W326" s="81">
        <f>IF((O326+R326)=0," ",ROUND((O326/(O326+R326)),7))</f>
        <v>0.96621120000000005</v>
      </c>
      <c r="X326" s="81">
        <f>IF((C326)=0," ",ROUND((O326/(C326)),7))</f>
        <v>0.89184620000000003</v>
      </c>
      <c r="Y326" s="81">
        <f>IF((C326)=0," ",ROUND((S326/(C326)),7))</f>
        <v>7.6965599999999995E-2</v>
      </c>
      <c r="Z326" s="79"/>
      <c r="AF326" s="79"/>
      <c r="AJ326" s="66"/>
      <c r="AK326" s="70"/>
    </row>
    <row r="327" spans="1:37" hidden="1">
      <c r="A327" s="65">
        <f>A326+1</f>
        <v>5</v>
      </c>
      <c r="B327" s="66" t="s">
        <v>257</v>
      </c>
      <c r="C327" s="78">
        <f>C2048+94042</f>
        <v>121183.86502152152</v>
      </c>
      <c r="D327" s="79">
        <f>SUM(D323:D326)</f>
        <v>51691.865021521517</v>
      </c>
      <c r="E327" s="79">
        <f>SUM(E323:E326)</f>
        <v>1806</v>
      </c>
      <c r="F327" s="79">
        <f>D327+E327</f>
        <v>53497.865021521517</v>
      </c>
      <c r="G327" s="79">
        <f t="shared" ref="G327:L327" si="84">SUM(G323:G326)</f>
        <v>2779</v>
      </c>
      <c r="H327" s="79">
        <f t="shared" si="84"/>
        <v>24814</v>
      </c>
      <c r="I327" s="79">
        <f t="shared" si="84"/>
        <v>16195</v>
      </c>
      <c r="J327" s="79">
        <f t="shared" si="84"/>
        <v>8454</v>
      </c>
      <c r="K327" s="79">
        <f t="shared" si="84"/>
        <v>417</v>
      </c>
      <c r="L327" s="79">
        <f t="shared" si="84"/>
        <v>329</v>
      </c>
      <c r="M327" s="79">
        <f>SUM(J327:L327)</f>
        <v>9200</v>
      </c>
      <c r="N327" s="79">
        <f>SUM(N323:N326)</f>
        <v>1265</v>
      </c>
      <c r="O327" s="79">
        <f>C327-P327-Q327-S327</f>
        <v>107750.86502152152</v>
      </c>
      <c r="P327" s="79">
        <v>3380</v>
      </c>
      <c r="Q327" s="79">
        <v>388</v>
      </c>
      <c r="R327" s="79">
        <f>P327+Q327</f>
        <v>3768</v>
      </c>
      <c r="S327" s="78">
        <v>9665</v>
      </c>
      <c r="U327" s="80">
        <f>O327+R327+S327-C327</f>
        <v>0</v>
      </c>
      <c r="W327" s="81">
        <f>IF((O327+R327)=0," ",ROUND((O327/(O327+R327)),7))</f>
        <v>0.96621199999999996</v>
      </c>
      <c r="X327" s="81">
        <f>IF((C327)=0," ",ROUND((O327/(C327)),7))</f>
        <v>0.8891519</v>
      </c>
      <c r="Y327" s="81">
        <f>IF((C327)=0," ",ROUND((S327/(C327)),7))</f>
        <v>7.9754800000000001E-2</v>
      </c>
      <c r="Z327" s="79"/>
      <c r="AF327" s="79"/>
      <c r="AJ327" s="66"/>
      <c r="AK327" s="65"/>
    </row>
    <row r="328" spans="1:37" hidden="1">
      <c r="W328" s="81" t="str">
        <f>IF((P328+Q328)=0," ",ROUND((P328/(P328+Q328)),74))</f>
        <v xml:space="preserve"> </v>
      </c>
      <c r="X328" s="81" t="str">
        <f>IF((C328)=0," ",ROUND((P328/(C328)),74))</f>
        <v xml:space="preserve"> </v>
      </c>
      <c r="Y328" s="81" t="str">
        <f>IF((C328)=0," ",ROUND((R328/(C328)),7))</f>
        <v xml:space="preserve"> </v>
      </c>
      <c r="AJ328" s="66"/>
      <c r="AK328" s="65"/>
    </row>
    <row r="329" spans="1:37" hidden="1">
      <c r="B329" s="65" t="s">
        <v>231</v>
      </c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U329" s="80"/>
      <c r="W329" s="81" t="str">
        <f>IF((P329+Q329)=0," ",ROUND((P329/(P329+Q329)),74))</f>
        <v xml:space="preserve"> </v>
      </c>
      <c r="X329" s="81" t="str">
        <f>IF((C329)=0," ",ROUND((P329/(C329)),74))</f>
        <v xml:space="preserve"> </v>
      </c>
      <c r="Y329" s="81" t="str">
        <f>IF((C329)=0," ",ROUND((R329/(C329)),7))</f>
        <v xml:space="preserve"> </v>
      </c>
      <c r="Z329" s="79"/>
      <c r="AF329" s="79"/>
      <c r="AJ329" s="66"/>
      <c r="AK329" s="65"/>
    </row>
    <row r="330" spans="1:37" hidden="1">
      <c r="B330" s="83" t="s">
        <v>170</v>
      </c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U330" s="80"/>
      <c r="W330" s="81" t="str">
        <f>IF((P330+Q330)=0," ",ROUND((P330/(P330+Q330)),74))</f>
        <v xml:space="preserve"> </v>
      </c>
      <c r="X330" s="81" t="str">
        <f>IF((C330)=0," ",ROUND((P330/(C330)),74))</f>
        <v xml:space="preserve"> </v>
      </c>
      <c r="Y330" s="81" t="str">
        <f>IF((C330)=0," ",ROUND((R330/(C330)),7))</f>
        <v xml:space="preserve"> </v>
      </c>
      <c r="Z330" s="79"/>
      <c r="AF330" s="79"/>
      <c r="AJ330" s="66"/>
      <c r="AK330" s="65"/>
    </row>
    <row r="331" spans="1:37" hidden="1"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U331" s="80"/>
      <c r="W331" s="81" t="str">
        <f>IF((P331+Q331)=0," ",ROUND((P331/(P331+Q331)),74))</f>
        <v xml:space="preserve"> </v>
      </c>
      <c r="X331" s="81" t="str">
        <f>IF((C331)=0," ",ROUND((P331/(C331)),74))</f>
        <v xml:space="preserve"> </v>
      </c>
      <c r="Y331" s="81" t="str">
        <f>IF((C331)=0," ",ROUND((R331/(C331)),7))</f>
        <v xml:space="preserve"> </v>
      </c>
      <c r="Z331" s="79"/>
      <c r="AF331" s="79"/>
      <c r="AJ331" s="66"/>
      <c r="AK331" s="65"/>
    </row>
    <row r="332" spans="1:37" hidden="1">
      <c r="A332" s="65">
        <f>A327+1</f>
        <v>6</v>
      </c>
      <c r="B332" s="66" t="s">
        <v>258</v>
      </c>
      <c r="C332" s="78">
        <f>E2048</f>
        <v>1003.4526699387077</v>
      </c>
      <c r="D332" s="79">
        <f>C332-E332-SUM(G332:I332)-SUM(M332:N332)-R332-S332</f>
        <v>529.45266993870769</v>
      </c>
      <c r="E332" s="79">
        <v>14</v>
      </c>
      <c r="F332" s="79">
        <f>D332+E332</f>
        <v>543.45266993870769</v>
      </c>
      <c r="G332" s="79">
        <v>26</v>
      </c>
      <c r="H332" s="79">
        <v>214</v>
      </c>
      <c r="I332" s="79">
        <v>124</v>
      </c>
      <c r="J332" s="79">
        <v>53</v>
      </c>
      <c r="K332" s="79">
        <v>4</v>
      </c>
      <c r="L332" s="79">
        <v>2</v>
      </c>
      <c r="M332" s="79">
        <f>SUM(J332:L332)</f>
        <v>59</v>
      </c>
      <c r="N332" s="79">
        <v>4</v>
      </c>
      <c r="O332" s="79">
        <f>SUM(F332:I332)+SUM(M332:N332)</f>
        <v>970.45266993870769</v>
      </c>
      <c r="P332" s="79">
        <v>30</v>
      </c>
      <c r="Q332" s="79">
        <v>3</v>
      </c>
      <c r="R332" s="79">
        <f>P332+Q332</f>
        <v>33</v>
      </c>
      <c r="S332" s="78">
        <v>0</v>
      </c>
      <c r="U332" s="80">
        <f>O332+R332+S332-C332</f>
        <v>0</v>
      </c>
      <c r="W332" s="81">
        <f>IF((O332+R332)=0," ",ROUND((O332/(O332+R332)),7))</f>
        <v>0.96711349999999996</v>
      </c>
      <c r="X332" s="81">
        <f>IF((C332)=0," ",ROUND((O332/(C332)),7))</f>
        <v>0.96711349999999996</v>
      </c>
      <c r="Y332" s="81">
        <f>IF((C332)=0," ",ROUND((S332/(C332)),7))</f>
        <v>0</v>
      </c>
      <c r="Z332" s="79"/>
      <c r="AF332" s="79"/>
      <c r="AJ332" s="66"/>
      <c r="AK332" s="70"/>
    </row>
    <row r="333" spans="1:37" hidden="1">
      <c r="A333" s="65">
        <f>A332+1</f>
        <v>7</v>
      </c>
      <c r="B333" s="66" t="s">
        <v>259</v>
      </c>
      <c r="C333" s="78">
        <f>F2048</f>
        <v>419</v>
      </c>
      <c r="D333" s="79">
        <f>C333-E333-SUM(G333:I333)-SUM(M333:N333)-R333-S333</f>
        <v>223</v>
      </c>
      <c r="E333" s="79">
        <f>ROUND((E47+E56+E62)/($C47+$C56+$C62-$S47-$S56-$S62)*($C333-$S333),0)</f>
        <v>6</v>
      </c>
      <c r="F333" s="79">
        <f>D333+E333</f>
        <v>229</v>
      </c>
      <c r="G333" s="79">
        <f t="shared" ref="G333:L333" si="85">ROUND((G47+G56+G62)/($C47+$C56+$C62-$S47-$S56-$S62)*($C333-$S333),0)</f>
        <v>11</v>
      </c>
      <c r="H333" s="79">
        <f t="shared" si="85"/>
        <v>91</v>
      </c>
      <c r="I333" s="79">
        <f t="shared" si="85"/>
        <v>50</v>
      </c>
      <c r="J333" s="79">
        <f t="shared" si="85"/>
        <v>21</v>
      </c>
      <c r="K333" s="79">
        <f t="shared" si="85"/>
        <v>2</v>
      </c>
      <c r="L333" s="79">
        <f t="shared" si="85"/>
        <v>1</v>
      </c>
      <c r="M333" s="79">
        <f>SUM(J333:L333)</f>
        <v>24</v>
      </c>
      <c r="N333" s="79">
        <f>ROUND((N47+N56+N62)/($C47+$C56+$C62-$S47-$S56-$S62)*($C333-$S333),0)</f>
        <v>2</v>
      </c>
      <c r="O333" s="79">
        <f>SUM(F333:I333)+SUM(M333:N333)</f>
        <v>407</v>
      </c>
      <c r="P333" s="79">
        <f>ROUND((P47+P56+P62)/($C47+$C56+$C62-$S47-$S56-$S62)*($C333-$S333),0)</f>
        <v>11</v>
      </c>
      <c r="Q333" s="79">
        <f>ROUND((Q47+Q56+Q62)/($C47+$C56+$C62-$S47-$S56-$S62)*($C333-$S333),0)</f>
        <v>1</v>
      </c>
      <c r="R333" s="79">
        <f>P333+Q333</f>
        <v>12</v>
      </c>
      <c r="S333" s="78">
        <v>0</v>
      </c>
      <c r="U333" s="80">
        <f>O333+R333+S333-C333</f>
        <v>0</v>
      </c>
      <c r="W333" s="81">
        <f>IF((O333+R333)=0," ",ROUND((O333/(O333+R333)),7))</f>
        <v>0.97136040000000001</v>
      </c>
      <c r="X333" s="81">
        <f>IF((C333)=0," ",ROUND((O333/(C333)),7))</f>
        <v>0.97136040000000001</v>
      </c>
      <c r="Y333" s="81">
        <f>IF((C333)=0," ",ROUND((S333/(C333)),7))</f>
        <v>0</v>
      </c>
      <c r="Z333" s="79"/>
      <c r="AF333" s="79"/>
      <c r="AJ333" s="66"/>
      <c r="AK333" s="70"/>
    </row>
    <row r="334" spans="1:37" hidden="1">
      <c r="A334" s="65">
        <f>A333+1</f>
        <v>8</v>
      </c>
      <c r="B334" s="66" t="s">
        <v>260</v>
      </c>
      <c r="C334" s="79">
        <f>C332+C333</f>
        <v>1422.4526699387077</v>
      </c>
      <c r="D334" s="79">
        <f>C334-E334-SUM(G334:I334)-SUM(M334:N334)-R334-S334</f>
        <v>752.45266993870769</v>
      </c>
      <c r="E334" s="79">
        <f>E332+E333</f>
        <v>20</v>
      </c>
      <c r="F334" s="79">
        <f>D334+E334</f>
        <v>772.45266993870769</v>
      </c>
      <c r="G334" s="79">
        <f t="shared" ref="G334:L334" si="86">G332+G333</f>
        <v>37</v>
      </c>
      <c r="H334" s="79">
        <f t="shared" si="86"/>
        <v>305</v>
      </c>
      <c r="I334" s="79">
        <f t="shared" si="86"/>
        <v>174</v>
      </c>
      <c r="J334" s="79">
        <f t="shared" si="86"/>
        <v>74</v>
      </c>
      <c r="K334" s="79">
        <f t="shared" si="86"/>
        <v>6</v>
      </c>
      <c r="L334" s="79">
        <f t="shared" si="86"/>
        <v>3</v>
      </c>
      <c r="M334" s="79">
        <f>SUM(J334:L334)</f>
        <v>83</v>
      </c>
      <c r="N334" s="79">
        <f>N332+N333</f>
        <v>6</v>
      </c>
      <c r="O334" s="79">
        <f>SUM(F334:I334)+SUM(M334:N334)</f>
        <v>1377.4526699387077</v>
      </c>
      <c r="P334" s="79">
        <f>P332+P333</f>
        <v>41</v>
      </c>
      <c r="Q334" s="79">
        <f>Q332+Q333</f>
        <v>4</v>
      </c>
      <c r="R334" s="79">
        <f>P334+Q334</f>
        <v>45</v>
      </c>
      <c r="S334" s="79">
        <f>S332+S333</f>
        <v>0</v>
      </c>
      <c r="U334" s="80">
        <f>O334+R334+S334-C334</f>
        <v>0</v>
      </c>
      <c r="W334" s="81">
        <f>IF((O334+R334)=0," ",ROUND((O334/(O334+R334)),7))</f>
        <v>0.96836449999999996</v>
      </c>
      <c r="X334" s="81">
        <f>IF((C334)=0," ",ROUND((O334/(C334)),7))</f>
        <v>0.96836449999999996</v>
      </c>
      <c r="Y334" s="81">
        <f>IF((C334)=0," ",ROUND((S334/(C334)),7))</f>
        <v>0</v>
      </c>
      <c r="Z334" s="79"/>
      <c r="AF334" s="79"/>
      <c r="AJ334" s="66"/>
      <c r="AK334" s="65"/>
    </row>
    <row r="335" spans="1:37" hidden="1"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U335" s="80"/>
      <c r="W335" s="81" t="str">
        <f>IF((P335+Q335)=0," ",ROUND((P335/(P335+Q335)),74))</f>
        <v xml:space="preserve"> </v>
      </c>
      <c r="X335" s="81" t="str">
        <f>IF((C335)=0," ",ROUND((P335/(C335)),74))</f>
        <v xml:space="preserve"> </v>
      </c>
      <c r="Y335" s="81" t="str">
        <f>IF((C335)=0," ",ROUND((R335/(C335)),7))</f>
        <v xml:space="preserve"> </v>
      </c>
      <c r="Z335" s="79"/>
      <c r="AF335" s="79"/>
      <c r="AJ335" s="66"/>
      <c r="AK335" s="65"/>
    </row>
    <row r="336" spans="1:37" hidden="1">
      <c r="W336" s="81" t="str">
        <f>IF((P336+Q336)=0," ",ROUND((P336/(P336+Q336)),74))</f>
        <v xml:space="preserve"> </v>
      </c>
      <c r="X336" s="81" t="str">
        <f>IF((C336)=0," ",ROUND((P336/(C336)),74))</f>
        <v xml:space="preserve"> </v>
      </c>
      <c r="Y336" s="81" t="str">
        <f>IF((C336)=0," ",ROUND((R336/(C336)),7))</f>
        <v xml:space="preserve"> </v>
      </c>
      <c r="AJ336" s="66"/>
      <c r="AK336" s="65"/>
    </row>
    <row r="337" spans="1:37" hidden="1">
      <c r="B337" s="65" t="s">
        <v>241</v>
      </c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U337" s="80"/>
      <c r="W337" s="81" t="str">
        <f>IF((P337+Q337)=0," ",ROUND((P337/(P337+Q337)),74))</f>
        <v xml:space="preserve"> </v>
      </c>
      <c r="X337" s="81" t="str">
        <f>IF((C337)=0," ",ROUND((P337/(C337)),74))</f>
        <v xml:space="preserve"> </v>
      </c>
      <c r="Y337" s="81" t="str">
        <f>IF((C337)=0," ",ROUND((R337/(C337)),7))</f>
        <v xml:space="preserve"> </v>
      </c>
      <c r="Z337" s="79"/>
      <c r="AF337" s="79"/>
      <c r="AJ337" s="66"/>
      <c r="AK337" s="65"/>
    </row>
    <row r="338" spans="1:37" hidden="1">
      <c r="B338" s="83" t="s">
        <v>170</v>
      </c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U338" s="80"/>
      <c r="W338" s="81" t="str">
        <f>IF((P338+Q338)=0," ",ROUND((P338/(P338+Q338)),74))</f>
        <v xml:space="preserve"> </v>
      </c>
      <c r="X338" s="81" t="str">
        <f>IF((C338)=0," ",ROUND((P338/(C338)),74))</f>
        <v xml:space="preserve"> </v>
      </c>
      <c r="Y338" s="81" t="str">
        <f>IF((C338)=0," ",ROUND((R338/(C338)),7))</f>
        <v xml:space="preserve"> </v>
      </c>
      <c r="Z338" s="79"/>
      <c r="AF338" s="79"/>
      <c r="AJ338" s="66"/>
      <c r="AK338" s="65"/>
    </row>
    <row r="339" spans="1:37" hidden="1"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U339" s="80"/>
      <c r="W339" s="81" t="str">
        <f>IF((P339+Q339)=0," ",ROUND((P339/(P339+Q339)),74))</f>
        <v xml:space="preserve"> </v>
      </c>
      <c r="X339" s="81" t="str">
        <f>IF((C339)=0," ",ROUND((P339/(C339)),74))</f>
        <v xml:space="preserve"> </v>
      </c>
      <c r="Y339" s="81" t="str">
        <f>IF((C339)=0," ",ROUND((R339/(C339)),7))</f>
        <v xml:space="preserve"> </v>
      </c>
      <c r="Z339" s="79"/>
      <c r="AF339" s="79"/>
      <c r="AJ339" s="66"/>
      <c r="AK339" s="65"/>
    </row>
    <row r="340" spans="1:37" hidden="1">
      <c r="A340" s="65">
        <f>A334+1</f>
        <v>9</v>
      </c>
      <c r="B340" s="66" t="s">
        <v>261</v>
      </c>
      <c r="C340" s="78">
        <f>C2056</f>
        <v>9909.6138441827206</v>
      </c>
      <c r="D340" s="79">
        <f>C340-E340-SUM(G340:I340)-SUM(M340:N340)-R340-S340</f>
        <v>5580.6138441827206</v>
      </c>
      <c r="E340" s="79">
        <v>185</v>
      </c>
      <c r="F340" s="79">
        <f>D340+E340</f>
        <v>5765.6138441827206</v>
      </c>
      <c r="G340" s="79">
        <v>298</v>
      </c>
      <c r="H340" s="79">
        <v>2250</v>
      </c>
      <c r="I340" s="79">
        <v>910</v>
      </c>
      <c r="J340" s="79">
        <v>409</v>
      </c>
      <c r="K340" s="79">
        <v>112</v>
      </c>
      <c r="L340" s="79">
        <v>21</v>
      </c>
      <c r="M340" s="79">
        <f>SUM(J340:L340)</f>
        <v>542</v>
      </c>
      <c r="N340" s="79">
        <v>144</v>
      </c>
      <c r="O340" s="79">
        <f>SUM(F340:I340)+SUM(M340:N340)</f>
        <v>9909.6138441827206</v>
      </c>
      <c r="P340" s="79">
        <v>0</v>
      </c>
      <c r="Q340" s="79">
        <v>0</v>
      </c>
      <c r="R340" s="79">
        <f>P340+Q340</f>
        <v>0</v>
      </c>
      <c r="S340" s="79">
        <v>0</v>
      </c>
      <c r="U340" s="80">
        <f>O340+R340+S340-C340</f>
        <v>0</v>
      </c>
      <c r="W340" s="81">
        <f>IF((O340+R340)=0," ",ROUND((O340/(O340+R340)),7))</f>
        <v>1</v>
      </c>
      <c r="X340" s="81">
        <f>IF((C340)=0," ",ROUND((O340/(C340)),7))</f>
        <v>1</v>
      </c>
      <c r="Y340" s="81">
        <f>IF((C340)=0," ",ROUND((S340/(C340)),7))</f>
        <v>0</v>
      </c>
      <c r="Z340" s="79"/>
      <c r="AF340" s="79"/>
      <c r="AJ340" s="66"/>
      <c r="AK340" s="70"/>
    </row>
    <row r="341" spans="1:37" hidden="1">
      <c r="A341" s="65">
        <f>A340+1</f>
        <v>10</v>
      </c>
      <c r="B341" s="66" t="s">
        <v>262</v>
      </c>
      <c r="C341" s="78">
        <f>G2036</f>
        <v>115.98616443093482</v>
      </c>
      <c r="D341" s="79">
        <f>C341-E341-SUM(G341:I341)-SUM(M341:N341)-R341-S341</f>
        <v>77.986164430934821</v>
      </c>
      <c r="E341" s="79">
        <f>ROUND((E$160/($C$160))*$C341,0)</f>
        <v>3</v>
      </c>
      <c r="F341" s="79">
        <f>D341+E341</f>
        <v>80.986164430934821</v>
      </c>
      <c r="G341" s="79">
        <f t="shared" ref="G341:L341" si="87">ROUND((G$160/($C$160))*$C341,0)</f>
        <v>17</v>
      </c>
      <c r="H341" s="79">
        <f t="shared" si="87"/>
        <v>16</v>
      </c>
      <c r="I341" s="79">
        <f t="shared" si="87"/>
        <v>1</v>
      </c>
      <c r="J341" s="79">
        <f t="shared" si="87"/>
        <v>0</v>
      </c>
      <c r="K341" s="79">
        <f t="shared" si="87"/>
        <v>0</v>
      </c>
      <c r="L341" s="79">
        <f t="shared" si="87"/>
        <v>0</v>
      </c>
      <c r="M341" s="79">
        <f>SUM(J341:L341)</f>
        <v>0</v>
      </c>
      <c r="N341" s="79">
        <f>ROUND((N$160/($C$160))*$C341,0)</f>
        <v>1</v>
      </c>
      <c r="O341" s="79">
        <f>SUM(F341:I341)+SUM(M341:N341)</f>
        <v>115.98616443093482</v>
      </c>
      <c r="P341" s="79">
        <f>ROUND((P$160/($C$160))*$C341,0)</f>
        <v>0</v>
      </c>
      <c r="Q341" s="79">
        <f>ROUND((Q$160/($C$160))*$C341,0)</f>
        <v>0</v>
      </c>
      <c r="R341" s="79">
        <f>P341+Q341</f>
        <v>0</v>
      </c>
      <c r="S341" s="79">
        <v>0</v>
      </c>
      <c r="U341" s="80">
        <f>O341+R341+S341-C341</f>
        <v>0</v>
      </c>
      <c r="W341" s="81">
        <f>IF((O341+R341)=0," ",ROUND((O341/(O341+R341)),7))</f>
        <v>1</v>
      </c>
      <c r="X341" s="81">
        <f>IF((C341)=0," ",ROUND((O341/(C341)),7))</f>
        <v>1</v>
      </c>
      <c r="Y341" s="81">
        <f>IF((C341)=0," ",ROUND((S341/(C341)),7))</f>
        <v>0</v>
      </c>
      <c r="Z341" s="79"/>
      <c r="AF341" s="79"/>
      <c r="AJ341" s="66"/>
      <c r="AK341" s="70"/>
    </row>
    <row r="342" spans="1:37" hidden="1">
      <c r="A342" s="65">
        <f>A341+1</f>
        <v>11</v>
      </c>
      <c r="B342" s="66" t="s">
        <v>263</v>
      </c>
      <c r="C342" s="78">
        <f>G2038</f>
        <v>478.63720907601237</v>
      </c>
      <c r="D342" s="79">
        <f>ROUND((D$162/($C$162))*$C342,0)</f>
        <v>0</v>
      </c>
      <c r="E342" s="79">
        <f>ROUND((E$162/($C$162))*$C342,0)</f>
        <v>0</v>
      </c>
      <c r="F342" s="79">
        <f>D342+E342</f>
        <v>0</v>
      </c>
      <c r="G342" s="79">
        <f t="shared" ref="G342:L342" si="88">ROUND((G$162/($C$162))*$C342,0)</f>
        <v>0</v>
      </c>
      <c r="H342" s="79">
        <f t="shared" si="88"/>
        <v>0</v>
      </c>
      <c r="I342" s="79">
        <f t="shared" si="88"/>
        <v>0</v>
      </c>
      <c r="J342" s="79">
        <f t="shared" si="88"/>
        <v>0</v>
      </c>
      <c r="K342" s="79">
        <f t="shared" si="88"/>
        <v>0</v>
      </c>
      <c r="L342" s="79">
        <f t="shared" si="88"/>
        <v>0</v>
      </c>
      <c r="M342" s="79">
        <f>SUM(J342:L342)</f>
        <v>0</v>
      </c>
      <c r="N342" s="79">
        <f>ROUND((N$162/($C$162))*$C342,0)</f>
        <v>479</v>
      </c>
      <c r="O342" s="79">
        <f>SUM(F342:I342)+SUM(M342:N342)</f>
        <v>479</v>
      </c>
      <c r="P342" s="79">
        <f>ROUND((P$162/($C$162))*$C342,0)</f>
        <v>0</v>
      </c>
      <c r="Q342" s="79">
        <f>ROUND((Q$162/($C$162))*$C342,0)</f>
        <v>0</v>
      </c>
      <c r="R342" s="79">
        <f>P342+Q342</f>
        <v>0</v>
      </c>
      <c r="S342" s="79">
        <v>0</v>
      </c>
      <c r="U342" s="80">
        <f>O342+R342+S342-C342</f>
        <v>0.36279092398763169</v>
      </c>
      <c r="W342" s="81">
        <f>IF((O342+R342)=0," ",ROUND((O342/(O342+R342)),7))</f>
        <v>1</v>
      </c>
      <c r="X342" s="81">
        <f>IF((C342)=0," ",ROUND((O342/(C342)),7))</f>
        <v>1.000758</v>
      </c>
      <c r="Y342" s="81">
        <f>IF((C342)=0," ",ROUND((S342/(C342)),7))</f>
        <v>0</v>
      </c>
      <c r="Z342" s="79"/>
      <c r="AF342" s="79"/>
      <c r="AJ342" s="66"/>
      <c r="AK342" s="70"/>
    </row>
    <row r="343" spans="1:37" hidden="1">
      <c r="A343" s="65">
        <f>A342+1</f>
        <v>12</v>
      </c>
      <c r="B343" s="66" t="s">
        <v>264</v>
      </c>
      <c r="C343" s="78">
        <f>C2061</f>
        <v>1168.9101062595946</v>
      </c>
      <c r="D343" s="79">
        <f>C343-E343-SUM(G343:I343)-SUM(M343:N343)-R343-S343</f>
        <v>662.91010625959461</v>
      </c>
      <c r="E343" s="79">
        <f>ROUND(E$165/$C$165*$C343,0)</f>
        <v>21</v>
      </c>
      <c r="F343" s="79">
        <f>D343+E343</f>
        <v>683.91010625959461</v>
      </c>
      <c r="G343" s="79">
        <f t="shared" ref="G343:L343" si="89">ROUND(G$165/$C$165*$C343,0)</f>
        <v>35</v>
      </c>
      <c r="H343" s="79">
        <f t="shared" si="89"/>
        <v>267</v>
      </c>
      <c r="I343" s="79">
        <f t="shared" si="89"/>
        <v>108</v>
      </c>
      <c r="J343" s="79">
        <f t="shared" si="89"/>
        <v>45</v>
      </c>
      <c r="K343" s="79">
        <f t="shared" si="89"/>
        <v>6</v>
      </c>
      <c r="L343" s="79">
        <f t="shared" si="89"/>
        <v>2</v>
      </c>
      <c r="M343" s="79">
        <f>SUM(J343:L343)</f>
        <v>53</v>
      </c>
      <c r="N343" s="79">
        <f>ROUND(N$165/$C$165*$C343,0)</f>
        <v>14</v>
      </c>
      <c r="O343" s="79">
        <f>SUM(F343:I343)+SUM(M343:N343)</f>
        <v>1160.9101062595946</v>
      </c>
      <c r="P343" s="79">
        <f>ROUND(P$165/$C$165*$C343,0)</f>
        <v>7</v>
      </c>
      <c r="Q343" s="79">
        <f>ROUND(Q$165/$C$165*$C343,0)</f>
        <v>1</v>
      </c>
      <c r="R343" s="79">
        <f>P343+Q343</f>
        <v>8</v>
      </c>
      <c r="S343" s="79">
        <v>0</v>
      </c>
      <c r="U343" s="80">
        <f>O343+R343+S343-C343</f>
        <v>0</v>
      </c>
      <c r="W343" s="81">
        <f>IF((O343+R343)=0," ",ROUND((O343/(O343+R343)),7))</f>
        <v>0.99315600000000004</v>
      </c>
      <c r="X343" s="81">
        <f>IF((C343)=0," ",ROUND((O343/(C343)),7))</f>
        <v>0.99315600000000004</v>
      </c>
      <c r="Y343" s="81">
        <f>IF((C343)=0," ",ROUND((S343/(C343)),7))</f>
        <v>0</v>
      </c>
      <c r="Z343" s="79"/>
      <c r="AF343" s="79"/>
      <c r="AJ343" s="66"/>
      <c r="AK343" s="70"/>
    </row>
    <row r="344" spans="1:37" hidden="1">
      <c r="A344" s="65">
        <f>A343+1</f>
        <v>13</v>
      </c>
      <c r="B344" s="66" t="s">
        <v>265</v>
      </c>
      <c r="C344" s="79">
        <f>O344+R344+S344</f>
        <v>11673.51011487325</v>
      </c>
      <c r="D344" s="79">
        <f>SUM(D340:D343)</f>
        <v>6321.5101148732501</v>
      </c>
      <c r="E344" s="79">
        <f>SUM(E340:E343)</f>
        <v>209</v>
      </c>
      <c r="F344" s="79">
        <f>D344+E344</f>
        <v>6530.5101148732501</v>
      </c>
      <c r="G344" s="79">
        <f t="shared" ref="G344:L344" si="90">SUM(G340:G343)</f>
        <v>350</v>
      </c>
      <c r="H344" s="79">
        <f t="shared" si="90"/>
        <v>2533</v>
      </c>
      <c r="I344" s="79">
        <f t="shared" si="90"/>
        <v>1019</v>
      </c>
      <c r="J344" s="79">
        <f t="shared" si="90"/>
        <v>454</v>
      </c>
      <c r="K344" s="79">
        <f t="shared" si="90"/>
        <v>118</v>
      </c>
      <c r="L344" s="79">
        <f t="shared" si="90"/>
        <v>23</v>
      </c>
      <c r="M344" s="79">
        <f>SUM(J344:L344)</f>
        <v>595</v>
      </c>
      <c r="N344" s="79">
        <f>SUM(N340:N343)</f>
        <v>638</v>
      </c>
      <c r="O344" s="79">
        <f>SUM(F344:I344)+SUM(M344:N344)</f>
        <v>11665.51011487325</v>
      </c>
      <c r="P344" s="79">
        <f>SUM(P340:P343)</f>
        <v>7</v>
      </c>
      <c r="Q344" s="79">
        <f>SUM(Q340:Q343)</f>
        <v>1</v>
      </c>
      <c r="R344" s="79">
        <f>P344+Q344</f>
        <v>8</v>
      </c>
      <c r="S344" s="79">
        <v>0</v>
      </c>
      <c r="U344" s="80">
        <f>O344+R344+S344-C344</f>
        <v>0</v>
      </c>
      <c r="W344" s="81">
        <f>IF((O344+R344)=0," ",ROUND((O344/(O344+R344)),7))</f>
        <v>0.9993147</v>
      </c>
      <c r="X344" s="81">
        <f>IF((C344)=0," ",ROUND((O344/(C344)),7))</f>
        <v>0.9993147</v>
      </c>
      <c r="Y344" s="81">
        <f>IF((C344)=0," ",ROUND((S344/(C344)),7))</f>
        <v>0</v>
      </c>
      <c r="Z344" s="79"/>
      <c r="AF344" s="79"/>
      <c r="AJ344" s="66"/>
      <c r="AK344" s="65"/>
    </row>
    <row r="345" spans="1:37" hidden="1"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U345" s="80"/>
      <c r="W345" s="81" t="str">
        <f>IF((P345+Q345)=0," ",ROUND((P345/(P345+Q345)),74))</f>
        <v xml:space="preserve"> </v>
      </c>
      <c r="X345" s="81" t="str">
        <f>IF((C345)=0," ",ROUND((P345/(C345)),74))</f>
        <v xml:space="preserve"> </v>
      </c>
      <c r="Y345" s="81" t="str">
        <f>IF((C345)=0," ",ROUND((R345/(C345)),7))</f>
        <v xml:space="preserve"> </v>
      </c>
      <c r="Z345" s="79"/>
      <c r="AF345" s="79"/>
      <c r="AJ345" s="66"/>
      <c r="AK345" s="65"/>
    </row>
    <row r="346" spans="1:37" hidden="1">
      <c r="W346" s="81" t="str">
        <f>IF((P346+Q346)=0," ",ROUND((P346/(P346+Q346)),74))</f>
        <v xml:space="preserve"> </v>
      </c>
      <c r="X346" s="81" t="str">
        <f>IF((C346)=0," ",ROUND((P346/(C346)),74))</f>
        <v xml:space="preserve"> </v>
      </c>
      <c r="Y346" s="81" t="str">
        <f>IF((C346)=0," ",ROUND((R346/(C346)),7))</f>
        <v xml:space="preserve"> </v>
      </c>
      <c r="AJ346" s="66"/>
      <c r="AK346" s="65"/>
    </row>
    <row r="347" spans="1:37" hidden="1">
      <c r="A347" s="65">
        <f>A344+1</f>
        <v>14</v>
      </c>
      <c r="B347" s="65" t="s">
        <v>266</v>
      </c>
      <c r="C347" s="78">
        <f>H2048</f>
        <v>4</v>
      </c>
      <c r="D347" s="79">
        <f>C347-E347-SUM(G347:I347)-SUM(M347:N347)-R347-S347</f>
        <v>4</v>
      </c>
      <c r="E347" s="79">
        <f>ROUND(E1021/$C1021*$C347,0)</f>
        <v>0</v>
      </c>
      <c r="F347" s="79">
        <f>D347+E347</f>
        <v>4</v>
      </c>
      <c r="G347" s="79">
        <f t="shared" ref="G347:L347" si="91">ROUND(G1021/$C1021*$C347,0)</f>
        <v>0</v>
      </c>
      <c r="H347" s="79">
        <f t="shared" si="91"/>
        <v>0</v>
      </c>
      <c r="I347" s="79">
        <f t="shared" si="91"/>
        <v>0</v>
      </c>
      <c r="J347" s="79">
        <f t="shared" si="91"/>
        <v>0</v>
      </c>
      <c r="K347" s="79">
        <f t="shared" si="91"/>
        <v>0</v>
      </c>
      <c r="L347" s="79">
        <f t="shared" si="91"/>
        <v>0</v>
      </c>
      <c r="M347" s="79">
        <f>SUM(J347:L347)</f>
        <v>0</v>
      </c>
      <c r="N347" s="79">
        <f>ROUND(N1021/$C1021*$C347,0)</f>
        <v>0</v>
      </c>
      <c r="O347" s="79">
        <f>SUM(F347:I347)+SUM(M347:N347)</f>
        <v>4</v>
      </c>
      <c r="P347" s="79">
        <f>ROUND(P1021/$C1021*$C347,0)</f>
        <v>0</v>
      </c>
      <c r="Q347" s="79">
        <f>ROUND(Q1021/$C1021*$C347,0)</f>
        <v>0</v>
      </c>
      <c r="R347" s="79">
        <f>P347+Q347</f>
        <v>0</v>
      </c>
      <c r="S347" s="79">
        <v>0</v>
      </c>
      <c r="U347" s="80">
        <f>O347+R347+S347-C347</f>
        <v>0</v>
      </c>
      <c r="W347" s="81">
        <f>IF((O347+R347)=0," ",ROUND((O347/(O347+R347)),7))</f>
        <v>1</v>
      </c>
      <c r="X347" s="81">
        <f>IF((C347)=0," ",ROUND((O347/(C347)),7))</f>
        <v>1</v>
      </c>
      <c r="Y347" s="81">
        <f>IF((C347)=0," ",ROUND((S347/(C347)),7))</f>
        <v>0</v>
      </c>
      <c r="Z347" s="79"/>
      <c r="AF347" s="79"/>
      <c r="AJ347" s="66"/>
      <c r="AK347" s="70"/>
    </row>
    <row r="348" spans="1:37" hidden="1">
      <c r="W348" s="81" t="str">
        <f>IF((P348+Q348)=0," ",ROUND((P348/(P348+Q348)),74))</f>
        <v xml:space="preserve"> </v>
      </c>
      <c r="X348" s="81" t="str">
        <f>IF((C348)=0," ",ROUND((P348/(C348)),74))</f>
        <v xml:space="preserve"> </v>
      </c>
      <c r="Y348" s="81" t="str">
        <f>IF((C348)=0," ",ROUND((R348/(C348)),7))</f>
        <v xml:space="preserve"> </v>
      </c>
      <c r="AJ348" s="66"/>
      <c r="AK348" s="65"/>
    </row>
    <row r="349" spans="1:37" hidden="1">
      <c r="W349" s="81" t="str">
        <f>IF((P349+Q349)=0," ",ROUND((P349/(P349+Q349)),74))</f>
        <v xml:space="preserve"> </v>
      </c>
      <c r="X349" s="81" t="str">
        <f>IF((C349)=0," ",ROUND((P349/(C349)),74))</f>
        <v xml:space="preserve"> </v>
      </c>
      <c r="Y349" s="81" t="str">
        <f>IF((C349)=0," ",ROUND((R349/(C349)),7))</f>
        <v xml:space="preserve"> </v>
      </c>
      <c r="AJ349" s="66"/>
      <c r="AK349" s="65"/>
    </row>
    <row r="350" spans="1:37" hidden="1">
      <c r="A350" s="65">
        <f>A347+1</f>
        <v>15</v>
      </c>
      <c r="B350" s="65" t="s">
        <v>267</v>
      </c>
      <c r="C350" s="78">
        <f>I2048</f>
        <v>4</v>
      </c>
      <c r="D350" s="79">
        <f>C350-E350-SUM(G350:I350)-SUM(M350:N350)-R350-S350</f>
        <v>2</v>
      </c>
      <c r="E350" s="79">
        <f>ROUND(E1055/$C1055*$C350,0)</f>
        <v>0</v>
      </c>
      <c r="F350" s="79">
        <f>D350+E350</f>
        <v>2</v>
      </c>
      <c r="G350" s="79">
        <f t="shared" ref="G350:L350" si="92">ROUND(G1055/$C1055*$C350,0)</f>
        <v>0</v>
      </c>
      <c r="H350" s="79">
        <f t="shared" si="92"/>
        <v>0</v>
      </c>
      <c r="I350" s="79">
        <f t="shared" si="92"/>
        <v>2</v>
      </c>
      <c r="J350" s="79">
        <f t="shared" si="92"/>
        <v>0</v>
      </c>
      <c r="K350" s="79">
        <f t="shared" si="92"/>
        <v>0</v>
      </c>
      <c r="L350" s="79">
        <f t="shared" si="92"/>
        <v>0</v>
      </c>
      <c r="M350" s="79">
        <f>SUM(J350:L350)</f>
        <v>0</v>
      </c>
      <c r="N350" s="79">
        <f>ROUND(N1055/$C1055*$C350,0)</f>
        <v>0</v>
      </c>
      <c r="O350" s="79">
        <f>SUM(F350:I350)+SUM(M350:N350)</f>
        <v>4</v>
      </c>
      <c r="P350" s="79">
        <v>0</v>
      </c>
      <c r="Q350" s="79">
        <v>0</v>
      </c>
      <c r="R350" s="79">
        <f>P350+Q350</f>
        <v>0</v>
      </c>
      <c r="S350" s="79">
        <v>0</v>
      </c>
      <c r="U350" s="80">
        <f>O350+R350+S350-C350</f>
        <v>0</v>
      </c>
      <c r="W350" s="81">
        <f>IF((O350+R350)=0," ",ROUND((O350/(O350+R350)),7))</f>
        <v>1</v>
      </c>
      <c r="X350" s="81">
        <f>IF((C350)=0," ",ROUND((O350/(C350)),7))</f>
        <v>1</v>
      </c>
      <c r="Y350" s="81">
        <f>IF((C350)=0," ",ROUND((S350/(C350)),7))</f>
        <v>0</v>
      </c>
      <c r="Z350" s="79"/>
      <c r="AF350" s="79"/>
      <c r="AJ350" s="66"/>
      <c r="AK350" s="65"/>
    </row>
    <row r="351" spans="1:37" hidden="1">
      <c r="B351" s="83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U351" s="80"/>
      <c r="W351" s="81"/>
      <c r="X351" s="81"/>
      <c r="Y351" s="81"/>
      <c r="Z351" s="79"/>
      <c r="AF351" s="79"/>
      <c r="AJ351" s="66"/>
      <c r="AK351" s="65"/>
    </row>
    <row r="352" spans="1:37" hidden="1"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U352" s="80"/>
      <c r="W352" s="81"/>
      <c r="X352" s="81"/>
      <c r="Y352" s="81"/>
      <c r="Z352" s="79"/>
      <c r="AF352" s="79"/>
      <c r="AJ352" s="66"/>
      <c r="AK352" s="65"/>
    </row>
    <row r="353" spans="1:37" hidden="1">
      <c r="A353" s="65">
        <f>A350+1</f>
        <v>16</v>
      </c>
      <c r="B353" s="66" t="s">
        <v>268</v>
      </c>
      <c r="C353" s="79">
        <f>O353+R353+S353</f>
        <v>134287.82780633349</v>
      </c>
      <c r="D353" s="79">
        <f>SUM(D354:D356)</f>
        <v>58771.827806333473</v>
      </c>
      <c r="E353" s="79">
        <f>SUM(E354:E356)</f>
        <v>2035</v>
      </c>
      <c r="F353" s="79">
        <f>D353+E353</f>
        <v>60806.827806333473</v>
      </c>
      <c r="G353" s="79">
        <f t="shared" ref="G353:L353" si="93">SUM(G354:G356)</f>
        <v>3166</v>
      </c>
      <c r="H353" s="79">
        <f t="shared" si="93"/>
        <v>27652</v>
      </c>
      <c r="I353" s="79">
        <f t="shared" si="93"/>
        <v>17390</v>
      </c>
      <c r="J353" s="79">
        <f t="shared" si="93"/>
        <v>8982</v>
      </c>
      <c r="K353" s="79">
        <f t="shared" si="93"/>
        <v>541</v>
      </c>
      <c r="L353" s="79">
        <f t="shared" si="93"/>
        <v>355</v>
      </c>
      <c r="M353" s="79">
        <f>SUM(J353:L353)</f>
        <v>9878</v>
      </c>
      <c r="N353" s="79">
        <f>SUM(N354:N356)</f>
        <v>1909</v>
      </c>
      <c r="O353" s="79">
        <f>SUM(F353:I353)+SUM(M353:N353)</f>
        <v>120801.82780633347</v>
      </c>
      <c r="P353" s="79">
        <f>SUM(P354:P356)</f>
        <v>3428</v>
      </c>
      <c r="Q353" s="79">
        <f>SUM(Q354:Q356)</f>
        <v>393</v>
      </c>
      <c r="R353" s="79">
        <f>P353+Q353</f>
        <v>3821</v>
      </c>
      <c r="S353" s="79">
        <f>SUM(S354:S356)</f>
        <v>9665</v>
      </c>
      <c r="U353" s="80">
        <f>O353+R353+S353-C353</f>
        <v>0</v>
      </c>
      <c r="W353" s="81">
        <f>IF((O353+R353)=0," ",ROUND((O353/(O353+R353)),7))</f>
        <v>0.96933950000000002</v>
      </c>
      <c r="X353" s="81">
        <f>IF((C353)=0," ",ROUND((O353/(C353)),7))</f>
        <v>0.89957390000000004</v>
      </c>
      <c r="Y353" s="81">
        <f>IF((C353)=0," ",ROUND((S353/(C353)),7))</f>
        <v>7.1972300000000003E-2</v>
      </c>
      <c r="Z353" s="79"/>
      <c r="AF353" s="79"/>
      <c r="AJ353" s="66"/>
      <c r="AK353" s="65"/>
    </row>
    <row r="354" spans="1:37" hidden="1">
      <c r="A354" s="65">
        <f>A353+1</f>
        <v>17</v>
      </c>
      <c r="B354" s="66" t="s">
        <v>229</v>
      </c>
      <c r="C354" s="79">
        <f>O354+R354+S354</f>
        <v>37805.976620381021</v>
      </c>
      <c r="D354" s="79">
        <f>D323+D334+D340+D343</f>
        <v>19001.976620381021</v>
      </c>
      <c r="E354" s="79">
        <f>E323+E334+E340+E343</f>
        <v>533</v>
      </c>
      <c r="F354" s="79">
        <f>D354+E354</f>
        <v>19534.976620381021</v>
      </c>
      <c r="G354" s="79">
        <f t="shared" ref="G354:L354" si="94">G323+G334+G340+G343</f>
        <v>971</v>
      </c>
      <c r="H354" s="79">
        <f t="shared" si="94"/>
        <v>7681</v>
      </c>
      <c r="I354" s="79">
        <f t="shared" si="94"/>
        <v>4015</v>
      </c>
      <c r="J354" s="79">
        <f t="shared" si="94"/>
        <v>1742</v>
      </c>
      <c r="K354" s="79">
        <f t="shared" si="94"/>
        <v>212</v>
      </c>
      <c r="L354" s="79">
        <f t="shared" si="94"/>
        <v>76</v>
      </c>
      <c r="M354" s="79">
        <f>SUM(J354:L354)</f>
        <v>2030</v>
      </c>
      <c r="N354" s="79">
        <f>N323+N334+N340+N343</f>
        <v>259</v>
      </c>
      <c r="O354" s="79">
        <f>SUM(F354:I354)+SUM(M354:N354)</f>
        <v>34490.976620381021</v>
      </c>
      <c r="P354" s="79">
        <f>P321+P334+P340+P343</f>
        <v>797</v>
      </c>
      <c r="Q354" s="79">
        <f>Q321+Q334+Q340+Q343</f>
        <v>91</v>
      </c>
      <c r="R354" s="79">
        <f>P354+Q354</f>
        <v>888</v>
      </c>
      <c r="S354" s="79">
        <f>S321+S334+S340+S343</f>
        <v>2427</v>
      </c>
      <c r="U354" s="80">
        <f>O354+R354+S354-C354</f>
        <v>0</v>
      </c>
      <c r="W354" s="81">
        <f>IF((O354+R354)=0," ",ROUND((O354/(O354+R354)),7))</f>
        <v>0.97490030000000005</v>
      </c>
      <c r="X354" s="81">
        <f>IF((C354)=0," ",ROUND((O354/(C354)),7))</f>
        <v>0.91231549999999995</v>
      </c>
      <c r="Y354" s="81">
        <f>IF((C354)=0," ",ROUND((S354/(C354)),7))</f>
        <v>6.4196199999999995E-2</v>
      </c>
      <c r="Z354" s="79"/>
      <c r="AF354" s="79"/>
      <c r="AJ354" s="66"/>
      <c r="AK354" s="65"/>
    </row>
    <row r="355" spans="1:37" hidden="1">
      <c r="A355" s="65">
        <f>A354+1</f>
        <v>18</v>
      </c>
      <c r="B355" s="66" t="s">
        <v>253</v>
      </c>
      <c r="C355" s="79">
        <f>O355+R355+S355</f>
        <v>602.98616443093488</v>
      </c>
      <c r="D355" s="79">
        <f>D341+D342+D347+D350</f>
        <v>83.986164430934821</v>
      </c>
      <c r="E355" s="79">
        <f>E341+E342+E347+E350</f>
        <v>3</v>
      </c>
      <c r="F355" s="79">
        <f>D355+E355</f>
        <v>86.986164430934821</v>
      </c>
      <c r="G355" s="79">
        <f t="shared" ref="G355:S355" si="95">G341+G342+G347+G350</f>
        <v>17</v>
      </c>
      <c r="H355" s="79">
        <f t="shared" si="95"/>
        <v>16</v>
      </c>
      <c r="I355" s="79">
        <f t="shared" si="95"/>
        <v>3</v>
      </c>
      <c r="J355" s="79">
        <f t="shared" si="95"/>
        <v>0</v>
      </c>
      <c r="K355" s="79">
        <f t="shared" si="95"/>
        <v>0</v>
      </c>
      <c r="L355" s="79">
        <f t="shared" si="95"/>
        <v>0</v>
      </c>
      <c r="M355" s="79">
        <f>SUM(J355:L355)</f>
        <v>0</v>
      </c>
      <c r="N355" s="79">
        <f t="shared" si="95"/>
        <v>480</v>
      </c>
      <c r="O355" s="79">
        <f>SUM(F355:I355)+SUM(M355:N355)</f>
        <v>602.98616443093488</v>
      </c>
      <c r="P355" s="79">
        <f t="shared" si="95"/>
        <v>0</v>
      </c>
      <c r="Q355" s="79">
        <f t="shared" si="95"/>
        <v>0</v>
      </c>
      <c r="R355" s="79">
        <f>P355+Q355</f>
        <v>0</v>
      </c>
      <c r="S355" s="79">
        <f t="shared" si="95"/>
        <v>0</v>
      </c>
      <c r="U355" s="80">
        <f>O355+R355+S355-C355</f>
        <v>0</v>
      </c>
      <c r="W355" s="81">
        <f>IF((O355+R355)=0," ",ROUND((O355/(O355+R355)),7))</f>
        <v>1</v>
      </c>
      <c r="X355" s="81">
        <f>IF((C355)=0," ",ROUND((O355/(C355)),7))</f>
        <v>1</v>
      </c>
      <c r="Y355" s="81">
        <f>IF((C355)=0," ",ROUND((S355/(C355)),7))</f>
        <v>0</v>
      </c>
      <c r="Z355" s="79"/>
      <c r="AF355" s="79"/>
      <c r="AJ355" s="66"/>
      <c r="AK355" s="65"/>
    </row>
    <row r="356" spans="1:37" hidden="1">
      <c r="A356" s="65">
        <f>A355+1</f>
        <v>19</v>
      </c>
      <c r="B356" s="66" t="s">
        <v>230</v>
      </c>
      <c r="C356" s="79">
        <f>O356+R356+S356</f>
        <v>95878.865021521517</v>
      </c>
      <c r="D356" s="79">
        <f>+D324+D326</f>
        <v>39685.865021521517</v>
      </c>
      <c r="E356" s="79">
        <f>+E324+E326</f>
        <v>1499</v>
      </c>
      <c r="F356" s="79">
        <f>D356+E356</f>
        <v>41184.865021521517</v>
      </c>
      <c r="G356" s="79">
        <f t="shared" ref="G356:S356" si="96">+G324+G326</f>
        <v>2178</v>
      </c>
      <c r="H356" s="79">
        <f t="shared" si="96"/>
        <v>19955</v>
      </c>
      <c r="I356" s="79">
        <f t="shared" si="96"/>
        <v>13372</v>
      </c>
      <c r="J356" s="79">
        <f t="shared" si="96"/>
        <v>7240</v>
      </c>
      <c r="K356" s="79">
        <f t="shared" si="96"/>
        <v>329</v>
      </c>
      <c r="L356" s="79">
        <f t="shared" si="96"/>
        <v>279</v>
      </c>
      <c r="M356" s="79">
        <f>SUM(J356:L356)</f>
        <v>7848</v>
      </c>
      <c r="N356" s="79">
        <f t="shared" si="96"/>
        <v>1170</v>
      </c>
      <c r="O356" s="79">
        <f>SUM(F356:I356)+SUM(M356:N356)</f>
        <v>85707.865021521517</v>
      </c>
      <c r="P356" s="79">
        <f t="shared" si="96"/>
        <v>2631</v>
      </c>
      <c r="Q356" s="79">
        <f t="shared" si="96"/>
        <v>302</v>
      </c>
      <c r="R356" s="79">
        <f>P356+Q356</f>
        <v>2933</v>
      </c>
      <c r="S356" s="79">
        <f t="shared" si="96"/>
        <v>7238</v>
      </c>
      <c r="U356" s="80">
        <f>O356+R356+S356-C356</f>
        <v>0</v>
      </c>
      <c r="W356" s="81">
        <f>IF((O356+R356)=0," ",ROUND((O356/(O356+R356)),7))</f>
        <v>0.96691139999999998</v>
      </c>
      <c r="X356" s="81">
        <f>IF((C356)=0," ",ROUND((O356/(C356)),7))</f>
        <v>0.8939182</v>
      </c>
      <c r="Y356" s="81">
        <f>IF((C356)=0," ",ROUND((S356/(C356)),7))</f>
        <v>7.5491100000000005E-2</v>
      </c>
      <c r="Z356" s="79"/>
      <c r="AF356" s="79"/>
      <c r="AJ356" s="66"/>
      <c r="AK356" s="65"/>
    </row>
    <row r="357" spans="1:37" hidden="1">
      <c r="B357" s="72"/>
      <c r="C357" s="79"/>
      <c r="H357" s="65" t="s">
        <v>80</v>
      </c>
      <c r="I357" s="79"/>
      <c r="J357" s="79"/>
      <c r="K357" s="79"/>
      <c r="L357" s="79"/>
      <c r="M357" s="79"/>
      <c r="Q357" s="65" t="s">
        <v>80</v>
      </c>
      <c r="R357" s="79"/>
      <c r="S357" s="65"/>
      <c r="W357" s="81"/>
      <c r="X357" s="81"/>
      <c r="Y357" s="73"/>
      <c r="Z357" s="65"/>
      <c r="AJ357" s="66"/>
      <c r="AK357" s="65"/>
    </row>
    <row r="358" spans="1:37" hidden="1">
      <c r="C358" s="79"/>
      <c r="H358" s="70" t="str">
        <f>$H$24</f>
        <v>12 MONTHS ENDING DECEMBER 31, 2012</v>
      </c>
      <c r="I358" s="79"/>
      <c r="J358" s="79"/>
      <c r="K358" s="79"/>
      <c r="L358" s="79"/>
      <c r="M358" s="79"/>
      <c r="N358" s="79"/>
      <c r="Q358" s="70" t="str">
        <f>$H$24</f>
        <v>12 MONTHS ENDING DECEMBER 31, 2012</v>
      </c>
      <c r="S358" s="79"/>
      <c r="U358" s="80"/>
      <c r="X358" s="81"/>
      <c r="Y358" s="81"/>
      <c r="Z358" s="70"/>
      <c r="AF358" s="79"/>
      <c r="AJ358" s="66"/>
      <c r="AK358" s="65"/>
    </row>
    <row r="359" spans="1:37" hidden="1">
      <c r="C359" s="79"/>
      <c r="H359" s="70" t="str">
        <f>$H$25</f>
        <v>12/13 DEMAND ALLOCATION WITH MDS METHODOLOGY</v>
      </c>
      <c r="Q359" s="70" t="str">
        <f>$H$25</f>
        <v>12/13 DEMAND ALLOCATION WITH MDS METHODOLOGY</v>
      </c>
      <c r="S359" s="79"/>
      <c r="X359" s="81"/>
      <c r="Y359" s="81"/>
      <c r="Z359" s="70"/>
      <c r="AF359" s="79"/>
      <c r="AJ359" s="66"/>
      <c r="AK359" s="65"/>
    </row>
    <row r="360" spans="1:37" hidden="1">
      <c r="C360" s="79"/>
      <c r="H360" s="87" t="s">
        <v>98</v>
      </c>
      <c r="I360" s="79"/>
      <c r="J360" s="79"/>
      <c r="K360" s="79"/>
      <c r="L360" s="79"/>
      <c r="M360" s="79"/>
      <c r="N360" s="79"/>
      <c r="Q360" s="87" t="s">
        <v>98</v>
      </c>
      <c r="S360" s="79"/>
      <c r="U360" s="80"/>
      <c r="X360" s="81"/>
      <c r="Y360" s="81"/>
      <c r="Z360" s="87"/>
      <c r="AF360" s="79"/>
      <c r="AJ360" s="66"/>
      <c r="AK360" s="65"/>
    </row>
    <row r="361" spans="1:37" hidden="1">
      <c r="C361" s="79"/>
      <c r="H361" s="87" t="s">
        <v>114</v>
      </c>
      <c r="I361" s="79"/>
      <c r="J361" s="79"/>
      <c r="K361" s="79"/>
      <c r="L361" s="79"/>
      <c r="M361" s="79"/>
      <c r="N361" s="79"/>
      <c r="Q361" s="87" t="s">
        <v>114</v>
      </c>
      <c r="S361" s="79"/>
      <c r="U361" s="80"/>
      <c r="X361" s="81"/>
      <c r="Y361" s="81"/>
      <c r="Z361" s="87"/>
      <c r="AF361" s="79"/>
      <c r="AJ361" s="66"/>
      <c r="AK361" s="65"/>
    </row>
    <row r="362" spans="1:37" hidden="1">
      <c r="C362" s="65" t="s">
        <v>59</v>
      </c>
      <c r="K362" s="65"/>
      <c r="L362" s="65"/>
      <c r="M362" s="65"/>
      <c r="O362" s="65" t="s">
        <v>59</v>
      </c>
      <c r="P362" s="65"/>
      <c r="Q362" s="65"/>
      <c r="R362" s="65"/>
      <c r="S362" s="65" t="s">
        <v>115</v>
      </c>
      <c r="W362" s="76" t="s">
        <v>116</v>
      </c>
      <c r="X362" s="76" t="s">
        <v>116</v>
      </c>
      <c r="Y362" s="76" t="s">
        <v>117</v>
      </c>
      <c r="AF362" s="65"/>
      <c r="AJ362" s="66"/>
      <c r="AK362" s="65"/>
    </row>
    <row r="363" spans="1:37" hidden="1">
      <c r="A363" s="65" t="s">
        <v>118</v>
      </c>
      <c r="C363" s="65" t="s">
        <v>58</v>
      </c>
      <c r="D363" s="70" t="s">
        <v>119</v>
      </c>
      <c r="E363" s="70" t="s">
        <v>119</v>
      </c>
      <c r="F363" s="70" t="s">
        <v>119</v>
      </c>
      <c r="G363" s="70" t="s">
        <v>119</v>
      </c>
      <c r="H363" s="70" t="s">
        <v>119</v>
      </c>
      <c r="I363" s="70" t="s">
        <v>119</v>
      </c>
      <c r="J363" s="70" t="s">
        <v>119</v>
      </c>
      <c r="K363" s="70" t="s">
        <v>119</v>
      </c>
      <c r="L363" s="70" t="s">
        <v>119</v>
      </c>
      <c r="M363" s="70" t="s">
        <v>119</v>
      </c>
      <c r="N363" s="70" t="s">
        <v>119</v>
      </c>
      <c r="O363" s="65" t="s">
        <v>116</v>
      </c>
      <c r="P363" s="65"/>
      <c r="Q363" s="70" t="s">
        <v>120</v>
      </c>
      <c r="R363" s="65"/>
      <c r="S363" s="65" t="s">
        <v>121</v>
      </c>
      <c r="W363" s="76" t="s">
        <v>122</v>
      </c>
      <c r="X363" s="76" t="s">
        <v>123</v>
      </c>
      <c r="Y363" s="76" t="s">
        <v>124</v>
      </c>
      <c r="Z363" s="65"/>
      <c r="AF363" s="70"/>
      <c r="AJ363" s="66"/>
      <c r="AK363" s="65"/>
    </row>
    <row r="364" spans="1:37" hidden="1">
      <c r="A364" s="65" t="s">
        <v>125</v>
      </c>
      <c r="B364" s="65" t="s">
        <v>126</v>
      </c>
      <c r="C364" s="65" t="s">
        <v>57</v>
      </c>
      <c r="D364" s="70" t="s">
        <v>127</v>
      </c>
      <c r="E364" s="70" t="s">
        <v>128</v>
      </c>
      <c r="F364" s="70" t="s">
        <v>129</v>
      </c>
      <c r="G364" s="70" t="s">
        <v>130</v>
      </c>
      <c r="H364" s="70" t="s">
        <v>131</v>
      </c>
      <c r="I364" s="65" t="s">
        <v>132</v>
      </c>
      <c r="J364" s="70" t="s">
        <v>133</v>
      </c>
      <c r="K364" s="70" t="s">
        <v>134</v>
      </c>
      <c r="L364" s="70" t="s">
        <v>135</v>
      </c>
      <c r="M364" s="70" t="s">
        <v>136</v>
      </c>
      <c r="N364" s="70" t="s">
        <v>137</v>
      </c>
      <c r="O364" s="65" t="s">
        <v>138</v>
      </c>
      <c r="P364" s="70" t="s">
        <v>139</v>
      </c>
      <c r="Q364" s="70" t="s">
        <v>140</v>
      </c>
      <c r="R364" s="65" t="s">
        <v>122</v>
      </c>
      <c r="S364" s="65" t="s">
        <v>141</v>
      </c>
      <c r="U364" s="65" t="s">
        <v>162</v>
      </c>
      <c r="W364" s="76" t="s">
        <v>142</v>
      </c>
      <c r="X364" s="76" t="s">
        <v>142</v>
      </c>
      <c r="Y364" s="76" t="s">
        <v>142</v>
      </c>
      <c r="Z364" s="65"/>
      <c r="AF364" s="70"/>
      <c r="AJ364" s="66"/>
      <c r="AK364" s="65"/>
    </row>
    <row r="365" spans="1:37" hidden="1">
      <c r="A365" s="65" t="s">
        <v>143</v>
      </c>
      <c r="B365" s="65" t="s">
        <v>144</v>
      </c>
      <c r="C365" s="65" t="s">
        <v>145</v>
      </c>
      <c r="D365" s="70" t="s">
        <v>146</v>
      </c>
      <c r="E365" s="70" t="s">
        <v>147</v>
      </c>
      <c r="F365" s="70" t="s">
        <v>148</v>
      </c>
      <c r="G365" s="65" t="s">
        <v>149</v>
      </c>
      <c r="H365" s="65" t="s">
        <v>150</v>
      </c>
      <c r="I365" s="65" t="s">
        <v>151</v>
      </c>
      <c r="J365" s="70" t="s">
        <v>152</v>
      </c>
      <c r="K365" s="70" t="s">
        <v>153</v>
      </c>
      <c r="L365" s="70" t="s">
        <v>154</v>
      </c>
      <c r="M365" s="70" t="s">
        <v>155</v>
      </c>
      <c r="N365" s="70" t="s">
        <v>156</v>
      </c>
      <c r="O365" s="70" t="s">
        <v>157</v>
      </c>
      <c r="P365" s="70" t="s">
        <v>158</v>
      </c>
      <c r="Q365" s="70" t="s">
        <v>159</v>
      </c>
      <c r="R365" s="70" t="s">
        <v>160</v>
      </c>
      <c r="S365" s="70" t="s">
        <v>161</v>
      </c>
      <c r="W365" s="77" t="s">
        <v>163</v>
      </c>
      <c r="X365" s="77" t="s">
        <v>164</v>
      </c>
      <c r="Y365" s="76" t="s">
        <v>165</v>
      </c>
      <c r="Z365" s="70"/>
      <c r="AF365" s="76"/>
      <c r="AJ365" s="66"/>
      <c r="AK365" s="70"/>
    </row>
    <row r="366" spans="1:37" hidden="1"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U366" s="80"/>
      <c r="W366" s="81" t="str">
        <f>IF((P366+Q366)=0," ",ROUND((P366/(P366+Q366)),74))</f>
        <v xml:space="preserve"> </v>
      </c>
      <c r="X366" s="81" t="str">
        <f>IF((C366)=0," ",ROUND((P366/(C366)),74))</f>
        <v xml:space="preserve"> </v>
      </c>
      <c r="Y366" s="81" t="str">
        <f>IF((C366)=0," ",ROUND((R366/(C366)),7))</f>
        <v xml:space="preserve"> </v>
      </c>
      <c r="Z366" s="79"/>
      <c r="AF366" s="79"/>
      <c r="AJ366" s="66"/>
      <c r="AK366" s="65"/>
    </row>
    <row r="367" spans="1:37" hidden="1">
      <c r="B367" s="65" t="s">
        <v>269</v>
      </c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U367" s="80"/>
      <c r="W367" s="81" t="str">
        <f>IF((P367+Q367)=0," ",ROUND((P367/(P367+Q367)),74))</f>
        <v xml:space="preserve"> </v>
      </c>
      <c r="X367" s="81" t="str">
        <f>IF((C367)=0," ",ROUND((P367/(C367)),74))</f>
        <v xml:space="preserve"> </v>
      </c>
      <c r="Y367" s="81" t="str">
        <f>IF((C367)=0," ",ROUND((R367/(C367)),7))</f>
        <v xml:space="preserve"> </v>
      </c>
      <c r="Z367" s="79"/>
      <c r="AF367" s="79"/>
      <c r="AJ367" s="66"/>
      <c r="AK367" s="65"/>
    </row>
    <row r="368" spans="1:37" hidden="1">
      <c r="B368" s="83" t="s">
        <v>170</v>
      </c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U368" s="80"/>
      <c r="W368" s="81" t="str">
        <f>IF((P368+Q368)=0," ",ROUND((P368/(P368+Q368)),74))</f>
        <v xml:space="preserve"> </v>
      </c>
      <c r="X368" s="81" t="str">
        <f>IF((C368)=0," ",ROUND((P368/(C368)),74))</f>
        <v xml:space="preserve"> </v>
      </c>
      <c r="Y368" s="81" t="str">
        <f>IF((C368)=0," ",ROUND((R368/(C368)),7))</f>
        <v xml:space="preserve"> </v>
      </c>
      <c r="Z368" s="79"/>
      <c r="AF368" s="79"/>
      <c r="AJ368" s="66"/>
      <c r="AK368" s="65"/>
    </row>
    <row r="369" spans="1:37" hidden="1">
      <c r="C369" s="78"/>
      <c r="D369" s="88"/>
      <c r="E369" s="79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U369" s="80"/>
      <c r="W369" s="81" t="str">
        <f>IF((P369+Q369)=0," ",ROUND((P369/(P369+Q369)),74))</f>
        <v xml:space="preserve"> </v>
      </c>
      <c r="X369" s="81" t="str">
        <f>IF((C369)=0," ",ROUND((P369/(C369)),74))</f>
        <v xml:space="preserve"> </v>
      </c>
      <c r="Y369" s="81" t="str">
        <f>IF((C369)=0," ",ROUND((R369/(C369)),7))</f>
        <v xml:space="preserve"> </v>
      </c>
      <c r="Z369" s="79"/>
      <c r="AF369" s="79"/>
      <c r="AJ369" s="66"/>
      <c r="AK369" s="65"/>
    </row>
    <row r="370" spans="1:37" hidden="1">
      <c r="A370" s="65">
        <f>A369+1</f>
        <v>1</v>
      </c>
      <c r="B370" s="66" t="s">
        <v>270</v>
      </c>
      <c r="C370" s="78">
        <f>303437-176483-1</f>
        <v>126953</v>
      </c>
      <c r="D370" s="79">
        <f>C370-E370-SUM(G370:I370)-SUM(M370:N370)-R370-S370</f>
        <v>71789</v>
      </c>
      <c r="E370" s="79">
        <f>SUM(E371:E374)</f>
        <v>1957</v>
      </c>
      <c r="F370" s="79">
        <f>D370+E370</f>
        <v>73746</v>
      </c>
      <c r="G370" s="79">
        <f t="shared" ref="G370:N370" si="97">SUM(G371:G374)</f>
        <v>5942</v>
      </c>
      <c r="H370" s="79">
        <f t="shared" si="97"/>
        <v>20471</v>
      </c>
      <c r="I370" s="79">
        <f t="shared" si="97"/>
        <v>13906</v>
      </c>
      <c r="J370" s="79">
        <f t="shared" si="97"/>
        <v>4091</v>
      </c>
      <c r="K370" s="79">
        <f t="shared" si="97"/>
        <v>368</v>
      </c>
      <c r="L370" s="79">
        <f t="shared" si="97"/>
        <v>175</v>
      </c>
      <c r="M370" s="79">
        <f>SUM(J370:L370)</f>
        <v>4634</v>
      </c>
      <c r="N370" s="79">
        <f t="shared" si="97"/>
        <v>2595</v>
      </c>
      <c r="O370" s="79">
        <f>SUM(F370:I370)+SUM(M370:N370)</f>
        <v>121294</v>
      </c>
      <c r="P370" s="79">
        <f>SUM(P371:P374)</f>
        <v>1949</v>
      </c>
      <c r="Q370" s="79">
        <f>SUM(Q371:Q374)</f>
        <v>282</v>
      </c>
      <c r="R370" s="79">
        <f>P370+Q370</f>
        <v>2231</v>
      </c>
      <c r="S370" s="79">
        <f>SUM(S371:S374)</f>
        <v>3428</v>
      </c>
      <c r="U370" s="80">
        <f t="shared" ref="U370:U380" si="98">O370+R370+S370-C370</f>
        <v>0</v>
      </c>
      <c r="W370" s="81">
        <f>IF((O370+R370)=0," ",ROUND((O370/(O370+R370)),7))</f>
        <v>0.98193889999999995</v>
      </c>
      <c r="X370" s="81">
        <f>IF((C370)=0," ",ROUND((O370/(C370)),7))</f>
        <v>0.95542439999999995</v>
      </c>
      <c r="Y370" s="81">
        <f>IF((C370)=0," ",ROUND((S370/(C370)),7))</f>
        <v>2.7002100000000001E-2</v>
      </c>
      <c r="Z370" s="79"/>
      <c r="AF370" s="79"/>
      <c r="AJ370" s="66"/>
      <c r="AK370" s="70"/>
    </row>
    <row r="371" spans="1:37" hidden="1">
      <c r="A371" s="65">
        <f>A370+1</f>
        <v>2</v>
      </c>
      <c r="B371" s="66" t="s">
        <v>229</v>
      </c>
      <c r="C371" s="79">
        <f>ROUND((C$1122+C$1315)/(C$1121-C$851+C$1314)*(C$370),0)</f>
        <v>79200</v>
      </c>
      <c r="D371" s="79">
        <f>C371-E371-SUM(G371:I371)-SUM(M371:N371)-R371-S371</f>
        <v>40643</v>
      </c>
      <c r="E371" s="79">
        <f>ROUND((E$1122+E$1315)/($C$1122+$C$1315)*$C371,0)</f>
        <v>1099</v>
      </c>
      <c r="F371" s="79">
        <f>D371+E371</f>
        <v>41742</v>
      </c>
      <c r="G371" s="79">
        <f t="shared" ref="G371:L371" si="99">ROUND((G$1122+G$1315)/($C$1122+$C$1315)*$C371,0)</f>
        <v>2061</v>
      </c>
      <c r="H371" s="79">
        <f t="shared" si="99"/>
        <v>16431</v>
      </c>
      <c r="I371" s="79">
        <f t="shared" si="99"/>
        <v>8785</v>
      </c>
      <c r="J371" s="79">
        <f t="shared" si="99"/>
        <v>3703</v>
      </c>
      <c r="K371" s="79">
        <f t="shared" si="99"/>
        <v>334</v>
      </c>
      <c r="L371" s="79">
        <f t="shared" si="99"/>
        <v>157</v>
      </c>
      <c r="M371" s="79">
        <f>SUM(J371:L371)</f>
        <v>4194</v>
      </c>
      <c r="N371" s="79">
        <f>ROUND((N$1122+N$1315)/($C$1122+$C$1315)*$C371,0)</f>
        <v>462</v>
      </c>
      <c r="O371" s="79">
        <f>SUM(F371:I371)+SUM(M371:N371)</f>
        <v>73675</v>
      </c>
      <c r="P371" s="79">
        <f>ROUND((P$1122+P$1315)/($C$1122+$C$1315)*$C371,0)</f>
        <v>1882</v>
      </c>
      <c r="Q371" s="79">
        <f>ROUND((Q$1122+Q$1315)/($C$1122+$C$1315)*$C371,0)</f>
        <v>215</v>
      </c>
      <c r="R371" s="79">
        <f>P371+Q371</f>
        <v>2097</v>
      </c>
      <c r="S371" s="79">
        <f>ROUND((S$1122+S$1315)/($C$1122+$C$1315)*$C371,0)</f>
        <v>3428</v>
      </c>
      <c r="U371" s="80">
        <f t="shared" si="98"/>
        <v>0</v>
      </c>
      <c r="W371" s="81">
        <f>IF((O371+R371)=0," ",ROUND((O371/(O371+R371)),7))</f>
        <v>0.97232490000000005</v>
      </c>
      <c r="X371" s="81">
        <f>IF((C371)=0," ",ROUND((O371/(C371)),7))</f>
        <v>0.93023990000000001</v>
      </c>
      <c r="Y371" s="81">
        <f>IF((C371)=0," ",ROUND((S371/(C371)),7))</f>
        <v>4.3282800000000003E-2</v>
      </c>
      <c r="Z371" s="79"/>
      <c r="AF371" s="79"/>
      <c r="AJ371" s="66"/>
      <c r="AK371" s="70"/>
    </row>
    <row r="372" spans="1:37" hidden="1">
      <c r="A372" s="65">
        <f>A371+1</f>
        <v>3</v>
      </c>
      <c r="B372" s="66" t="s">
        <v>253</v>
      </c>
      <c r="C372" s="79">
        <f>ROUND((C$1124+C$1316)/(C$1121-C$851+C$1314)*(C$370),0)</f>
        <v>42626</v>
      </c>
      <c r="D372" s="79">
        <f>C372-E372-SUM(G372:I372)-SUM(M372:N372)-R372-S372</f>
        <v>28524</v>
      </c>
      <c r="E372" s="79">
        <f>ROUND((E$1124+E$1316)/($C$1124+$C$1316)*$C372,0)</f>
        <v>770</v>
      </c>
      <c r="F372" s="79">
        <f>D372+E372</f>
        <v>29294</v>
      </c>
      <c r="G372" s="79">
        <f t="shared" ref="G372:L372" si="100">ROUND((G$1124+G$1316)/($C$1124+$C$1316)*$C372,0)</f>
        <v>3700</v>
      </c>
      <c r="H372" s="79">
        <f t="shared" si="100"/>
        <v>2968</v>
      </c>
      <c r="I372" s="79">
        <f t="shared" si="100"/>
        <v>4509</v>
      </c>
      <c r="J372" s="79">
        <f t="shared" si="100"/>
        <v>107</v>
      </c>
      <c r="K372" s="79">
        <f t="shared" si="100"/>
        <v>18</v>
      </c>
      <c r="L372" s="79">
        <f t="shared" si="100"/>
        <v>5</v>
      </c>
      <c r="M372" s="79">
        <f>SUM(J372:L372)</f>
        <v>130</v>
      </c>
      <c r="N372" s="79">
        <f>ROUND((N$1124+N$1316)/($C$1124+$C$1316)*$C372,0)</f>
        <v>2023</v>
      </c>
      <c r="O372" s="79">
        <f>SUM(F372:I372)+SUM(M372:N372)</f>
        <v>42624</v>
      </c>
      <c r="P372" s="79">
        <f>ROUND((P$1124+P$1316)/($C$1124+$C$1316)*$C372,0)</f>
        <v>1</v>
      </c>
      <c r="Q372" s="79">
        <f>ROUND((Q$1124+Q$1316)/($C$1124+$C$1316)*$C372,0)</f>
        <v>1</v>
      </c>
      <c r="R372" s="79">
        <f>P372+Q372</f>
        <v>2</v>
      </c>
      <c r="S372" s="79">
        <f>ROUND((S$1124+S$1316)/($C$1124+$C$1316)*$C372,0)</f>
        <v>0</v>
      </c>
      <c r="U372" s="80">
        <f t="shared" si="98"/>
        <v>0</v>
      </c>
      <c r="W372" s="81">
        <f>IF((O372+R372)=0," ",ROUND((O372/(O372+R372)),7))</f>
        <v>0.99995310000000004</v>
      </c>
      <c r="X372" s="81">
        <f>IF((C372)=0," ",ROUND((O372/(C372)),7))</f>
        <v>0.99995310000000004</v>
      </c>
      <c r="Y372" s="81">
        <f>IF((C372)=0," ",ROUND((S372/(C372)),7))</f>
        <v>0</v>
      </c>
      <c r="Z372" s="79"/>
      <c r="AF372" s="79"/>
      <c r="AJ372" s="66"/>
      <c r="AK372" s="70"/>
    </row>
    <row r="373" spans="1:37" hidden="1">
      <c r="A373" s="65">
        <f>A372+1</f>
        <v>4</v>
      </c>
      <c r="B373" s="66" t="s">
        <v>230</v>
      </c>
      <c r="C373" s="79">
        <f>ROUND((C$1123-C$851+C$1317)/(C$1121-C$851+C$1314)*(C$370),0)</f>
        <v>2101</v>
      </c>
      <c r="D373" s="79">
        <f>C373-E373-SUM(G373:I373)-SUM(M373:N373)-R373-S373</f>
        <v>973</v>
      </c>
      <c r="E373" s="79">
        <f>ROUND((E$1123-E$851+E$1317)/($C$1123-$C$851+$C$1317)*$C373,0)</f>
        <v>37</v>
      </c>
      <c r="F373" s="79">
        <f>D373+E373</f>
        <v>1010</v>
      </c>
      <c r="G373" s="79">
        <f t="shared" ref="G373:L373" si="101">ROUND((G$1123-G$851+G$1317)/($C$1123-$C$851+$C$1317)*$C373,0)</f>
        <v>54</v>
      </c>
      <c r="H373" s="79">
        <f t="shared" si="101"/>
        <v>488</v>
      </c>
      <c r="I373" s="79">
        <f t="shared" si="101"/>
        <v>329</v>
      </c>
      <c r="J373" s="79">
        <f t="shared" si="101"/>
        <v>177</v>
      </c>
      <c r="K373" s="79">
        <f t="shared" si="101"/>
        <v>8</v>
      </c>
      <c r="L373" s="79">
        <f t="shared" si="101"/>
        <v>7</v>
      </c>
      <c r="M373" s="79">
        <f>SUM(J373:L373)</f>
        <v>192</v>
      </c>
      <c r="N373" s="79">
        <f>ROUND((N$1123-N$851+N$1317)/($C$1123-$C$851+$C$1317)*$C373,0)</f>
        <v>28</v>
      </c>
      <c r="O373" s="79">
        <f>SUM(F373:I373)+SUM(M373:N373)</f>
        <v>2101</v>
      </c>
      <c r="P373" s="79">
        <f>ROUND((P$1123-P$851+P$1317)/($C$1123-$C$851+$C$1317)*$C373,0)</f>
        <v>0</v>
      </c>
      <c r="Q373" s="79">
        <f>ROUND((Q$1123-Q$851+Q$1317)/($C$1123-$C$851+$C$1317)*$C373,0)</f>
        <v>0</v>
      </c>
      <c r="R373" s="79">
        <f>P373+Q373</f>
        <v>0</v>
      </c>
      <c r="S373" s="79">
        <f>ROUND((S$1123-S$851+S$1317)/($C$1123-$C$851+$C$1317)*$C373,0)</f>
        <v>0</v>
      </c>
      <c r="U373" s="80">
        <f t="shared" si="98"/>
        <v>0</v>
      </c>
      <c r="W373" s="81">
        <f>IF((O373+R373)=0," ",ROUND((O373/(O373+R373)),7))</f>
        <v>1</v>
      </c>
      <c r="X373" s="81">
        <f>IF((C373)=0," ",ROUND((O373/(C373)),7))</f>
        <v>1</v>
      </c>
      <c r="Y373" s="81">
        <f>IF((C373)=0," ",ROUND((S373/(C373)),7))</f>
        <v>0</v>
      </c>
      <c r="Z373" s="79"/>
      <c r="AF373" s="79"/>
      <c r="AJ373" s="66"/>
      <c r="AK373" s="70"/>
    </row>
    <row r="374" spans="1:37" hidden="1">
      <c r="A374" s="65">
        <f>A373+1</f>
        <v>5</v>
      </c>
      <c r="B374" s="66" t="s">
        <v>271</v>
      </c>
      <c r="C374" s="79">
        <f>ROUND((C$1125+C$1318)/(C$1121-C$851+C$1314)*(C$370),0)</f>
        <v>3027</v>
      </c>
      <c r="D374" s="79">
        <f>D370-D371-D372-D373</f>
        <v>1649</v>
      </c>
      <c r="E374" s="79">
        <f>ROUND((E$1125+E$1318)/($C$1125+$C$1318)*$C374,0)</f>
        <v>51</v>
      </c>
      <c r="F374" s="79">
        <f>D374+E374</f>
        <v>1700</v>
      </c>
      <c r="G374" s="79">
        <f t="shared" ref="G374:L374" si="102">ROUND((G$1125+G$1318)/($C$1125+$C$1318)*$C374,0)</f>
        <v>127</v>
      </c>
      <c r="H374" s="79">
        <f t="shared" si="102"/>
        <v>584</v>
      </c>
      <c r="I374" s="79">
        <f t="shared" si="102"/>
        <v>283</v>
      </c>
      <c r="J374" s="79">
        <f t="shared" si="102"/>
        <v>104</v>
      </c>
      <c r="K374" s="79">
        <f t="shared" si="102"/>
        <v>8</v>
      </c>
      <c r="L374" s="79">
        <f t="shared" si="102"/>
        <v>6</v>
      </c>
      <c r="M374" s="79">
        <f>SUM(J374:L374)</f>
        <v>118</v>
      </c>
      <c r="N374" s="79">
        <f>ROUND((N$1125+N$1318)/($C$1125+$C$1318)*$C374,0)</f>
        <v>82</v>
      </c>
      <c r="O374" s="79">
        <f>SUM(F374:I374)+SUM(M374:N374)</f>
        <v>2894</v>
      </c>
      <c r="P374" s="79">
        <f>ROUND((P$1125+P$1318)/($C$1125+$C$1318)*$C374,0)</f>
        <v>66</v>
      </c>
      <c r="Q374" s="79">
        <f>ROUND((Q$1125+Q$1318)/($C$1125+$C$1318)*$C374,0)</f>
        <v>66</v>
      </c>
      <c r="R374" s="79">
        <f>P374+Q374</f>
        <v>132</v>
      </c>
      <c r="S374" s="79">
        <f>ROUND((S$1125+S$1318)/($C$1125+$C$1318)*$C374,0)</f>
        <v>0</v>
      </c>
      <c r="U374" s="80">
        <f t="shared" si="98"/>
        <v>-1</v>
      </c>
      <c r="W374" s="81">
        <f>IF((O374+R374)=0," ",ROUND((O374/(O374+R374)),7))</f>
        <v>0.95637810000000001</v>
      </c>
      <c r="X374" s="81">
        <f>IF((C374)=0," ",ROUND((O374/(C374)),7))</f>
        <v>0.95606210000000003</v>
      </c>
      <c r="Y374" s="81">
        <f>IF((C374)=0," ",ROUND((S374/(C374)),7))</f>
        <v>0</v>
      </c>
      <c r="Z374" s="79"/>
      <c r="AF374" s="79"/>
      <c r="AJ374" s="66"/>
      <c r="AK374" s="70"/>
    </row>
    <row r="375" spans="1:37" hidden="1">
      <c r="C375" s="79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U375" s="80"/>
      <c r="W375" s="81"/>
      <c r="X375" s="81"/>
      <c r="Y375" s="81"/>
      <c r="Z375" s="79"/>
      <c r="AF375" s="79"/>
      <c r="AJ375" s="66"/>
      <c r="AK375" s="70"/>
    </row>
    <row r="376" spans="1:37" hidden="1">
      <c r="A376" s="65">
        <f>A374+1</f>
        <v>6</v>
      </c>
      <c r="B376" s="71" t="s">
        <v>272</v>
      </c>
      <c r="C376" s="78">
        <v>-129879</v>
      </c>
      <c r="D376" s="79">
        <f>C376-E376-SUM(G376:I376)-SUM(M376:N376)-R376-S376</f>
        <v>-73441</v>
      </c>
      <c r="E376" s="79">
        <f>SUM(E377:E380)</f>
        <v>-2003</v>
      </c>
      <c r="F376" s="79">
        <f>D376+E376</f>
        <v>-75444</v>
      </c>
      <c r="G376" s="79">
        <f t="shared" ref="G376:N376" si="103">SUM(G377:G380)</f>
        <v>-6079</v>
      </c>
      <c r="H376" s="79">
        <f t="shared" si="103"/>
        <v>-20941</v>
      </c>
      <c r="I376" s="79">
        <f t="shared" si="103"/>
        <v>-14225</v>
      </c>
      <c r="J376" s="79">
        <f t="shared" si="103"/>
        <v>-4186</v>
      </c>
      <c r="K376" s="79">
        <f t="shared" si="103"/>
        <v>-378</v>
      </c>
      <c r="L376" s="79">
        <f t="shared" si="103"/>
        <v>-181</v>
      </c>
      <c r="M376" s="79">
        <f>SUM(J376:L376)</f>
        <v>-4745</v>
      </c>
      <c r="N376" s="79">
        <f t="shared" si="103"/>
        <v>-2656</v>
      </c>
      <c r="O376" s="79">
        <f>SUM(F376:I376)+SUM(M376:N376)</f>
        <v>-124090</v>
      </c>
      <c r="P376" s="79">
        <f>SUM(P377:P380)</f>
        <v>-1994</v>
      </c>
      <c r="Q376" s="79">
        <f>SUM(Q377:Q380)</f>
        <v>-288</v>
      </c>
      <c r="R376" s="79">
        <f>P376+Q376</f>
        <v>-2282</v>
      </c>
      <c r="S376" s="79">
        <f>SUM(S377:S380)</f>
        <v>-3507</v>
      </c>
      <c r="U376" s="80">
        <f t="shared" si="98"/>
        <v>0</v>
      </c>
      <c r="W376" s="81">
        <f>IF((O376+R376)=0," ",ROUND((O376/(O376+R376)),7))</f>
        <v>0.98194219999999999</v>
      </c>
      <c r="X376" s="81">
        <f>IF((C376)=0," ",ROUND((O376/(C376)),7))</f>
        <v>0.95542769999999999</v>
      </c>
      <c r="Y376" s="81">
        <f>IF((C376)=0," ",ROUND((S376/(C376)),7))</f>
        <v>2.7002100000000001E-2</v>
      </c>
      <c r="Z376" s="79"/>
      <c r="AF376" s="79"/>
      <c r="AJ376" s="66"/>
      <c r="AK376" s="70"/>
    </row>
    <row r="377" spans="1:37" hidden="1">
      <c r="A377" s="65">
        <f>A376+1</f>
        <v>7</v>
      </c>
      <c r="B377" s="66" t="s">
        <v>229</v>
      </c>
      <c r="C377" s="79">
        <f>ROUND((C$1122+C$1315)/(C$1121-C$851+C$1314)*(C$376),0)</f>
        <v>-81025</v>
      </c>
      <c r="D377" s="79">
        <f>C377-E377-SUM(G377:I377)-SUM(M377:N377)-R377-S377</f>
        <v>-41579</v>
      </c>
      <c r="E377" s="79">
        <f>ROUND((E$1122+E$1315)/($C$1122+$C$1315)*$C377,0)</f>
        <v>-1124</v>
      </c>
      <c r="F377" s="79">
        <f>D377+E377</f>
        <v>-42703</v>
      </c>
      <c r="G377" s="79">
        <f t="shared" ref="G377:L377" si="104">ROUND((G$1122+G$1315)/($C$1122+$C$1315)*$C377,0)</f>
        <v>-2109</v>
      </c>
      <c r="H377" s="79">
        <f t="shared" si="104"/>
        <v>-16809</v>
      </c>
      <c r="I377" s="79">
        <f t="shared" si="104"/>
        <v>-8987</v>
      </c>
      <c r="J377" s="79">
        <f t="shared" si="104"/>
        <v>-3788</v>
      </c>
      <c r="K377" s="79">
        <f t="shared" si="104"/>
        <v>-342</v>
      </c>
      <c r="L377" s="79">
        <f t="shared" si="104"/>
        <v>-161</v>
      </c>
      <c r="M377" s="79">
        <f>SUM(J377:L377)</f>
        <v>-4291</v>
      </c>
      <c r="N377" s="79">
        <f>ROUND((N$1122+N$1315)/($C$1122+$C$1315)*$C377,0)</f>
        <v>-473</v>
      </c>
      <c r="O377" s="79">
        <f>SUM(F377:I377)+SUM(M377:N377)</f>
        <v>-75372</v>
      </c>
      <c r="P377" s="79">
        <f>ROUND((P$1122+P$1315)/($C$1122+$C$1315)*$C377,0)</f>
        <v>-1926</v>
      </c>
      <c r="Q377" s="79">
        <f>ROUND((Q$1122+Q$1315)/($C$1122+$C$1315)*$C377,0)</f>
        <v>-220</v>
      </c>
      <c r="R377" s="79">
        <f>P377+Q377</f>
        <v>-2146</v>
      </c>
      <c r="S377" s="79">
        <f>ROUND((S$1122+S$1315)/($C$1122+$C$1315)*$C377,0)</f>
        <v>-3507</v>
      </c>
      <c r="U377" s="80">
        <f t="shared" si="98"/>
        <v>0</v>
      </c>
      <c r="W377" s="81">
        <f>IF((O377+R377)=0," ",ROUND((O377/(O377+R377)),7))</f>
        <v>0.97231610000000002</v>
      </c>
      <c r="X377" s="81">
        <f>IF((C377)=0," ",ROUND((O377/(C377)),7))</f>
        <v>0.93023140000000004</v>
      </c>
      <c r="Y377" s="81">
        <f>IF((C377)=0," ",ROUND((S377/(C377)),7))</f>
        <v>4.3282899999999999E-2</v>
      </c>
      <c r="Z377" s="79"/>
      <c r="AF377" s="79"/>
      <c r="AJ377" s="66"/>
      <c r="AK377" s="70"/>
    </row>
    <row r="378" spans="1:37" hidden="1">
      <c r="A378" s="65">
        <f>A377+1</f>
        <v>8</v>
      </c>
      <c r="B378" s="66" t="s">
        <v>253</v>
      </c>
      <c r="C378" s="79">
        <f>ROUND((C$1124+C$1316)/(C$1121-C$851+C$1314)*(C$376),0)</f>
        <v>-43608</v>
      </c>
      <c r="D378" s="79">
        <f>C378-E378-SUM(G378:I378)-SUM(M378:N378)-R378-S378</f>
        <v>-29181</v>
      </c>
      <c r="E378" s="79">
        <f>ROUND((E$1124+E$1316)/($C$1124+$C$1316)*$C378,0)</f>
        <v>-788</v>
      </c>
      <c r="F378" s="79">
        <f>D378+E378</f>
        <v>-29969</v>
      </c>
      <c r="G378" s="79">
        <f t="shared" ref="G378:L378" si="105">ROUND((G$1124+G$1316)/($C$1124+$C$1316)*$C378,0)</f>
        <v>-3785</v>
      </c>
      <c r="H378" s="79">
        <f t="shared" si="105"/>
        <v>-3036</v>
      </c>
      <c r="I378" s="79">
        <f t="shared" si="105"/>
        <v>-4613</v>
      </c>
      <c r="J378" s="79">
        <f t="shared" si="105"/>
        <v>-110</v>
      </c>
      <c r="K378" s="79">
        <f t="shared" si="105"/>
        <v>-18</v>
      </c>
      <c r="L378" s="79">
        <f t="shared" si="105"/>
        <v>-5</v>
      </c>
      <c r="M378" s="79">
        <f>SUM(J378:L378)</f>
        <v>-133</v>
      </c>
      <c r="N378" s="79">
        <f>ROUND((N$1124+N$1316)/($C$1124+$C$1316)*$C378,0)</f>
        <v>-2070</v>
      </c>
      <c r="O378" s="79">
        <f>SUM(F378:I378)+SUM(M378:N378)</f>
        <v>-43606</v>
      </c>
      <c r="P378" s="79">
        <f>ROUND((P$1124+P$1316)/($C$1124+$C$1316)*$C378,0)</f>
        <v>-1</v>
      </c>
      <c r="Q378" s="79">
        <f>ROUND((Q$1124+Q$1316)/($C$1124+$C$1316)*$C378,0)</f>
        <v>-1</v>
      </c>
      <c r="R378" s="79">
        <f>P378+Q378</f>
        <v>-2</v>
      </c>
      <c r="S378" s="79">
        <f>ROUND((S$1124+S$1316)/($C$1124+$C$1316)*$C378,0)</f>
        <v>0</v>
      </c>
      <c r="U378" s="80">
        <f t="shared" si="98"/>
        <v>0</v>
      </c>
      <c r="W378" s="81">
        <f>IF((O378+R378)=0," ",ROUND((O378/(O378+R378)),7))</f>
        <v>0.99995409999999996</v>
      </c>
      <c r="X378" s="81">
        <f>IF((C378)=0," ",ROUND((O378/(C378)),7))</f>
        <v>0.99995409999999996</v>
      </c>
      <c r="Y378" s="81">
        <f>IF((C378)=0," ",ROUND((S378/(C378)),7))</f>
        <v>0</v>
      </c>
      <c r="Z378" s="79"/>
      <c r="AF378" s="79"/>
      <c r="AJ378" s="66"/>
      <c r="AK378" s="70"/>
    </row>
    <row r="379" spans="1:37" hidden="1">
      <c r="A379" s="65">
        <f>A378+1</f>
        <v>9</v>
      </c>
      <c r="B379" s="66" t="s">
        <v>230</v>
      </c>
      <c r="C379" s="79">
        <f>ROUND((C$1123-C$851+C$1317)/(C$1121-C$851+C$1314)*(C$376),0)</f>
        <v>-2149</v>
      </c>
      <c r="D379" s="79">
        <f>C379-E379-SUM(G379:I379)-SUM(M379:N379)-R379-S379</f>
        <v>-994</v>
      </c>
      <c r="E379" s="79">
        <f>ROUND((E$1123-E$851+E$1317)/($C$1123-$C$851+$C$1317)*$C379,0)</f>
        <v>-38</v>
      </c>
      <c r="F379" s="79">
        <f>D379+E379</f>
        <v>-1032</v>
      </c>
      <c r="G379" s="79">
        <f t="shared" ref="G379:L379" si="106">ROUND((G$1123-G$851+G$1317)/($C$1123-$C$851+$C$1317)*$C379,0)</f>
        <v>-55</v>
      </c>
      <c r="H379" s="79">
        <f t="shared" si="106"/>
        <v>-499</v>
      </c>
      <c r="I379" s="79">
        <f t="shared" si="106"/>
        <v>-336</v>
      </c>
      <c r="J379" s="79">
        <f t="shared" si="106"/>
        <v>-181</v>
      </c>
      <c r="K379" s="79">
        <f t="shared" si="106"/>
        <v>-9</v>
      </c>
      <c r="L379" s="79">
        <f t="shared" si="106"/>
        <v>-8</v>
      </c>
      <c r="M379" s="79">
        <f>SUM(J379:L379)</f>
        <v>-198</v>
      </c>
      <c r="N379" s="79">
        <f>ROUND((N$1123-N$851+N$1317)/($C$1123-$C$851+$C$1317)*$C379,0)</f>
        <v>-29</v>
      </c>
      <c r="O379" s="79">
        <f>SUM(F379:I379)+SUM(M379:N379)</f>
        <v>-2149</v>
      </c>
      <c r="P379" s="79">
        <f>ROUND((P$1123-P$851+P$1317)/($C$1123-$C$851+$C$1317)*$C379,0)</f>
        <v>0</v>
      </c>
      <c r="Q379" s="79">
        <f>ROUND((Q$1123-Q$851+Q$1317)/($C$1123-$C$851+$C$1317)*$C379,0)</f>
        <v>0</v>
      </c>
      <c r="R379" s="79">
        <f>P379+Q379</f>
        <v>0</v>
      </c>
      <c r="S379" s="79">
        <f>ROUND((S$1123-S$851+S$1317)/($C$1123-$C$851+$C$1317)*$C379,0)</f>
        <v>0</v>
      </c>
      <c r="U379" s="80">
        <f t="shared" si="98"/>
        <v>0</v>
      </c>
      <c r="W379" s="81">
        <f>IF((O379+R379)=0," ",ROUND((O379/(O379+R379)),7))</f>
        <v>1</v>
      </c>
      <c r="X379" s="81">
        <f>IF((C379)=0," ",ROUND((O379/(C379)),7))</f>
        <v>1</v>
      </c>
      <c r="Y379" s="81">
        <f>IF((C379)=0," ",ROUND((S379/(C379)),7))</f>
        <v>0</v>
      </c>
      <c r="Z379" s="79"/>
      <c r="AF379" s="79"/>
      <c r="AJ379" s="66"/>
      <c r="AK379" s="70"/>
    </row>
    <row r="380" spans="1:37" hidden="1">
      <c r="A380" s="65">
        <f>A379+1</f>
        <v>10</v>
      </c>
      <c r="B380" s="66" t="s">
        <v>271</v>
      </c>
      <c r="C380" s="79">
        <f>ROUND((C$1125+C$1318)/(C$1121-C$851+C$1314)*(C$376),0)</f>
        <v>-3096</v>
      </c>
      <c r="D380" s="79">
        <f>D376-D377-D378-D379</f>
        <v>-1687</v>
      </c>
      <c r="E380" s="79">
        <f>ROUND((E$1125+E$1318)/($C$1125+$C$1318)*$C380,0)</f>
        <v>-53</v>
      </c>
      <c r="F380" s="79">
        <f>D380+E380</f>
        <v>-1740</v>
      </c>
      <c r="G380" s="79">
        <f t="shared" ref="G380:L380" si="107">ROUND((G$1125+G$1318)/($C$1125+$C$1318)*$C380,0)</f>
        <v>-130</v>
      </c>
      <c r="H380" s="79">
        <f t="shared" si="107"/>
        <v>-597</v>
      </c>
      <c r="I380" s="79">
        <f t="shared" si="107"/>
        <v>-289</v>
      </c>
      <c r="J380" s="79">
        <f t="shared" si="107"/>
        <v>-107</v>
      </c>
      <c r="K380" s="79">
        <f t="shared" si="107"/>
        <v>-9</v>
      </c>
      <c r="L380" s="79">
        <f t="shared" si="107"/>
        <v>-7</v>
      </c>
      <c r="M380" s="79">
        <f>SUM(J380:L380)</f>
        <v>-123</v>
      </c>
      <c r="N380" s="79">
        <f>ROUND((N$1125+N$1318)/($C$1125+$C$1318)*$C380,0)</f>
        <v>-84</v>
      </c>
      <c r="O380" s="79">
        <f>SUM(F380:I380)+SUM(M380:N380)</f>
        <v>-2963</v>
      </c>
      <c r="P380" s="79">
        <f>ROUND((P$1125+P$1318)/($C$1125+$C$1318)*$C380,0)</f>
        <v>-67</v>
      </c>
      <c r="Q380" s="79">
        <f>ROUND((Q$1125+Q$1318)/($C$1125+$C$1318)*$C380,0)</f>
        <v>-67</v>
      </c>
      <c r="R380" s="79">
        <f>P380+Q380</f>
        <v>-134</v>
      </c>
      <c r="S380" s="79">
        <f>ROUND((S$1125+S$1318)/($C$1125+$C$1318)*$C380,0)</f>
        <v>0</v>
      </c>
      <c r="U380" s="80">
        <f t="shared" si="98"/>
        <v>-1</v>
      </c>
      <c r="W380" s="81">
        <f>IF((O380+R380)=0," ",ROUND((O380/(O380+R380)),7))</f>
        <v>0.95673229999999998</v>
      </c>
      <c r="X380" s="81">
        <f>IF((C380)=0," ",ROUND((O380/(C380)),7))</f>
        <v>0.95704129999999998</v>
      </c>
      <c r="Y380" s="81">
        <f>IF((C380)=0," ",ROUND((S380/(C380)),7))</f>
        <v>0</v>
      </c>
      <c r="Z380" s="79"/>
      <c r="AF380" s="79"/>
      <c r="AJ380" s="66"/>
      <c r="AK380" s="70"/>
    </row>
    <row r="381" spans="1:37" hidden="1"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U381" s="80"/>
      <c r="W381" s="81" t="str">
        <f>IF((P381+Q381)=0," ",ROUND((P381/(P381+Q381)),74))</f>
        <v xml:space="preserve"> </v>
      </c>
      <c r="X381" s="81" t="str">
        <f>IF((C381)=0," ",ROUND((P381/(C381)),74))</f>
        <v xml:space="preserve"> </v>
      </c>
      <c r="Y381" s="81" t="str">
        <f>IF((C381)=0," ",ROUND((R381/(C381)),7))</f>
        <v xml:space="preserve"> </v>
      </c>
      <c r="Z381" s="79"/>
      <c r="AF381" s="79"/>
      <c r="AJ381" s="66"/>
      <c r="AK381" s="65"/>
    </row>
    <row r="382" spans="1:37" hidden="1">
      <c r="B382" s="66" t="s">
        <v>273</v>
      </c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U382" s="80"/>
      <c r="W382" s="81" t="str">
        <f>IF((P382+Q382)=0," ",ROUND((P382/(P382+Q382)),74))</f>
        <v xml:space="preserve"> </v>
      </c>
      <c r="X382" s="81" t="str">
        <f>IF((C382)=0," ",ROUND((P382/(C382)),74))</f>
        <v xml:space="preserve"> </v>
      </c>
      <c r="Y382" s="81" t="str">
        <f>IF((C382)=0," ",ROUND((R382/(C382)),7))</f>
        <v xml:space="preserve"> </v>
      </c>
      <c r="Z382" s="79"/>
      <c r="AF382" s="79"/>
      <c r="AJ382" s="66"/>
      <c r="AK382" s="65"/>
    </row>
    <row r="383" spans="1:37" hidden="1">
      <c r="A383" s="65">
        <f>A380+1</f>
        <v>11</v>
      </c>
      <c r="B383" s="66" t="s">
        <v>274</v>
      </c>
      <c r="C383" s="79">
        <f>C395-C387-C388-C391-C392</f>
        <v>7899</v>
      </c>
      <c r="D383" s="79">
        <f>SUM(D385:D386)</f>
        <v>3986</v>
      </c>
      <c r="E383" s="79">
        <f>SUM(E385:E386)</f>
        <v>105</v>
      </c>
      <c r="F383" s="79">
        <f>D383+E383</f>
        <v>4091</v>
      </c>
      <c r="G383" s="79">
        <f t="shared" ref="G383:L383" si="108">SUM(G385:G386)</f>
        <v>200</v>
      </c>
      <c r="H383" s="79">
        <f t="shared" si="108"/>
        <v>1639</v>
      </c>
      <c r="I383" s="79">
        <f t="shared" si="108"/>
        <v>964</v>
      </c>
      <c r="J383" s="79">
        <f t="shared" si="108"/>
        <v>424</v>
      </c>
      <c r="K383" s="79">
        <f t="shared" si="108"/>
        <v>29</v>
      </c>
      <c r="L383" s="79">
        <f t="shared" si="108"/>
        <v>18</v>
      </c>
      <c r="M383" s="79">
        <f>SUM(J383:L383)</f>
        <v>471</v>
      </c>
      <c r="N383" s="79">
        <f>SUM(N385:N386)</f>
        <v>37</v>
      </c>
      <c r="O383" s="79">
        <f>C383-P383-Q383-S383</f>
        <v>7402</v>
      </c>
      <c r="P383" s="79">
        <f>ROUND(P$34/($C$34-$S34)*($C$383-$S383),0)</f>
        <v>232</v>
      </c>
      <c r="Q383" s="79">
        <f>ROUND(Q$34/($C$34-$S34)*($C$383-$S383),0)</f>
        <v>27</v>
      </c>
      <c r="R383" s="79">
        <f>P383+Q383</f>
        <v>259</v>
      </c>
      <c r="S383" s="78">
        <v>238</v>
      </c>
      <c r="U383" s="80">
        <f>O383+R383+S383-C383</f>
        <v>0</v>
      </c>
      <c r="W383" s="81">
        <f>IF((O383+R383)=0," ",ROUND((O383/(O383+R383)),7))</f>
        <v>0.96619239999999995</v>
      </c>
      <c r="X383" s="81">
        <f>IF((C383)=0," ",ROUND((O383/(C383)),7))</f>
        <v>0.93708060000000004</v>
      </c>
      <c r="Y383" s="81">
        <f>IF((C383)=0," ",ROUND((S383/(C383)),7))</f>
        <v>3.0130400000000002E-2</v>
      </c>
      <c r="Z383" s="79"/>
      <c r="AF383" s="79"/>
      <c r="AJ383" s="66"/>
      <c r="AK383" s="70"/>
    </row>
    <row r="384" spans="1:37" hidden="1">
      <c r="B384" s="66" t="s">
        <v>275</v>
      </c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U384" s="80"/>
      <c r="W384" s="81" t="str">
        <f>IF((P384+Q384)=0," ",ROUND((P384/(P384+Q384)),74))</f>
        <v xml:space="preserve"> </v>
      </c>
      <c r="X384" s="81" t="str">
        <f>IF((C384)=0," ",ROUND((P384/(C384)),74))</f>
        <v xml:space="preserve"> </v>
      </c>
      <c r="Y384" s="81" t="str">
        <f>IF((C384)=0," ",ROUND((R384/(C384)),7))</f>
        <v xml:space="preserve"> </v>
      </c>
      <c r="Z384" s="79"/>
      <c r="AF384" s="79"/>
      <c r="AJ384" s="66"/>
      <c r="AK384" s="65"/>
    </row>
    <row r="385" spans="1:37" hidden="1">
      <c r="A385" s="65">
        <f>A383+1</f>
        <v>12</v>
      </c>
      <c r="B385" s="66" t="s">
        <v>39</v>
      </c>
      <c r="C385" s="79"/>
      <c r="D385" s="79">
        <f>O385-E385-SUM(G385:I385)-SUM(M385:N385)</f>
        <v>3723</v>
      </c>
      <c r="E385" s="79">
        <f>ROUND(((E$37/($C$34-$S34))*($C383-$S383)),0)</f>
        <v>95</v>
      </c>
      <c r="F385" s="79">
        <f t="shared" ref="F385:F398" si="109">D385+E385</f>
        <v>3818</v>
      </c>
      <c r="G385" s="79">
        <f t="shared" ref="G385:L385" si="110">ROUND(((G$37/($C$34-$S34))*($C383-$S383)),0)</f>
        <v>186</v>
      </c>
      <c r="H385" s="79">
        <f t="shared" si="110"/>
        <v>1506</v>
      </c>
      <c r="I385" s="79">
        <f t="shared" si="110"/>
        <v>875</v>
      </c>
      <c r="J385" s="79">
        <f t="shared" si="110"/>
        <v>376</v>
      </c>
      <c r="K385" s="79">
        <f t="shared" si="110"/>
        <v>27</v>
      </c>
      <c r="L385" s="79">
        <f t="shared" si="110"/>
        <v>16</v>
      </c>
      <c r="M385" s="79">
        <f t="shared" ref="M385:M398" si="111">SUM(J385:L385)</f>
        <v>419</v>
      </c>
      <c r="N385" s="79">
        <f>ROUND(((N$37/($C$34-$S34))*($C383-$S383)),0)</f>
        <v>29</v>
      </c>
      <c r="O385" s="79">
        <f>ROUND(((O$37/$O$34)*$O383),0)</f>
        <v>6833</v>
      </c>
      <c r="P385" s="79"/>
      <c r="Q385" s="79"/>
      <c r="R385" s="79"/>
      <c r="S385" s="79"/>
      <c r="U385" s="80"/>
      <c r="W385" s="81" t="str">
        <f>IF((P385+Q385)=0," ",ROUND((P385/(P385+Q385)),74))</f>
        <v xml:space="preserve"> </v>
      </c>
      <c r="X385" s="81" t="str">
        <f>IF((C385)=0," ",ROUND((P385/(C385)),74))</f>
        <v xml:space="preserve"> </v>
      </c>
      <c r="Y385" s="81" t="str">
        <f>IF((C385)=0," ",ROUND((R385/(C385)),7))</f>
        <v xml:space="preserve"> </v>
      </c>
      <c r="Z385" s="79"/>
      <c r="AF385" s="79"/>
      <c r="AJ385" s="66"/>
      <c r="AK385" s="70"/>
    </row>
    <row r="386" spans="1:37" hidden="1">
      <c r="A386" s="65">
        <f t="shared" ref="A386:A398" si="112">A385+1</f>
        <v>13</v>
      </c>
      <c r="B386" s="66" t="s">
        <v>168</v>
      </c>
      <c r="C386" s="79"/>
      <c r="D386" s="79">
        <f>O386-E386-SUM(G386:I386)-SUM(M386:N386)</f>
        <v>263</v>
      </c>
      <c r="E386" s="79">
        <f>ROUND(((E$38/($C$34-$S34))*($C383-$S383)),0)</f>
        <v>10</v>
      </c>
      <c r="F386" s="79">
        <f t="shared" si="109"/>
        <v>273</v>
      </c>
      <c r="G386" s="79">
        <f t="shared" ref="G386:L386" si="113">ROUND(((G$38/($C$34-$S34))*($C383-$S383)),0)</f>
        <v>14</v>
      </c>
      <c r="H386" s="79">
        <f t="shared" si="113"/>
        <v>133</v>
      </c>
      <c r="I386" s="79">
        <f t="shared" si="113"/>
        <v>89</v>
      </c>
      <c r="J386" s="79">
        <f t="shared" si="113"/>
        <v>48</v>
      </c>
      <c r="K386" s="79">
        <f t="shared" si="113"/>
        <v>2</v>
      </c>
      <c r="L386" s="79">
        <f t="shared" si="113"/>
        <v>2</v>
      </c>
      <c r="M386" s="79">
        <f t="shared" si="111"/>
        <v>52</v>
      </c>
      <c r="N386" s="79">
        <f>ROUND(((N$38/($C$34-$S34))*($C383-$S383)),0)</f>
        <v>8</v>
      </c>
      <c r="O386" s="79">
        <f>O383-O385</f>
        <v>569</v>
      </c>
      <c r="P386" s="79"/>
      <c r="Q386" s="79"/>
      <c r="R386" s="79"/>
      <c r="S386" s="79"/>
      <c r="U386" s="80"/>
      <c r="W386" s="81" t="str">
        <f>IF((P386+Q386)=0," ",ROUND((P386/(P386+Q386)),74))</f>
        <v xml:space="preserve"> </v>
      </c>
      <c r="X386" s="81" t="str">
        <f>IF((C386)=0," ",ROUND((P386/(C386)),74))</f>
        <v xml:space="preserve"> </v>
      </c>
      <c r="Y386" s="81" t="str">
        <f>IF((C386)=0," ",ROUND((R386/(C386)),7))</f>
        <v xml:space="preserve"> </v>
      </c>
      <c r="Z386" s="79"/>
      <c r="AF386" s="79"/>
      <c r="AJ386" s="66"/>
      <c r="AK386" s="70"/>
    </row>
    <row r="387" spans="1:37" hidden="1">
      <c r="A387" s="65">
        <f t="shared" si="112"/>
        <v>14</v>
      </c>
      <c r="B387" s="66" t="s">
        <v>276</v>
      </c>
      <c r="C387" s="79">
        <v>2653</v>
      </c>
      <c r="D387" s="79">
        <f t="shared" ref="D387:D394" si="114">C387-E387-SUM(G387:I387)-SUM(M387:N387)-R387-S387</f>
        <v>1403</v>
      </c>
      <c r="E387" s="79">
        <f>ROUND(((E$79/($C$79-$S$79))*($C387-$S387)),0)</f>
        <v>36</v>
      </c>
      <c r="F387" s="79">
        <f t="shared" si="109"/>
        <v>1439</v>
      </c>
      <c r="G387" s="79">
        <f t="shared" ref="G387:L387" si="115">ROUND(((G$79/($C$79-$S$79))*($C387-$S387)),0)</f>
        <v>70</v>
      </c>
      <c r="H387" s="79">
        <f t="shared" si="115"/>
        <v>568</v>
      </c>
      <c r="I387" s="79">
        <f t="shared" si="115"/>
        <v>325</v>
      </c>
      <c r="J387" s="79">
        <f t="shared" si="115"/>
        <v>139</v>
      </c>
      <c r="K387" s="79">
        <f t="shared" si="115"/>
        <v>10</v>
      </c>
      <c r="L387" s="79">
        <f t="shared" si="115"/>
        <v>6</v>
      </c>
      <c r="M387" s="79">
        <f t="shared" si="111"/>
        <v>155</v>
      </c>
      <c r="N387" s="79">
        <f>ROUND(((N$79/($C$79-$S$79))*($C387-$S387)),0)</f>
        <v>11</v>
      </c>
      <c r="O387" s="79">
        <f t="shared" ref="O387:O394" si="116">SUM(F387:I387)+SUM(M387:N387)</f>
        <v>2568</v>
      </c>
      <c r="P387" s="79">
        <f>ROUND(((P$79/($C$79-$S$79))*($C387-$S387)),0)</f>
        <v>76</v>
      </c>
      <c r="Q387" s="79">
        <f>ROUND(((Q$79/($C$79-$S$79))*($C387-$S387)),0)</f>
        <v>9</v>
      </c>
      <c r="R387" s="79">
        <f t="shared" ref="R387:R398" si="117">P387+Q387</f>
        <v>85</v>
      </c>
      <c r="S387" s="78">
        <v>0</v>
      </c>
      <c r="U387" s="80">
        <f t="shared" ref="U387:U398" si="118">O387+R387+S387-C387</f>
        <v>0</v>
      </c>
      <c r="W387" s="81">
        <f t="shared" ref="W387:W398" si="119">IF((O387+R387)=0," ",ROUND((O387/(O387+R387)),7))</f>
        <v>0.96796079999999995</v>
      </c>
      <c r="X387" s="81">
        <f t="shared" ref="X387:X398" si="120">IF((C387)=0," ",ROUND((O387/(C387)),7))</f>
        <v>0.96796079999999995</v>
      </c>
      <c r="Y387" s="81">
        <f t="shared" ref="Y387:Y398" si="121">IF((C387)=0," ",ROUND((S387/(C387)),7))</f>
        <v>0</v>
      </c>
      <c r="Z387" s="79"/>
      <c r="AF387" s="79"/>
      <c r="AJ387" s="66"/>
      <c r="AK387" s="70"/>
    </row>
    <row r="388" spans="1:37" hidden="1">
      <c r="A388" s="65">
        <f t="shared" si="112"/>
        <v>15</v>
      </c>
      <c r="B388" s="66" t="s">
        <v>277</v>
      </c>
      <c r="C388" s="79">
        <f>C389+C390</f>
        <v>7071</v>
      </c>
      <c r="D388" s="79">
        <f t="shared" si="114"/>
        <v>4335</v>
      </c>
      <c r="E388" s="79">
        <f>E389+E390</f>
        <v>131</v>
      </c>
      <c r="F388" s="79">
        <f t="shared" si="109"/>
        <v>4466</v>
      </c>
      <c r="G388" s="79">
        <f t="shared" ref="G388:N388" si="122">G389+G390</f>
        <v>313</v>
      </c>
      <c r="H388" s="79">
        <f t="shared" si="122"/>
        <v>1136</v>
      </c>
      <c r="I388" s="79">
        <f t="shared" si="122"/>
        <v>413</v>
      </c>
      <c r="J388" s="79">
        <f t="shared" si="122"/>
        <v>171</v>
      </c>
      <c r="K388" s="79">
        <f t="shared" si="122"/>
        <v>24</v>
      </c>
      <c r="L388" s="79">
        <f t="shared" si="122"/>
        <v>6</v>
      </c>
      <c r="M388" s="79">
        <f t="shared" si="111"/>
        <v>201</v>
      </c>
      <c r="N388" s="79">
        <f t="shared" si="122"/>
        <v>511</v>
      </c>
      <c r="O388" s="79">
        <f t="shared" si="116"/>
        <v>7040</v>
      </c>
      <c r="P388" s="79">
        <f>P389+P390</f>
        <v>28</v>
      </c>
      <c r="Q388" s="79">
        <f>Q389+Q390</f>
        <v>3</v>
      </c>
      <c r="R388" s="79">
        <f t="shared" si="117"/>
        <v>31</v>
      </c>
      <c r="S388" s="79">
        <f>S389+S390</f>
        <v>0</v>
      </c>
      <c r="U388" s="80">
        <f t="shared" si="118"/>
        <v>0</v>
      </c>
      <c r="W388" s="81">
        <f t="shared" si="119"/>
        <v>0.9956159</v>
      </c>
      <c r="X388" s="81">
        <f t="shared" si="120"/>
        <v>0.9956159</v>
      </c>
      <c r="Y388" s="81">
        <f t="shared" si="121"/>
        <v>0</v>
      </c>
      <c r="Z388" s="79"/>
      <c r="AF388" s="79"/>
      <c r="AJ388" s="66"/>
      <c r="AK388" s="70"/>
    </row>
    <row r="389" spans="1:37" hidden="1">
      <c r="A389" s="65">
        <f t="shared" si="112"/>
        <v>16</v>
      </c>
      <c r="B389" s="66" t="s">
        <v>39</v>
      </c>
      <c r="C389" s="79">
        <v>4409</v>
      </c>
      <c r="D389" s="79">
        <f t="shared" si="114"/>
        <v>2502</v>
      </c>
      <c r="E389" s="79">
        <f>ROUND(((E$165/($C$165-$S$165))*($C389-$S389)),0)</f>
        <v>78</v>
      </c>
      <c r="F389" s="79">
        <f t="shared" si="109"/>
        <v>2580</v>
      </c>
      <c r="G389" s="79">
        <f t="shared" ref="G389:L389" si="123">ROUND(((G$165/($C$165-$S165))*($C389-$S389)),0)</f>
        <v>131</v>
      </c>
      <c r="H389" s="79">
        <f t="shared" si="123"/>
        <v>1007</v>
      </c>
      <c r="I389" s="79">
        <f t="shared" si="123"/>
        <v>407</v>
      </c>
      <c r="J389" s="79">
        <f t="shared" si="123"/>
        <v>171</v>
      </c>
      <c r="K389" s="79">
        <f t="shared" si="123"/>
        <v>24</v>
      </c>
      <c r="L389" s="79">
        <f t="shared" si="123"/>
        <v>6</v>
      </c>
      <c r="M389" s="79">
        <f t="shared" si="111"/>
        <v>201</v>
      </c>
      <c r="N389" s="79">
        <f>ROUND(((N$165/($C$165-$S165))*($C389-$S389)),0)</f>
        <v>52</v>
      </c>
      <c r="O389" s="79">
        <f t="shared" si="116"/>
        <v>4378</v>
      </c>
      <c r="P389" s="79">
        <f>ROUND(((P$165/($C$165-$S165))*($C389-$S389)),0)</f>
        <v>28</v>
      </c>
      <c r="Q389" s="79">
        <f>ROUND(((Q$165/($C$165-$S165))*($C389-$S389)),0)</f>
        <v>3</v>
      </c>
      <c r="R389" s="79">
        <f t="shared" si="117"/>
        <v>31</v>
      </c>
      <c r="S389" s="78">
        <v>0</v>
      </c>
      <c r="U389" s="80">
        <f t="shared" si="118"/>
        <v>0</v>
      </c>
      <c r="W389" s="81">
        <f t="shared" si="119"/>
        <v>0.99296890000000004</v>
      </c>
      <c r="X389" s="81">
        <f t="shared" si="120"/>
        <v>0.99296890000000004</v>
      </c>
      <c r="Y389" s="81">
        <f t="shared" si="121"/>
        <v>0</v>
      </c>
      <c r="Z389" s="79"/>
      <c r="AF389" s="79"/>
      <c r="AJ389" s="66"/>
      <c r="AK389" s="70"/>
    </row>
    <row r="390" spans="1:37" hidden="1">
      <c r="A390" s="65">
        <f t="shared" si="112"/>
        <v>17</v>
      </c>
      <c r="B390" s="66" t="s">
        <v>44</v>
      </c>
      <c r="C390" s="79">
        <v>2662</v>
      </c>
      <c r="D390" s="79">
        <f>C390-E390-SUM(G390:I390)-SUM(M390:N390)-R390-S390</f>
        <v>1833</v>
      </c>
      <c r="E390" s="79">
        <f>ROUND(((E$166/($C$166-$S$166))*($C390-$S390)),0)</f>
        <v>53</v>
      </c>
      <c r="F390" s="79">
        <f t="shared" si="109"/>
        <v>1886</v>
      </c>
      <c r="G390" s="79">
        <f>ROUND(((G$166/($C$166-$S$166))*($C390-$S390)),0)</f>
        <v>182</v>
      </c>
      <c r="H390" s="79">
        <f t="shared" ref="H390:Q390" si="124">ROUND(((H$166/($C$166-$S$166))*($C390-$S390)),0)</f>
        <v>129</v>
      </c>
      <c r="I390" s="79">
        <f t="shared" si="124"/>
        <v>6</v>
      </c>
      <c r="J390" s="79">
        <f t="shared" si="124"/>
        <v>0</v>
      </c>
      <c r="K390" s="79">
        <f t="shared" si="124"/>
        <v>0</v>
      </c>
      <c r="L390" s="79">
        <f t="shared" si="124"/>
        <v>0</v>
      </c>
      <c r="M390" s="79">
        <f t="shared" si="111"/>
        <v>0</v>
      </c>
      <c r="N390" s="79">
        <f t="shared" si="124"/>
        <v>459</v>
      </c>
      <c r="O390" s="79">
        <f t="shared" si="116"/>
        <v>2662</v>
      </c>
      <c r="P390" s="79">
        <f t="shared" si="124"/>
        <v>0</v>
      </c>
      <c r="Q390" s="79">
        <f t="shared" si="124"/>
        <v>0</v>
      </c>
      <c r="R390" s="79">
        <f t="shared" si="117"/>
        <v>0</v>
      </c>
      <c r="S390" s="79">
        <v>0</v>
      </c>
      <c r="U390" s="80">
        <f t="shared" si="118"/>
        <v>0</v>
      </c>
      <c r="W390" s="81">
        <f t="shared" si="119"/>
        <v>1</v>
      </c>
      <c r="X390" s="81">
        <f t="shared" si="120"/>
        <v>1</v>
      </c>
      <c r="Y390" s="81">
        <f t="shared" si="121"/>
        <v>0</v>
      </c>
      <c r="Z390" s="79"/>
      <c r="AF390" s="79"/>
      <c r="AJ390" s="66"/>
      <c r="AK390" s="70"/>
    </row>
    <row r="391" spans="1:37" hidden="1">
      <c r="A391" s="65">
        <f t="shared" si="112"/>
        <v>18</v>
      </c>
      <c r="B391" s="66" t="s">
        <v>278</v>
      </c>
      <c r="C391" s="79">
        <v>136</v>
      </c>
      <c r="D391" s="79">
        <f t="shared" si="114"/>
        <v>115</v>
      </c>
      <c r="E391" s="79">
        <f>ROUND(((E$1021/($C$1021-$S1021))*($C391-$S391)),0)</f>
        <v>3</v>
      </c>
      <c r="F391" s="79">
        <f t="shared" si="109"/>
        <v>118</v>
      </c>
      <c r="G391" s="79">
        <f t="shared" ref="G391:L391" si="125">ROUND(((G$1021/($C$1021-$S1021))*($C391-$S391)),0)</f>
        <v>9</v>
      </c>
      <c r="H391" s="79">
        <f t="shared" si="125"/>
        <v>6</v>
      </c>
      <c r="I391" s="79">
        <f t="shared" si="125"/>
        <v>0</v>
      </c>
      <c r="J391" s="79">
        <f t="shared" si="125"/>
        <v>0</v>
      </c>
      <c r="K391" s="79">
        <f t="shared" si="125"/>
        <v>0</v>
      </c>
      <c r="L391" s="79">
        <f t="shared" si="125"/>
        <v>0</v>
      </c>
      <c r="M391" s="79">
        <f t="shared" si="111"/>
        <v>0</v>
      </c>
      <c r="N391" s="79">
        <f>ROUND(((N$1021/($C$1021-$S1021))*($C391-$S391)),0)</f>
        <v>3</v>
      </c>
      <c r="O391" s="79">
        <f t="shared" si="116"/>
        <v>136</v>
      </c>
      <c r="P391" s="79">
        <f>ROUND(((P$1021/($C$1021-$S1021))*($C391-$S391)),0)</f>
        <v>0</v>
      </c>
      <c r="Q391" s="79">
        <f>ROUND(((Q$1021/($C$1021-$S1021))*($C391-$S391)),0)</f>
        <v>0</v>
      </c>
      <c r="R391" s="79">
        <f t="shared" si="117"/>
        <v>0</v>
      </c>
      <c r="S391" s="78">
        <v>0</v>
      </c>
      <c r="U391" s="80">
        <f t="shared" si="118"/>
        <v>0</v>
      </c>
      <c r="W391" s="81">
        <f t="shared" si="119"/>
        <v>1</v>
      </c>
      <c r="X391" s="81">
        <f t="shared" si="120"/>
        <v>1</v>
      </c>
      <c r="Y391" s="81">
        <f t="shared" si="121"/>
        <v>0</v>
      </c>
      <c r="Z391" s="79"/>
      <c r="AF391" s="79"/>
      <c r="AJ391" s="66"/>
      <c r="AK391" s="70"/>
    </row>
    <row r="392" spans="1:37" hidden="1">
      <c r="A392" s="65">
        <f t="shared" si="112"/>
        <v>19</v>
      </c>
      <c r="B392" s="66" t="s">
        <v>279</v>
      </c>
      <c r="C392" s="79">
        <v>147</v>
      </c>
      <c r="D392" s="79">
        <f t="shared" si="114"/>
        <v>58</v>
      </c>
      <c r="E392" s="79">
        <f>ROUND(((E$1055/($C$1055-$S1055))*($C392-$S392)),0)</f>
        <v>2</v>
      </c>
      <c r="F392" s="79">
        <f t="shared" si="109"/>
        <v>60</v>
      </c>
      <c r="G392" s="79">
        <f t="shared" ref="G392:L392" si="126">ROUND(((G$1055/($C$1055-$S1055))*($C392-$S392)),0)</f>
        <v>14</v>
      </c>
      <c r="H392" s="79">
        <f t="shared" si="126"/>
        <v>13</v>
      </c>
      <c r="I392" s="79">
        <f t="shared" si="126"/>
        <v>59</v>
      </c>
      <c r="J392" s="79">
        <f t="shared" si="126"/>
        <v>1</v>
      </c>
      <c r="K392" s="79">
        <f t="shared" si="126"/>
        <v>0</v>
      </c>
      <c r="L392" s="79">
        <f t="shared" si="126"/>
        <v>0</v>
      </c>
      <c r="M392" s="79">
        <f t="shared" si="111"/>
        <v>1</v>
      </c>
      <c r="N392" s="79">
        <f>ROUND(((N$1055/($C$1055-$S1055))*($C392-$S392)),0)</f>
        <v>0</v>
      </c>
      <c r="O392" s="79">
        <f t="shared" si="116"/>
        <v>147</v>
      </c>
      <c r="P392" s="79">
        <f>ROUND(((P$1055/($C$1055-$S1055))*($C392-$S392)),0)</f>
        <v>0</v>
      </c>
      <c r="Q392" s="79">
        <f>ROUND(((Q$1055/($C$1055-$S1055))*($C392-$S392)),0)</f>
        <v>0</v>
      </c>
      <c r="R392" s="79">
        <f t="shared" si="117"/>
        <v>0</v>
      </c>
      <c r="S392" s="78">
        <v>0</v>
      </c>
      <c r="U392" s="80">
        <f t="shared" si="118"/>
        <v>0</v>
      </c>
      <c r="W392" s="81">
        <f t="shared" si="119"/>
        <v>1</v>
      </c>
      <c r="X392" s="81">
        <f t="shared" si="120"/>
        <v>1</v>
      </c>
      <c r="Y392" s="81">
        <f t="shared" si="121"/>
        <v>0</v>
      </c>
      <c r="Z392" s="79"/>
      <c r="AF392" s="79"/>
      <c r="AJ392" s="66"/>
      <c r="AK392" s="70"/>
    </row>
    <row r="393" spans="1:37" hidden="1">
      <c r="A393" s="65">
        <f t="shared" si="112"/>
        <v>20</v>
      </c>
      <c r="B393" s="66" t="s">
        <v>44</v>
      </c>
      <c r="C393" s="79">
        <v>147</v>
      </c>
      <c r="D393" s="79">
        <f t="shared" si="114"/>
        <v>58</v>
      </c>
      <c r="E393" s="79">
        <f>ROUND((((E$1055-E$1051-E$1052)/($C$1055-$C$1051-$C$1052-$S1055-$S1051-$S1052))*($C393-$S393)),0)</f>
        <v>2</v>
      </c>
      <c r="F393" s="79">
        <f t="shared" si="109"/>
        <v>60</v>
      </c>
      <c r="G393" s="79">
        <f t="shared" ref="G393:L393" si="127">ROUND((((G$1055-G$1051-G$1052)/($C$1055-$C$1051-$C$1052-$S1055-$S1051-$S1052))*($C393-$S393)),0)</f>
        <v>14</v>
      </c>
      <c r="H393" s="79">
        <f t="shared" si="127"/>
        <v>13</v>
      </c>
      <c r="I393" s="79">
        <f t="shared" si="127"/>
        <v>59</v>
      </c>
      <c r="J393" s="79">
        <f t="shared" si="127"/>
        <v>1</v>
      </c>
      <c r="K393" s="79">
        <f t="shared" si="127"/>
        <v>0</v>
      </c>
      <c r="L393" s="79">
        <f t="shared" si="127"/>
        <v>0</v>
      </c>
      <c r="M393" s="79">
        <f t="shared" si="111"/>
        <v>1</v>
      </c>
      <c r="N393" s="79">
        <f>ROUND((((N$1055-N$1051-N$1052)/($C$1055-$C$1051-$C$1052-$S1055-$S1051-$S1052))*($C393-$S393)),0)</f>
        <v>0</v>
      </c>
      <c r="O393" s="79">
        <f t="shared" si="116"/>
        <v>147</v>
      </c>
      <c r="P393" s="79">
        <f>ROUND((((P$1055-P$1051-P$1052)/($C$1055-$C$1051-$C$1052-$S1055-$S1051-$S1052))*($C393-$S393)),0)</f>
        <v>0</v>
      </c>
      <c r="Q393" s="79">
        <f>ROUND((((Q$1055-Q$1051-Q$1052)/($C$1055-$C$1051-$C$1052-$S1055-$S1051-$S1052))*($C393-$S393)),0)</f>
        <v>0</v>
      </c>
      <c r="R393" s="79">
        <f t="shared" si="117"/>
        <v>0</v>
      </c>
      <c r="S393" s="78">
        <v>0</v>
      </c>
      <c r="U393" s="80">
        <f t="shared" si="118"/>
        <v>0</v>
      </c>
      <c r="W393" s="81">
        <f t="shared" si="119"/>
        <v>1</v>
      </c>
      <c r="X393" s="81">
        <f t="shared" si="120"/>
        <v>1</v>
      </c>
      <c r="Y393" s="81">
        <f t="shared" si="121"/>
        <v>0</v>
      </c>
      <c r="Z393" s="79"/>
      <c r="AF393" s="79"/>
      <c r="AJ393" s="66"/>
      <c r="AK393" s="70"/>
    </row>
    <row r="394" spans="1:37" hidden="1">
      <c r="A394" s="65">
        <f t="shared" si="112"/>
        <v>21</v>
      </c>
      <c r="B394" s="66" t="s">
        <v>168</v>
      </c>
      <c r="C394" s="79">
        <f>C392-C393</f>
        <v>0</v>
      </c>
      <c r="D394" s="79">
        <f t="shared" si="114"/>
        <v>0</v>
      </c>
      <c r="E394" s="79">
        <f>E392-E393</f>
        <v>0</v>
      </c>
      <c r="F394" s="79">
        <f t="shared" si="109"/>
        <v>0</v>
      </c>
      <c r="G394" s="79">
        <f t="shared" ref="G394:L394" si="128">G392-G393</f>
        <v>0</v>
      </c>
      <c r="H394" s="79">
        <f t="shared" si="128"/>
        <v>0</v>
      </c>
      <c r="I394" s="79">
        <f t="shared" si="128"/>
        <v>0</v>
      </c>
      <c r="J394" s="79">
        <f t="shared" si="128"/>
        <v>0</v>
      </c>
      <c r="K394" s="79">
        <f t="shared" si="128"/>
        <v>0</v>
      </c>
      <c r="L394" s="79">
        <f t="shared" si="128"/>
        <v>0</v>
      </c>
      <c r="M394" s="79">
        <f t="shared" si="111"/>
        <v>0</v>
      </c>
      <c r="N394" s="79">
        <f>N392-N393</f>
        <v>0</v>
      </c>
      <c r="O394" s="79">
        <f t="shared" si="116"/>
        <v>0</v>
      </c>
      <c r="P394" s="79">
        <f>P392-P393</f>
        <v>0</v>
      </c>
      <c r="Q394" s="79">
        <f>Q392-Q393</f>
        <v>0</v>
      </c>
      <c r="R394" s="79">
        <f t="shared" si="117"/>
        <v>0</v>
      </c>
      <c r="S394" s="79">
        <f>S392-S393</f>
        <v>0</v>
      </c>
      <c r="U394" s="80">
        <f t="shared" si="118"/>
        <v>0</v>
      </c>
      <c r="W394" s="81" t="str">
        <f t="shared" si="119"/>
        <v xml:space="preserve"> </v>
      </c>
      <c r="X394" s="81" t="str">
        <f t="shared" si="120"/>
        <v xml:space="preserve"> </v>
      </c>
      <c r="Y394" s="81" t="str">
        <f t="shared" si="121"/>
        <v xml:space="preserve"> </v>
      </c>
      <c r="Z394" s="79"/>
      <c r="AF394" s="79"/>
      <c r="AJ394" s="66"/>
      <c r="AK394" s="70"/>
    </row>
    <row r="395" spans="1:37" hidden="1">
      <c r="A395" s="65">
        <f t="shared" si="112"/>
        <v>22</v>
      </c>
      <c r="B395" s="66" t="s">
        <v>280</v>
      </c>
      <c r="C395" s="78">
        <v>17906</v>
      </c>
      <c r="D395" s="79">
        <f>SUM(D396:D398)</f>
        <v>9897</v>
      </c>
      <c r="E395" s="79">
        <f>SUM(E396:E398)</f>
        <v>277</v>
      </c>
      <c r="F395" s="79">
        <f t="shared" si="109"/>
        <v>10174</v>
      </c>
      <c r="G395" s="79">
        <f t="shared" ref="G395:L395" si="129">SUM(G396:G398)</f>
        <v>606</v>
      </c>
      <c r="H395" s="79">
        <f t="shared" si="129"/>
        <v>3362</v>
      </c>
      <c r="I395" s="79">
        <f t="shared" si="129"/>
        <v>1761</v>
      </c>
      <c r="J395" s="79">
        <f t="shared" si="129"/>
        <v>735</v>
      </c>
      <c r="K395" s="79">
        <f t="shared" si="129"/>
        <v>63</v>
      </c>
      <c r="L395" s="79">
        <f t="shared" si="129"/>
        <v>30</v>
      </c>
      <c r="M395" s="79">
        <f t="shared" si="111"/>
        <v>828</v>
      </c>
      <c r="N395" s="79">
        <f>SUM(N396:N398)</f>
        <v>562</v>
      </c>
      <c r="O395" s="79">
        <f>SUM(F395:I395)+SUM(M395:N395)</f>
        <v>17293</v>
      </c>
      <c r="P395" s="79">
        <f>SUM(P396:P398)</f>
        <v>336</v>
      </c>
      <c r="Q395" s="79">
        <f>SUM(Q396:Q398)</f>
        <v>39</v>
      </c>
      <c r="R395" s="79">
        <f t="shared" si="117"/>
        <v>375</v>
      </c>
      <c r="S395" s="79">
        <f>SUM(S396:S398)</f>
        <v>238</v>
      </c>
      <c r="U395" s="80">
        <f t="shared" si="118"/>
        <v>0</v>
      </c>
      <c r="W395" s="81">
        <f t="shared" si="119"/>
        <v>0.97877519999999996</v>
      </c>
      <c r="X395" s="81">
        <f t="shared" si="120"/>
        <v>0.96576569999999995</v>
      </c>
      <c r="Y395" s="81">
        <f t="shared" si="121"/>
        <v>1.3291600000000001E-2</v>
      </c>
      <c r="Z395" s="79"/>
      <c r="AF395" s="79"/>
      <c r="AJ395" s="66"/>
      <c r="AK395" s="65"/>
    </row>
    <row r="396" spans="1:37" hidden="1">
      <c r="A396" s="65">
        <f t="shared" si="112"/>
        <v>23</v>
      </c>
      <c r="B396" s="66" t="s">
        <v>229</v>
      </c>
      <c r="C396" s="79">
        <f>O396+R396+S396</f>
        <v>14392</v>
      </c>
      <c r="D396" s="79">
        <f>D385+D387+D389</f>
        <v>7628</v>
      </c>
      <c r="E396" s="79">
        <f>E385+E387+E389</f>
        <v>209</v>
      </c>
      <c r="F396" s="79">
        <f t="shared" si="109"/>
        <v>7837</v>
      </c>
      <c r="G396" s="79">
        <f t="shared" ref="G396:L396" si="130">G385+G387+G389</f>
        <v>387</v>
      </c>
      <c r="H396" s="79">
        <f t="shared" si="130"/>
        <v>3081</v>
      </c>
      <c r="I396" s="79">
        <f t="shared" si="130"/>
        <v>1607</v>
      </c>
      <c r="J396" s="79">
        <f t="shared" si="130"/>
        <v>686</v>
      </c>
      <c r="K396" s="79">
        <f t="shared" si="130"/>
        <v>61</v>
      </c>
      <c r="L396" s="79">
        <f t="shared" si="130"/>
        <v>28</v>
      </c>
      <c r="M396" s="79">
        <f t="shared" si="111"/>
        <v>775</v>
      </c>
      <c r="N396" s="79">
        <f>N385+N387+N389</f>
        <v>92</v>
      </c>
      <c r="O396" s="79">
        <f>SUM(F396:I396)+SUM(M396:N396)</f>
        <v>13779</v>
      </c>
      <c r="P396" s="79">
        <f>P385+P387+P389+P383</f>
        <v>336</v>
      </c>
      <c r="Q396" s="79">
        <f>Q385+Q387+Q389+Q383</f>
        <v>39</v>
      </c>
      <c r="R396" s="79">
        <f t="shared" si="117"/>
        <v>375</v>
      </c>
      <c r="S396" s="79">
        <f>S385+S387+S389+S383</f>
        <v>238</v>
      </c>
      <c r="U396" s="80">
        <f t="shared" si="118"/>
        <v>0</v>
      </c>
      <c r="W396" s="81">
        <f t="shared" si="119"/>
        <v>0.97350570000000003</v>
      </c>
      <c r="X396" s="81">
        <f t="shared" si="120"/>
        <v>0.95740689999999995</v>
      </c>
      <c r="Y396" s="81">
        <f t="shared" si="121"/>
        <v>1.6537E-2</v>
      </c>
      <c r="Z396" s="79"/>
      <c r="AF396" s="79"/>
      <c r="AJ396" s="66"/>
      <c r="AK396" s="65"/>
    </row>
    <row r="397" spans="1:37" hidden="1">
      <c r="A397" s="65">
        <f t="shared" si="112"/>
        <v>24</v>
      </c>
      <c r="B397" s="66" t="s">
        <v>253</v>
      </c>
      <c r="C397" s="79">
        <f>O397+R397+S397</f>
        <v>2945</v>
      </c>
      <c r="D397" s="79">
        <f>D390+D391+D393</f>
        <v>2006</v>
      </c>
      <c r="E397" s="79">
        <f>E390+E391+E393</f>
        <v>58</v>
      </c>
      <c r="F397" s="79">
        <f t="shared" si="109"/>
        <v>2064</v>
      </c>
      <c r="G397" s="79">
        <f t="shared" ref="G397:L397" si="131">G390+G391+G393</f>
        <v>205</v>
      </c>
      <c r="H397" s="79">
        <f t="shared" si="131"/>
        <v>148</v>
      </c>
      <c r="I397" s="79">
        <f t="shared" si="131"/>
        <v>65</v>
      </c>
      <c r="J397" s="79">
        <f t="shared" si="131"/>
        <v>1</v>
      </c>
      <c r="K397" s="79">
        <f t="shared" si="131"/>
        <v>0</v>
      </c>
      <c r="L397" s="79">
        <f t="shared" si="131"/>
        <v>0</v>
      </c>
      <c r="M397" s="79">
        <f t="shared" si="111"/>
        <v>1</v>
      </c>
      <c r="N397" s="79">
        <f>N390+N391+N393</f>
        <v>462</v>
      </c>
      <c r="O397" s="79">
        <f>SUM(F397:I397)+SUM(M397:N397)</f>
        <v>2945</v>
      </c>
      <c r="P397" s="79">
        <f>P390+P391+P393</f>
        <v>0</v>
      </c>
      <c r="Q397" s="79">
        <f>Q390+Q391+Q393</f>
        <v>0</v>
      </c>
      <c r="R397" s="79">
        <f t="shared" si="117"/>
        <v>0</v>
      </c>
      <c r="S397" s="79">
        <f>S390+S391+S393</f>
        <v>0</v>
      </c>
      <c r="U397" s="80">
        <f t="shared" si="118"/>
        <v>0</v>
      </c>
      <c r="W397" s="81">
        <f t="shared" si="119"/>
        <v>1</v>
      </c>
      <c r="X397" s="81">
        <f t="shared" si="120"/>
        <v>1</v>
      </c>
      <c r="Y397" s="81">
        <f t="shared" si="121"/>
        <v>0</v>
      </c>
      <c r="Z397" s="79"/>
      <c r="AF397" s="79"/>
      <c r="AJ397" s="66"/>
      <c r="AK397" s="65"/>
    </row>
    <row r="398" spans="1:37" hidden="1">
      <c r="A398" s="65">
        <f t="shared" si="112"/>
        <v>25</v>
      </c>
      <c r="B398" s="66" t="s">
        <v>230</v>
      </c>
      <c r="C398" s="79">
        <f>O398+R398+S398</f>
        <v>569</v>
      </c>
      <c r="D398" s="79">
        <f>D394+D386</f>
        <v>263</v>
      </c>
      <c r="E398" s="79">
        <f>E394+E386</f>
        <v>10</v>
      </c>
      <c r="F398" s="79">
        <f t="shared" si="109"/>
        <v>273</v>
      </c>
      <c r="G398" s="79">
        <f t="shared" ref="G398:L398" si="132">G394+G386</f>
        <v>14</v>
      </c>
      <c r="H398" s="79">
        <f t="shared" si="132"/>
        <v>133</v>
      </c>
      <c r="I398" s="79">
        <f t="shared" si="132"/>
        <v>89</v>
      </c>
      <c r="J398" s="79">
        <f t="shared" si="132"/>
        <v>48</v>
      </c>
      <c r="K398" s="79">
        <f t="shared" si="132"/>
        <v>2</v>
      </c>
      <c r="L398" s="79">
        <f t="shared" si="132"/>
        <v>2</v>
      </c>
      <c r="M398" s="79">
        <f t="shared" si="111"/>
        <v>52</v>
      </c>
      <c r="N398" s="79">
        <f>N394+N386</f>
        <v>8</v>
      </c>
      <c r="O398" s="79">
        <f>SUM(F398:I398)+SUM(M398:N398)</f>
        <v>569</v>
      </c>
      <c r="P398" s="79">
        <f>P394+P386</f>
        <v>0</v>
      </c>
      <c r="Q398" s="79">
        <f>Q394+Q386</f>
        <v>0</v>
      </c>
      <c r="R398" s="79">
        <f t="shared" si="117"/>
        <v>0</v>
      </c>
      <c r="S398" s="79">
        <f>S394</f>
        <v>0</v>
      </c>
      <c r="U398" s="80">
        <f t="shared" si="118"/>
        <v>0</v>
      </c>
      <c r="W398" s="81">
        <f t="shared" si="119"/>
        <v>1</v>
      </c>
      <c r="X398" s="81">
        <f t="shared" si="120"/>
        <v>1</v>
      </c>
      <c r="Y398" s="81">
        <f t="shared" si="121"/>
        <v>0</v>
      </c>
      <c r="Z398" s="79"/>
      <c r="AF398" s="79"/>
      <c r="AJ398" s="66"/>
      <c r="AK398" s="65"/>
    </row>
    <row r="399" spans="1:37" hidden="1"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U399" s="80"/>
      <c r="W399" s="81" t="str">
        <f>IF((P399+Q399)=0," ",ROUND((P399/(P399+Q399)),74))</f>
        <v xml:space="preserve"> </v>
      </c>
      <c r="X399" s="81" t="str">
        <f>IF((C399)=0," ",ROUND((P399/(C399)),74))</f>
        <v xml:space="preserve"> </v>
      </c>
      <c r="Y399" s="81" t="str">
        <f>IF((C399)=0," ",ROUND((R399/(C399)),7))</f>
        <v xml:space="preserve"> </v>
      </c>
      <c r="Z399" s="79"/>
      <c r="AF399" s="79"/>
      <c r="AJ399" s="66"/>
      <c r="AK399" s="65"/>
    </row>
    <row r="400" spans="1:37" hidden="1">
      <c r="A400" s="65">
        <f>A398+1</f>
        <v>26</v>
      </c>
      <c r="B400" s="66" t="s">
        <v>281</v>
      </c>
      <c r="C400" s="78">
        <v>4799</v>
      </c>
      <c r="D400" s="79">
        <f t="shared" ref="D400:I400" si="133">SUM(D402:D403)</f>
        <v>2496</v>
      </c>
      <c r="E400" s="79">
        <f>SUM(E402:E403)</f>
        <v>66</v>
      </c>
      <c r="F400" s="79">
        <f>D400+E400</f>
        <v>2562</v>
      </c>
      <c r="G400" s="79">
        <f t="shared" si="133"/>
        <v>126</v>
      </c>
      <c r="H400" s="79">
        <f t="shared" si="133"/>
        <v>1027</v>
      </c>
      <c r="I400" s="79">
        <f t="shared" si="133"/>
        <v>604</v>
      </c>
      <c r="J400" s="79">
        <f>SUM(J402:J403)</f>
        <v>266</v>
      </c>
      <c r="K400" s="79">
        <f>SUM(K402:K403)</f>
        <v>18</v>
      </c>
      <c r="L400" s="79">
        <f>SUM(L402:L403)</f>
        <v>11</v>
      </c>
      <c r="M400" s="79">
        <f>SUM(J400:L400)</f>
        <v>295</v>
      </c>
      <c r="N400" s="79">
        <f>SUM(N402:N403)</f>
        <v>23</v>
      </c>
      <c r="O400" s="79">
        <f>C400-P400-Q400-S400</f>
        <v>4637</v>
      </c>
      <c r="P400" s="79">
        <f>ROUND((P$34/($C$34-$S$34))*$C400,0)</f>
        <v>145</v>
      </c>
      <c r="Q400" s="79">
        <f>ROUND((Q$34/($C$34-$S$34))*$C400,0)</f>
        <v>17</v>
      </c>
      <c r="R400" s="79">
        <f>P400+Q400</f>
        <v>162</v>
      </c>
      <c r="S400" s="79">
        <v>0</v>
      </c>
      <c r="U400" s="80">
        <f>O400+R400+S400-C400</f>
        <v>0</v>
      </c>
      <c r="W400" s="81">
        <f>IF((O400+R400)=0," ",ROUND((O400/(O400+R400)),7))</f>
        <v>0.96624299999999996</v>
      </c>
      <c r="X400" s="81">
        <f>IF((C400)=0," ",ROUND((O400/(C400)),7))</f>
        <v>0.96624299999999996</v>
      </c>
      <c r="Y400" s="81">
        <f>IF((C400)=0," ",ROUND((S400/(C400)),7))</f>
        <v>0</v>
      </c>
      <c r="AJ400" s="66"/>
      <c r="AK400" s="65"/>
    </row>
    <row r="401" spans="1:37" hidden="1">
      <c r="B401" s="66" t="s">
        <v>275</v>
      </c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U401" s="80"/>
      <c r="X401" s="81"/>
      <c r="Y401" s="81"/>
      <c r="AJ401" s="66"/>
      <c r="AK401" s="65"/>
    </row>
    <row r="402" spans="1:37" hidden="1">
      <c r="A402" s="65">
        <f>A400+1</f>
        <v>27</v>
      </c>
      <c r="B402" s="66" t="s">
        <v>39</v>
      </c>
      <c r="C402" s="79"/>
      <c r="D402" s="79">
        <f>O402-E402-SUM(G402:I402)-SUM(M402:N402)</f>
        <v>2330</v>
      </c>
      <c r="E402" s="79">
        <f>ROUND(E$37/$O$37*$O402,0)</f>
        <v>60</v>
      </c>
      <c r="F402" s="79">
        <f>D402+E402</f>
        <v>2390</v>
      </c>
      <c r="G402" s="79">
        <f t="shared" ref="G402:L402" si="134">ROUND(G$37/$O$37*$O402,0)</f>
        <v>117</v>
      </c>
      <c r="H402" s="79">
        <f t="shared" si="134"/>
        <v>944</v>
      </c>
      <c r="I402" s="79">
        <f t="shared" si="134"/>
        <v>548</v>
      </c>
      <c r="J402" s="79">
        <f t="shared" si="134"/>
        <v>236</v>
      </c>
      <c r="K402" s="79">
        <f t="shared" si="134"/>
        <v>17</v>
      </c>
      <c r="L402" s="79">
        <f t="shared" si="134"/>
        <v>10</v>
      </c>
      <c r="M402" s="79">
        <f>SUM(J402:L402)</f>
        <v>263</v>
      </c>
      <c r="N402" s="79">
        <f>ROUND(N$37/$O$37*$O402,0)</f>
        <v>18</v>
      </c>
      <c r="O402" s="79">
        <f>ROUND((O$37/$O$34)*$O400,0)</f>
        <v>4280</v>
      </c>
      <c r="P402" s="79"/>
      <c r="Q402" s="79"/>
      <c r="R402" s="79"/>
      <c r="S402" s="79"/>
      <c r="U402" s="80"/>
      <c r="W402" s="76"/>
      <c r="X402" s="76"/>
      <c r="Y402" s="76"/>
      <c r="AF402" s="65"/>
      <c r="AJ402" s="66"/>
      <c r="AK402" s="65"/>
    </row>
    <row r="403" spans="1:37" hidden="1">
      <c r="A403" s="65">
        <f>A402+1</f>
        <v>28</v>
      </c>
      <c r="B403" s="66" t="s">
        <v>168</v>
      </c>
      <c r="C403" s="79"/>
      <c r="D403" s="79">
        <f>O403-E403-SUM(G403:I403)-SUM(M403:N403)</f>
        <v>166</v>
      </c>
      <c r="E403" s="79">
        <f>ROUND(E$38/$O$38*$O403,0)</f>
        <v>6</v>
      </c>
      <c r="F403" s="79">
        <f>D403+E403</f>
        <v>172</v>
      </c>
      <c r="G403" s="79">
        <f t="shared" ref="G403:L403" si="135">ROUND(G$38/$O$38*$O403,0)</f>
        <v>9</v>
      </c>
      <c r="H403" s="79">
        <f t="shared" si="135"/>
        <v>83</v>
      </c>
      <c r="I403" s="79">
        <f t="shared" si="135"/>
        <v>56</v>
      </c>
      <c r="J403" s="79">
        <f t="shared" si="135"/>
        <v>30</v>
      </c>
      <c r="K403" s="79">
        <f t="shared" si="135"/>
        <v>1</v>
      </c>
      <c r="L403" s="79">
        <f t="shared" si="135"/>
        <v>1</v>
      </c>
      <c r="M403" s="79">
        <f>SUM(J403:L403)</f>
        <v>32</v>
      </c>
      <c r="N403" s="79">
        <f>ROUND(N$38/$O$38*$O403,0)</f>
        <v>5</v>
      </c>
      <c r="O403" s="79">
        <f>O400-O402</f>
        <v>357</v>
      </c>
      <c r="P403" s="79"/>
      <c r="Q403" s="79"/>
      <c r="R403" s="79"/>
      <c r="S403" s="79"/>
      <c r="U403" s="80"/>
      <c r="W403" s="76"/>
      <c r="X403" s="76"/>
      <c r="Y403" s="76"/>
      <c r="Z403" s="65"/>
      <c r="AF403" s="70"/>
      <c r="AJ403" s="66"/>
      <c r="AK403" s="65"/>
    </row>
    <row r="404" spans="1:37" hidden="1">
      <c r="W404" s="76"/>
      <c r="X404" s="76"/>
      <c r="Y404" s="76"/>
      <c r="Z404" s="65"/>
      <c r="AF404" s="70"/>
      <c r="AJ404" s="66"/>
      <c r="AK404" s="65"/>
    </row>
    <row r="405" spans="1:37" hidden="1">
      <c r="B405" s="71" t="s">
        <v>282</v>
      </c>
      <c r="C405" s="78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P405" s="79"/>
      <c r="Q405" s="79"/>
      <c r="R405" s="79"/>
      <c r="S405" s="79"/>
      <c r="U405" s="80"/>
      <c r="W405" s="81"/>
      <c r="X405" s="81"/>
      <c r="Y405" s="81"/>
      <c r="Z405" s="70"/>
      <c r="AF405" s="76"/>
      <c r="AJ405" s="66"/>
      <c r="AK405" s="70"/>
    </row>
    <row r="406" spans="1:37" hidden="1">
      <c r="A406" s="65">
        <f>A403+1</f>
        <v>29</v>
      </c>
      <c r="B406" s="66" t="s">
        <v>274</v>
      </c>
      <c r="C406" s="78">
        <f>C2239</f>
        <v>37282</v>
      </c>
      <c r="D406" s="79">
        <f t="shared" ref="D406:I406" si="136">SUM(D408:D409)</f>
        <v>19393</v>
      </c>
      <c r="E406" s="79">
        <f>SUM(E408:E409)</f>
        <v>511</v>
      </c>
      <c r="F406" s="79">
        <f>D406+E406</f>
        <v>19904</v>
      </c>
      <c r="G406" s="79">
        <f t="shared" si="136"/>
        <v>978</v>
      </c>
      <c r="H406" s="79">
        <f t="shared" si="136"/>
        <v>7975</v>
      </c>
      <c r="I406" s="79">
        <f t="shared" si="136"/>
        <v>4691</v>
      </c>
      <c r="J406" s="79">
        <f>SUM(J408:J409)</f>
        <v>2064</v>
      </c>
      <c r="K406" s="79">
        <f>SUM(K408:K409)</f>
        <v>144</v>
      </c>
      <c r="L406" s="79">
        <f>SUM(L408:L409)</f>
        <v>85</v>
      </c>
      <c r="M406" s="79">
        <f>SUM(J406:L406)</f>
        <v>2293</v>
      </c>
      <c r="N406" s="79">
        <f>SUM(N408:N409)</f>
        <v>181</v>
      </c>
      <c r="O406" s="79">
        <v>36022</v>
      </c>
      <c r="P406" s="79">
        <v>1130</v>
      </c>
      <c r="Q406" s="79">
        <v>130</v>
      </c>
      <c r="R406" s="79">
        <f>P406+Q406</f>
        <v>1260</v>
      </c>
      <c r="S406" s="78">
        <v>0</v>
      </c>
      <c r="U406" s="80">
        <f>O406+R406+S406-C406</f>
        <v>0</v>
      </c>
      <c r="W406" s="81">
        <f>IF((O406+R406)=0," ",ROUND((O406/(O406+R406)),7))</f>
        <v>0.96620349999999999</v>
      </c>
      <c r="X406" s="81">
        <f>IF((C406)=0," ",ROUND((O406/(C406)),7))</f>
        <v>0.96620349999999999</v>
      </c>
      <c r="Y406" s="81">
        <f>IF((C406)=0," ",ROUND((S406/(C406)),7))</f>
        <v>0</v>
      </c>
      <c r="Z406" s="70"/>
      <c r="AF406" s="76"/>
      <c r="AJ406" s="66"/>
      <c r="AK406" s="70"/>
    </row>
    <row r="407" spans="1:37" hidden="1">
      <c r="B407" s="66" t="s">
        <v>275</v>
      </c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U407" s="80"/>
      <c r="W407" s="81"/>
      <c r="X407" s="81"/>
      <c r="Y407" s="81"/>
      <c r="Z407" s="79"/>
      <c r="AF407" s="79"/>
      <c r="AJ407" s="66"/>
      <c r="AK407" s="65"/>
    </row>
    <row r="408" spans="1:37" hidden="1">
      <c r="A408" s="65">
        <f>A406+1</f>
        <v>30</v>
      </c>
      <c r="B408" s="66" t="s">
        <v>39</v>
      </c>
      <c r="C408" s="79"/>
      <c r="D408" s="79">
        <f>O408-E408-SUM(G408:I408)-SUM(M408:N408)</f>
        <v>18110</v>
      </c>
      <c r="E408" s="79">
        <v>463</v>
      </c>
      <c r="F408" s="79">
        <f>D408+E408</f>
        <v>18573</v>
      </c>
      <c r="G408" s="79">
        <v>907</v>
      </c>
      <c r="H408" s="79">
        <v>7330</v>
      </c>
      <c r="I408" s="79">
        <v>4259</v>
      </c>
      <c r="J408" s="79">
        <v>1830</v>
      </c>
      <c r="K408" s="79">
        <v>133</v>
      </c>
      <c r="L408" s="79">
        <v>76</v>
      </c>
      <c r="M408" s="79">
        <f>SUM(J408:L408)</f>
        <v>2039</v>
      </c>
      <c r="N408" s="79">
        <v>143</v>
      </c>
      <c r="O408" s="79">
        <v>33251</v>
      </c>
      <c r="P408" s="79"/>
      <c r="Q408" s="79"/>
      <c r="R408" s="79"/>
      <c r="S408" s="79"/>
      <c r="U408" s="80"/>
      <c r="W408" s="81"/>
      <c r="X408" s="81"/>
      <c r="Y408" s="81"/>
      <c r="Z408" s="79"/>
      <c r="AF408" s="79"/>
      <c r="AJ408" s="66"/>
      <c r="AK408" s="70"/>
    </row>
    <row r="409" spans="1:37" hidden="1">
      <c r="A409" s="65">
        <f>A408+1</f>
        <v>31</v>
      </c>
      <c r="B409" s="66" t="s">
        <v>168</v>
      </c>
      <c r="C409" s="79"/>
      <c r="D409" s="79">
        <f>O409-E409-SUM(G409:I409)-SUM(M409:N409)</f>
        <v>1283</v>
      </c>
      <c r="E409" s="79">
        <v>48</v>
      </c>
      <c r="F409" s="79">
        <f>D409+E409</f>
        <v>1331</v>
      </c>
      <c r="G409" s="79">
        <v>71</v>
      </c>
      <c r="H409" s="79">
        <v>645</v>
      </c>
      <c r="I409" s="79">
        <v>432</v>
      </c>
      <c r="J409" s="79">
        <v>234</v>
      </c>
      <c r="K409" s="79">
        <v>11</v>
      </c>
      <c r="L409" s="79">
        <v>9</v>
      </c>
      <c r="M409" s="79">
        <f>SUM(J409:L409)</f>
        <v>254</v>
      </c>
      <c r="N409" s="79">
        <v>38</v>
      </c>
      <c r="O409" s="79">
        <f>O406-O408</f>
        <v>2771</v>
      </c>
      <c r="P409" s="79"/>
      <c r="Q409" s="79"/>
      <c r="R409" s="79"/>
      <c r="S409" s="79"/>
      <c r="U409" s="80"/>
      <c r="W409" s="81"/>
      <c r="X409" s="81"/>
      <c r="Y409" s="81"/>
      <c r="Z409" s="79"/>
      <c r="AF409" s="79"/>
      <c r="AJ409" s="66"/>
      <c r="AK409" s="70"/>
    </row>
    <row r="410" spans="1:37" hidden="1">
      <c r="A410" s="65">
        <f t="shared" ref="A410:A413" si="137">A409+1</f>
        <v>32</v>
      </c>
      <c r="B410" s="66" t="s">
        <v>276</v>
      </c>
      <c r="C410" s="78">
        <f>C2240</f>
        <v>3245</v>
      </c>
      <c r="D410" s="79">
        <f t="shared" ref="D410:D413" si="138">C410-E410-SUM(G410:I410)-SUM(M410:N410)-R410-S410</f>
        <v>1708</v>
      </c>
      <c r="E410" s="79">
        <v>44</v>
      </c>
      <c r="F410" s="79">
        <f t="shared" ref="F410:F413" si="139">D410+E410</f>
        <v>1752</v>
      </c>
      <c r="G410" s="79">
        <v>85</v>
      </c>
      <c r="H410" s="79">
        <v>692</v>
      </c>
      <c r="I410" s="79">
        <v>400</v>
      </c>
      <c r="J410" s="79">
        <v>173</v>
      </c>
      <c r="K410" s="79">
        <v>13</v>
      </c>
      <c r="L410" s="79">
        <v>8</v>
      </c>
      <c r="M410" s="79">
        <f t="shared" ref="M410:M413" si="140">SUM(J410:L410)</f>
        <v>194</v>
      </c>
      <c r="N410" s="79">
        <v>14</v>
      </c>
      <c r="O410" s="79">
        <f t="shared" ref="O410:O413" si="141">SUM(F410:I410)+SUM(M410:N410)</f>
        <v>3137</v>
      </c>
      <c r="P410" s="79">
        <v>96</v>
      </c>
      <c r="Q410" s="79">
        <v>12</v>
      </c>
      <c r="R410" s="79">
        <f t="shared" ref="R410:R413" si="142">P410+Q410</f>
        <v>108</v>
      </c>
      <c r="S410" s="79">
        <v>0</v>
      </c>
      <c r="U410" s="80">
        <f t="shared" ref="U410:U413" si="143">O410+R410+S410-C410</f>
        <v>0</v>
      </c>
      <c r="W410" s="81">
        <f t="shared" ref="W410:W413" si="144">IF((O410+R410)=0," ",ROUND((O410/(O410+R410)),7))</f>
        <v>0.96671799999999997</v>
      </c>
      <c r="X410" s="81">
        <f t="shared" ref="X410:X413" si="145">IF((C410)=0," ",ROUND((O410/(C410)),7))</f>
        <v>0.96671799999999997</v>
      </c>
      <c r="Y410" s="81">
        <f t="shared" ref="Y410:Y413" si="146">IF((C410)=0," ",ROUND((S410/(C410)),7))</f>
        <v>0</v>
      </c>
      <c r="Z410" s="79"/>
      <c r="AF410" s="79"/>
      <c r="AJ410" s="66"/>
      <c r="AK410" s="70"/>
    </row>
    <row r="411" spans="1:37" hidden="1">
      <c r="A411" s="65">
        <f t="shared" si="137"/>
        <v>33</v>
      </c>
      <c r="B411" s="66" t="s">
        <v>277</v>
      </c>
      <c r="C411" s="78">
        <f>C2241</f>
        <v>16255</v>
      </c>
      <c r="D411" s="79">
        <f t="shared" si="138"/>
        <v>10444</v>
      </c>
      <c r="E411" s="79">
        <v>296</v>
      </c>
      <c r="F411" s="79">
        <f t="shared" si="139"/>
        <v>10740</v>
      </c>
      <c r="G411" s="79">
        <v>894</v>
      </c>
      <c r="H411" s="79">
        <v>2454</v>
      </c>
      <c r="I411" s="79">
        <v>799</v>
      </c>
      <c r="J411" s="79">
        <v>291</v>
      </c>
      <c r="K411" s="79">
        <v>56</v>
      </c>
      <c r="L411" s="79">
        <v>14</v>
      </c>
      <c r="M411" s="79">
        <f t="shared" si="140"/>
        <v>361</v>
      </c>
      <c r="N411" s="79">
        <v>984</v>
      </c>
      <c r="O411" s="79">
        <f t="shared" si="141"/>
        <v>16232</v>
      </c>
      <c r="P411" s="79">
        <v>21</v>
      </c>
      <c r="Q411" s="79">
        <v>2</v>
      </c>
      <c r="R411" s="79">
        <f t="shared" si="142"/>
        <v>23</v>
      </c>
      <c r="S411" s="79">
        <v>0</v>
      </c>
      <c r="U411" s="80">
        <f t="shared" si="143"/>
        <v>0</v>
      </c>
      <c r="W411" s="81">
        <f t="shared" si="144"/>
        <v>0.9985851</v>
      </c>
      <c r="X411" s="81">
        <f t="shared" si="145"/>
        <v>0.9985851</v>
      </c>
      <c r="Y411" s="81">
        <f t="shared" si="146"/>
        <v>0</v>
      </c>
      <c r="Z411" s="79"/>
      <c r="AF411" s="79"/>
      <c r="AJ411" s="66"/>
      <c r="AK411" s="70"/>
    </row>
    <row r="412" spans="1:37" hidden="1">
      <c r="A412" s="65">
        <f t="shared" si="137"/>
        <v>34</v>
      </c>
      <c r="B412" s="66" t="s">
        <v>39</v>
      </c>
      <c r="C412" s="79">
        <v>8648</v>
      </c>
      <c r="D412" s="79">
        <f t="shared" si="138"/>
        <v>4962</v>
      </c>
      <c r="E412" s="79">
        <v>158</v>
      </c>
      <c r="F412" s="79">
        <f t="shared" si="139"/>
        <v>5120</v>
      </c>
      <c r="G412" s="79">
        <v>263</v>
      </c>
      <c r="H412" s="79">
        <v>1998</v>
      </c>
      <c r="I412" s="79">
        <v>773</v>
      </c>
      <c r="J412" s="79">
        <v>289</v>
      </c>
      <c r="K412" s="79">
        <v>56</v>
      </c>
      <c r="L412" s="79">
        <v>14</v>
      </c>
      <c r="M412" s="79">
        <f t="shared" si="140"/>
        <v>359</v>
      </c>
      <c r="N412" s="79">
        <v>112</v>
      </c>
      <c r="O412" s="79">
        <f t="shared" si="141"/>
        <v>8625</v>
      </c>
      <c r="P412" s="79">
        <v>21</v>
      </c>
      <c r="Q412" s="79">
        <v>2</v>
      </c>
      <c r="R412" s="79">
        <f t="shared" si="142"/>
        <v>23</v>
      </c>
      <c r="S412" s="79">
        <v>0</v>
      </c>
      <c r="U412" s="80">
        <f t="shared" si="143"/>
        <v>0</v>
      </c>
      <c r="W412" s="81">
        <f t="shared" si="144"/>
        <v>0.99734040000000002</v>
      </c>
      <c r="X412" s="81">
        <f t="shared" si="145"/>
        <v>0.99734040000000002</v>
      </c>
      <c r="Y412" s="81">
        <f t="shared" si="146"/>
        <v>0</v>
      </c>
      <c r="Z412" s="79"/>
      <c r="AF412" s="79"/>
      <c r="AJ412" s="66"/>
      <c r="AK412" s="70"/>
    </row>
    <row r="413" spans="1:37" hidden="1">
      <c r="A413" s="65">
        <f t="shared" si="137"/>
        <v>35</v>
      </c>
      <c r="B413" s="66" t="s">
        <v>44</v>
      </c>
      <c r="C413" s="79">
        <v>7607</v>
      </c>
      <c r="D413" s="79">
        <f t="shared" si="138"/>
        <v>5482</v>
      </c>
      <c r="E413" s="79">
        <v>138</v>
      </c>
      <c r="F413" s="79">
        <f t="shared" si="139"/>
        <v>5620</v>
      </c>
      <c r="G413" s="79">
        <v>631</v>
      </c>
      <c r="H413" s="79">
        <v>456</v>
      </c>
      <c r="I413" s="79">
        <v>26</v>
      </c>
      <c r="J413" s="79">
        <v>2</v>
      </c>
      <c r="K413" s="79">
        <v>0</v>
      </c>
      <c r="L413" s="79">
        <v>0</v>
      </c>
      <c r="M413" s="79">
        <f t="shared" si="140"/>
        <v>2</v>
      </c>
      <c r="N413" s="79">
        <v>872</v>
      </c>
      <c r="O413" s="79">
        <f t="shared" si="141"/>
        <v>7607</v>
      </c>
      <c r="P413" s="79">
        <v>0</v>
      </c>
      <c r="Q413" s="79">
        <v>0</v>
      </c>
      <c r="R413" s="79">
        <f t="shared" si="142"/>
        <v>0</v>
      </c>
      <c r="S413" s="79">
        <v>0</v>
      </c>
      <c r="U413" s="80">
        <f t="shared" si="143"/>
        <v>0</v>
      </c>
      <c r="W413" s="81">
        <f t="shared" si="144"/>
        <v>1</v>
      </c>
      <c r="X413" s="81">
        <f t="shared" si="145"/>
        <v>1</v>
      </c>
      <c r="Y413" s="81">
        <f t="shared" si="146"/>
        <v>0</v>
      </c>
      <c r="Z413" s="79"/>
      <c r="AF413" s="79"/>
      <c r="AJ413" s="66"/>
      <c r="AK413" s="70"/>
    </row>
    <row r="414" spans="1:37" hidden="1">
      <c r="B414" s="72"/>
      <c r="C414" s="79"/>
      <c r="H414" s="65" t="s">
        <v>80</v>
      </c>
      <c r="I414" s="79"/>
      <c r="J414" s="79"/>
      <c r="K414" s="79"/>
      <c r="L414" s="79"/>
      <c r="M414" s="79"/>
      <c r="Q414" s="65" t="s">
        <v>80</v>
      </c>
      <c r="R414" s="79"/>
      <c r="S414" s="65"/>
      <c r="W414" s="81"/>
      <c r="X414" s="81"/>
      <c r="Y414" s="73"/>
      <c r="Z414" s="79"/>
      <c r="AF414" s="79"/>
      <c r="AJ414" s="66"/>
      <c r="AK414" s="65"/>
    </row>
    <row r="415" spans="1:37" hidden="1">
      <c r="C415" s="79"/>
      <c r="H415" s="70" t="str">
        <f>$H$24</f>
        <v>12 MONTHS ENDING DECEMBER 31, 2012</v>
      </c>
      <c r="I415" s="79"/>
      <c r="J415" s="79"/>
      <c r="K415" s="79"/>
      <c r="L415" s="79"/>
      <c r="M415" s="79"/>
      <c r="Q415" s="70" t="str">
        <f>$H$24</f>
        <v>12 MONTHS ENDING DECEMBER 31, 2012</v>
      </c>
      <c r="S415" s="79"/>
      <c r="U415" s="80"/>
      <c r="X415" s="81"/>
      <c r="Y415" s="81"/>
      <c r="AJ415" s="66"/>
    </row>
    <row r="416" spans="1:37" hidden="1">
      <c r="C416" s="79"/>
      <c r="H416" s="70" t="str">
        <f>$H$25</f>
        <v>12/13 DEMAND ALLOCATION WITH MDS METHODOLOGY</v>
      </c>
      <c r="Q416" s="70" t="str">
        <f>$H$25</f>
        <v>12/13 DEMAND ALLOCATION WITH MDS METHODOLOGY</v>
      </c>
      <c r="S416" s="79"/>
      <c r="X416" s="81"/>
      <c r="Y416" s="81"/>
      <c r="Z416" s="79"/>
      <c r="AF416" s="79"/>
      <c r="AJ416" s="66"/>
      <c r="AK416" s="70"/>
    </row>
    <row r="417" spans="1:37" hidden="1">
      <c r="C417" s="79"/>
      <c r="H417" s="87" t="s">
        <v>98</v>
      </c>
      <c r="I417" s="79"/>
      <c r="J417" s="79"/>
      <c r="K417" s="79"/>
      <c r="L417" s="79"/>
      <c r="M417" s="79"/>
      <c r="Q417" s="87" t="s">
        <v>98</v>
      </c>
      <c r="S417" s="79"/>
      <c r="U417" s="80"/>
      <c r="X417" s="81"/>
      <c r="Y417" s="81"/>
      <c r="Z417" s="79"/>
      <c r="AF417" s="79"/>
      <c r="AJ417" s="66"/>
      <c r="AK417" s="65"/>
    </row>
    <row r="418" spans="1:37" hidden="1">
      <c r="C418" s="79"/>
      <c r="H418" s="87" t="s">
        <v>114</v>
      </c>
      <c r="I418" s="79"/>
      <c r="J418" s="79"/>
      <c r="K418" s="79"/>
      <c r="L418" s="79"/>
      <c r="M418" s="79"/>
      <c r="Q418" s="87" t="s">
        <v>114</v>
      </c>
      <c r="S418" s="79"/>
      <c r="U418" s="80"/>
      <c r="X418" s="81"/>
      <c r="Y418" s="81"/>
      <c r="Z418" s="79"/>
      <c r="AF418" s="79"/>
      <c r="AJ418" s="66"/>
      <c r="AK418" s="70"/>
    </row>
    <row r="419" spans="1:37" hidden="1">
      <c r="C419" s="65" t="s">
        <v>59</v>
      </c>
      <c r="K419" s="65"/>
      <c r="L419" s="65"/>
      <c r="M419" s="65"/>
      <c r="O419" s="65" t="s">
        <v>59</v>
      </c>
      <c r="P419" s="65"/>
      <c r="Q419" s="65"/>
      <c r="R419" s="65"/>
      <c r="S419" s="65" t="s">
        <v>115</v>
      </c>
      <c r="W419" s="76" t="s">
        <v>116</v>
      </c>
      <c r="X419" s="76" t="s">
        <v>116</v>
      </c>
      <c r="Y419" s="76" t="s">
        <v>117</v>
      </c>
      <c r="Z419" s="79"/>
      <c r="AF419" s="79"/>
      <c r="AJ419" s="66"/>
      <c r="AK419" s="70"/>
    </row>
    <row r="420" spans="1:37" hidden="1">
      <c r="A420" s="65" t="s">
        <v>118</v>
      </c>
      <c r="C420" s="65" t="s">
        <v>58</v>
      </c>
      <c r="D420" s="70" t="s">
        <v>119</v>
      </c>
      <c r="E420" s="70" t="s">
        <v>119</v>
      </c>
      <c r="F420" s="70" t="s">
        <v>119</v>
      </c>
      <c r="G420" s="70" t="s">
        <v>119</v>
      </c>
      <c r="H420" s="70" t="s">
        <v>119</v>
      </c>
      <c r="I420" s="70" t="s">
        <v>119</v>
      </c>
      <c r="J420" s="70" t="s">
        <v>119</v>
      </c>
      <c r="K420" s="70" t="s">
        <v>119</v>
      </c>
      <c r="L420" s="70" t="s">
        <v>119</v>
      </c>
      <c r="M420" s="70" t="s">
        <v>119</v>
      </c>
      <c r="N420" s="70" t="s">
        <v>119</v>
      </c>
      <c r="O420" s="65" t="s">
        <v>116</v>
      </c>
      <c r="P420" s="65"/>
      <c r="Q420" s="70" t="s">
        <v>120</v>
      </c>
      <c r="R420" s="65"/>
      <c r="S420" s="65" t="s">
        <v>121</v>
      </c>
      <c r="W420" s="76" t="s">
        <v>122</v>
      </c>
      <c r="X420" s="76" t="s">
        <v>123</v>
      </c>
      <c r="Y420" s="76" t="s">
        <v>124</v>
      </c>
      <c r="Z420" s="79"/>
      <c r="AF420" s="79"/>
      <c r="AJ420" s="66"/>
      <c r="AK420" s="65"/>
    </row>
    <row r="421" spans="1:37" hidden="1">
      <c r="A421" s="65" t="s">
        <v>125</v>
      </c>
      <c r="B421" s="65" t="s">
        <v>126</v>
      </c>
      <c r="C421" s="65" t="s">
        <v>57</v>
      </c>
      <c r="D421" s="70" t="s">
        <v>127</v>
      </c>
      <c r="E421" s="70" t="s">
        <v>128</v>
      </c>
      <c r="F421" s="70" t="s">
        <v>129</v>
      </c>
      <c r="G421" s="70" t="s">
        <v>130</v>
      </c>
      <c r="H421" s="70" t="s">
        <v>131</v>
      </c>
      <c r="I421" s="65" t="s">
        <v>132</v>
      </c>
      <c r="J421" s="70" t="s">
        <v>133</v>
      </c>
      <c r="K421" s="70" t="s">
        <v>134</v>
      </c>
      <c r="L421" s="70" t="s">
        <v>135</v>
      </c>
      <c r="M421" s="70" t="s">
        <v>136</v>
      </c>
      <c r="N421" s="70" t="s">
        <v>137</v>
      </c>
      <c r="O421" s="65" t="s">
        <v>138</v>
      </c>
      <c r="P421" s="70" t="s">
        <v>139</v>
      </c>
      <c r="Q421" s="70" t="s">
        <v>140</v>
      </c>
      <c r="R421" s="65" t="s">
        <v>122</v>
      </c>
      <c r="S421" s="65" t="s">
        <v>141</v>
      </c>
      <c r="U421" s="65" t="s">
        <v>162</v>
      </c>
      <c r="W421" s="76" t="s">
        <v>142</v>
      </c>
      <c r="X421" s="76" t="s">
        <v>142</v>
      </c>
      <c r="Y421" s="76" t="s">
        <v>142</v>
      </c>
      <c r="Z421" s="79"/>
      <c r="AF421" s="79"/>
      <c r="AJ421" s="66"/>
      <c r="AK421" s="70"/>
    </row>
    <row r="422" spans="1:37" hidden="1">
      <c r="A422" s="65" t="s">
        <v>143</v>
      </c>
      <c r="B422" s="65" t="s">
        <v>144</v>
      </c>
      <c r="C422" s="65" t="s">
        <v>145</v>
      </c>
      <c r="D422" s="70" t="s">
        <v>146</v>
      </c>
      <c r="E422" s="70" t="s">
        <v>147</v>
      </c>
      <c r="F422" s="70" t="s">
        <v>148</v>
      </c>
      <c r="G422" s="65" t="s">
        <v>149</v>
      </c>
      <c r="H422" s="65" t="s">
        <v>150</v>
      </c>
      <c r="I422" s="65" t="s">
        <v>151</v>
      </c>
      <c r="J422" s="70" t="s">
        <v>152</v>
      </c>
      <c r="K422" s="70" t="s">
        <v>153</v>
      </c>
      <c r="L422" s="70" t="s">
        <v>154</v>
      </c>
      <c r="M422" s="70" t="s">
        <v>155</v>
      </c>
      <c r="N422" s="70" t="s">
        <v>156</v>
      </c>
      <c r="O422" s="70" t="s">
        <v>157</v>
      </c>
      <c r="P422" s="70" t="s">
        <v>158</v>
      </c>
      <c r="Q422" s="70" t="s">
        <v>159</v>
      </c>
      <c r="R422" s="70" t="s">
        <v>160</v>
      </c>
      <c r="S422" s="70" t="s">
        <v>161</v>
      </c>
      <c r="W422" s="77" t="s">
        <v>163</v>
      </c>
      <c r="X422" s="77" t="s">
        <v>164</v>
      </c>
      <c r="Y422" s="76" t="s">
        <v>165</v>
      </c>
      <c r="Z422" s="79"/>
      <c r="AF422" s="79"/>
      <c r="AJ422" s="66"/>
      <c r="AK422" s="70"/>
    </row>
    <row r="423" spans="1:37" hidden="1">
      <c r="B423" s="65"/>
      <c r="C423" s="65"/>
      <c r="D423" s="70"/>
      <c r="E423" s="70"/>
      <c r="F423" s="70"/>
      <c r="G423" s="65"/>
      <c r="H423" s="65"/>
      <c r="I423" s="65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W423" s="77"/>
      <c r="X423" s="77"/>
      <c r="Y423" s="76"/>
      <c r="Z423" s="79"/>
      <c r="AF423" s="79"/>
      <c r="AJ423" s="66"/>
      <c r="AK423" s="70"/>
    </row>
    <row r="424" spans="1:37" hidden="1">
      <c r="A424" s="65">
        <f>A413+1</f>
        <v>36</v>
      </c>
      <c r="B424" s="66" t="s">
        <v>278</v>
      </c>
      <c r="C424" s="78">
        <f>C2242</f>
        <v>9881</v>
      </c>
      <c r="D424" s="79">
        <f>C424-E424-SUM(G424:I424)-SUM(M424:N424)-R424-S424</f>
        <v>8328</v>
      </c>
      <c r="E424" s="79">
        <v>232</v>
      </c>
      <c r="F424" s="79">
        <f t="shared" ref="F424:F431" si="147">D424+E424</f>
        <v>8560</v>
      </c>
      <c r="G424" s="79">
        <v>681</v>
      </c>
      <c r="H424" s="79">
        <v>411</v>
      </c>
      <c r="I424" s="79">
        <v>9</v>
      </c>
      <c r="J424" s="79">
        <v>3</v>
      </c>
      <c r="K424" s="79">
        <v>3</v>
      </c>
      <c r="L424" s="79">
        <v>1</v>
      </c>
      <c r="M424" s="79">
        <f t="shared" ref="M424:M431" si="148">SUM(J424:L424)</f>
        <v>7</v>
      </c>
      <c r="N424" s="79">
        <v>211</v>
      </c>
      <c r="O424" s="79">
        <f t="shared" ref="O424:O431" si="149">SUM(F424:I424)+SUM(M424:N424)</f>
        <v>9879</v>
      </c>
      <c r="P424" s="79">
        <v>1</v>
      </c>
      <c r="Q424" s="79">
        <v>1</v>
      </c>
      <c r="R424" s="79">
        <f t="shared" ref="R424:R431" si="150">P424+Q424</f>
        <v>2</v>
      </c>
      <c r="S424" s="79">
        <v>0</v>
      </c>
      <c r="U424" s="80">
        <f t="shared" ref="U424:U431" si="151">O424+R424+S424-C424</f>
        <v>0</v>
      </c>
      <c r="W424" s="81">
        <f t="shared" ref="W424:W431" si="152">IF((O424+R424)=0," ",ROUND((O424/(O424+R424)),7))</f>
        <v>0.99979759999999995</v>
      </c>
      <c r="X424" s="81">
        <f t="shared" ref="X424:X431" si="153">IF((C424)=0," ",ROUND((O424/(C424)),7))</f>
        <v>0.99979759999999995</v>
      </c>
      <c r="Y424" s="81">
        <f t="shared" ref="Y424:Y431" si="154">IF((C424)=0," ",ROUND((S424/(C424)),7))</f>
        <v>0</v>
      </c>
      <c r="Z424" s="79"/>
      <c r="AF424" s="79"/>
      <c r="AJ424" s="66"/>
      <c r="AK424" s="70"/>
    </row>
    <row r="425" spans="1:37" hidden="1">
      <c r="A425" s="65">
        <f t="shared" ref="A425:A431" si="155">A424+1</f>
        <v>37</v>
      </c>
      <c r="B425" s="66" t="s">
        <v>283</v>
      </c>
      <c r="C425" s="78">
        <f>C2243</f>
        <v>10713</v>
      </c>
      <c r="D425" s="79">
        <f>C425-E425-SUM(G425:I425)-SUM(M425:N425)-R425-S425</f>
        <v>6930</v>
      </c>
      <c r="E425" s="79">
        <v>192</v>
      </c>
      <c r="F425" s="79">
        <f t="shared" si="147"/>
        <v>7122</v>
      </c>
      <c r="G425" s="79">
        <v>1612</v>
      </c>
      <c r="H425" s="79">
        <v>1572</v>
      </c>
      <c r="I425" s="79">
        <v>288</v>
      </c>
      <c r="J425" s="79">
        <v>101</v>
      </c>
      <c r="K425" s="79">
        <v>14</v>
      </c>
      <c r="L425" s="79">
        <v>4</v>
      </c>
      <c r="M425" s="79">
        <f t="shared" si="148"/>
        <v>119</v>
      </c>
      <c r="N425" s="79">
        <v>0</v>
      </c>
      <c r="O425" s="79">
        <f t="shared" si="149"/>
        <v>10713</v>
      </c>
      <c r="P425" s="79">
        <v>0</v>
      </c>
      <c r="Q425" s="79">
        <v>0</v>
      </c>
      <c r="R425" s="79">
        <f t="shared" si="150"/>
        <v>0</v>
      </c>
      <c r="S425" s="79">
        <v>0</v>
      </c>
      <c r="U425" s="80">
        <f t="shared" si="151"/>
        <v>0</v>
      </c>
      <c r="W425" s="81">
        <f t="shared" si="152"/>
        <v>1</v>
      </c>
      <c r="X425" s="81">
        <f t="shared" si="153"/>
        <v>1</v>
      </c>
      <c r="Y425" s="81">
        <f t="shared" si="154"/>
        <v>0</v>
      </c>
      <c r="Z425" s="79"/>
      <c r="AF425" s="79"/>
      <c r="AJ425" s="66"/>
      <c r="AK425" s="70"/>
    </row>
    <row r="426" spans="1:37" hidden="1">
      <c r="A426" s="65">
        <f t="shared" si="155"/>
        <v>38</v>
      </c>
      <c r="B426" s="66" t="s">
        <v>44</v>
      </c>
      <c r="C426" s="79">
        <v>10713</v>
      </c>
      <c r="D426" s="79">
        <f>C426-E426-SUM(G426:I426)-SUM(M426:N426)-R426-S426</f>
        <v>6930</v>
      </c>
      <c r="E426" s="79">
        <v>192</v>
      </c>
      <c r="F426" s="79">
        <f t="shared" si="147"/>
        <v>7122</v>
      </c>
      <c r="G426" s="79">
        <v>1612</v>
      </c>
      <c r="H426" s="79">
        <v>1572</v>
      </c>
      <c r="I426" s="79">
        <v>288</v>
      </c>
      <c r="J426" s="79">
        <v>101</v>
      </c>
      <c r="K426" s="79">
        <v>14</v>
      </c>
      <c r="L426" s="79">
        <v>4</v>
      </c>
      <c r="M426" s="79">
        <f t="shared" si="148"/>
        <v>119</v>
      </c>
      <c r="N426" s="79">
        <v>0</v>
      </c>
      <c r="O426" s="79">
        <f t="shared" si="149"/>
        <v>10713</v>
      </c>
      <c r="P426" s="79">
        <v>0</v>
      </c>
      <c r="Q426" s="79">
        <v>0</v>
      </c>
      <c r="R426" s="79">
        <f t="shared" si="150"/>
        <v>0</v>
      </c>
      <c r="S426" s="79">
        <v>0</v>
      </c>
      <c r="U426" s="80">
        <f t="shared" si="151"/>
        <v>0</v>
      </c>
      <c r="W426" s="81">
        <f t="shared" si="152"/>
        <v>1</v>
      </c>
      <c r="X426" s="81">
        <f t="shared" si="153"/>
        <v>1</v>
      </c>
      <c r="Y426" s="81">
        <f t="shared" si="154"/>
        <v>0</v>
      </c>
      <c r="Z426" s="79"/>
      <c r="AF426" s="79"/>
      <c r="AJ426" s="66"/>
      <c r="AK426" s="70"/>
    </row>
    <row r="427" spans="1:37" hidden="1">
      <c r="A427" s="65">
        <f t="shared" si="155"/>
        <v>39</v>
      </c>
      <c r="B427" s="66" t="s">
        <v>168</v>
      </c>
      <c r="C427" s="79">
        <v>0</v>
      </c>
      <c r="D427" s="79">
        <f>C427-E427-SUM(G427:I427)-SUM(M427:N427)-R427-S427</f>
        <v>0</v>
      </c>
      <c r="E427" s="79">
        <v>0</v>
      </c>
      <c r="F427" s="79">
        <f t="shared" si="147"/>
        <v>0</v>
      </c>
      <c r="G427" s="79">
        <v>0</v>
      </c>
      <c r="H427" s="79">
        <v>0</v>
      </c>
      <c r="I427" s="79">
        <v>0</v>
      </c>
      <c r="J427" s="79">
        <v>0</v>
      </c>
      <c r="K427" s="79">
        <v>0</v>
      </c>
      <c r="L427" s="79">
        <v>0</v>
      </c>
      <c r="M427" s="79">
        <f t="shared" si="148"/>
        <v>0</v>
      </c>
      <c r="N427" s="79">
        <v>0</v>
      </c>
      <c r="O427" s="79">
        <f t="shared" si="149"/>
        <v>0</v>
      </c>
      <c r="P427" s="79">
        <v>0</v>
      </c>
      <c r="Q427" s="79">
        <v>0</v>
      </c>
      <c r="R427" s="79">
        <f t="shared" si="150"/>
        <v>0</v>
      </c>
      <c r="S427" s="79">
        <v>0</v>
      </c>
      <c r="U427" s="80">
        <f t="shared" si="151"/>
        <v>0</v>
      </c>
      <c r="W427" s="81" t="str">
        <f t="shared" si="152"/>
        <v xml:space="preserve"> </v>
      </c>
      <c r="X427" s="81" t="str">
        <f t="shared" si="153"/>
        <v xml:space="preserve"> </v>
      </c>
      <c r="Y427" s="81" t="str">
        <f t="shared" si="154"/>
        <v xml:space="preserve"> </v>
      </c>
      <c r="Z427" s="79"/>
      <c r="AF427" s="79"/>
      <c r="AJ427" s="66"/>
      <c r="AK427" s="70"/>
    </row>
    <row r="428" spans="1:37" hidden="1">
      <c r="A428" s="65">
        <f t="shared" si="155"/>
        <v>40</v>
      </c>
      <c r="B428" s="71" t="s">
        <v>284</v>
      </c>
      <c r="C428" s="79">
        <f>O428+R428+S428</f>
        <v>77376</v>
      </c>
      <c r="D428" s="79">
        <f>SUM(D429:D431)</f>
        <v>46803</v>
      </c>
      <c r="E428" s="79">
        <f>SUM(E429:E431)</f>
        <v>1275</v>
      </c>
      <c r="F428" s="79">
        <f t="shared" si="147"/>
        <v>48078</v>
      </c>
      <c r="G428" s="79">
        <f t="shared" ref="G428:N428" si="156">SUM(G429:G431)</f>
        <v>4250</v>
      </c>
      <c r="H428" s="79">
        <f t="shared" si="156"/>
        <v>13104</v>
      </c>
      <c r="I428" s="79">
        <f t="shared" si="156"/>
        <v>6187</v>
      </c>
      <c r="J428" s="79">
        <f t="shared" si="156"/>
        <v>2632</v>
      </c>
      <c r="K428" s="79">
        <f t="shared" si="156"/>
        <v>230</v>
      </c>
      <c r="L428" s="79">
        <f t="shared" si="156"/>
        <v>112</v>
      </c>
      <c r="M428" s="79">
        <f t="shared" si="148"/>
        <v>2974</v>
      </c>
      <c r="N428" s="79">
        <f t="shared" si="156"/>
        <v>1390</v>
      </c>
      <c r="O428" s="79">
        <f t="shared" si="149"/>
        <v>75983</v>
      </c>
      <c r="P428" s="79">
        <f>SUM(P429:P431)</f>
        <v>1248</v>
      </c>
      <c r="Q428" s="79">
        <f>SUM(Q429:Q431)</f>
        <v>145</v>
      </c>
      <c r="R428" s="79">
        <f t="shared" si="150"/>
        <v>1393</v>
      </c>
      <c r="S428" s="79">
        <f>SUM(S429:S431)</f>
        <v>0</v>
      </c>
      <c r="U428" s="80">
        <f t="shared" si="151"/>
        <v>0</v>
      </c>
      <c r="W428" s="81">
        <f t="shared" si="152"/>
        <v>0.98199700000000001</v>
      </c>
      <c r="X428" s="81">
        <f t="shared" si="153"/>
        <v>0.98199700000000001</v>
      </c>
      <c r="Y428" s="81">
        <f t="shared" si="154"/>
        <v>0</v>
      </c>
      <c r="Z428" s="79"/>
      <c r="AF428" s="79"/>
      <c r="AJ428" s="66"/>
      <c r="AK428" s="70"/>
    </row>
    <row r="429" spans="1:37" hidden="1">
      <c r="A429" s="65">
        <f t="shared" si="155"/>
        <v>41</v>
      </c>
      <c r="B429" s="66" t="s">
        <v>229</v>
      </c>
      <c r="C429" s="79">
        <f>O429+R429+S429</f>
        <v>46404</v>
      </c>
      <c r="D429" s="79">
        <f>D408+D410+D412</f>
        <v>24780</v>
      </c>
      <c r="E429" s="79">
        <f>E408+E410+E412</f>
        <v>665</v>
      </c>
      <c r="F429" s="79">
        <f t="shared" si="147"/>
        <v>25445</v>
      </c>
      <c r="G429" s="79">
        <f t="shared" ref="G429:L429" si="157">G408+G410+G412</f>
        <v>1255</v>
      </c>
      <c r="H429" s="79">
        <f t="shared" si="157"/>
        <v>10020</v>
      </c>
      <c r="I429" s="79">
        <f t="shared" si="157"/>
        <v>5432</v>
      </c>
      <c r="J429" s="79">
        <f t="shared" si="157"/>
        <v>2292</v>
      </c>
      <c r="K429" s="79">
        <f t="shared" si="157"/>
        <v>202</v>
      </c>
      <c r="L429" s="79">
        <f t="shared" si="157"/>
        <v>98</v>
      </c>
      <c r="M429" s="79">
        <f t="shared" si="148"/>
        <v>2592</v>
      </c>
      <c r="N429" s="79">
        <f>N408+N410+N412</f>
        <v>269</v>
      </c>
      <c r="O429" s="79">
        <f t="shared" si="149"/>
        <v>45013</v>
      </c>
      <c r="P429" s="79">
        <f>P406+P410+P412</f>
        <v>1247</v>
      </c>
      <c r="Q429" s="79">
        <f>Q406+Q410+Q412</f>
        <v>144</v>
      </c>
      <c r="R429" s="79">
        <f t="shared" si="150"/>
        <v>1391</v>
      </c>
      <c r="S429" s="79">
        <f>S406+S410+S412</f>
        <v>0</v>
      </c>
      <c r="U429" s="80">
        <f t="shared" si="151"/>
        <v>0</v>
      </c>
      <c r="W429" s="81">
        <f t="shared" si="152"/>
        <v>0.97002409999999994</v>
      </c>
      <c r="X429" s="81">
        <f t="shared" si="153"/>
        <v>0.97002409999999994</v>
      </c>
      <c r="Y429" s="81">
        <f t="shared" si="154"/>
        <v>0</v>
      </c>
      <c r="Z429" s="79"/>
      <c r="AF429" s="79"/>
      <c r="AJ429" s="66"/>
      <c r="AK429" s="70"/>
    </row>
    <row r="430" spans="1:37" hidden="1">
      <c r="A430" s="65">
        <f t="shared" si="155"/>
        <v>42</v>
      </c>
      <c r="B430" s="66" t="s">
        <v>253</v>
      </c>
      <c r="C430" s="79">
        <f>O430+R430+S430</f>
        <v>28201</v>
      </c>
      <c r="D430" s="79">
        <f>D413+D426+D424</f>
        <v>20740</v>
      </c>
      <c r="E430" s="79">
        <f>E413+E426+E424</f>
        <v>562</v>
      </c>
      <c r="F430" s="79">
        <f t="shared" si="147"/>
        <v>21302</v>
      </c>
      <c r="G430" s="79">
        <f t="shared" ref="G430:L430" si="158">G413+G426+G424</f>
        <v>2924</v>
      </c>
      <c r="H430" s="79">
        <f t="shared" si="158"/>
        <v>2439</v>
      </c>
      <c r="I430" s="79">
        <f t="shared" si="158"/>
        <v>323</v>
      </c>
      <c r="J430" s="79">
        <f t="shared" si="158"/>
        <v>106</v>
      </c>
      <c r="K430" s="79">
        <f t="shared" si="158"/>
        <v>17</v>
      </c>
      <c r="L430" s="79">
        <f t="shared" si="158"/>
        <v>5</v>
      </c>
      <c r="M430" s="79">
        <f t="shared" si="148"/>
        <v>128</v>
      </c>
      <c r="N430" s="79">
        <f>N413+N426+N424</f>
        <v>1083</v>
      </c>
      <c r="O430" s="79">
        <f t="shared" si="149"/>
        <v>28199</v>
      </c>
      <c r="P430" s="79">
        <f>P413+P426+P424</f>
        <v>1</v>
      </c>
      <c r="Q430" s="79">
        <f>Q413+Q426+Q424</f>
        <v>1</v>
      </c>
      <c r="R430" s="79">
        <f t="shared" si="150"/>
        <v>2</v>
      </c>
      <c r="S430" s="79">
        <f>S413+S426+S424</f>
        <v>0</v>
      </c>
      <c r="U430" s="80">
        <f t="shared" si="151"/>
        <v>0</v>
      </c>
      <c r="W430" s="81">
        <f t="shared" si="152"/>
        <v>0.99992910000000002</v>
      </c>
      <c r="X430" s="81">
        <f t="shared" si="153"/>
        <v>0.99992910000000002</v>
      </c>
      <c r="Y430" s="81">
        <f t="shared" si="154"/>
        <v>0</v>
      </c>
      <c r="Z430" s="79"/>
      <c r="AF430" s="79"/>
      <c r="AJ430" s="66"/>
      <c r="AK430" s="70"/>
    </row>
    <row r="431" spans="1:37" hidden="1">
      <c r="A431" s="65">
        <f t="shared" si="155"/>
        <v>43</v>
      </c>
      <c r="B431" s="66" t="s">
        <v>230</v>
      </c>
      <c r="C431" s="79">
        <f>O431+R431+S431</f>
        <v>2771</v>
      </c>
      <c r="D431" s="79">
        <f>D427+D409</f>
        <v>1283</v>
      </c>
      <c r="E431" s="79">
        <f>E427+E409</f>
        <v>48</v>
      </c>
      <c r="F431" s="79">
        <f t="shared" si="147"/>
        <v>1331</v>
      </c>
      <c r="G431" s="79">
        <f t="shared" ref="G431:L431" si="159">G427+G409</f>
        <v>71</v>
      </c>
      <c r="H431" s="79">
        <f t="shared" si="159"/>
        <v>645</v>
      </c>
      <c r="I431" s="79">
        <f t="shared" si="159"/>
        <v>432</v>
      </c>
      <c r="J431" s="79">
        <f t="shared" si="159"/>
        <v>234</v>
      </c>
      <c r="K431" s="79">
        <f t="shared" si="159"/>
        <v>11</v>
      </c>
      <c r="L431" s="79">
        <f t="shared" si="159"/>
        <v>9</v>
      </c>
      <c r="M431" s="79">
        <f t="shared" si="148"/>
        <v>254</v>
      </c>
      <c r="N431" s="79">
        <f>N427+N409</f>
        <v>38</v>
      </c>
      <c r="O431" s="79">
        <f t="shared" si="149"/>
        <v>2771</v>
      </c>
      <c r="P431" s="79">
        <f>P427+P409</f>
        <v>0</v>
      </c>
      <c r="Q431" s="79">
        <f>Q427+Q409</f>
        <v>0</v>
      </c>
      <c r="R431" s="79">
        <f t="shared" si="150"/>
        <v>0</v>
      </c>
      <c r="S431" s="79">
        <f>S427+S409</f>
        <v>0</v>
      </c>
      <c r="U431" s="80">
        <f t="shared" si="151"/>
        <v>0</v>
      </c>
      <c r="W431" s="81">
        <f t="shared" si="152"/>
        <v>1</v>
      </c>
      <c r="X431" s="81">
        <f t="shared" si="153"/>
        <v>1</v>
      </c>
      <c r="Y431" s="81">
        <f t="shared" si="154"/>
        <v>0</v>
      </c>
      <c r="Z431" s="79"/>
      <c r="AF431" s="79"/>
      <c r="AJ431" s="66"/>
      <c r="AK431" s="70"/>
    </row>
    <row r="432" spans="1:37" hidden="1"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U432" s="80"/>
      <c r="W432" s="81"/>
      <c r="X432" s="81"/>
      <c r="Y432" s="81"/>
      <c r="Z432" s="79"/>
      <c r="AF432" s="79"/>
      <c r="AJ432" s="66"/>
      <c r="AK432" s="70"/>
    </row>
    <row r="433" spans="1:37" hidden="1">
      <c r="A433" s="65">
        <f>A431+1</f>
        <v>44</v>
      </c>
      <c r="B433" s="71" t="s">
        <v>285</v>
      </c>
      <c r="C433" s="78">
        <f>58249-1</f>
        <v>58248</v>
      </c>
      <c r="D433" s="79">
        <f>C433-E433-SUM(G433:I433)-SUM(M433:N433)-R433-S433</f>
        <v>32936</v>
      </c>
      <c r="E433" s="79">
        <f>SUM(E434:E437)</f>
        <v>898</v>
      </c>
      <c r="F433" s="79">
        <f>D433+E433</f>
        <v>33834</v>
      </c>
      <c r="G433" s="79">
        <f t="shared" ref="G433:N433" si="160">SUM(G434:G437)</f>
        <v>2726</v>
      </c>
      <c r="H433" s="79">
        <f t="shared" si="160"/>
        <v>9393</v>
      </c>
      <c r="I433" s="79">
        <f t="shared" si="160"/>
        <v>6380</v>
      </c>
      <c r="J433" s="79">
        <f t="shared" si="160"/>
        <v>1877</v>
      </c>
      <c r="K433" s="79">
        <f t="shared" si="160"/>
        <v>169</v>
      </c>
      <c r="L433" s="79">
        <f t="shared" si="160"/>
        <v>80</v>
      </c>
      <c r="M433" s="79">
        <f>SUM(J433:L433)</f>
        <v>2126</v>
      </c>
      <c r="N433" s="79">
        <f t="shared" si="160"/>
        <v>1191</v>
      </c>
      <c r="O433" s="79">
        <f>SUM(F433:I433)+SUM(M433:N433)</f>
        <v>55650</v>
      </c>
      <c r="P433" s="79">
        <f>SUM(P434:P437)</f>
        <v>895</v>
      </c>
      <c r="Q433" s="79">
        <f>SUM(Q434:Q437)</f>
        <v>130</v>
      </c>
      <c r="R433" s="79">
        <f>P433+Q433</f>
        <v>1025</v>
      </c>
      <c r="S433" s="79">
        <f>SUM(S434:S437)</f>
        <v>1573</v>
      </c>
      <c r="U433" s="80">
        <f>O433+R433+S433-C433</f>
        <v>0</v>
      </c>
      <c r="W433" s="81">
        <f>IF((O433+R433)=0," ",ROUND((O433/(O433+R433)),7))</f>
        <v>0.98191439999999997</v>
      </c>
      <c r="X433" s="81">
        <f>IF((C433)=0," ",ROUND((O433/(C433)),7))</f>
        <v>0.95539759999999996</v>
      </c>
      <c r="Y433" s="81">
        <f>IF((C433)=0," ",ROUND((S433/(C433)),7))</f>
        <v>2.70052E-2</v>
      </c>
      <c r="Z433" s="79"/>
      <c r="AF433" s="79"/>
      <c r="AJ433" s="66"/>
      <c r="AK433" s="70"/>
    </row>
    <row r="434" spans="1:37" hidden="1">
      <c r="A434" s="65">
        <f>A433+1</f>
        <v>45</v>
      </c>
      <c r="B434" s="66" t="s">
        <v>229</v>
      </c>
      <c r="C434" s="79">
        <f>ROUND((C$1122+C$1315)/(C$1121-C$851+C$1314)*(C$433),0)</f>
        <v>36338</v>
      </c>
      <c r="D434" s="79">
        <f>C434-E434-SUM(G434:I434)-SUM(M434:N434)-R434-S434</f>
        <v>18647</v>
      </c>
      <c r="E434" s="79">
        <f>ROUND((E$1122+E$1315)/($C$1122+$C$1315)*$C434,0)</f>
        <v>504</v>
      </c>
      <c r="F434" s="79">
        <f>D434+E434</f>
        <v>19151</v>
      </c>
      <c r="G434" s="79">
        <f t="shared" ref="G434:L434" si="161">ROUND((G$1122+G$1315)/($C$1122+$C$1315)*$C434,0)</f>
        <v>946</v>
      </c>
      <c r="H434" s="79">
        <f t="shared" si="161"/>
        <v>7539</v>
      </c>
      <c r="I434" s="79">
        <f t="shared" si="161"/>
        <v>4030</v>
      </c>
      <c r="J434" s="79">
        <f t="shared" si="161"/>
        <v>1699</v>
      </c>
      <c r="K434" s="79">
        <f t="shared" si="161"/>
        <v>153</v>
      </c>
      <c r="L434" s="79">
        <f t="shared" si="161"/>
        <v>72</v>
      </c>
      <c r="M434" s="79">
        <f>SUM(J434:L434)</f>
        <v>1924</v>
      </c>
      <c r="N434" s="79">
        <f>ROUND((N$1122+N$1315)/($C$1122+$C$1315)*$C434,0)</f>
        <v>212</v>
      </c>
      <c r="O434" s="79">
        <f>SUM(F434:I434)+SUM(M434:N434)</f>
        <v>33802</v>
      </c>
      <c r="P434" s="79">
        <f>ROUND((P$1122+P$1315)/($C$1122+$C$1315)*$C434,0)</f>
        <v>864</v>
      </c>
      <c r="Q434" s="79">
        <f>ROUND((Q$1122+Q$1315)/($C$1122+$C$1315)*$C434,0)</f>
        <v>99</v>
      </c>
      <c r="R434" s="79">
        <f>P434+Q434</f>
        <v>963</v>
      </c>
      <c r="S434" s="79">
        <f>ROUND((S$1122+S$1315)/($C$1122+$C$1315)*$C434,0)</f>
        <v>1573</v>
      </c>
      <c r="U434" s="80">
        <f>O434+R434+S434-C434</f>
        <v>0</v>
      </c>
      <c r="W434" s="81"/>
      <c r="X434" s="81"/>
      <c r="Y434" s="81"/>
      <c r="Z434" s="79"/>
      <c r="AF434" s="79"/>
      <c r="AJ434" s="66"/>
      <c r="AK434" s="70"/>
    </row>
    <row r="435" spans="1:37" hidden="1">
      <c r="A435" s="65">
        <f>A434+1</f>
        <v>46</v>
      </c>
      <c r="B435" s="66" t="s">
        <v>253</v>
      </c>
      <c r="C435" s="79">
        <f>ROUND((C$1124+C$1316)/(C$1121-C$851+C$1314)*(C$433),0)</f>
        <v>19557</v>
      </c>
      <c r="D435" s="79">
        <f>C435-E435-SUM(G435:I435)-SUM(M435:N435)-R435-S435</f>
        <v>13087</v>
      </c>
      <c r="E435" s="79">
        <f>ROUND((E$1124+E$1316)/($C$1124+$C$1316)*$C435,0)</f>
        <v>353</v>
      </c>
      <c r="F435" s="79">
        <f>D435+E435</f>
        <v>13440</v>
      </c>
      <c r="G435" s="79">
        <f t="shared" ref="G435:L435" si="162">ROUND((G$1124+G$1316)/($C$1124+$C$1316)*$C435,0)</f>
        <v>1697</v>
      </c>
      <c r="H435" s="79">
        <f t="shared" si="162"/>
        <v>1362</v>
      </c>
      <c r="I435" s="79">
        <f t="shared" si="162"/>
        <v>2069</v>
      </c>
      <c r="J435" s="79">
        <f t="shared" si="162"/>
        <v>49</v>
      </c>
      <c r="K435" s="79">
        <f t="shared" si="162"/>
        <v>8</v>
      </c>
      <c r="L435" s="79">
        <f t="shared" si="162"/>
        <v>2</v>
      </c>
      <c r="M435" s="79">
        <f>SUM(J435:L435)</f>
        <v>59</v>
      </c>
      <c r="N435" s="79">
        <f>ROUND((N$1124+N$1316)/($C$1124+$C$1316)*$C435,0)</f>
        <v>928</v>
      </c>
      <c r="O435" s="79">
        <f>SUM(F435:I435)+SUM(M435:N435)</f>
        <v>19555</v>
      </c>
      <c r="P435" s="79">
        <f>ROUND((P$1124+P$1316)/($C$1124+$C$1316)*$C435,0)</f>
        <v>1</v>
      </c>
      <c r="Q435" s="79">
        <f>ROUND((Q$1124+Q$1316)/($C$1124+$C$1316)*$C435,0)</f>
        <v>1</v>
      </c>
      <c r="R435" s="79">
        <f>P435+Q435</f>
        <v>2</v>
      </c>
      <c r="S435" s="79">
        <f>ROUND((S$1124+S$1316)/($C$1124+$C$1316)*$C435,0)</f>
        <v>0</v>
      </c>
      <c r="U435" s="80">
        <f>O435+R435+S435-C435</f>
        <v>0</v>
      </c>
      <c r="W435" s="81"/>
      <c r="X435" s="81"/>
      <c r="Y435" s="81"/>
      <c r="Z435" s="79"/>
      <c r="AF435" s="79"/>
      <c r="AJ435" s="66"/>
      <c r="AK435" s="70"/>
    </row>
    <row r="436" spans="1:37" hidden="1">
      <c r="A436" s="65">
        <f>A435+1</f>
        <v>47</v>
      </c>
      <c r="B436" s="66" t="s">
        <v>230</v>
      </c>
      <c r="C436" s="79">
        <f>ROUND((C$1123-C$851+C$1317)/(C$1121-C$851+C$1314)*(C$433),0)</f>
        <v>964</v>
      </c>
      <c r="D436" s="79">
        <f>C436-E436-SUM(G436:I436)-SUM(M436:N436)-R436-S436</f>
        <v>446</v>
      </c>
      <c r="E436" s="79">
        <f>ROUND((E$1123-E$851+E$1317)/($C$1123-$C$851+$C$1317)*$C436,0)</f>
        <v>17</v>
      </c>
      <c r="F436" s="79">
        <f>D436+E436</f>
        <v>463</v>
      </c>
      <c r="G436" s="79">
        <f t="shared" ref="G436:L436" si="163">ROUND((G$1123-G$851+G$1317)/($C$1123-$C$851+$C$1317)*$C436,0)</f>
        <v>25</v>
      </c>
      <c r="H436" s="79">
        <f t="shared" si="163"/>
        <v>224</v>
      </c>
      <c r="I436" s="79">
        <f t="shared" si="163"/>
        <v>151</v>
      </c>
      <c r="J436" s="79">
        <f t="shared" si="163"/>
        <v>81</v>
      </c>
      <c r="K436" s="79">
        <f t="shared" si="163"/>
        <v>4</v>
      </c>
      <c r="L436" s="79">
        <f t="shared" si="163"/>
        <v>3</v>
      </c>
      <c r="M436" s="79">
        <f>SUM(J436:L436)</f>
        <v>88</v>
      </c>
      <c r="N436" s="79">
        <f>ROUND((N$1123-N$851+N$1317)/($C$1123-$C$851+$C$1317)*$C436,0)</f>
        <v>13</v>
      </c>
      <c r="O436" s="79">
        <f>SUM(F436:I436)+SUM(M436:N436)</f>
        <v>964</v>
      </c>
      <c r="P436" s="79">
        <f>ROUND((P$1123-P$851+P$1317)/($C$1123-$C$851+$C$1317)*$C436,0)</f>
        <v>0</v>
      </c>
      <c r="Q436" s="79">
        <f>ROUND((Q$1123-Q$851+Q$1317)/($C$1123-$C$851+$C$1317)*$C436,0)</f>
        <v>0</v>
      </c>
      <c r="R436" s="79">
        <f>P436+Q436</f>
        <v>0</v>
      </c>
      <c r="S436" s="79">
        <f>ROUND((S$1123-S$851+S$1317)/($C$1123-$C$851+$C$1317)*$C436,0)</f>
        <v>0</v>
      </c>
      <c r="U436" s="80">
        <f>O436+R436+S436-C436</f>
        <v>0</v>
      </c>
      <c r="W436" s="81"/>
      <c r="X436" s="81"/>
      <c r="Y436" s="81"/>
      <c r="Z436" s="79"/>
      <c r="AF436" s="79"/>
      <c r="AJ436" s="66"/>
      <c r="AK436" s="70"/>
    </row>
    <row r="437" spans="1:37" hidden="1">
      <c r="A437" s="65">
        <f>A436+1</f>
        <v>48</v>
      </c>
      <c r="B437" s="66" t="s">
        <v>271</v>
      </c>
      <c r="C437" s="79">
        <f>ROUND((C$1125+C$1318)/(C$1121-C$851+C$1314)*(C$433),0)</f>
        <v>1389</v>
      </c>
      <c r="D437" s="79">
        <f>D433-D434-D435-D436</f>
        <v>756</v>
      </c>
      <c r="E437" s="79">
        <f>ROUND((E$1125+E$1318)/($C$1125+$C$1318)*$C437,0)</f>
        <v>24</v>
      </c>
      <c r="F437" s="79">
        <f>D437+E437</f>
        <v>780</v>
      </c>
      <c r="G437" s="79">
        <f t="shared" ref="G437:L437" si="164">ROUND((G$1125+G$1318)/($C$1125+$C$1318)*$C437,0)</f>
        <v>58</v>
      </c>
      <c r="H437" s="79">
        <f t="shared" si="164"/>
        <v>268</v>
      </c>
      <c r="I437" s="79">
        <f t="shared" si="164"/>
        <v>130</v>
      </c>
      <c r="J437" s="79">
        <f t="shared" si="164"/>
        <v>48</v>
      </c>
      <c r="K437" s="79">
        <f t="shared" si="164"/>
        <v>4</v>
      </c>
      <c r="L437" s="79">
        <f t="shared" si="164"/>
        <v>3</v>
      </c>
      <c r="M437" s="79">
        <f>SUM(J437:L437)</f>
        <v>55</v>
      </c>
      <c r="N437" s="79">
        <f>ROUND((N$1125+N$1318)/($C$1125+$C$1318)*$C437,0)</f>
        <v>38</v>
      </c>
      <c r="O437" s="79">
        <f>SUM(F437:I437)+SUM(M437:N437)</f>
        <v>1329</v>
      </c>
      <c r="P437" s="79">
        <f>ROUND((P$1125+P$1318)/($C$1125+$C$1318)*$C437,0)</f>
        <v>30</v>
      </c>
      <c r="Q437" s="79">
        <f>ROUND((Q$1125+Q$1318)/($C$1125+$C$1318)*$C437,0)</f>
        <v>30</v>
      </c>
      <c r="R437" s="79">
        <f>P437+Q437</f>
        <v>60</v>
      </c>
      <c r="S437" s="79">
        <f>ROUND((S$1125+S$1318)/($C$1125+$C$1318)*$C437,0)</f>
        <v>0</v>
      </c>
      <c r="U437" s="80">
        <f>O437+R437+S437-C437</f>
        <v>0</v>
      </c>
      <c r="W437" s="81"/>
      <c r="X437" s="81"/>
      <c r="Y437" s="81"/>
      <c r="Z437" s="79"/>
      <c r="AF437" s="79"/>
      <c r="AJ437" s="66"/>
      <c r="AK437" s="70"/>
    </row>
    <row r="438" spans="1:37" hidden="1"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U438" s="80"/>
      <c r="W438" s="81" t="str">
        <f>IF((P438+Q438)=0," ",ROUND((P438/(P438+Q438)),74))</f>
        <v xml:space="preserve"> </v>
      </c>
      <c r="X438" s="81" t="str">
        <f>IF((C438)=0," ",ROUND((P438/(C438)),74))</f>
        <v xml:space="preserve"> </v>
      </c>
      <c r="Y438" s="81" t="str">
        <f>IF((C438)=0," ",ROUND((R438/(C438)),7))</f>
        <v xml:space="preserve"> </v>
      </c>
      <c r="Z438" s="79"/>
      <c r="AF438" s="79"/>
      <c r="AJ438" s="66"/>
      <c r="AK438" s="65"/>
    </row>
    <row r="439" spans="1:37" hidden="1">
      <c r="A439" s="65">
        <f>A437+1</f>
        <v>49</v>
      </c>
      <c r="B439" s="66" t="s">
        <v>286</v>
      </c>
      <c r="C439" s="78">
        <f>-15323</f>
        <v>-15323</v>
      </c>
      <c r="D439" s="79">
        <f>C439-E439-SUM(G439:I439)-SUM(M439:N439)-R439-S439</f>
        <v>-7918</v>
      </c>
      <c r="E439" s="79">
        <f t="shared" ref="E439:N439" si="165">SUM(E440:E442)</f>
        <v>-223</v>
      </c>
      <c r="F439" s="79">
        <f>D439+E439</f>
        <v>-8141</v>
      </c>
      <c r="G439" s="79">
        <f t="shared" si="165"/>
        <v>-513</v>
      </c>
      <c r="H439" s="79">
        <f t="shared" si="165"/>
        <v>-2626</v>
      </c>
      <c r="I439" s="79">
        <f t="shared" si="165"/>
        <v>-1295</v>
      </c>
      <c r="J439" s="79">
        <f t="shared" si="165"/>
        <v>-557</v>
      </c>
      <c r="K439" s="79">
        <f t="shared" si="165"/>
        <v>-49</v>
      </c>
      <c r="L439" s="79">
        <f t="shared" si="165"/>
        <v>-22</v>
      </c>
      <c r="M439" s="79">
        <f>SUM(J439:L439)</f>
        <v>-628</v>
      </c>
      <c r="N439" s="79">
        <f t="shared" si="165"/>
        <v>-472</v>
      </c>
      <c r="O439" s="79">
        <f>SUM(F439:I439)+SUM(M439:N439)</f>
        <v>-13675</v>
      </c>
      <c r="P439" s="79">
        <f>SUM(P440:P442)</f>
        <v>-247</v>
      </c>
      <c r="Q439" s="79">
        <f>SUM(Q440:Q442)</f>
        <v>-28</v>
      </c>
      <c r="R439" s="79">
        <f>P439+Q439</f>
        <v>-275</v>
      </c>
      <c r="S439" s="79">
        <f>-1372-1</f>
        <v>-1373</v>
      </c>
      <c r="U439" s="80">
        <f>O439+R439+S439-C439</f>
        <v>0</v>
      </c>
      <c r="W439" s="81">
        <f>IF((O439+R439)=0," ",ROUND((O439/(O439+R439)),7))</f>
        <v>0.98028669999999996</v>
      </c>
      <c r="X439" s="81">
        <f>IF((C439)=0," ",ROUND((O439/(C439)),7))</f>
        <v>0.8924493</v>
      </c>
      <c r="Y439" s="81">
        <f>IF((C439)=0," ",ROUND((S439/(C439)),7))</f>
        <v>8.96039E-2</v>
      </c>
      <c r="Z439" s="79"/>
      <c r="AF439" s="79"/>
      <c r="AJ439" s="66"/>
      <c r="AK439" s="70"/>
    </row>
    <row r="440" spans="1:37" hidden="1">
      <c r="A440" s="65">
        <f>A439+1</f>
        <v>50</v>
      </c>
      <c r="B440" s="66" t="s">
        <v>229</v>
      </c>
      <c r="C440" s="79">
        <f>ROUND((C208-S208-C305+S305)/($C$207-$S$207-$C$304+$S$304)*($C$439-$S$439),0)+S440</f>
        <v>-12305</v>
      </c>
      <c r="D440" s="79">
        <f>C440-E440-SUM(G440:I440)-SUM(M440:N440)-R440-S440</f>
        <v>-5910</v>
      </c>
      <c r="E440" s="79">
        <f>ROUND((E208-E305)/($C208-$S208-$C305+$S305)*($C440-$S440),0)</f>
        <v>-163</v>
      </c>
      <c r="F440" s="79">
        <f>D440+E440</f>
        <v>-6073</v>
      </c>
      <c r="G440" s="79">
        <f t="shared" ref="G440:L442" si="166">ROUND((G208-G305)/($C208-$S208-$C305+$S305)*($C440-$S440),0)</f>
        <v>-301</v>
      </c>
      <c r="H440" s="79">
        <f t="shared" si="166"/>
        <v>-2388</v>
      </c>
      <c r="I440" s="79">
        <f t="shared" si="166"/>
        <v>-1228</v>
      </c>
      <c r="J440" s="79">
        <f t="shared" si="166"/>
        <v>-524</v>
      </c>
      <c r="K440" s="79">
        <f t="shared" si="166"/>
        <v>-48</v>
      </c>
      <c r="L440" s="79">
        <f t="shared" si="166"/>
        <v>-21</v>
      </c>
      <c r="M440" s="79">
        <f>SUM(J440:L440)</f>
        <v>-593</v>
      </c>
      <c r="N440" s="79">
        <f>ROUND((N208-N305)/($C208-$S208-$C305+$S305)*($C440-$S440),0)</f>
        <v>-74</v>
      </c>
      <c r="O440" s="79">
        <f>SUM(F440:I440)+SUM(M440:N440)</f>
        <v>-10657</v>
      </c>
      <c r="P440" s="79">
        <f t="shared" ref="P440:Q442" si="167">ROUND((P208-P305)/($C208-$S208-$C305+$S305)*($C440-$S440),0)</f>
        <v>-247</v>
      </c>
      <c r="Q440" s="79">
        <f t="shared" si="167"/>
        <v>-28</v>
      </c>
      <c r="R440" s="79">
        <f>P440+Q440</f>
        <v>-275</v>
      </c>
      <c r="S440" s="79">
        <f>S439</f>
        <v>-1373</v>
      </c>
      <c r="U440" s="80">
        <f>O440+R440+S440-C440</f>
        <v>0</v>
      </c>
      <c r="W440" s="81">
        <f>IF((O440+R440)=0," ",ROUND((O440/(O440+R440)),7))</f>
        <v>0.9748445</v>
      </c>
      <c r="X440" s="81">
        <f>IF((C440)=0," ",ROUND((O440/(C440)),7))</f>
        <v>0.86607069999999997</v>
      </c>
      <c r="Y440" s="81">
        <f>IF((C440)=0," ",ROUND((S440/(C440)),7))</f>
        <v>0.1115807</v>
      </c>
      <c r="Z440" s="79"/>
      <c r="AF440" s="79"/>
      <c r="AJ440" s="66"/>
      <c r="AK440" s="70"/>
    </row>
    <row r="441" spans="1:37" hidden="1">
      <c r="A441" s="65">
        <f>A440+1</f>
        <v>51</v>
      </c>
      <c r="B441" s="66" t="s">
        <v>253</v>
      </c>
      <c r="C441" s="79">
        <f>ROUND((C209-S209-C306+S306)/($C$207-$S$207-$C$304+$S$304)*($C$439-$S$439),0)+S441</f>
        <v>-2654</v>
      </c>
      <c r="D441" s="79">
        <f>C441-E441-SUM(G441:I441)-SUM(M441:N441)-R441-S441</f>
        <v>-1839</v>
      </c>
      <c r="E441" s="79">
        <f>ROUND((E209-E306)/($C209-$S209-$C306+$S306)*($C441-$S441),0)</f>
        <v>-54</v>
      </c>
      <c r="F441" s="79">
        <f>D441+E441</f>
        <v>-1893</v>
      </c>
      <c r="G441" s="79">
        <f t="shared" si="166"/>
        <v>-203</v>
      </c>
      <c r="H441" s="79">
        <f t="shared" si="166"/>
        <v>-153</v>
      </c>
      <c r="I441" s="79">
        <f t="shared" si="166"/>
        <v>-10</v>
      </c>
      <c r="J441" s="79">
        <f t="shared" si="166"/>
        <v>-2</v>
      </c>
      <c r="K441" s="79">
        <f t="shared" si="166"/>
        <v>0</v>
      </c>
      <c r="L441" s="79">
        <f t="shared" si="166"/>
        <v>0</v>
      </c>
      <c r="M441" s="79">
        <f>SUM(J441:L441)</f>
        <v>-2</v>
      </c>
      <c r="N441" s="79">
        <f>ROUND((N209-N306)/($C209-$S209-$C306+$S306)*($C441-$S441),0)</f>
        <v>-393</v>
      </c>
      <c r="O441" s="79">
        <f>SUM(F441:I441)+SUM(M441:N441)</f>
        <v>-2654</v>
      </c>
      <c r="P441" s="79">
        <f t="shared" si="167"/>
        <v>0</v>
      </c>
      <c r="Q441" s="79">
        <f t="shared" si="167"/>
        <v>0</v>
      </c>
      <c r="R441" s="79">
        <f>P441+Q441</f>
        <v>0</v>
      </c>
      <c r="S441" s="79">
        <v>0</v>
      </c>
      <c r="U441" s="80">
        <f>O441+R441+S441-C441</f>
        <v>0</v>
      </c>
      <c r="W441" s="81">
        <f>IF((O441+R441)=0," ",ROUND((O441/(O441+R441)),7))</f>
        <v>1</v>
      </c>
      <c r="X441" s="81">
        <f>IF((C441)=0," ",ROUND((O441/(C441)),7))</f>
        <v>1</v>
      </c>
      <c r="Y441" s="81">
        <f>IF((C441)=0," ",ROUND((S441/(C441)),7))</f>
        <v>0</v>
      </c>
      <c r="Z441" s="79"/>
      <c r="AF441" s="79"/>
      <c r="AJ441" s="66"/>
      <c r="AK441" s="70"/>
    </row>
    <row r="442" spans="1:37" hidden="1">
      <c r="A442" s="65">
        <f>A441+1</f>
        <v>52</v>
      </c>
      <c r="B442" s="66" t="s">
        <v>230</v>
      </c>
      <c r="C442" s="79">
        <f>ROUND((C210-S210-C307+S307)/($C$207-$S$207-$C$304+$S$304)*($C$439-$S$439),0)+S442</f>
        <v>-363</v>
      </c>
      <c r="D442" s="79">
        <f>C442-E442-SUM(G442:I442)-SUM(M442:N442)-R442-S442</f>
        <v>-168</v>
      </c>
      <c r="E442" s="79">
        <f>ROUND((E210-E307)/($C210-$S210-$C307+$S307)*($C442-$S442),0)</f>
        <v>-6</v>
      </c>
      <c r="F442" s="79">
        <f>D442+E442</f>
        <v>-174</v>
      </c>
      <c r="G442" s="79">
        <f t="shared" si="166"/>
        <v>-9</v>
      </c>
      <c r="H442" s="79">
        <f t="shared" si="166"/>
        <v>-85</v>
      </c>
      <c r="I442" s="79">
        <f t="shared" si="166"/>
        <v>-57</v>
      </c>
      <c r="J442" s="79">
        <f t="shared" si="166"/>
        <v>-31</v>
      </c>
      <c r="K442" s="79">
        <f t="shared" si="166"/>
        <v>-1</v>
      </c>
      <c r="L442" s="79">
        <f t="shared" si="166"/>
        <v>-1</v>
      </c>
      <c r="M442" s="79">
        <f>SUM(J442:L442)</f>
        <v>-33</v>
      </c>
      <c r="N442" s="79">
        <f>ROUND((N210-N307)/($C210-$S210-$C307+$S307)*($C442-$S442),0)</f>
        <v>-5</v>
      </c>
      <c r="O442" s="79">
        <f>SUM(F442:I442)+SUM(M442:N442)</f>
        <v>-363</v>
      </c>
      <c r="P442" s="79">
        <f t="shared" si="167"/>
        <v>0</v>
      </c>
      <c r="Q442" s="79">
        <f t="shared" si="167"/>
        <v>0</v>
      </c>
      <c r="R442" s="79">
        <f>P442+Q442</f>
        <v>0</v>
      </c>
      <c r="S442" s="79">
        <f>S439-S440-S441</f>
        <v>0</v>
      </c>
      <c r="U442" s="80">
        <f>O442+R442+S442-C442</f>
        <v>0</v>
      </c>
      <c r="W442" s="81">
        <f>IF((O442+R442)=0," ",ROUND((O442/(O442+R442)),7))</f>
        <v>1</v>
      </c>
      <c r="X442" s="81">
        <f>IF((C442)=0," ",ROUND((O442/(C442)),7))</f>
        <v>1</v>
      </c>
      <c r="Y442" s="81">
        <f>IF((C442)=0," ",ROUND((S442/(C442)),7))</f>
        <v>0</v>
      </c>
      <c r="Z442" s="79"/>
      <c r="AF442" s="79"/>
      <c r="AJ442" s="66"/>
      <c r="AK442" s="70"/>
    </row>
    <row r="443" spans="1:37" hidden="1"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U443" s="80"/>
      <c r="W443" s="81" t="str">
        <f>IF((P443+Q443)=0," ",ROUND((P443/(P443+Q443)),74))</f>
        <v xml:space="preserve"> </v>
      </c>
      <c r="X443" s="81" t="str">
        <f>IF((C443)=0," ",ROUND((P443/(C443)),74))</f>
        <v xml:space="preserve"> </v>
      </c>
      <c r="Y443" s="81" t="str">
        <f>IF((C443)=0," ",ROUND((R443/(C443)),7))</f>
        <v xml:space="preserve"> </v>
      </c>
      <c r="Z443" s="79"/>
      <c r="AF443" s="79"/>
      <c r="AJ443" s="66"/>
      <c r="AK443" s="65"/>
    </row>
    <row r="444" spans="1:37" hidden="1">
      <c r="B444" s="71" t="s">
        <v>287</v>
      </c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U444" s="80"/>
      <c r="W444" s="81"/>
      <c r="X444" s="81"/>
      <c r="Y444" s="81"/>
      <c r="Z444" s="79"/>
      <c r="AF444" s="79"/>
      <c r="AJ444" s="66"/>
      <c r="AK444" s="65"/>
    </row>
    <row r="445" spans="1:37" hidden="1">
      <c r="A445" s="65">
        <f>A442+1</f>
        <v>53</v>
      </c>
      <c r="B445" s="66" t="s">
        <v>274</v>
      </c>
      <c r="C445" s="78">
        <f>C2247</f>
        <v>-30696</v>
      </c>
      <c r="D445" s="79">
        <f t="shared" ref="D445:I445" si="168">SUM(D447:D448)</f>
        <v>-15970</v>
      </c>
      <c r="E445" s="79">
        <f>SUM(E447:E448)</f>
        <v>-422</v>
      </c>
      <c r="F445" s="79">
        <f t="shared" ref="F445:F456" si="169">D445+E445</f>
        <v>-16392</v>
      </c>
      <c r="G445" s="79">
        <f t="shared" si="168"/>
        <v>-805</v>
      </c>
      <c r="H445" s="79">
        <f t="shared" si="168"/>
        <v>-6566</v>
      </c>
      <c r="I445" s="79">
        <f t="shared" si="168"/>
        <v>-3862</v>
      </c>
      <c r="J445" s="79">
        <f>SUM(J447:J448)</f>
        <v>-1699</v>
      </c>
      <c r="K445" s="79">
        <f>SUM(K447:K448)</f>
        <v>-118</v>
      </c>
      <c r="L445" s="79">
        <f>SUM(L447:L448)</f>
        <v>-69</v>
      </c>
      <c r="M445" s="79">
        <f t="shared" ref="M445:M456" si="170">SUM(J445:L445)</f>
        <v>-1886</v>
      </c>
      <c r="N445" s="79">
        <f>SUM(N447:N448)</f>
        <v>-148</v>
      </c>
      <c r="O445" s="79">
        <v>-29659</v>
      </c>
      <c r="P445" s="79">
        <v>-930</v>
      </c>
      <c r="Q445" s="79">
        <v>-107</v>
      </c>
      <c r="R445" s="79">
        <f>P445+Q445</f>
        <v>-1037</v>
      </c>
      <c r="S445" s="78">
        <v>0</v>
      </c>
      <c r="U445" s="80">
        <f>O445+R445+S445-C445</f>
        <v>0</v>
      </c>
      <c r="W445" s="81">
        <f>IF((O445+R445)=0," ",ROUND((O445/(O445+R445)),7))</f>
        <v>0.96621710000000005</v>
      </c>
      <c r="X445" s="81">
        <f>IF((C445)=0," ",ROUND((O445/(C445)),7))</f>
        <v>0.96621710000000005</v>
      </c>
      <c r="Y445" s="81">
        <f>IF((C445)=0," ",ROUND((S445/(C445)),7))</f>
        <v>0</v>
      </c>
      <c r="Z445" s="79"/>
      <c r="AF445" s="79"/>
      <c r="AJ445" s="66"/>
      <c r="AK445" s="70"/>
    </row>
    <row r="446" spans="1:37" hidden="1">
      <c r="B446" s="66" t="s">
        <v>275</v>
      </c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U446" s="80"/>
      <c r="W446" s="81" t="str">
        <f>IF((P446+Q446)=0," ",ROUND((P446/(P446+Q446)),74))</f>
        <v xml:space="preserve"> </v>
      </c>
      <c r="X446" s="81" t="str">
        <f>IF((C446)=0," ",ROUND((P446/(C446)),74))</f>
        <v xml:space="preserve"> </v>
      </c>
      <c r="Y446" s="81" t="str">
        <f>IF((C446)=0," ",ROUND((R446/(C446)),7))</f>
        <v xml:space="preserve"> </v>
      </c>
      <c r="Z446" s="79"/>
      <c r="AF446" s="79"/>
      <c r="AJ446" s="66"/>
      <c r="AK446" s="65"/>
    </row>
    <row r="447" spans="1:37" hidden="1">
      <c r="A447" s="65">
        <f>A445+1</f>
        <v>54</v>
      </c>
      <c r="B447" s="66" t="s">
        <v>39</v>
      </c>
      <c r="C447" s="79"/>
      <c r="D447" s="79">
        <f>O447-E447-SUM(G447:I447)-SUM(M447:N447)</f>
        <v>-14913</v>
      </c>
      <c r="E447" s="79">
        <v>-382</v>
      </c>
      <c r="F447" s="79">
        <f t="shared" si="169"/>
        <v>-15295</v>
      </c>
      <c r="G447" s="79">
        <v>-747</v>
      </c>
      <c r="H447" s="79">
        <v>-6035</v>
      </c>
      <c r="I447" s="79">
        <v>-3506</v>
      </c>
      <c r="J447" s="79">
        <v>-1507</v>
      </c>
      <c r="K447" s="79">
        <v>-109</v>
      </c>
      <c r="L447" s="79">
        <v>-62</v>
      </c>
      <c r="M447" s="79">
        <f t="shared" si="170"/>
        <v>-1678</v>
      </c>
      <c r="N447" s="79">
        <v>-117</v>
      </c>
      <c r="O447" s="79">
        <v>-27378</v>
      </c>
      <c r="P447" s="79"/>
      <c r="Q447" s="79"/>
      <c r="R447" s="79"/>
      <c r="S447" s="79"/>
      <c r="U447" s="80"/>
      <c r="W447" s="81">
        <f>IF((O447+R447)=0," ",ROUND((O447/(O447+R447)),7))</f>
        <v>1</v>
      </c>
      <c r="X447" s="81" t="str">
        <f>IF((C447)=0," ",ROUND((O447/(C447)),7))</f>
        <v xml:space="preserve"> </v>
      </c>
      <c r="Y447" s="81" t="str">
        <f>IF((C447)=0," ",ROUND((S447/(C447)),7))</f>
        <v xml:space="preserve"> </v>
      </c>
      <c r="Z447" s="79"/>
      <c r="AF447" s="79"/>
      <c r="AJ447" s="66"/>
      <c r="AK447" s="70"/>
    </row>
    <row r="448" spans="1:37" hidden="1">
      <c r="A448" s="65">
        <f t="shared" ref="A448:A456" si="171">A447+1</f>
        <v>55</v>
      </c>
      <c r="B448" s="66" t="s">
        <v>168</v>
      </c>
      <c r="C448" s="79"/>
      <c r="D448" s="79">
        <f>O448-E448-SUM(G448:I448)-SUM(M448:N448)</f>
        <v>-1057</v>
      </c>
      <c r="E448" s="79">
        <v>-40</v>
      </c>
      <c r="F448" s="79">
        <f t="shared" si="169"/>
        <v>-1097</v>
      </c>
      <c r="G448" s="79">
        <v>-58</v>
      </c>
      <c r="H448" s="79">
        <v>-531</v>
      </c>
      <c r="I448" s="79">
        <v>-356</v>
      </c>
      <c r="J448" s="79">
        <v>-192</v>
      </c>
      <c r="K448" s="79">
        <v>-9</v>
      </c>
      <c r="L448" s="79">
        <v>-7</v>
      </c>
      <c r="M448" s="79">
        <f t="shared" si="170"/>
        <v>-208</v>
      </c>
      <c r="N448" s="79">
        <v>-31</v>
      </c>
      <c r="O448" s="79">
        <f>O445-O447</f>
        <v>-2281</v>
      </c>
      <c r="P448" s="79"/>
      <c r="Q448" s="79"/>
      <c r="R448" s="79"/>
      <c r="S448" s="79"/>
      <c r="U448" s="80"/>
      <c r="W448" s="81">
        <f>IF((O448+R448)=0," ",ROUND((O448/(O448+R448)),7))</f>
        <v>1</v>
      </c>
      <c r="X448" s="81" t="str">
        <f>IF((C448)=0," ",ROUND((O448/(C448)),7))</f>
        <v xml:space="preserve"> </v>
      </c>
      <c r="Y448" s="81" t="str">
        <f>IF((C448)=0," ",ROUND((S448/(C448)),7))</f>
        <v xml:space="preserve"> </v>
      </c>
      <c r="Z448" s="79"/>
      <c r="AF448" s="79"/>
      <c r="AJ448" s="66"/>
      <c r="AK448" s="70"/>
    </row>
    <row r="449" spans="1:37" hidden="1">
      <c r="A449" s="65">
        <f t="shared" si="171"/>
        <v>56</v>
      </c>
      <c r="B449" s="66" t="s">
        <v>276</v>
      </c>
      <c r="C449" s="78">
        <f>C2248</f>
        <v>-2671</v>
      </c>
      <c r="D449" s="79">
        <f t="shared" ref="D449:D456" si="172">C449-E449-SUM(G449:I449)-SUM(M449:N449)-R449-S449</f>
        <v>-1407</v>
      </c>
      <c r="E449" s="79">
        <v>-36</v>
      </c>
      <c r="F449" s="79">
        <f t="shared" si="169"/>
        <v>-1443</v>
      </c>
      <c r="G449" s="79">
        <v>-70</v>
      </c>
      <c r="H449" s="79">
        <v>-570</v>
      </c>
      <c r="I449" s="79">
        <v>-330</v>
      </c>
      <c r="J449" s="79">
        <v>-142</v>
      </c>
      <c r="K449" s="79">
        <v>-10</v>
      </c>
      <c r="L449" s="79">
        <v>-6</v>
      </c>
      <c r="M449" s="79">
        <f t="shared" si="170"/>
        <v>-158</v>
      </c>
      <c r="N449" s="79">
        <v>-11</v>
      </c>
      <c r="O449" s="79">
        <f t="shared" ref="O449:O456" si="173">SUM(F449:I449)+SUM(M449:N449)</f>
        <v>-2582</v>
      </c>
      <c r="P449" s="79">
        <v>-79</v>
      </c>
      <c r="Q449" s="79">
        <v>-10</v>
      </c>
      <c r="R449" s="79">
        <f t="shared" ref="R449:R456" si="174">P449+Q449</f>
        <v>-89</v>
      </c>
      <c r="S449" s="78">
        <v>0</v>
      </c>
      <c r="U449" s="80">
        <f t="shared" ref="U449:U456" si="175">O449+R449+S449-C449</f>
        <v>0</v>
      </c>
      <c r="W449" s="81">
        <f t="shared" ref="W449:W460" si="176">IF((O449+R449)=0," ",ROUND((O449/(O449+R449)),7))</f>
        <v>0.96667910000000001</v>
      </c>
      <c r="X449" s="81">
        <f t="shared" ref="X449:X460" si="177">IF((C449)=0," ",ROUND((O449/(C449)),7))</f>
        <v>0.96667910000000001</v>
      </c>
      <c r="Y449" s="81">
        <f t="shared" ref="Y449:Y460" si="178">IF((C449)=0," ",ROUND((S449/(C449)),7))</f>
        <v>0</v>
      </c>
      <c r="Z449" s="79"/>
      <c r="AF449" s="79"/>
      <c r="AJ449" s="66"/>
      <c r="AK449" s="70"/>
    </row>
    <row r="450" spans="1:37" hidden="1">
      <c r="A450" s="65">
        <f t="shared" si="171"/>
        <v>57</v>
      </c>
      <c r="B450" s="66" t="s">
        <v>277</v>
      </c>
      <c r="C450" s="78">
        <f>C2249</f>
        <v>-13383</v>
      </c>
      <c r="D450" s="79">
        <f t="shared" si="172"/>
        <v>-8600</v>
      </c>
      <c r="E450" s="79">
        <v>-243</v>
      </c>
      <c r="F450" s="79">
        <f t="shared" si="169"/>
        <v>-8843</v>
      </c>
      <c r="G450" s="79">
        <v>-736</v>
      </c>
      <c r="H450" s="79">
        <v>-2020</v>
      </c>
      <c r="I450" s="79">
        <v>-658</v>
      </c>
      <c r="J450" s="79">
        <v>-239</v>
      </c>
      <c r="K450" s="79">
        <v>-46</v>
      </c>
      <c r="L450" s="79">
        <v>-11</v>
      </c>
      <c r="M450" s="79">
        <f t="shared" si="170"/>
        <v>-296</v>
      </c>
      <c r="N450" s="79">
        <v>-810</v>
      </c>
      <c r="O450" s="79">
        <f t="shared" si="173"/>
        <v>-13363</v>
      </c>
      <c r="P450" s="79">
        <v>-18</v>
      </c>
      <c r="Q450" s="79">
        <v>-2</v>
      </c>
      <c r="R450" s="79">
        <f t="shared" si="174"/>
        <v>-20</v>
      </c>
      <c r="S450" s="79">
        <v>0</v>
      </c>
      <c r="U450" s="80">
        <f t="shared" si="175"/>
        <v>0</v>
      </c>
      <c r="W450" s="81">
        <f t="shared" si="176"/>
        <v>0.99850559999999999</v>
      </c>
      <c r="X450" s="81">
        <f t="shared" si="177"/>
        <v>0.99850559999999999</v>
      </c>
      <c r="Y450" s="81">
        <f t="shared" si="178"/>
        <v>0</v>
      </c>
      <c r="Z450" s="79"/>
      <c r="AF450" s="79"/>
      <c r="AJ450" s="66"/>
      <c r="AK450" s="70"/>
    </row>
    <row r="451" spans="1:37" hidden="1">
      <c r="A451" s="65">
        <f t="shared" si="171"/>
        <v>58</v>
      </c>
      <c r="B451" s="66" t="s">
        <v>39</v>
      </c>
      <c r="C451" s="79">
        <v>-7120</v>
      </c>
      <c r="D451" s="79">
        <f t="shared" si="172"/>
        <v>-4085</v>
      </c>
      <c r="E451" s="79">
        <v>-130</v>
      </c>
      <c r="F451" s="79">
        <f t="shared" si="169"/>
        <v>-4215</v>
      </c>
      <c r="G451" s="79">
        <v>-216</v>
      </c>
      <c r="H451" s="79">
        <v>-1645</v>
      </c>
      <c r="I451" s="79">
        <v>-636</v>
      </c>
      <c r="J451" s="79">
        <v>-238</v>
      </c>
      <c r="K451" s="79">
        <v>-46</v>
      </c>
      <c r="L451" s="79">
        <v>-11</v>
      </c>
      <c r="M451" s="79">
        <f t="shared" si="170"/>
        <v>-295</v>
      </c>
      <c r="N451" s="79">
        <v>-93</v>
      </c>
      <c r="O451" s="79">
        <f t="shared" si="173"/>
        <v>-7100</v>
      </c>
      <c r="P451" s="79">
        <v>-18</v>
      </c>
      <c r="Q451" s="79">
        <v>-2</v>
      </c>
      <c r="R451" s="79">
        <f t="shared" si="174"/>
        <v>-20</v>
      </c>
      <c r="S451" s="79">
        <v>0</v>
      </c>
      <c r="U451" s="80">
        <f t="shared" si="175"/>
        <v>0</v>
      </c>
      <c r="W451" s="81">
        <f t="shared" si="176"/>
        <v>0.99719100000000005</v>
      </c>
      <c r="X451" s="81">
        <f t="shared" si="177"/>
        <v>0.99719100000000005</v>
      </c>
      <c r="Y451" s="81">
        <f t="shared" si="178"/>
        <v>0</v>
      </c>
      <c r="Z451" s="79"/>
      <c r="AF451" s="79"/>
      <c r="AJ451" s="66"/>
      <c r="AK451" s="70"/>
    </row>
    <row r="452" spans="1:37" hidden="1">
      <c r="A452" s="65">
        <f t="shared" si="171"/>
        <v>59</v>
      </c>
      <c r="B452" s="66" t="s">
        <v>44</v>
      </c>
      <c r="C452" s="79">
        <v>-6263</v>
      </c>
      <c r="D452" s="79">
        <f>C452-E452-SUM(G452:I452)-SUM(M452:N452)-R452-S452</f>
        <v>-4513</v>
      </c>
      <c r="E452" s="79">
        <v>-113</v>
      </c>
      <c r="F452" s="79">
        <f t="shared" si="169"/>
        <v>-4626</v>
      </c>
      <c r="G452" s="79">
        <v>-520</v>
      </c>
      <c r="H452" s="79">
        <v>-375</v>
      </c>
      <c r="I452" s="79">
        <v>-22</v>
      </c>
      <c r="J452" s="79">
        <v>-2</v>
      </c>
      <c r="K452" s="79">
        <v>0</v>
      </c>
      <c r="L452" s="79">
        <v>0</v>
      </c>
      <c r="M452" s="79">
        <f t="shared" si="170"/>
        <v>-2</v>
      </c>
      <c r="N452" s="79">
        <v>-718</v>
      </c>
      <c r="O452" s="79">
        <f t="shared" si="173"/>
        <v>-6263</v>
      </c>
      <c r="P452" s="79">
        <v>0</v>
      </c>
      <c r="Q452" s="79">
        <v>0</v>
      </c>
      <c r="R452" s="79">
        <f t="shared" si="174"/>
        <v>0</v>
      </c>
      <c r="S452" s="79">
        <v>0</v>
      </c>
      <c r="U452" s="80">
        <f t="shared" si="175"/>
        <v>0</v>
      </c>
      <c r="W452" s="81">
        <f t="shared" si="176"/>
        <v>1</v>
      </c>
      <c r="X452" s="81">
        <f t="shared" si="177"/>
        <v>1</v>
      </c>
      <c r="Y452" s="81">
        <f t="shared" si="178"/>
        <v>0</v>
      </c>
      <c r="Z452" s="79"/>
      <c r="AF452" s="79"/>
      <c r="AJ452" s="66"/>
      <c r="AK452" s="70"/>
    </row>
    <row r="453" spans="1:37" hidden="1">
      <c r="A453" s="65">
        <f t="shared" si="171"/>
        <v>60</v>
      </c>
      <c r="B453" s="66" t="s">
        <v>278</v>
      </c>
      <c r="C453" s="78">
        <f>C2250</f>
        <v>-8136</v>
      </c>
      <c r="D453" s="79">
        <f t="shared" si="172"/>
        <v>-6858</v>
      </c>
      <c r="E453" s="79">
        <v>-191</v>
      </c>
      <c r="F453" s="79">
        <f t="shared" si="169"/>
        <v>-7049</v>
      </c>
      <c r="G453" s="79">
        <v>-561</v>
      </c>
      <c r="H453" s="79">
        <v>-338</v>
      </c>
      <c r="I453" s="79">
        <v>-7</v>
      </c>
      <c r="J453" s="79">
        <v>-2</v>
      </c>
      <c r="K453" s="79">
        <v>-2</v>
      </c>
      <c r="L453" s="79">
        <v>-1</v>
      </c>
      <c r="M453" s="79">
        <f t="shared" si="170"/>
        <v>-5</v>
      </c>
      <c r="N453" s="79">
        <v>-174</v>
      </c>
      <c r="O453" s="79">
        <f t="shared" si="173"/>
        <v>-8134</v>
      </c>
      <c r="P453" s="79">
        <v>-1</v>
      </c>
      <c r="Q453" s="79">
        <v>-1</v>
      </c>
      <c r="R453" s="79">
        <f t="shared" si="174"/>
        <v>-2</v>
      </c>
      <c r="S453" s="79">
        <f>D2250</f>
        <v>0</v>
      </c>
      <c r="U453" s="80">
        <f t="shared" si="175"/>
        <v>0</v>
      </c>
      <c r="W453" s="81">
        <f t="shared" si="176"/>
        <v>0.99975420000000004</v>
      </c>
      <c r="X453" s="81">
        <f t="shared" si="177"/>
        <v>0.99975420000000004</v>
      </c>
      <c r="Y453" s="81">
        <f t="shared" si="178"/>
        <v>0</v>
      </c>
      <c r="Z453" s="79"/>
      <c r="AF453" s="79"/>
      <c r="AJ453" s="66"/>
      <c r="AK453" s="70"/>
    </row>
    <row r="454" spans="1:37" hidden="1">
      <c r="A454" s="65">
        <f t="shared" si="171"/>
        <v>61</v>
      </c>
      <c r="B454" s="66" t="s">
        <v>283</v>
      </c>
      <c r="C454" s="78">
        <f>C2251</f>
        <v>-8820</v>
      </c>
      <c r="D454" s="79">
        <f t="shared" si="172"/>
        <v>-5706</v>
      </c>
      <c r="E454" s="79">
        <v>-158</v>
      </c>
      <c r="F454" s="79">
        <f t="shared" si="169"/>
        <v>-5864</v>
      </c>
      <c r="G454" s="79">
        <v>-1327</v>
      </c>
      <c r="H454" s="79">
        <v>-1295</v>
      </c>
      <c r="I454" s="79">
        <v>-237</v>
      </c>
      <c r="J454" s="79">
        <v>-83</v>
      </c>
      <c r="K454" s="79">
        <v>-11</v>
      </c>
      <c r="L454" s="79">
        <v>-3</v>
      </c>
      <c r="M454" s="79">
        <f t="shared" si="170"/>
        <v>-97</v>
      </c>
      <c r="N454" s="79">
        <v>0</v>
      </c>
      <c r="O454" s="79">
        <f t="shared" si="173"/>
        <v>-8820</v>
      </c>
      <c r="P454" s="79">
        <v>0</v>
      </c>
      <c r="Q454" s="79">
        <v>0</v>
      </c>
      <c r="R454" s="79">
        <f t="shared" si="174"/>
        <v>0</v>
      </c>
      <c r="S454" s="79">
        <f>D2251</f>
        <v>0</v>
      </c>
      <c r="U454" s="80">
        <f t="shared" si="175"/>
        <v>0</v>
      </c>
      <c r="W454" s="81">
        <f t="shared" si="176"/>
        <v>1</v>
      </c>
      <c r="X454" s="81">
        <f t="shared" si="177"/>
        <v>1</v>
      </c>
      <c r="Y454" s="81">
        <f t="shared" si="178"/>
        <v>0</v>
      </c>
      <c r="Z454" s="79"/>
      <c r="AF454" s="79"/>
      <c r="AJ454" s="66"/>
      <c r="AK454" s="70"/>
    </row>
    <row r="455" spans="1:37" hidden="1">
      <c r="A455" s="65">
        <f t="shared" si="171"/>
        <v>62</v>
      </c>
      <c r="B455" s="66" t="s">
        <v>44</v>
      </c>
      <c r="C455" s="79">
        <v>-8820</v>
      </c>
      <c r="D455" s="79">
        <f>C455-E455-SUM(G455:I455)-SUM(M455:N455)-R455-S455</f>
        <v>-5706</v>
      </c>
      <c r="E455" s="79">
        <v>-158</v>
      </c>
      <c r="F455" s="79">
        <f t="shared" si="169"/>
        <v>-5864</v>
      </c>
      <c r="G455" s="79">
        <v>-1327</v>
      </c>
      <c r="H455" s="79">
        <v>-1295</v>
      </c>
      <c r="I455" s="79">
        <v>-237</v>
      </c>
      <c r="J455" s="79">
        <v>-83</v>
      </c>
      <c r="K455" s="79">
        <v>-11</v>
      </c>
      <c r="L455" s="79">
        <v>-3</v>
      </c>
      <c r="M455" s="79">
        <f t="shared" si="170"/>
        <v>-97</v>
      </c>
      <c r="N455" s="79">
        <v>0</v>
      </c>
      <c r="O455" s="79">
        <f t="shared" si="173"/>
        <v>-8820</v>
      </c>
      <c r="P455" s="79">
        <v>0</v>
      </c>
      <c r="Q455" s="79">
        <v>0</v>
      </c>
      <c r="R455" s="79">
        <f t="shared" si="174"/>
        <v>0</v>
      </c>
      <c r="S455" s="79">
        <f>S454-S456</f>
        <v>0</v>
      </c>
      <c r="U455" s="80">
        <f t="shared" si="175"/>
        <v>0</v>
      </c>
      <c r="W455" s="81">
        <f t="shared" si="176"/>
        <v>1</v>
      </c>
      <c r="X455" s="81">
        <f t="shared" si="177"/>
        <v>1</v>
      </c>
      <c r="Y455" s="81">
        <f t="shared" si="178"/>
        <v>0</v>
      </c>
      <c r="Z455" s="79"/>
      <c r="AF455" s="79"/>
      <c r="AJ455" s="66"/>
      <c r="AK455" s="70"/>
    </row>
    <row r="456" spans="1:37" hidden="1">
      <c r="A456" s="65">
        <f t="shared" si="171"/>
        <v>63</v>
      </c>
      <c r="B456" s="66" t="s">
        <v>168</v>
      </c>
      <c r="C456" s="79">
        <v>0</v>
      </c>
      <c r="D456" s="79">
        <f t="shared" si="172"/>
        <v>0</v>
      </c>
      <c r="E456" s="79">
        <v>0</v>
      </c>
      <c r="F456" s="79">
        <f t="shared" si="169"/>
        <v>0</v>
      </c>
      <c r="G456" s="79">
        <v>0</v>
      </c>
      <c r="H456" s="79">
        <v>0</v>
      </c>
      <c r="I456" s="79">
        <v>0</v>
      </c>
      <c r="J456" s="79">
        <v>0</v>
      </c>
      <c r="K456" s="79">
        <v>0</v>
      </c>
      <c r="L456" s="79">
        <v>0</v>
      </c>
      <c r="M456" s="79">
        <f t="shared" si="170"/>
        <v>0</v>
      </c>
      <c r="N456" s="79">
        <v>0</v>
      </c>
      <c r="O456" s="79">
        <f t="shared" si="173"/>
        <v>0</v>
      </c>
      <c r="P456" s="79">
        <v>0</v>
      </c>
      <c r="Q456" s="79">
        <v>0</v>
      </c>
      <c r="R456" s="79">
        <f t="shared" si="174"/>
        <v>0</v>
      </c>
      <c r="S456" s="79">
        <v>0</v>
      </c>
      <c r="U456" s="80">
        <f t="shared" si="175"/>
        <v>0</v>
      </c>
      <c r="W456" s="81" t="str">
        <f t="shared" si="176"/>
        <v xml:space="preserve"> </v>
      </c>
      <c r="X456" s="81" t="str">
        <f t="shared" si="177"/>
        <v xml:space="preserve"> </v>
      </c>
      <c r="Y456" s="81" t="str">
        <f t="shared" si="178"/>
        <v xml:space="preserve"> </v>
      </c>
      <c r="Z456" s="79"/>
      <c r="AF456" s="79"/>
      <c r="AJ456" s="66"/>
      <c r="AK456" s="70"/>
    </row>
    <row r="457" spans="1:37" hidden="1">
      <c r="A457" s="65">
        <f>A456+1</f>
        <v>64</v>
      </c>
      <c r="B457" s="71" t="s">
        <v>288</v>
      </c>
      <c r="C457" s="79">
        <f>O457+R457+S457</f>
        <v>-63706</v>
      </c>
      <c r="D457" s="79">
        <f>SUM(D458:D460)</f>
        <v>-38539</v>
      </c>
      <c r="E457" s="79">
        <f>SUM(E458:E460)</f>
        <v>-1050</v>
      </c>
      <c r="F457" s="79">
        <f>D457+E457</f>
        <v>-39589</v>
      </c>
      <c r="G457" s="79">
        <f t="shared" ref="G457:L457" si="179">SUM(G458:G460)</f>
        <v>-3499</v>
      </c>
      <c r="H457" s="79">
        <f t="shared" si="179"/>
        <v>-10789</v>
      </c>
      <c r="I457" s="79">
        <f t="shared" si="179"/>
        <v>-5094</v>
      </c>
      <c r="J457" s="79">
        <f t="shared" si="179"/>
        <v>-2166</v>
      </c>
      <c r="K457" s="79">
        <f t="shared" si="179"/>
        <v>-187</v>
      </c>
      <c r="L457" s="79">
        <f t="shared" si="179"/>
        <v>-90</v>
      </c>
      <c r="M457" s="79">
        <f>SUM(J457:L457)</f>
        <v>-2443</v>
      </c>
      <c r="N457" s="79">
        <f>SUM(N458:N460)</f>
        <v>-1144</v>
      </c>
      <c r="O457" s="79">
        <f>SUM(F457:I457)+SUM(M457:N457)</f>
        <v>-62558</v>
      </c>
      <c r="P457" s="79">
        <f>SUM(P458:P460)</f>
        <v>-1028</v>
      </c>
      <c r="Q457" s="79">
        <f>SUM(Q458:Q460)</f>
        <v>-120</v>
      </c>
      <c r="R457" s="79">
        <f>P457+Q457</f>
        <v>-1148</v>
      </c>
      <c r="S457" s="79">
        <f>SUM(S458:S460)</f>
        <v>0</v>
      </c>
      <c r="U457" s="80">
        <f>O457+R457+S457-C457</f>
        <v>0</v>
      </c>
      <c r="W457" s="81">
        <f t="shared" si="176"/>
        <v>0.98197970000000001</v>
      </c>
      <c r="X457" s="81">
        <f t="shared" si="177"/>
        <v>0.98197970000000001</v>
      </c>
      <c r="Y457" s="81">
        <f t="shared" si="178"/>
        <v>0</v>
      </c>
      <c r="AJ457" s="66"/>
    </row>
    <row r="458" spans="1:37" hidden="1">
      <c r="A458" s="65">
        <f>A457+1</f>
        <v>65</v>
      </c>
      <c r="B458" s="66" t="s">
        <v>229</v>
      </c>
      <c r="C458" s="79">
        <f>O458+R458+S458</f>
        <v>-38206</v>
      </c>
      <c r="D458" s="79">
        <f>D447+D449+D451</f>
        <v>-20405</v>
      </c>
      <c r="E458" s="79">
        <f>E447+E449+E451</f>
        <v>-548</v>
      </c>
      <c r="F458" s="79">
        <f>D458+E458</f>
        <v>-20953</v>
      </c>
      <c r="G458" s="79">
        <f t="shared" ref="G458:L458" si="180">G447+G449+G451</f>
        <v>-1033</v>
      </c>
      <c r="H458" s="79">
        <f t="shared" si="180"/>
        <v>-8250</v>
      </c>
      <c r="I458" s="79">
        <f t="shared" si="180"/>
        <v>-4472</v>
      </c>
      <c r="J458" s="79">
        <f t="shared" si="180"/>
        <v>-1887</v>
      </c>
      <c r="K458" s="79">
        <f t="shared" si="180"/>
        <v>-165</v>
      </c>
      <c r="L458" s="79">
        <f t="shared" si="180"/>
        <v>-79</v>
      </c>
      <c r="M458" s="79">
        <f>SUM(J458:L458)</f>
        <v>-2131</v>
      </c>
      <c r="N458" s="79">
        <f>N447+N449+N451</f>
        <v>-221</v>
      </c>
      <c r="O458" s="79">
        <f>SUM(F458:I458)+SUM(M458:N458)</f>
        <v>-37060</v>
      </c>
      <c r="P458" s="79">
        <f>P445+P449+P451</f>
        <v>-1027</v>
      </c>
      <c r="Q458" s="79">
        <f>Q445+Q449+Q451</f>
        <v>-119</v>
      </c>
      <c r="R458" s="79">
        <f>P458+Q458</f>
        <v>-1146</v>
      </c>
      <c r="S458" s="79">
        <f>S445+S449+S451</f>
        <v>0</v>
      </c>
      <c r="U458" s="80">
        <f>O458+R458+S458-C458</f>
        <v>0</v>
      </c>
      <c r="W458" s="81">
        <f t="shared" si="176"/>
        <v>0.97000470000000005</v>
      </c>
      <c r="X458" s="81">
        <f t="shared" si="177"/>
        <v>0.97000470000000005</v>
      </c>
      <c r="Y458" s="81">
        <f t="shared" si="178"/>
        <v>0</v>
      </c>
      <c r="AJ458" s="66"/>
    </row>
    <row r="459" spans="1:37" hidden="1">
      <c r="A459" s="65">
        <f>A458+1</f>
        <v>66</v>
      </c>
      <c r="B459" s="66" t="s">
        <v>253</v>
      </c>
      <c r="C459" s="79">
        <f>O459+R459+S459</f>
        <v>-23219</v>
      </c>
      <c r="D459" s="79">
        <f>D452+D455+D453</f>
        <v>-17077</v>
      </c>
      <c r="E459" s="79">
        <f>E452+E455+E453</f>
        <v>-462</v>
      </c>
      <c r="F459" s="79">
        <f>D459+E459</f>
        <v>-17539</v>
      </c>
      <c r="G459" s="79">
        <f t="shared" ref="G459:L459" si="181">G452+G455+G453</f>
        <v>-2408</v>
      </c>
      <c r="H459" s="79">
        <f t="shared" si="181"/>
        <v>-2008</v>
      </c>
      <c r="I459" s="79">
        <f t="shared" si="181"/>
        <v>-266</v>
      </c>
      <c r="J459" s="79">
        <f t="shared" si="181"/>
        <v>-87</v>
      </c>
      <c r="K459" s="79">
        <f t="shared" si="181"/>
        <v>-13</v>
      </c>
      <c r="L459" s="79">
        <f t="shared" si="181"/>
        <v>-4</v>
      </c>
      <c r="M459" s="79">
        <f>SUM(J459:L459)</f>
        <v>-104</v>
      </c>
      <c r="N459" s="79">
        <f>N452+N455+N453</f>
        <v>-892</v>
      </c>
      <c r="O459" s="79">
        <f>SUM(F459:I459)+SUM(M459:N459)</f>
        <v>-23217</v>
      </c>
      <c r="P459" s="79">
        <f>P452+P455+P453</f>
        <v>-1</v>
      </c>
      <c r="Q459" s="79">
        <f>Q452+Q455+Q453</f>
        <v>-1</v>
      </c>
      <c r="R459" s="79">
        <f>P459+Q459</f>
        <v>-2</v>
      </c>
      <c r="S459" s="79">
        <f>S452+S455+S453</f>
        <v>0</v>
      </c>
      <c r="U459" s="80">
        <f>O459+R459+S459-C459</f>
        <v>0</v>
      </c>
      <c r="W459" s="81">
        <f t="shared" si="176"/>
        <v>0.99991390000000002</v>
      </c>
      <c r="X459" s="81">
        <f t="shared" si="177"/>
        <v>0.99991390000000002</v>
      </c>
      <c r="Y459" s="81">
        <f t="shared" si="178"/>
        <v>0</v>
      </c>
      <c r="AJ459" s="66"/>
    </row>
    <row r="460" spans="1:37" hidden="1">
      <c r="A460" s="65">
        <f>A459+1</f>
        <v>67</v>
      </c>
      <c r="B460" s="66" t="s">
        <v>230</v>
      </c>
      <c r="C460" s="79">
        <f>O460+R460+S460</f>
        <v>-2281</v>
      </c>
      <c r="D460" s="79">
        <f>D456+D448</f>
        <v>-1057</v>
      </c>
      <c r="E460" s="79">
        <f>E456+E448</f>
        <v>-40</v>
      </c>
      <c r="F460" s="79">
        <f>D460+E460</f>
        <v>-1097</v>
      </c>
      <c r="G460" s="79">
        <f t="shared" ref="G460:L460" si="182">G456+G448</f>
        <v>-58</v>
      </c>
      <c r="H460" s="79">
        <f t="shared" si="182"/>
        <v>-531</v>
      </c>
      <c r="I460" s="79">
        <f t="shared" si="182"/>
        <v>-356</v>
      </c>
      <c r="J460" s="79">
        <f t="shared" si="182"/>
        <v>-192</v>
      </c>
      <c r="K460" s="79">
        <f t="shared" si="182"/>
        <v>-9</v>
      </c>
      <c r="L460" s="79">
        <f t="shared" si="182"/>
        <v>-7</v>
      </c>
      <c r="M460" s="79">
        <f>SUM(J460:L460)</f>
        <v>-208</v>
      </c>
      <c r="N460" s="79">
        <f>N456+N448</f>
        <v>-31</v>
      </c>
      <c r="O460" s="79">
        <f>SUM(F460:I460)+SUM(M460:N460)</f>
        <v>-2281</v>
      </c>
      <c r="P460" s="79">
        <f>P456+P448</f>
        <v>0</v>
      </c>
      <c r="Q460" s="79">
        <f>Q456+Q448</f>
        <v>0</v>
      </c>
      <c r="R460" s="79">
        <f>P460+Q460</f>
        <v>0</v>
      </c>
      <c r="S460" s="79">
        <f>S456</f>
        <v>0</v>
      </c>
      <c r="U460" s="80">
        <f>O460+R460+S460-C460</f>
        <v>0</v>
      </c>
      <c r="W460" s="81">
        <f t="shared" si="176"/>
        <v>1</v>
      </c>
      <c r="X460" s="81">
        <f t="shared" si="177"/>
        <v>1</v>
      </c>
      <c r="Y460" s="81">
        <f t="shared" si="178"/>
        <v>0</v>
      </c>
      <c r="AJ460" s="66"/>
    </row>
    <row r="461" spans="1:37" hidden="1">
      <c r="B461" s="72"/>
      <c r="C461" s="79"/>
      <c r="H461" s="65" t="s">
        <v>80</v>
      </c>
      <c r="I461" s="79"/>
      <c r="J461" s="79"/>
      <c r="K461" s="79"/>
      <c r="L461" s="79"/>
      <c r="M461" s="79"/>
      <c r="Q461" s="65" t="s">
        <v>80</v>
      </c>
      <c r="R461" s="79"/>
      <c r="S461" s="65"/>
      <c r="W461" s="81"/>
      <c r="X461" s="81"/>
      <c r="Y461" s="81"/>
      <c r="Z461" s="65"/>
      <c r="AJ461" s="66"/>
    </row>
    <row r="462" spans="1:37" hidden="1">
      <c r="C462" s="79"/>
      <c r="H462" s="70" t="str">
        <f>$H$24</f>
        <v>12 MONTHS ENDING DECEMBER 31, 2012</v>
      </c>
      <c r="I462" s="79"/>
      <c r="J462" s="79"/>
      <c r="K462" s="79"/>
      <c r="L462" s="79"/>
      <c r="M462" s="79"/>
      <c r="Q462" s="70" t="str">
        <f>$H$24</f>
        <v>12 MONTHS ENDING DECEMBER 31, 2012</v>
      </c>
      <c r="S462" s="79"/>
      <c r="U462" s="80"/>
      <c r="X462" s="81"/>
      <c r="Y462" s="81"/>
      <c r="Z462" s="70"/>
      <c r="AF462" s="79"/>
      <c r="AJ462" s="66"/>
    </row>
    <row r="463" spans="1:37" hidden="1">
      <c r="C463" s="79"/>
      <c r="H463" s="70" t="str">
        <f>$H$25</f>
        <v>12/13 DEMAND ALLOCATION WITH MDS METHODOLOGY</v>
      </c>
      <c r="Q463" s="70" t="str">
        <f>$H$25</f>
        <v>12/13 DEMAND ALLOCATION WITH MDS METHODOLOGY</v>
      </c>
      <c r="S463" s="79"/>
      <c r="X463" s="81"/>
      <c r="Y463" s="81"/>
      <c r="Z463" s="70"/>
      <c r="AF463" s="79"/>
      <c r="AJ463" s="66"/>
    </row>
    <row r="464" spans="1:37" hidden="1">
      <c r="C464" s="79"/>
      <c r="H464" s="87" t="s">
        <v>98</v>
      </c>
      <c r="I464" s="79"/>
      <c r="J464" s="79"/>
      <c r="K464" s="79"/>
      <c r="L464" s="79"/>
      <c r="M464" s="79"/>
      <c r="N464" s="79"/>
      <c r="Q464" s="87" t="s">
        <v>100</v>
      </c>
      <c r="S464" s="79"/>
      <c r="U464" s="80"/>
      <c r="X464" s="81"/>
      <c r="Y464" s="81"/>
      <c r="Z464" s="87"/>
      <c r="AF464" s="79"/>
      <c r="AJ464" s="66"/>
    </row>
    <row r="465" spans="1:37" hidden="1">
      <c r="C465" s="79"/>
      <c r="H465" s="87" t="s">
        <v>114</v>
      </c>
      <c r="J465" s="79"/>
      <c r="K465" s="79"/>
      <c r="L465" s="79"/>
      <c r="M465" s="79"/>
      <c r="N465" s="79"/>
      <c r="Q465" s="87" t="s">
        <v>114</v>
      </c>
      <c r="S465" s="79"/>
      <c r="U465" s="80"/>
      <c r="X465" s="81"/>
      <c r="Y465" s="81"/>
      <c r="Z465" s="87"/>
      <c r="AF465" s="79"/>
      <c r="AJ465" s="66"/>
    </row>
    <row r="466" spans="1:37" hidden="1">
      <c r="C466" s="65" t="s">
        <v>59</v>
      </c>
      <c r="K466" s="65"/>
      <c r="L466" s="65"/>
      <c r="M466" s="65"/>
      <c r="O466" s="65" t="s">
        <v>59</v>
      </c>
      <c r="P466" s="65"/>
      <c r="Q466" s="65"/>
      <c r="R466" s="65"/>
      <c r="S466" s="65" t="s">
        <v>115</v>
      </c>
      <c r="W466" s="76" t="s">
        <v>116</v>
      </c>
      <c r="X466" s="76" t="s">
        <v>116</v>
      </c>
      <c r="Y466" s="76" t="s">
        <v>117</v>
      </c>
      <c r="AF466" s="65"/>
      <c r="AJ466" s="66"/>
    </row>
    <row r="467" spans="1:37" hidden="1">
      <c r="A467" s="65" t="s">
        <v>118</v>
      </c>
      <c r="C467" s="65" t="s">
        <v>58</v>
      </c>
      <c r="D467" s="70" t="s">
        <v>119</v>
      </c>
      <c r="E467" s="70" t="s">
        <v>119</v>
      </c>
      <c r="F467" s="70" t="s">
        <v>119</v>
      </c>
      <c r="G467" s="70" t="s">
        <v>119</v>
      </c>
      <c r="H467" s="70" t="s">
        <v>119</v>
      </c>
      <c r="I467" s="70" t="s">
        <v>119</v>
      </c>
      <c r="J467" s="70" t="s">
        <v>119</v>
      </c>
      <c r="K467" s="70" t="s">
        <v>119</v>
      </c>
      <c r="L467" s="70" t="s">
        <v>119</v>
      </c>
      <c r="M467" s="70" t="s">
        <v>119</v>
      </c>
      <c r="N467" s="70" t="s">
        <v>119</v>
      </c>
      <c r="O467" s="65" t="s">
        <v>116</v>
      </c>
      <c r="P467" s="65"/>
      <c r="Q467" s="70" t="s">
        <v>120</v>
      </c>
      <c r="R467" s="65"/>
      <c r="S467" s="65" t="s">
        <v>121</v>
      </c>
      <c r="W467" s="76" t="s">
        <v>122</v>
      </c>
      <c r="X467" s="76" t="s">
        <v>123</v>
      </c>
      <c r="Y467" s="76" t="s">
        <v>124</v>
      </c>
      <c r="Z467" s="65"/>
      <c r="AF467" s="70"/>
      <c r="AJ467" s="66"/>
    </row>
    <row r="468" spans="1:37" hidden="1">
      <c r="A468" s="65" t="s">
        <v>125</v>
      </c>
      <c r="B468" s="65" t="s">
        <v>126</v>
      </c>
      <c r="C468" s="65" t="s">
        <v>57</v>
      </c>
      <c r="D468" s="70" t="s">
        <v>127</v>
      </c>
      <c r="E468" s="70" t="s">
        <v>128</v>
      </c>
      <c r="F468" s="70" t="s">
        <v>129</v>
      </c>
      <c r="G468" s="70" t="s">
        <v>130</v>
      </c>
      <c r="H468" s="70" t="s">
        <v>131</v>
      </c>
      <c r="I468" s="65" t="s">
        <v>132</v>
      </c>
      <c r="J468" s="70" t="s">
        <v>133</v>
      </c>
      <c r="K468" s="70" t="s">
        <v>134</v>
      </c>
      <c r="L468" s="70" t="s">
        <v>135</v>
      </c>
      <c r="M468" s="70" t="s">
        <v>136</v>
      </c>
      <c r="N468" s="70" t="s">
        <v>137</v>
      </c>
      <c r="O468" s="65" t="s">
        <v>138</v>
      </c>
      <c r="P468" s="70" t="s">
        <v>139</v>
      </c>
      <c r="Q468" s="70" t="s">
        <v>140</v>
      </c>
      <c r="R468" s="65" t="s">
        <v>122</v>
      </c>
      <c r="S468" s="65" t="s">
        <v>141</v>
      </c>
      <c r="U468" s="65" t="s">
        <v>162</v>
      </c>
      <c r="W468" s="76" t="s">
        <v>142</v>
      </c>
      <c r="X468" s="76" t="s">
        <v>142</v>
      </c>
      <c r="Y468" s="76" t="s">
        <v>142</v>
      </c>
      <c r="Z468" s="65"/>
      <c r="AF468" s="70"/>
      <c r="AJ468" s="66"/>
    </row>
    <row r="469" spans="1:37" hidden="1">
      <c r="A469" s="65" t="s">
        <v>143</v>
      </c>
      <c r="B469" s="65" t="s">
        <v>144</v>
      </c>
      <c r="C469" s="65" t="s">
        <v>145</v>
      </c>
      <c r="D469" s="70" t="s">
        <v>146</v>
      </c>
      <c r="E469" s="70" t="s">
        <v>147</v>
      </c>
      <c r="F469" s="70" t="s">
        <v>148</v>
      </c>
      <c r="G469" s="65" t="s">
        <v>149</v>
      </c>
      <c r="H469" s="65" t="s">
        <v>150</v>
      </c>
      <c r="I469" s="65" t="s">
        <v>151</v>
      </c>
      <c r="J469" s="70" t="s">
        <v>152</v>
      </c>
      <c r="K469" s="70" t="s">
        <v>153</v>
      </c>
      <c r="L469" s="70" t="s">
        <v>154</v>
      </c>
      <c r="M469" s="70" t="s">
        <v>155</v>
      </c>
      <c r="N469" s="70" t="s">
        <v>156</v>
      </c>
      <c r="O469" s="70" t="s">
        <v>157</v>
      </c>
      <c r="P469" s="70" t="s">
        <v>158</v>
      </c>
      <c r="Q469" s="70" t="s">
        <v>159</v>
      </c>
      <c r="R469" s="70" t="s">
        <v>160</v>
      </c>
      <c r="S469" s="70" t="s">
        <v>161</v>
      </c>
      <c r="W469" s="76" t="s">
        <v>165</v>
      </c>
      <c r="X469" s="77" t="s">
        <v>289</v>
      </c>
      <c r="Y469" s="77" t="s">
        <v>290</v>
      </c>
      <c r="Z469" s="70"/>
      <c r="AF469" s="76"/>
      <c r="AJ469" s="66"/>
    </row>
    <row r="470" spans="1:37" hidden="1"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U470" s="80"/>
      <c r="W470" s="81"/>
      <c r="X470" s="81"/>
      <c r="Y470" s="81"/>
      <c r="AJ470" s="66"/>
    </row>
    <row r="471" spans="1:37" hidden="1">
      <c r="W471" s="81"/>
      <c r="X471" s="81"/>
      <c r="Y471" s="81"/>
      <c r="Z471" s="79"/>
      <c r="AF471" s="79"/>
      <c r="AJ471" s="66"/>
      <c r="AK471" s="70"/>
    </row>
    <row r="472" spans="1:37" hidden="1">
      <c r="A472" s="65">
        <f>A460+1</f>
        <v>68</v>
      </c>
      <c r="B472" s="66" t="s">
        <v>291</v>
      </c>
      <c r="C472" s="78">
        <f>14315-60745</f>
        <v>-46430</v>
      </c>
      <c r="D472" s="79">
        <f>C472-E472-SUM(G472:I472)-SUM(M472:N472)-R472-S472</f>
        <v>-26256</v>
      </c>
      <c r="E472" s="79">
        <f>SUM(E473:E476)</f>
        <v>-717</v>
      </c>
      <c r="F472" s="79">
        <f>D472+E472</f>
        <v>-26973</v>
      </c>
      <c r="G472" s="79">
        <f t="shared" ref="G472:N472" si="183">SUM(G473:G476)</f>
        <v>-2173</v>
      </c>
      <c r="H472" s="79">
        <f t="shared" si="183"/>
        <v>-7486</v>
      </c>
      <c r="I472" s="79">
        <f t="shared" si="183"/>
        <v>-5085</v>
      </c>
      <c r="J472" s="79">
        <f t="shared" si="183"/>
        <v>-1496</v>
      </c>
      <c r="K472" s="79">
        <f t="shared" si="183"/>
        <v>-134</v>
      </c>
      <c r="L472" s="79">
        <f t="shared" si="183"/>
        <v>-64</v>
      </c>
      <c r="M472" s="79">
        <f>SUM(J472:L472)</f>
        <v>-1694</v>
      </c>
      <c r="N472" s="79">
        <f t="shared" si="183"/>
        <v>-949</v>
      </c>
      <c r="O472" s="79">
        <f>SUM(F472:I472)+SUM(M472:N472)</f>
        <v>-44360</v>
      </c>
      <c r="P472" s="79">
        <f>SUM(P473:P476)</f>
        <v>-712</v>
      </c>
      <c r="Q472" s="79">
        <f>SUM(Q473:Q476)</f>
        <v>-104</v>
      </c>
      <c r="R472" s="79">
        <f>P472+Q472</f>
        <v>-816</v>
      </c>
      <c r="S472" s="79">
        <f>SUM(S473:S476)</f>
        <v>-1254</v>
      </c>
      <c r="U472" s="80">
        <f>O472+R472+S472-C472</f>
        <v>0</v>
      </c>
      <c r="W472" s="81">
        <f>IF((O472+R472)=0," ",ROUND((O472/(O472+R472)),7))</f>
        <v>0.98193730000000001</v>
      </c>
      <c r="X472" s="81">
        <f>IF((C472)=0," ",ROUND((O472/(C472)),7))</f>
        <v>0.95541679999999995</v>
      </c>
      <c r="Y472" s="81">
        <f>IF((C472)=0," ",ROUND((S472/(C472)),7))</f>
        <v>2.7008399999999998E-2</v>
      </c>
      <c r="Z472" s="79"/>
      <c r="AF472" s="79"/>
      <c r="AJ472" s="66"/>
      <c r="AK472" s="65"/>
    </row>
    <row r="473" spans="1:37" hidden="1">
      <c r="A473" s="65">
        <f>A472+1</f>
        <v>69</v>
      </c>
      <c r="B473" s="66" t="s">
        <v>229</v>
      </c>
      <c r="C473" s="79">
        <f>ROUND((C$1122+C$1315)/(C$1121-C$851+C$1314)*(C$472),0)</f>
        <v>-28965</v>
      </c>
      <c r="D473" s="79">
        <f>C473-E473-SUM(G473:I473)-SUM(M473:N473)-R473-S473</f>
        <v>-14864</v>
      </c>
      <c r="E473" s="79">
        <f>ROUND((E$1122+E$1315)/($C$1122+$C$1315)*$C473,0)</f>
        <v>-402</v>
      </c>
      <c r="F473" s="79">
        <f>D473+E473</f>
        <v>-15266</v>
      </c>
      <c r="G473" s="79">
        <f t="shared" ref="G473:L473" si="184">ROUND((G$1122+G$1315)/($C$1122+$C$1315)*$C473,0)</f>
        <v>-754</v>
      </c>
      <c r="H473" s="79">
        <f t="shared" si="184"/>
        <v>-6009</v>
      </c>
      <c r="I473" s="79">
        <f t="shared" si="184"/>
        <v>-3213</v>
      </c>
      <c r="J473" s="79">
        <f t="shared" si="184"/>
        <v>-1354</v>
      </c>
      <c r="K473" s="79">
        <f t="shared" si="184"/>
        <v>-122</v>
      </c>
      <c r="L473" s="79">
        <f t="shared" si="184"/>
        <v>-57</v>
      </c>
      <c r="M473" s="79">
        <f>SUM(J473:L473)</f>
        <v>-1533</v>
      </c>
      <c r="N473" s="79">
        <f>ROUND((N$1122+N$1315)/($C$1122+$C$1315)*$C473,0)</f>
        <v>-169</v>
      </c>
      <c r="O473" s="79">
        <f>SUM(F473:I473)+SUM(M473:N473)</f>
        <v>-26944</v>
      </c>
      <c r="P473" s="79">
        <f>ROUND((P$1122+P$1315)/($C$1122+$C$1315)*$C473,0)</f>
        <v>-688</v>
      </c>
      <c r="Q473" s="79">
        <f>ROUND((Q$1122+Q$1315)/($C$1122+$C$1315)*$C473,0)</f>
        <v>-79</v>
      </c>
      <c r="R473" s="79">
        <f>P473+Q473</f>
        <v>-767</v>
      </c>
      <c r="S473" s="79">
        <f>ROUND((S$1122+S$1315)/($C$1122+$C$1315)*$C473,0)</f>
        <v>-1254</v>
      </c>
      <c r="U473" s="80"/>
      <c r="W473" s="81">
        <f t="shared" ref="W473:W474" si="185">IF((O473+R473)=0," ",ROUND((O473/(O473+R473)),7))</f>
        <v>0.97232149999999995</v>
      </c>
      <c r="X473" s="81">
        <f t="shared" ref="X473:X474" si="186">IF((C473)=0," ",ROUND((O473/(C473)),7))</f>
        <v>0.93022609999999994</v>
      </c>
      <c r="Y473" s="81">
        <f t="shared" ref="Y473:Y474" si="187">IF((C473)=0," ",ROUND((S473/(C473)),7))</f>
        <v>4.3293600000000002E-2</v>
      </c>
      <c r="Z473" s="79"/>
      <c r="AF473" s="79"/>
      <c r="AJ473" s="66"/>
      <c r="AK473" s="65"/>
    </row>
    <row r="474" spans="1:37" hidden="1">
      <c r="A474" s="65">
        <f>A473+1</f>
        <v>70</v>
      </c>
      <c r="B474" s="66" t="s">
        <v>253</v>
      </c>
      <c r="C474" s="79">
        <f>ROUND((C$1124+C$1316)/(C$1121-C$851+C$1314)*(C$472),0)</f>
        <v>-15589</v>
      </c>
      <c r="D474" s="79">
        <f>C474-E474-SUM(G474:I474)-SUM(M474:N474)-R474-S474</f>
        <v>-10432</v>
      </c>
      <c r="E474" s="79">
        <f>ROUND((E$1124+E$1316)/($C$1124+$C$1316)*$C474,0)</f>
        <v>-282</v>
      </c>
      <c r="F474" s="79">
        <f>D474+E474</f>
        <v>-10714</v>
      </c>
      <c r="G474" s="79">
        <f t="shared" ref="G474:L474" si="188">ROUND((G$1124+G$1316)/($C$1124+$C$1316)*$C474,0)</f>
        <v>-1353</v>
      </c>
      <c r="H474" s="79">
        <f t="shared" si="188"/>
        <v>-1085</v>
      </c>
      <c r="I474" s="79">
        <f t="shared" si="188"/>
        <v>-1649</v>
      </c>
      <c r="J474" s="79">
        <f t="shared" si="188"/>
        <v>-39</v>
      </c>
      <c r="K474" s="79">
        <f t="shared" si="188"/>
        <v>-6</v>
      </c>
      <c r="L474" s="79">
        <f t="shared" si="188"/>
        <v>-2</v>
      </c>
      <c r="M474" s="79">
        <f>SUM(J474:L474)</f>
        <v>-47</v>
      </c>
      <c r="N474" s="79">
        <f>ROUND((N$1124+N$1316)/($C$1124+$C$1316)*$C474,0)</f>
        <v>-740</v>
      </c>
      <c r="O474" s="79">
        <f>SUM(F474:I474)+SUM(M474:N474)</f>
        <v>-15588</v>
      </c>
      <c r="P474" s="79">
        <f>ROUND((P$1124+P$1316)/($C$1124+$C$1316)*$C474,0)</f>
        <v>0</v>
      </c>
      <c r="Q474" s="79">
        <f>ROUND((Q$1124+Q$1316)/($C$1124+$C$1316)*$C474,0)</f>
        <v>-1</v>
      </c>
      <c r="R474" s="79">
        <f>P474+Q474</f>
        <v>-1</v>
      </c>
      <c r="S474" s="79">
        <f>ROUND((S$1124+S$1316)/($C$1124+$C$1316)*$C474,0)</f>
        <v>0</v>
      </c>
      <c r="U474" s="80"/>
      <c r="W474" s="81">
        <f t="shared" si="185"/>
        <v>0.99993589999999999</v>
      </c>
      <c r="X474" s="81">
        <f t="shared" si="186"/>
        <v>0.99993589999999999</v>
      </c>
      <c r="Y474" s="81">
        <f t="shared" si="187"/>
        <v>0</v>
      </c>
      <c r="Z474" s="79"/>
      <c r="AF474" s="79"/>
      <c r="AJ474" s="66"/>
      <c r="AK474" s="70"/>
    </row>
    <row r="475" spans="1:37" hidden="1">
      <c r="A475" s="65">
        <f>A474+1</f>
        <v>71</v>
      </c>
      <c r="B475" s="66" t="s">
        <v>230</v>
      </c>
      <c r="C475" s="79">
        <f>ROUND((C$1123-C$851+C$1317)/(C$1121-C$851+C$1314)*(C$472),0)</f>
        <v>-768</v>
      </c>
      <c r="D475" s="79">
        <f>C475-E475-SUM(G475:I475)-SUM(M475:N475)-R475-S475</f>
        <v>-354</v>
      </c>
      <c r="E475" s="79">
        <f>ROUND((E$1123-E$851+E$1317)/($C$1123-$C$851+$C$1317)*$C475,0)</f>
        <v>-14</v>
      </c>
      <c r="F475" s="79">
        <f>D475+E475</f>
        <v>-368</v>
      </c>
      <c r="G475" s="79">
        <f t="shared" ref="G475:L475" si="189">ROUND((G$1123-G$851+G$1317)/($C$1123-$C$851+$C$1317)*$C475,0)</f>
        <v>-20</v>
      </c>
      <c r="H475" s="79">
        <f t="shared" si="189"/>
        <v>-179</v>
      </c>
      <c r="I475" s="79">
        <f t="shared" si="189"/>
        <v>-120</v>
      </c>
      <c r="J475" s="79">
        <f t="shared" si="189"/>
        <v>-65</v>
      </c>
      <c r="K475" s="79">
        <f t="shared" si="189"/>
        <v>-3</v>
      </c>
      <c r="L475" s="79">
        <f t="shared" si="189"/>
        <v>-3</v>
      </c>
      <c r="M475" s="79">
        <f>SUM(J475:L475)</f>
        <v>-71</v>
      </c>
      <c r="N475" s="79">
        <f>ROUND((N$1123-N$851+N$1317)/($C$1123-$C$851+$C$1317)*$C475,0)</f>
        <v>-10</v>
      </c>
      <c r="O475" s="79">
        <f>SUM(F475:I475)+SUM(M475:N475)</f>
        <v>-768</v>
      </c>
      <c r="P475" s="79">
        <f>ROUND((P$1123-P$851+P$1317)/($C$1123-$C$851+$C$1317)*$C475,0)</f>
        <v>0</v>
      </c>
      <c r="Q475" s="79">
        <f>ROUND((Q$1123-Q$851+Q$1317)/($C$1123-$C$851+$C$1317)*$C475,0)</f>
        <v>0</v>
      </c>
      <c r="R475" s="79">
        <f>P475+Q475</f>
        <v>0</v>
      </c>
      <c r="S475" s="79">
        <f>ROUND((S$1123-S$851+S$1317)/($C$1123-$C$851+$C$1317)*$C475,0)</f>
        <v>0</v>
      </c>
      <c r="U475" s="80"/>
      <c r="W475" s="81">
        <f>IF((O475+R475)=0," ",ROUND((O475/(O475+R475)),7))</f>
        <v>1</v>
      </c>
      <c r="X475" s="81">
        <f>IF((C475)=0," ",ROUND((O475/(C475)),7))</f>
        <v>1</v>
      </c>
      <c r="Y475" s="81">
        <f>IF((C475)=0," ",ROUND((S475/(C475)),7))</f>
        <v>0</v>
      </c>
      <c r="Z475" s="79"/>
      <c r="AF475" s="79"/>
      <c r="AJ475" s="66"/>
      <c r="AK475" s="70"/>
    </row>
    <row r="476" spans="1:37" hidden="1">
      <c r="A476" s="65">
        <f>A475+1</f>
        <v>72</v>
      </c>
      <c r="B476" s="66" t="s">
        <v>271</v>
      </c>
      <c r="C476" s="79">
        <f>ROUND((C$1125+C$1318)/(C$1121-C$851+C$1314)*(C$472),0)</f>
        <v>-1107</v>
      </c>
      <c r="D476" s="79">
        <f>D472-D473-D474-D475</f>
        <v>-606</v>
      </c>
      <c r="E476" s="79">
        <f>ROUND((E$1125+E$1318)/($C$1125+$C$1318)*$C476,0)</f>
        <v>-19</v>
      </c>
      <c r="F476" s="79">
        <f>D476+E476</f>
        <v>-625</v>
      </c>
      <c r="G476" s="79">
        <f t="shared" ref="G476:L476" si="190">ROUND((G$1125+G$1318)/($C$1125+$C$1318)*$C476,0)</f>
        <v>-46</v>
      </c>
      <c r="H476" s="79">
        <f t="shared" si="190"/>
        <v>-213</v>
      </c>
      <c r="I476" s="79">
        <f t="shared" si="190"/>
        <v>-103</v>
      </c>
      <c r="J476" s="79">
        <f t="shared" si="190"/>
        <v>-38</v>
      </c>
      <c r="K476" s="79">
        <f t="shared" si="190"/>
        <v>-3</v>
      </c>
      <c r="L476" s="79">
        <f t="shared" si="190"/>
        <v>-2</v>
      </c>
      <c r="M476" s="79">
        <f>SUM(J476:L476)</f>
        <v>-43</v>
      </c>
      <c r="N476" s="79">
        <f>ROUND((N$1125+N$1318)/($C$1125+$C$1318)*$C476,0)</f>
        <v>-30</v>
      </c>
      <c r="O476" s="79">
        <f>SUM(F476:I476)+SUM(M476:N476)</f>
        <v>-1060</v>
      </c>
      <c r="P476" s="79">
        <f>ROUND((P$1125+P$1318)/($C$1125+$C$1318)*$C476,0)</f>
        <v>-24</v>
      </c>
      <c r="Q476" s="79">
        <f>ROUND((Q$1125+Q$1318)/($C$1125+$C$1318)*$C476,0)</f>
        <v>-24</v>
      </c>
      <c r="R476" s="79">
        <f>P476+Q476</f>
        <v>-48</v>
      </c>
      <c r="S476" s="79">
        <f>ROUND((S$1125+S$1318)/($C$1125+$C$1318)*$C476,0)</f>
        <v>0</v>
      </c>
      <c r="U476" s="80"/>
      <c r="W476" s="81">
        <f>IF((O476+R476)=0," ",ROUND((O476/(O476+R476)),7))</f>
        <v>0.95667869999999999</v>
      </c>
      <c r="X476" s="81">
        <f>IF((C476)=0," ",ROUND((O476/(C476)),7))</f>
        <v>0.95754289999999997</v>
      </c>
      <c r="Y476" s="81">
        <f>IF((C476)=0," ",ROUND((S476/(C476)),7))</f>
        <v>0</v>
      </c>
      <c r="Z476" s="79"/>
      <c r="AF476" s="79"/>
      <c r="AJ476" s="66"/>
      <c r="AK476" s="70"/>
    </row>
    <row r="477" spans="1:37" hidden="1"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U477" s="80"/>
      <c r="W477" s="81"/>
      <c r="X477" s="81"/>
      <c r="Y477" s="81"/>
      <c r="Z477" s="79"/>
      <c r="AF477" s="79"/>
      <c r="AJ477" s="66"/>
      <c r="AK477" s="70"/>
    </row>
    <row r="478" spans="1:37" hidden="1">
      <c r="B478" s="66" t="s">
        <v>292</v>
      </c>
      <c r="C478" s="78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U478" s="80"/>
      <c r="W478" s="81"/>
      <c r="X478" s="81"/>
      <c r="Y478" s="81"/>
      <c r="Z478" s="79"/>
      <c r="AF478" s="79"/>
      <c r="AJ478" s="66"/>
      <c r="AK478" s="70"/>
    </row>
    <row r="479" spans="1:37" hidden="1">
      <c r="A479" s="65">
        <f>A476+1</f>
        <v>73</v>
      </c>
      <c r="B479" s="66" t="s">
        <v>293</v>
      </c>
      <c r="C479" s="78">
        <v>2450</v>
      </c>
      <c r="D479" s="79">
        <f>C479-E479-SUM(G479:I479)-SUM(M479:N479)-R479-S479</f>
        <v>1397</v>
      </c>
      <c r="E479" s="79">
        <f>ROUND((E623+E681)/($O623+$O681)*$C479,0)</f>
        <v>43</v>
      </c>
      <c r="F479" s="79">
        <f>D479+E479</f>
        <v>1440</v>
      </c>
      <c r="G479" s="79">
        <f t="shared" ref="G479:N479" si="191">ROUND((G623+G681)/($O623+$O681)*$C479,0)</f>
        <v>107</v>
      </c>
      <c r="H479" s="79">
        <f t="shared" si="191"/>
        <v>494</v>
      </c>
      <c r="I479" s="79">
        <f t="shared" si="191"/>
        <v>239</v>
      </c>
      <c r="J479" s="79">
        <f t="shared" si="191"/>
        <v>88</v>
      </c>
      <c r="K479" s="79">
        <f t="shared" si="191"/>
        <v>7</v>
      </c>
      <c r="L479" s="79">
        <f t="shared" si="191"/>
        <v>5</v>
      </c>
      <c r="M479" s="79">
        <f>SUM(J479:L479)</f>
        <v>100</v>
      </c>
      <c r="N479" s="79">
        <f t="shared" si="191"/>
        <v>70</v>
      </c>
      <c r="O479" s="79">
        <f>SUM(F479:I479)+SUM(M479:N479)</f>
        <v>2450</v>
      </c>
      <c r="P479" s="79">
        <v>0</v>
      </c>
      <c r="Q479" s="79">
        <v>0</v>
      </c>
      <c r="R479" s="79">
        <f>P479+Q479</f>
        <v>0</v>
      </c>
      <c r="S479" s="79">
        <v>0</v>
      </c>
      <c r="U479" s="80">
        <f t="shared" ref="U479:U485" si="192">O479+R479+S479-C479</f>
        <v>0</v>
      </c>
      <c r="W479" s="81">
        <f t="shared" ref="W479:W485" si="193">IF((O479+R479)=0," ",ROUND((O479/(O479+R479)),7))</f>
        <v>1</v>
      </c>
      <c r="X479" s="81">
        <f t="shared" ref="X479:X485" si="194">IF((C479)=0," ",ROUND((O479/(C479)),7))</f>
        <v>1</v>
      </c>
      <c r="Y479" s="81">
        <f t="shared" ref="Y479:Y485" si="195">IF((C479)=0," ",ROUND((S479/(C479)),7))</f>
        <v>0</v>
      </c>
      <c r="Z479" s="79"/>
      <c r="AF479" s="79"/>
      <c r="AJ479" s="66"/>
      <c r="AK479" s="70"/>
    </row>
    <row r="480" spans="1:37" hidden="1"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U480" s="80"/>
      <c r="W480" s="81" t="str">
        <f t="shared" si="193"/>
        <v xml:space="preserve"> </v>
      </c>
      <c r="X480" s="81" t="str">
        <f t="shared" si="194"/>
        <v xml:space="preserve"> </v>
      </c>
      <c r="Y480" s="81" t="str">
        <f t="shared" si="195"/>
        <v xml:space="preserve"> </v>
      </c>
      <c r="Z480" s="79"/>
      <c r="AF480" s="79"/>
      <c r="AJ480" s="66"/>
      <c r="AK480" s="70"/>
    </row>
    <row r="481" spans="1:37" hidden="1">
      <c r="A481" s="65">
        <f>A479+1</f>
        <v>74</v>
      </c>
      <c r="B481" s="66" t="s">
        <v>294</v>
      </c>
      <c r="C481" s="79">
        <f>O481+R481+S481</f>
        <v>32395</v>
      </c>
      <c r="D481" s="79">
        <f>SUM(D482:D485)</f>
        <v>19165</v>
      </c>
      <c r="E481" s="79">
        <f>SUM(E482:E485)</f>
        <v>523</v>
      </c>
      <c r="F481" s="79">
        <f>D481+E481</f>
        <v>19688</v>
      </c>
      <c r="G481" s="79">
        <f t="shared" ref="G481:N481" si="196">SUM(G482:G485)</f>
        <v>1493</v>
      </c>
      <c r="H481" s="79">
        <f t="shared" si="196"/>
        <v>6009</v>
      </c>
      <c r="I481" s="79">
        <f t="shared" si="196"/>
        <v>3378</v>
      </c>
      <c r="J481" s="79">
        <f t="shared" si="196"/>
        <v>1284</v>
      </c>
      <c r="K481" s="79">
        <f t="shared" si="196"/>
        <v>107</v>
      </c>
      <c r="L481" s="79">
        <f t="shared" si="196"/>
        <v>56</v>
      </c>
      <c r="M481" s="79">
        <f>SUM(J481:L481)</f>
        <v>1447</v>
      </c>
      <c r="N481" s="79">
        <f t="shared" si="196"/>
        <v>610</v>
      </c>
      <c r="O481" s="79">
        <f>SUM(F481:I481)+SUM(M481:N481)</f>
        <v>32625</v>
      </c>
      <c r="P481" s="79">
        <f>SUM(P482:P485)</f>
        <v>592</v>
      </c>
      <c r="Q481" s="79">
        <f>SUM(Q482:Q485)</f>
        <v>73</v>
      </c>
      <c r="R481" s="79">
        <f>P481+Q481</f>
        <v>665</v>
      </c>
      <c r="S481" s="79">
        <f>SUM(S482:S485)</f>
        <v>-895</v>
      </c>
      <c r="U481" s="80">
        <f t="shared" si="192"/>
        <v>0</v>
      </c>
      <c r="W481" s="81">
        <f t="shared" si="193"/>
        <v>0.98002400000000001</v>
      </c>
      <c r="X481" s="81">
        <f t="shared" si="194"/>
        <v>1.0070999</v>
      </c>
      <c r="Y481" s="81">
        <f t="shared" si="195"/>
        <v>-2.7627700000000002E-2</v>
      </c>
      <c r="Z481" s="79"/>
      <c r="AF481" s="79"/>
      <c r="AJ481" s="66"/>
      <c r="AK481" s="70"/>
    </row>
    <row r="482" spans="1:37" hidden="1">
      <c r="A482" s="65">
        <f>A481+1</f>
        <v>75</v>
      </c>
      <c r="B482" s="66" t="s">
        <v>229</v>
      </c>
      <c r="C482" s="79">
        <f>O482+R482+S482</f>
        <v>20275</v>
      </c>
      <c r="D482" s="79">
        <f>D371+D396+D402+D429+D440+D458+D473+D377+D434</f>
        <v>11270</v>
      </c>
      <c r="E482" s="79">
        <f>E371+E396+E402+E429+E440+E458+E473+E377+E434</f>
        <v>300</v>
      </c>
      <c r="F482" s="79">
        <f>D482+E482</f>
        <v>11570</v>
      </c>
      <c r="G482" s="79">
        <f t="shared" ref="G482:L482" si="197">G371+G396+G402+G429+G440+G458+G473+G377+G434</f>
        <v>569</v>
      </c>
      <c r="H482" s="79">
        <f t="shared" si="197"/>
        <v>4559</v>
      </c>
      <c r="I482" s="79">
        <f t="shared" si="197"/>
        <v>2502</v>
      </c>
      <c r="J482" s="79">
        <f t="shared" si="197"/>
        <v>1063</v>
      </c>
      <c r="K482" s="79">
        <f t="shared" si="197"/>
        <v>90</v>
      </c>
      <c r="L482" s="79">
        <f t="shared" si="197"/>
        <v>47</v>
      </c>
      <c r="M482" s="79">
        <f>SUM(J482:L482)</f>
        <v>1200</v>
      </c>
      <c r="N482" s="79">
        <f>N371+N396+N402+N429+N440+N458+N473+N377+N434</f>
        <v>116</v>
      </c>
      <c r="O482" s="79">
        <f>SUM(F482:I482)+SUM(M482:N482)</f>
        <v>20516</v>
      </c>
      <c r="P482" s="79">
        <f>P371+P396+P400+P429+P440+P458+P473+P377+P434</f>
        <v>586</v>
      </c>
      <c r="Q482" s="79">
        <f>Q371+Q396+Q400+Q429+Q440+Q458+Q473+Q377+Q434</f>
        <v>68</v>
      </c>
      <c r="R482" s="79">
        <f>P482+Q482</f>
        <v>654</v>
      </c>
      <c r="S482" s="79">
        <f>S371+S396+S400+S429+S440+S458+S473+S377+S434</f>
        <v>-895</v>
      </c>
      <c r="U482" s="80">
        <f>O482+R482+S482-C482</f>
        <v>0</v>
      </c>
      <c r="W482" s="81">
        <f t="shared" si="193"/>
        <v>0.96910719999999995</v>
      </c>
      <c r="X482" s="81">
        <f t="shared" si="194"/>
        <v>1.0118866</v>
      </c>
      <c r="Y482" s="81">
        <f t="shared" si="195"/>
        <v>-4.4143000000000002E-2</v>
      </c>
      <c r="Z482" s="79"/>
      <c r="AF482" s="79"/>
      <c r="AJ482" s="66"/>
      <c r="AK482" s="70"/>
    </row>
    <row r="483" spans="1:37" hidden="1">
      <c r="A483" s="65">
        <f>A482+1</f>
        <v>76</v>
      </c>
      <c r="B483" s="66" t="s">
        <v>253</v>
      </c>
      <c r="C483" s="79">
        <f>O483+R483+S483</f>
        <v>8259</v>
      </c>
      <c r="D483" s="79">
        <f>D372+D397+D441+D459+D378+D430+D435+D474</f>
        <v>5828</v>
      </c>
      <c r="E483" s="79">
        <f>E372+E397+E441+E459+E378+E430+E435+E474</f>
        <v>157</v>
      </c>
      <c r="F483" s="79">
        <f>D483+E483</f>
        <v>5985</v>
      </c>
      <c r="G483" s="79">
        <f t="shared" ref="G483:L483" si="198">G372+G397+G441+G459+G378+G430+G435+G474</f>
        <v>777</v>
      </c>
      <c r="H483" s="79">
        <f t="shared" si="198"/>
        <v>635</v>
      </c>
      <c r="I483" s="79">
        <f t="shared" si="198"/>
        <v>428</v>
      </c>
      <c r="J483" s="79">
        <f t="shared" si="198"/>
        <v>25</v>
      </c>
      <c r="K483" s="79">
        <f t="shared" si="198"/>
        <v>6</v>
      </c>
      <c r="L483" s="79">
        <f t="shared" si="198"/>
        <v>1</v>
      </c>
      <c r="M483" s="79">
        <f>SUM(J483:L483)</f>
        <v>32</v>
      </c>
      <c r="N483" s="79">
        <f>N372+N397+N441+N459+N378+N430+N435+N474</f>
        <v>401</v>
      </c>
      <c r="O483" s="79">
        <f>SUM(F483:I483)+SUM(M483:N483)</f>
        <v>8258</v>
      </c>
      <c r="P483" s="79">
        <f>P372+P397+P441+P459+P378+P430+P435+P474</f>
        <v>1</v>
      </c>
      <c r="Q483" s="79">
        <f>Q372+Q397+Q441+Q459+Q378+Q430+Q435+Q474</f>
        <v>0</v>
      </c>
      <c r="R483" s="79">
        <f>P483+Q483</f>
        <v>1</v>
      </c>
      <c r="S483" s="79">
        <f>S372+S397+S441+S459+S378+S430+S435+S474</f>
        <v>0</v>
      </c>
      <c r="U483" s="80">
        <f>O483+R483+S483-C483</f>
        <v>0</v>
      </c>
      <c r="W483" s="81">
        <f t="shared" si="193"/>
        <v>0.99987890000000001</v>
      </c>
      <c r="X483" s="81">
        <f t="shared" si="194"/>
        <v>0.99987890000000001</v>
      </c>
      <c r="Y483" s="81">
        <f t="shared" si="195"/>
        <v>0</v>
      </c>
      <c r="Z483" s="79"/>
      <c r="AF483" s="79"/>
      <c r="AJ483" s="66"/>
      <c r="AK483" s="70"/>
    </row>
    <row r="484" spans="1:37" hidden="1">
      <c r="A484" s="65">
        <f>A483+1</f>
        <v>77</v>
      </c>
      <c r="B484" s="66" t="s">
        <v>230</v>
      </c>
      <c r="C484" s="79">
        <f>O484+R484+S484</f>
        <v>1201</v>
      </c>
      <c r="D484" s="79">
        <f>D373+D398+D442+D403+D431+D460+D475+D379+D436</f>
        <v>558</v>
      </c>
      <c r="E484" s="79">
        <f>E373+E398+E442+E403+E431+E460+E475+E379+E436</f>
        <v>20</v>
      </c>
      <c r="F484" s="79">
        <f>D484+E484</f>
        <v>578</v>
      </c>
      <c r="G484" s="79">
        <f t="shared" ref="G484:L484" si="199">G373+G398+G442+G403+G431+G460+G475+G379+G436</f>
        <v>31</v>
      </c>
      <c r="H484" s="79">
        <f t="shared" si="199"/>
        <v>279</v>
      </c>
      <c r="I484" s="79">
        <f t="shared" si="199"/>
        <v>188</v>
      </c>
      <c r="J484" s="79">
        <f t="shared" si="199"/>
        <v>101</v>
      </c>
      <c r="K484" s="79">
        <f t="shared" si="199"/>
        <v>4</v>
      </c>
      <c r="L484" s="79">
        <f t="shared" si="199"/>
        <v>3</v>
      </c>
      <c r="M484" s="79">
        <f>SUM(J484:L484)</f>
        <v>108</v>
      </c>
      <c r="N484" s="79">
        <f>N373+N398+N442+N403+N431+N460+N475+N379+N436</f>
        <v>17</v>
      </c>
      <c r="O484" s="79">
        <f>SUM(F484:I484)+SUM(M484:N484)</f>
        <v>1201</v>
      </c>
      <c r="P484" s="79">
        <f>P373+P398+P442+P431+P460+P475+P379+P436</f>
        <v>0</v>
      </c>
      <c r="Q484" s="79">
        <f>Q373+Q398+Q442+Q431+Q460+Q475+Q379+Q436</f>
        <v>0</v>
      </c>
      <c r="R484" s="79">
        <f>P484+Q484</f>
        <v>0</v>
      </c>
      <c r="S484" s="79">
        <f>S373+S398+S442+S431+S460+S475+S379+S436</f>
        <v>0</v>
      </c>
      <c r="U484" s="80">
        <f t="shared" si="192"/>
        <v>0</v>
      </c>
      <c r="W484" s="81">
        <f t="shared" si="193"/>
        <v>1</v>
      </c>
      <c r="X484" s="81">
        <f t="shared" si="194"/>
        <v>1</v>
      </c>
      <c r="Y484" s="81">
        <f t="shared" si="195"/>
        <v>0</v>
      </c>
      <c r="Z484" s="79"/>
      <c r="AF484" s="79"/>
      <c r="AJ484" s="66"/>
      <c r="AK484" s="65"/>
    </row>
    <row r="485" spans="1:37" hidden="1">
      <c r="A485" s="65">
        <f>A484+1</f>
        <v>78</v>
      </c>
      <c r="B485" s="66" t="s">
        <v>271</v>
      </c>
      <c r="C485" s="79">
        <f>O485+R485+S485</f>
        <v>2660</v>
      </c>
      <c r="D485" s="79">
        <f>D374+D479+D380+D437+D476</f>
        <v>1509</v>
      </c>
      <c r="E485" s="79">
        <f>E374+E479+E380+E437+E476</f>
        <v>46</v>
      </c>
      <c r="F485" s="79">
        <f>D485+E485</f>
        <v>1555</v>
      </c>
      <c r="G485" s="79">
        <f t="shared" ref="G485:L485" si="200">G374+G479+G380+G437+G476</f>
        <v>116</v>
      </c>
      <c r="H485" s="79">
        <f t="shared" si="200"/>
        <v>536</v>
      </c>
      <c r="I485" s="79">
        <f t="shared" si="200"/>
        <v>260</v>
      </c>
      <c r="J485" s="79">
        <f t="shared" si="200"/>
        <v>95</v>
      </c>
      <c r="K485" s="79">
        <f t="shared" si="200"/>
        <v>7</v>
      </c>
      <c r="L485" s="79">
        <f t="shared" si="200"/>
        <v>5</v>
      </c>
      <c r="M485" s="79">
        <f>SUM(J485:L485)</f>
        <v>107</v>
      </c>
      <c r="N485" s="79">
        <f>N374+N479+N380+N437+N476</f>
        <v>76</v>
      </c>
      <c r="O485" s="79">
        <f>SUM(F485:I485)+SUM(M485:N485)</f>
        <v>2650</v>
      </c>
      <c r="P485" s="79">
        <f>P374+P479+P380+P437+P476</f>
        <v>5</v>
      </c>
      <c r="Q485" s="79">
        <f>Q374+Q479+Q380+Q437+Q476</f>
        <v>5</v>
      </c>
      <c r="R485" s="79">
        <f>P485+Q485</f>
        <v>10</v>
      </c>
      <c r="S485" s="79">
        <f>S374+S479+S380+S437+S476</f>
        <v>0</v>
      </c>
      <c r="U485" s="80">
        <f t="shared" si="192"/>
        <v>0</v>
      </c>
      <c r="W485" s="81">
        <f t="shared" si="193"/>
        <v>0.99624060000000003</v>
      </c>
      <c r="X485" s="81">
        <f t="shared" si="194"/>
        <v>0.99624060000000003</v>
      </c>
      <c r="Y485" s="81">
        <f t="shared" si="195"/>
        <v>0</v>
      </c>
      <c r="Z485" s="79"/>
      <c r="AF485" s="79"/>
      <c r="AJ485" s="66"/>
      <c r="AK485" s="65"/>
    </row>
    <row r="486" spans="1:37" hidden="1">
      <c r="B486" s="72"/>
      <c r="C486" s="79"/>
      <c r="H486" s="65" t="s">
        <v>80</v>
      </c>
      <c r="I486" s="79"/>
      <c r="J486" s="79"/>
      <c r="K486" s="79"/>
      <c r="L486" s="79"/>
      <c r="M486" s="79"/>
      <c r="Q486" s="65" t="s">
        <v>80</v>
      </c>
      <c r="R486" s="79"/>
      <c r="S486" s="65"/>
      <c r="W486" s="81"/>
      <c r="X486" s="81"/>
      <c r="Y486" s="81"/>
      <c r="Z486" s="65"/>
      <c r="AJ486" s="66"/>
    </row>
    <row r="487" spans="1:37" hidden="1">
      <c r="C487" s="79"/>
      <c r="H487" s="70" t="str">
        <f>$H$24</f>
        <v>12 MONTHS ENDING DECEMBER 31, 2012</v>
      </c>
      <c r="I487" s="79"/>
      <c r="J487" s="79"/>
      <c r="K487" s="79"/>
      <c r="L487" s="79"/>
      <c r="M487" s="79"/>
      <c r="Q487" s="70" t="str">
        <f>$H$24</f>
        <v>12 MONTHS ENDING DECEMBER 31, 2012</v>
      </c>
      <c r="S487" s="79"/>
      <c r="U487" s="80"/>
      <c r="X487" s="81"/>
      <c r="Y487" s="81"/>
      <c r="Z487" s="70"/>
      <c r="AF487" s="79"/>
      <c r="AJ487" s="66"/>
    </row>
    <row r="488" spans="1:37" hidden="1">
      <c r="C488" s="79"/>
      <c r="H488" s="70" t="str">
        <f>$H$25</f>
        <v>12/13 DEMAND ALLOCATION WITH MDS METHODOLOGY</v>
      </c>
      <c r="Q488" s="70" t="str">
        <f>$H$25</f>
        <v>12/13 DEMAND ALLOCATION WITH MDS METHODOLOGY</v>
      </c>
      <c r="S488" s="79"/>
      <c r="X488" s="81"/>
      <c r="Y488" s="81"/>
      <c r="Z488" s="70"/>
      <c r="AF488" s="79"/>
      <c r="AJ488" s="66"/>
    </row>
    <row r="489" spans="1:37" hidden="1">
      <c r="C489" s="79"/>
      <c r="H489" s="87" t="s">
        <v>100</v>
      </c>
      <c r="I489" s="79"/>
      <c r="J489" s="79"/>
      <c r="K489" s="79"/>
      <c r="L489" s="79"/>
      <c r="M489" s="79"/>
      <c r="N489" s="79"/>
      <c r="Q489" s="87" t="s">
        <v>100</v>
      </c>
      <c r="S489" s="79"/>
      <c r="U489" s="80"/>
      <c r="X489" s="81"/>
      <c r="Y489" s="81"/>
      <c r="Z489" s="87"/>
      <c r="AF489" s="79"/>
      <c r="AJ489" s="66"/>
    </row>
    <row r="490" spans="1:37" hidden="1">
      <c r="C490" s="79"/>
      <c r="H490" s="87" t="s">
        <v>114</v>
      </c>
      <c r="J490" s="79"/>
      <c r="K490" s="79"/>
      <c r="L490" s="79"/>
      <c r="M490" s="79"/>
      <c r="N490" s="79"/>
      <c r="Q490" s="87" t="s">
        <v>114</v>
      </c>
      <c r="S490" s="79"/>
      <c r="U490" s="80"/>
      <c r="X490" s="81"/>
      <c r="Y490" s="81"/>
      <c r="Z490" s="87"/>
      <c r="AF490" s="79"/>
      <c r="AJ490" s="66"/>
    </row>
    <row r="491" spans="1:37" hidden="1">
      <c r="C491" s="65" t="s">
        <v>59</v>
      </c>
      <c r="K491" s="65"/>
      <c r="L491" s="65"/>
      <c r="M491" s="65"/>
      <c r="O491" s="65" t="s">
        <v>59</v>
      </c>
      <c r="P491" s="65"/>
      <c r="Q491" s="65"/>
      <c r="R491" s="65"/>
      <c r="S491" s="65" t="s">
        <v>115</v>
      </c>
      <c r="W491" s="76" t="s">
        <v>116</v>
      </c>
      <c r="X491" s="76" t="s">
        <v>116</v>
      </c>
      <c r="Y491" s="76" t="s">
        <v>117</v>
      </c>
      <c r="AF491" s="65"/>
      <c r="AJ491" s="66"/>
    </row>
    <row r="492" spans="1:37" hidden="1">
      <c r="A492" s="65" t="s">
        <v>118</v>
      </c>
      <c r="C492" s="65" t="s">
        <v>58</v>
      </c>
      <c r="D492" s="70" t="s">
        <v>119</v>
      </c>
      <c r="E492" s="70" t="s">
        <v>119</v>
      </c>
      <c r="F492" s="70" t="s">
        <v>119</v>
      </c>
      <c r="G492" s="70" t="s">
        <v>119</v>
      </c>
      <c r="H492" s="70" t="s">
        <v>119</v>
      </c>
      <c r="I492" s="70" t="s">
        <v>119</v>
      </c>
      <c r="J492" s="70" t="s">
        <v>119</v>
      </c>
      <c r="K492" s="70" t="s">
        <v>119</v>
      </c>
      <c r="L492" s="70" t="s">
        <v>119</v>
      </c>
      <c r="M492" s="70" t="s">
        <v>119</v>
      </c>
      <c r="N492" s="70" t="s">
        <v>119</v>
      </c>
      <c r="O492" s="65" t="s">
        <v>116</v>
      </c>
      <c r="P492" s="65"/>
      <c r="Q492" s="70" t="s">
        <v>120</v>
      </c>
      <c r="R492" s="65"/>
      <c r="S492" s="65" t="s">
        <v>121</v>
      </c>
      <c r="W492" s="76" t="s">
        <v>122</v>
      </c>
      <c r="X492" s="76" t="s">
        <v>123</v>
      </c>
      <c r="Y492" s="76" t="s">
        <v>124</v>
      </c>
      <c r="Z492" s="65"/>
      <c r="AF492" s="70"/>
      <c r="AJ492" s="66"/>
    </row>
    <row r="493" spans="1:37" hidden="1">
      <c r="A493" s="65" t="s">
        <v>125</v>
      </c>
      <c r="B493" s="65" t="s">
        <v>126</v>
      </c>
      <c r="C493" s="65" t="s">
        <v>57</v>
      </c>
      <c r="D493" s="70" t="s">
        <v>127</v>
      </c>
      <c r="E493" s="70" t="s">
        <v>128</v>
      </c>
      <c r="F493" s="70" t="s">
        <v>129</v>
      </c>
      <c r="G493" s="70" t="s">
        <v>130</v>
      </c>
      <c r="H493" s="70" t="s">
        <v>131</v>
      </c>
      <c r="I493" s="65" t="s">
        <v>132</v>
      </c>
      <c r="J493" s="70" t="s">
        <v>133</v>
      </c>
      <c r="K493" s="70" t="s">
        <v>134</v>
      </c>
      <c r="L493" s="70" t="s">
        <v>135</v>
      </c>
      <c r="M493" s="70" t="s">
        <v>136</v>
      </c>
      <c r="N493" s="70" t="s">
        <v>137</v>
      </c>
      <c r="O493" s="65" t="s">
        <v>138</v>
      </c>
      <c r="P493" s="70" t="s">
        <v>139</v>
      </c>
      <c r="Q493" s="70" t="s">
        <v>140</v>
      </c>
      <c r="R493" s="65" t="s">
        <v>122</v>
      </c>
      <c r="S493" s="65" t="s">
        <v>141</v>
      </c>
      <c r="U493" s="65" t="s">
        <v>162</v>
      </c>
      <c r="W493" s="76" t="s">
        <v>142</v>
      </c>
      <c r="X493" s="76" t="s">
        <v>142</v>
      </c>
      <c r="Y493" s="76" t="s">
        <v>142</v>
      </c>
      <c r="Z493" s="65"/>
      <c r="AF493" s="70"/>
      <c r="AJ493" s="66"/>
    </row>
    <row r="494" spans="1:37" hidden="1">
      <c r="A494" s="65" t="s">
        <v>143</v>
      </c>
      <c r="B494" s="65" t="s">
        <v>144</v>
      </c>
      <c r="C494" s="65" t="s">
        <v>145</v>
      </c>
      <c r="D494" s="70" t="s">
        <v>146</v>
      </c>
      <c r="E494" s="70" t="s">
        <v>147</v>
      </c>
      <c r="F494" s="70" t="s">
        <v>148</v>
      </c>
      <c r="G494" s="65" t="s">
        <v>149</v>
      </c>
      <c r="H494" s="65" t="s">
        <v>150</v>
      </c>
      <c r="I494" s="65" t="s">
        <v>151</v>
      </c>
      <c r="J494" s="70" t="s">
        <v>152</v>
      </c>
      <c r="K494" s="70" t="s">
        <v>153</v>
      </c>
      <c r="L494" s="70" t="s">
        <v>154</v>
      </c>
      <c r="M494" s="70" t="s">
        <v>155</v>
      </c>
      <c r="N494" s="70" t="s">
        <v>156</v>
      </c>
      <c r="O494" s="70" t="s">
        <v>157</v>
      </c>
      <c r="P494" s="70" t="s">
        <v>158</v>
      </c>
      <c r="Q494" s="70" t="s">
        <v>159</v>
      </c>
      <c r="R494" s="70" t="s">
        <v>160</v>
      </c>
      <c r="S494" s="70" t="s">
        <v>161</v>
      </c>
      <c r="W494" s="76" t="s">
        <v>165</v>
      </c>
      <c r="X494" s="77" t="s">
        <v>289</v>
      </c>
      <c r="Y494" s="77" t="s">
        <v>290</v>
      </c>
      <c r="Z494" s="70"/>
      <c r="AF494" s="76"/>
      <c r="AJ494" s="66"/>
    </row>
    <row r="495" spans="1:37" hidden="1"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U495" s="80"/>
      <c r="W495" s="81" t="str">
        <f>IF((P495+Q495)=0," ",ROUND((P495/(P495+Q495)),74))</f>
        <v xml:space="preserve"> </v>
      </c>
      <c r="X495" s="81" t="str">
        <f>IF((C495)=0," ",ROUND((P495/(C495)),74))</f>
        <v xml:space="preserve"> </v>
      </c>
      <c r="Y495" s="81" t="str">
        <f>IF((C495)=0," ",ROUND((R495/(C495)),7))</f>
        <v xml:space="preserve"> </v>
      </c>
      <c r="Z495" s="79"/>
      <c r="AF495" s="79"/>
      <c r="AJ495" s="66"/>
    </row>
    <row r="496" spans="1:37" hidden="1">
      <c r="B496" s="65" t="s">
        <v>295</v>
      </c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U496" s="80"/>
      <c r="W496" s="81" t="str">
        <f>IF((P496+Q496)=0," ",ROUND((P496/(P496+Q496)),74))</f>
        <v xml:space="preserve"> </v>
      </c>
      <c r="X496" s="81" t="str">
        <f>IF((C496)=0," ",ROUND((P496/(C496)),74))</f>
        <v xml:space="preserve"> </v>
      </c>
      <c r="Y496" s="81" t="str">
        <f>IF((C496)=0," ",ROUND((R496/(C496)),7))</f>
        <v xml:space="preserve"> </v>
      </c>
      <c r="Z496" s="79"/>
      <c r="AF496" s="79"/>
      <c r="AJ496" s="66"/>
    </row>
    <row r="497" spans="1:37" hidden="1">
      <c r="B497" s="89" t="s">
        <v>296</v>
      </c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U497" s="80"/>
      <c r="W497" s="81" t="str">
        <f>IF((P497+Q497)=0," ",ROUND((P497/(P497+Q497)),74))</f>
        <v xml:space="preserve"> </v>
      </c>
      <c r="X497" s="81" t="str">
        <f>IF((C497)=0," ",ROUND((P497/(C497)),74))</f>
        <v xml:space="preserve"> </v>
      </c>
      <c r="Y497" s="81" t="str">
        <f>IF((C497)=0," ",ROUND((R497/(C497)),7))</f>
        <v xml:space="preserve"> </v>
      </c>
      <c r="Z497" s="79"/>
      <c r="AF497" s="79"/>
      <c r="AJ497" s="66"/>
    </row>
    <row r="498" spans="1:37" hidden="1">
      <c r="B498" s="83" t="s">
        <v>170</v>
      </c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U498" s="80"/>
      <c r="W498" s="81" t="str">
        <f>IF((P498+Q498)=0," ",ROUND((P498/(P498+Q498)),74))</f>
        <v xml:space="preserve"> </v>
      </c>
      <c r="X498" s="81" t="str">
        <f>IF((C498)=0," ",ROUND((P498/(C498)),74))</f>
        <v xml:space="preserve"> </v>
      </c>
      <c r="Y498" s="81" t="str">
        <f>IF((C498)=0," ",ROUND((R498/(C498)),7))</f>
        <v xml:space="preserve"> </v>
      </c>
      <c r="Z498" s="79"/>
      <c r="AF498" s="79"/>
      <c r="AJ498" s="66"/>
    </row>
    <row r="499" spans="1:37" hidden="1">
      <c r="A499" s="65">
        <v>1</v>
      </c>
      <c r="B499" s="66" t="s">
        <v>274</v>
      </c>
      <c r="C499" s="78">
        <f>0</f>
        <v>0</v>
      </c>
      <c r="D499" s="79">
        <f>SUM(D501:D502)</f>
        <v>0</v>
      </c>
      <c r="E499" s="79">
        <f>SUM(E501:E502)</f>
        <v>0</v>
      </c>
      <c r="F499" s="79">
        <f>D499+E499</f>
        <v>0</v>
      </c>
      <c r="G499" s="79">
        <f t="shared" ref="G499:L499" si="201">SUM(G501:G502)</f>
        <v>0</v>
      </c>
      <c r="H499" s="79">
        <f t="shared" si="201"/>
        <v>0</v>
      </c>
      <c r="I499" s="79">
        <f t="shared" si="201"/>
        <v>0</v>
      </c>
      <c r="J499" s="79">
        <f t="shared" si="201"/>
        <v>0</v>
      </c>
      <c r="K499" s="79">
        <f t="shared" si="201"/>
        <v>0</v>
      </c>
      <c r="L499" s="79">
        <f t="shared" si="201"/>
        <v>0</v>
      </c>
      <c r="M499" s="79">
        <f>SUM(J499:L499)</f>
        <v>0</v>
      </c>
      <c r="N499" s="79">
        <f>SUM(N501:N502)</f>
        <v>0</v>
      </c>
      <c r="O499" s="79">
        <f>C499-P499-Q499-S499</f>
        <v>0</v>
      </c>
      <c r="P499" s="79">
        <f>ROUND(P$34/($C$34)*($C4875),0)</f>
        <v>0</v>
      </c>
      <c r="Q499" s="79">
        <f>ROUND(Q$34/($C$34)*($C4875),0)</f>
        <v>0</v>
      </c>
      <c r="R499" s="79">
        <f>P499+Q499</f>
        <v>0</v>
      </c>
      <c r="S499" s="79">
        <v>0</v>
      </c>
      <c r="U499" s="80">
        <f>O499+R499+S499-C499</f>
        <v>0</v>
      </c>
      <c r="W499" s="81" t="str">
        <f>IF((O499+R499)=0," ",ROUND((O499/(O499+R499)),7))</f>
        <v xml:space="preserve"> </v>
      </c>
      <c r="X499" s="81" t="str">
        <f>IF((C499)=0," ",ROUND((O499/(C499)),7))</f>
        <v xml:space="preserve"> </v>
      </c>
      <c r="Y499" s="81" t="str">
        <f>IF((C499)=0," ",ROUND((S499/(C499)),7))</f>
        <v xml:space="preserve"> </v>
      </c>
      <c r="Z499" s="79"/>
      <c r="AF499" s="79"/>
      <c r="AJ499" s="66"/>
    </row>
    <row r="500" spans="1:37" hidden="1">
      <c r="B500" s="66" t="s">
        <v>275</v>
      </c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U500" s="80"/>
      <c r="W500" s="81" t="str">
        <f t="shared" ref="W500:W520" si="202">IF((O500+R500)=0," ",ROUND((O500/(O500+R500)),7))</f>
        <v xml:space="preserve"> </v>
      </c>
      <c r="X500" s="81" t="str">
        <f t="shared" ref="X500:X520" si="203">IF((C500)=0," ",ROUND((O500/(C500)),7))</f>
        <v xml:space="preserve"> </v>
      </c>
      <c r="Y500" s="81" t="str">
        <f t="shared" ref="Y500:Y520" si="204">IF((C500)=0," ",ROUND((S500/(C500)),7))</f>
        <v xml:space="preserve"> </v>
      </c>
      <c r="Z500" s="79"/>
      <c r="AF500" s="79"/>
      <c r="AJ500" s="66"/>
    </row>
    <row r="501" spans="1:37" hidden="1">
      <c r="A501" s="65">
        <f>A499+1</f>
        <v>2</v>
      </c>
      <c r="B501" s="66" t="s">
        <v>39</v>
      </c>
      <c r="C501" s="79"/>
      <c r="D501" s="79">
        <f>O501-E501-SUM(G501:I501)-SUM(M501:N501)</f>
        <v>0</v>
      </c>
      <c r="E501" s="79">
        <f>ROUND(E$37/$O$37*$O501,0)</f>
        <v>0</v>
      </c>
      <c r="F501" s="79">
        <f t="shared" ref="F501:F510" si="205">D501+E501</f>
        <v>0</v>
      </c>
      <c r="G501" s="79">
        <f t="shared" ref="G501:L502" si="206">ROUND(G$37/$O$37*$O501,0)</f>
        <v>0</v>
      </c>
      <c r="H501" s="79">
        <f t="shared" si="206"/>
        <v>0</v>
      </c>
      <c r="I501" s="79">
        <f t="shared" si="206"/>
        <v>0</v>
      </c>
      <c r="J501" s="79">
        <f t="shared" si="206"/>
        <v>0</v>
      </c>
      <c r="K501" s="79">
        <f t="shared" si="206"/>
        <v>0</v>
      </c>
      <c r="L501" s="79">
        <f t="shared" si="206"/>
        <v>0</v>
      </c>
      <c r="M501" s="79">
        <f>SUM(J501:L501)</f>
        <v>0</v>
      </c>
      <c r="N501" s="79">
        <f>ROUND(N$37/$O$37*$O501,0)</f>
        <v>0</v>
      </c>
      <c r="O501" s="79">
        <f>ROUND(O$37/O$34*O499,0)</f>
        <v>0</v>
      </c>
      <c r="P501" s="79"/>
      <c r="Q501" s="79"/>
      <c r="R501" s="79"/>
      <c r="S501" s="79"/>
      <c r="U501" s="80"/>
      <c r="W501" s="81" t="str">
        <f t="shared" si="202"/>
        <v xml:space="preserve"> </v>
      </c>
      <c r="X501" s="81" t="str">
        <f t="shared" si="203"/>
        <v xml:space="preserve"> </v>
      </c>
      <c r="Y501" s="81" t="str">
        <f t="shared" si="204"/>
        <v xml:space="preserve"> </v>
      </c>
      <c r="Z501" s="79"/>
      <c r="AF501" s="79"/>
      <c r="AJ501" s="66"/>
      <c r="AK501" s="65"/>
    </row>
    <row r="502" spans="1:37" hidden="1">
      <c r="A502" s="65">
        <f t="shared" ref="A502:A514" si="207">A501+1</f>
        <v>3</v>
      </c>
      <c r="B502" s="66" t="s">
        <v>168</v>
      </c>
      <c r="C502" s="79"/>
      <c r="D502" s="79">
        <f>O502-E502-SUM(G502:I502)-SUM(M502:N502)</f>
        <v>0</v>
      </c>
      <c r="E502" s="79">
        <f>ROUND(E$37/$O$37*$O502,0)</f>
        <v>0</v>
      </c>
      <c r="F502" s="79">
        <f t="shared" si="205"/>
        <v>0</v>
      </c>
      <c r="G502" s="79">
        <f t="shared" si="206"/>
        <v>0</v>
      </c>
      <c r="H502" s="79">
        <f t="shared" si="206"/>
        <v>0</v>
      </c>
      <c r="I502" s="79">
        <f t="shared" si="206"/>
        <v>0</v>
      </c>
      <c r="J502" s="79">
        <f t="shared" si="206"/>
        <v>0</v>
      </c>
      <c r="K502" s="79">
        <f t="shared" si="206"/>
        <v>0</v>
      </c>
      <c r="L502" s="79">
        <f t="shared" si="206"/>
        <v>0</v>
      </c>
      <c r="M502" s="79">
        <f t="shared" ref="M502:M514" si="208">SUM(J502:L502)</f>
        <v>0</v>
      </c>
      <c r="N502" s="79">
        <f>ROUND(N$37/$O$37*$O502,0)</f>
        <v>0</v>
      </c>
      <c r="O502" s="79">
        <f>O499-O501</f>
        <v>0</v>
      </c>
      <c r="P502" s="79"/>
      <c r="Q502" s="79"/>
      <c r="R502" s="79"/>
      <c r="S502" s="79"/>
      <c r="U502" s="80"/>
      <c r="W502" s="81" t="str">
        <f t="shared" si="202"/>
        <v xml:space="preserve"> </v>
      </c>
      <c r="X502" s="81" t="str">
        <f t="shared" si="203"/>
        <v xml:space="preserve"> </v>
      </c>
      <c r="Y502" s="81" t="str">
        <f t="shared" si="204"/>
        <v xml:space="preserve"> </v>
      </c>
      <c r="Z502" s="79"/>
      <c r="AF502" s="79"/>
      <c r="AJ502" s="66"/>
      <c r="AK502" s="65"/>
    </row>
    <row r="503" spans="1:37" hidden="1">
      <c r="A503" s="65">
        <f t="shared" si="207"/>
        <v>4</v>
      </c>
      <c r="B503" s="66" t="s">
        <v>276</v>
      </c>
      <c r="C503" s="78">
        <f>0</f>
        <v>0</v>
      </c>
      <c r="D503" s="79">
        <f>C503-E503-SUM(G503:I503)-SUM(M503:N503)-R503-S503</f>
        <v>0</v>
      </c>
      <c r="E503" s="79">
        <f>ROUND(E$79/($C$79-$S79)*$C503,0)</f>
        <v>0</v>
      </c>
      <c r="F503" s="79">
        <f t="shared" si="205"/>
        <v>0</v>
      </c>
      <c r="G503" s="79">
        <f t="shared" ref="G503:L503" si="209">ROUND(G$79/($C$79-$S79)*$C503,0)</f>
        <v>0</v>
      </c>
      <c r="H503" s="79">
        <f t="shared" si="209"/>
        <v>0</v>
      </c>
      <c r="I503" s="79">
        <f t="shared" si="209"/>
        <v>0</v>
      </c>
      <c r="J503" s="79">
        <f t="shared" si="209"/>
        <v>0</v>
      </c>
      <c r="K503" s="79">
        <f t="shared" si="209"/>
        <v>0</v>
      </c>
      <c r="L503" s="79">
        <f t="shared" si="209"/>
        <v>0</v>
      </c>
      <c r="M503" s="79">
        <f t="shared" si="208"/>
        <v>0</v>
      </c>
      <c r="N503" s="79">
        <f>ROUND(N$79/($C$79-$S79)*$C503,0)</f>
        <v>0</v>
      </c>
      <c r="O503" s="79">
        <f t="shared" ref="O503:O514" si="210">SUM(F503:I503)+SUM(M503:N503)</f>
        <v>0</v>
      </c>
      <c r="P503" s="79">
        <f>ROUND(P$79/($C$79-$S79)*$C503,0)</f>
        <v>0</v>
      </c>
      <c r="Q503" s="79">
        <f>ROUND(Q$79/($C$79-$S79)*$C503,0)</f>
        <v>0</v>
      </c>
      <c r="R503" s="79">
        <f t="shared" ref="R503:R514" si="211">P503+Q503</f>
        <v>0</v>
      </c>
      <c r="S503" s="79">
        <v>0</v>
      </c>
      <c r="U503" s="80">
        <f t="shared" ref="U503:U514" si="212">O503+R503+S503-C503</f>
        <v>0</v>
      </c>
      <c r="W503" s="81" t="str">
        <f t="shared" si="202"/>
        <v xml:space="preserve"> </v>
      </c>
      <c r="X503" s="81" t="str">
        <f t="shared" si="203"/>
        <v xml:space="preserve"> </v>
      </c>
      <c r="Y503" s="81" t="str">
        <f t="shared" si="204"/>
        <v xml:space="preserve"> </v>
      </c>
      <c r="Z503" s="79"/>
      <c r="AF503" s="79"/>
      <c r="AJ503" s="66"/>
    </row>
    <row r="504" spans="1:37" hidden="1">
      <c r="A504" s="65">
        <f t="shared" si="207"/>
        <v>5</v>
      </c>
      <c r="B504" s="66" t="s">
        <v>277</v>
      </c>
      <c r="C504" s="78">
        <f>0</f>
        <v>0</v>
      </c>
      <c r="D504" s="79">
        <f>C504-E504-SUM(G504:I504)-SUM(M504:N504)-R504-S504</f>
        <v>0</v>
      </c>
      <c r="E504" s="79">
        <f>ROUND(E$164/$C$164*$C504,0)</f>
        <v>0</v>
      </c>
      <c r="F504" s="79">
        <f t="shared" si="205"/>
        <v>0</v>
      </c>
      <c r="G504" s="79">
        <f t="shared" ref="G504:L504" si="213">ROUND(G$164/$C$164*$C504,0)</f>
        <v>0</v>
      </c>
      <c r="H504" s="79">
        <f t="shared" si="213"/>
        <v>0</v>
      </c>
      <c r="I504" s="79">
        <f t="shared" si="213"/>
        <v>0</v>
      </c>
      <c r="J504" s="79">
        <f t="shared" si="213"/>
        <v>0</v>
      </c>
      <c r="K504" s="79">
        <f t="shared" si="213"/>
        <v>0</v>
      </c>
      <c r="L504" s="79">
        <f t="shared" si="213"/>
        <v>0</v>
      </c>
      <c r="M504" s="79">
        <f t="shared" si="208"/>
        <v>0</v>
      </c>
      <c r="N504" s="79">
        <f>ROUND(N$164/$C$164*$C504,0)</f>
        <v>0</v>
      </c>
      <c r="O504" s="79">
        <f t="shared" si="210"/>
        <v>0</v>
      </c>
      <c r="P504" s="79">
        <f>ROUND(P$164/$C$164*$C504,0)</f>
        <v>0</v>
      </c>
      <c r="Q504" s="79">
        <f>ROUND(Q$164/$C$164*$C504,0)</f>
        <v>0</v>
      </c>
      <c r="R504" s="79">
        <f t="shared" si="211"/>
        <v>0</v>
      </c>
      <c r="S504" s="79">
        <v>0</v>
      </c>
      <c r="U504" s="80">
        <f t="shared" si="212"/>
        <v>0</v>
      </c>
      <c r="W504" s="81" t="str">
        <f t="shared" si="202"/>
        <v xml:space="preserve"> </v>
      </c>
      <c r="X504" s="81" t="str">
        <f t="shared" si="203"/>
        <v xml:space="preserve"> </v>
      </c>
      <c r="Y504" s="81" t="str">
        <f t="shared" si="204"/>
        <v xml:space="preserve"> </v>
      </c>
      <c r="Z504" s="79"/>
      <c r="AF504" s="79"/>
      <c r="AJ504" s="66"/>
      <c r="AK504" s="70"/>
    </row>
    <row r="505" spans="1:37" hidden="1">
      <c r="A505" s="65">
        <f t="shared" si="207"/>
        <v>6</v>
      </c>
      <c r="B505" s="66" t="s">
        <v>39</v>
      </c>
      <c r="C505" s="79">
        <f>ROUND(C165/C164*C504,0)</f>
        <v>0</v>
      </c>
      <c r="D505" s="79">
        <f>C505-E505-SUM(G505:I505)-SUM(M505:N505)-R505-S505</f>
        <v>0</v>
      </c>
      <c r="E505" s="79">
        <f>ROUND(E$165/$C$165*$C505,0)</f>
        <v>0</v>
      </c>
      <c r="F505" s="79">
        <f t="shared" si="205"/>
        <v>0</v>
      </c>
      <c r="G505" s="79">
        <f t="shared" ref="G505:L505" si="214">ROUND(G$165/$C$165*$C505,0)</f>
        <v>0</v>
      </c>
      <c r="H505" s="79">
        <f t="shared" si="214"/>
        <v>0</v>
      </c>
      <c r="I505" s="79">
        <f t="shared" si="214"/>
        <v>0</v>
      </c>
      <c r="J505" s="79">
        <f t="shared" si="214"/>
        <v>0</v>
      </c>
      <c r="K505" s="79">
        <f t="shared" si="214"/>
        <v>0</v>
      </c>
      <c r="L505" s="79">
        <f t="shared" si="214"/>
        <v>0</v>
      </c>
      <c r="M505" s="79">
        <f t="shared" si="208"/>
        <v>0</v>
      </c>
      <c r="N505" s="79">
        <f>ROUND(N$165/$C$165*$C505,0)</f>
        <v>0</v>
      </c>
      <c r="O505" s="79">
        <f t="shared" si="210"/>
        <v>0</v>
      </c>
      <c r="P505" s="79">
        <f>ROUND(P$165/$C$165*$C505,0)</f>
        <v>0</v>
      </c>
      <c r="Q505" s="79">
        <f>ROUND(Q$165/$C$165*$C505,0)</f>
        <v>0</v>
      </c>
      <c r="R505" s="79">
        <f t="shared" si="211"/>
        <v>0</v>
      </c>
      <c r="S505" s="79">
        <v>0</v>
      </c>
      <c r="U505" s="80">
        <f t="shared" si="212"/>
        <v>0</v>
      </c>
      <c r="W505" s="81" t="str">
        <f t="shared" si="202"/>
        <v xml:space="preserve"> </v>
      </c>
      <c r="X505" s="81" t="str">
        <f t="shared" si="203"/>
        <v xml:space="preserve"> </v>
      </c>
      <c r="Y505" s="81" t="str">
        <f t="shared" si="204"/>
        <v xml:space="preserve"> </v>
      </c>
      <c r="Z505" s="79"/>
      <c r="AF505" s="79"/>
      <c r="AJ505" s="66"/>
      <c r="AK505" s="65"/>
    </row>
    <row r="506" spans="1:37" hidden="1">
      <c r="A506" s="65">
        <f t="shared" si="207"/>
        <v>7</v>
      </c>
      <c r="B506" s="66" t="s">
        <v>44</v>
      </c>
      <c r="C506" s="79">
        <f>O506+R506+S506</f>
        <v>0</v>
      </c>
      <c r="D506" s="79">
        <f>D504-D505</f>
        <v>0</v>
      </c>
      <c r="E506" s="79">
        <f>E504-E505</f>
        <v>0</v>
      </c>
      <c r="F506" s="79">
        <f t="shared" si="205"/>
        <v>0</v>
      </c>
      <c r="G506" s="79">
        <f t="shared" ref="G506:L506" si="215">G504-G505</f>
        <v>0</v>
      </c>
      <c r="H506" s="79">
        <f t="shared" si="215"/>
        <v>0</v>
      </c>
      <c r="I506" s="79">
        <f t="shared" si="215"/>
        <v>0</v>
      </c>
      <c r="J506" s="79">
        <f t="shared" si="215"/>
        <v>0</v>
      </c>
      <c r="K506" s="79">
        <f t="shared" si="215"/>
        <v>0</v>
      </c>
      <c r="L506" s="79">
        <f t="shared" si="215"/>
        <v>0</v>
      </c>
      <c r="M506" s="79">
        <f t="shared" si="208"/>
        <v>0</v>
      </c>
      <c r="N506" s="79">
        <f>N504-N505</f>
        <v>0</v>
      </c>
      <c r="O506" s="79">
        <f t="shared" si="210"/>
        <v>0</v>
      </c>
      <c r="P506" s="79">
        <f>P504-P505</f>
        <v>0</v>
      </c>
      <c r="Q506" s="79">
        <f>Q504-Q505</f>
        <v>0</v>
      </c>
      <c r="R506" s="79">
        <f t="shared" si="211"/>
        <v>0</v>
      </c>
      <c r="S506" s="79">
        <f>S504-S505</f>
        <v>0</v>
      </c>
      <c r="U506" s="80">
        <f t="shared" si="212"/>
        <v>0</v>
      </c>
      <c r="W506" s="81" t="str">
        <f t="shared" si="202"/>
        <v xml:space="preserve"> </v>
      </c>
      <c r="X506" s="81" t="str">
        <f t="shared" si="203"/>
        <v xml:space="preserve"> </v>
      </c>
      <c r="Y506" s="81" t="str">
        <f t="shared" si="204"/>
        <v xml:space="preserve"> </v>
      </c>
      <c r="Z506" s="79"/>
      <c r="AF506" s="79"/>
      <c r="AJ506" s="66"/>
      <c r="AK506" s="70"/>
    </row>
    <row r="507" spans="1:37" hidden="1">
      <c r="A507" s="65">
        <f t="shared" si="207"/>
        <v>8</v>
      </c>
      <c r="B507" s="66" t="s">
        <v>278</v>
      </c>
      <c r="C507" s="78">
        <f>0</f>
        <v>0</v>
      </c>
      <c r="D507" s="79">
        <f>C507-E507-SUM(G507:I507)-SUM(M507:N507)-R507-S507</f>
        <v>0</v>
      </c>
      <c r="E507" s="79">
        <f>ROUND(E$1021/$C$1021*$C507,0)</f>
        <v>0</v>
      </c>
      <c r="F507" s="79">
        <f t="shared" si="205"/>
        <v>0</v>
      </c>
      <c r="G507" s="79">
        <f t="shared" ref="G507:L507" si="216">ROUND(G$1021/$C$1021*$C507,0)</f>
        <v>0</v>
      </c>
      <c r="H507" s="79">
        <f t="shared" si="216"/>
        <v>0</v>
      </c>
      <c r="I507" s="79">
        <f t="shared" si="216"/>
        <v>0</v>
      </c>
      <c r="J507" s="79">
        <f t="shared" si="216"/>
        <v>0</v>
      </c>
      <c r="K507" s="79">
        <f t="shared" si="216"/>
        <v>0</v>
      </c>
      <c r="L507" s="79">
        <f t="shared" si="216"/>
        <v>0</v>
      </c>
      <c r="M507" s="79">
        <f t="shared" si="208"/>
        <v>0</v>
      </c>
      <c r="N507" s="79">
        <f>ROUND(N$1021/$C$1021*$C507,0)</f>
        <v>0</v>
      </c>
      <c r="O507" s="79">
        <f t="shared" si="210"/>
        <v>0</v>
      </c>
      <c r="P507" s="79">
        <f>ROUND(P$1021/$C$1021*$C507,0)</f>
        <v>0</v>
      </c>
      <c r="Q507" s="79">
        <f>ROUND(Q$1021/$C$1021*$C507,0)</f>
        <v>0</v>
      </c>
      <c r="R507" s="79">
        <f t="shared" si="211"/>
        <v>0</v>
      </c>
      <c r="S507" s="79">
        <v>0</v>
      </c>
      <c r="U507" s="80">
        <f t="shared" si="212"/>
        <v>0</v>
      </c>
      <c r="W507" s="81" t="str">
        <f t="shared" si="202"/>
        <v xml:space="preserve"> </v>
      </c>
      <c r="X507" s="81" t="str">
        <f t="shared" si="203"/>
        <v xml:space="preserve"> </v>
      </c>
      <c r="Y507" s="81" t="str">
        <f t="shared" si="204"/>
        <v xml:space="preserve"> </v>
      </c>
      <c r="Z507" s="79"/>
      <c r="AF507" s="79"/>
      <c r="AJ507" s="66"/>
      <c r="AK507" s="70"/>
    </row>
    <row r="508" spans="1:37" hidden="1">
      <c r="A508" s="65">
        <f t="shared" si="207"/>
        <v>9</v>
      </c>
      <c r="B508" s="66" t="s">
        <v>283</v>
      </c>
      <c r="C508" s="78">
        <f>0</f>
        <v>0</v>
      </c>
      <c r="D508" s="79">
        <f>C508-E508-SUM(G508:I508)-SUM(M508:N508)-R508-S508</f>
        <v>0</v>
      </c>
      <c r="E508" s="79">
        <f>ROUND(E1055/$C1055*$C508,0)</f>
        <v>0</v>
      </c>
      <c r="F508" s="79">
        <f t="shared" si="205"/>
        <v>0</v>
      </c>
      <c r="G508" s="79">
        <f t="shared" ref="G508:L508" si="217">ROUND(G1055/$C1055*$C508,0)</f>
        <v>0</v>
      </c>
      <c r="H508" s="79">
        <f t="shared" si="217"/>
        <v>0</v>
      </c>
      <c r="I508" s="79">
        <f t="shared" si="217"/>
        <v>0</v>
      </c>
      <c r="J508" s="79">
        <f t="shared" si="217"/>
        <v>0</v>
      </c>
      <c r="K508" s="79">
        <f t="shared" si="217"/>
        <v>0</v>
      </c>
      <c r="L508" s="79">
        <f t="shared" si="217"/>
        <v>0</v>
      </c>
      <c r="M508" s="79">
        <f t="shared" si="208"/>
        <v>0</v>
      </c>
      <c r="N508" s="79">
        <f>ROUND(N1055/$C1055*$C508,0)</f>
        <v>0</v>
      </c>
      <c r="O508" s="79">
        <f t="shared" si="210"/>
        <v>0</v>
      </c>
      <c r="P508" s="79">
        <f>ROUND(P1055/$C1055*$C508,0)</f>
        <v>0</v>
      </c>
      <c r="Q508" s="79">
        <f>ROUND(Q1055/$C1055*$C508,0)</f>
        <v>0</v>
      </c>
      <c r="R508" s="79">
        <f t="shared" si="211"/>
        <v>0</v>
      </c>
      <c r="S508" s="79">
        <v>0</v>
      </c>
      <c r="U508" s="80">
        <f t="shared" si="212"/>
        <v>0</v>
      </c>
      <c r="W508" s="81" t="str">
        <f t="shared" si="202"/>
        <v xml:space="preserve"> </v>
      </c>
      <c r="X508" s="81" t="str">
        <f t="shared" si="203"/>
        <v xml:space="preserve"> </v>
      </c>
      <c r="Y508" s="81" t="str">
        <f t="shared" si="204"/>
        <v xml:space="preserve"> </v>
      </c>
      <c r="Z508" s="79"/>
      <c r="AF508" s="79"/>
      <c r="AJ508" s="66"/>
      <c r="AK508" s="65"/>
    </row>
    <row r="509" spans="1:37" hidden="1">
      <c r="A509" s="65">
        <f t="shared" si="207"/>
        <v>10</v>
      </c>
      <c r="B509" s="66" t="s">
        <v>44</v>
      </c>
      <c r="C509" s="79">
        <f>O509+R509+S509</f>
        <v>0</v>
      </c>
      <c r="D509" s="79">
        <f>D508-D510</f>
        <v>0</v>
      </c>
      <c r="E509" s="79">
        <f>E508-E510</f>
        <v>0</v>
      </c>
      <c r="F509" s="79">
        <f t="shared" si="205"/>
        <v>0</v>
      </c>
      <c r="G509" s="79">
        <f t="shared" ref="G509:L509" si="218">G508-G510</f>
        <v>0</v>
      </c>
      <c r="H509" s="79">
        <f t="shared" si="218"/>
        <v>0</v>
      </c>
      <c r="I509" s="79">
        <f t="shared" si="218"/>
        <v>0</v>
      </c>
      <c r="J509" s="79">
        <f t="shared" si="218"/>
        <v>0</v>
      </c>
      <c r="K509" s="79">
        <f t="shared" si="218"/>
        <v>0</v>
      </c>
      <c r="L509" s="79">
        <f t="shared" si="218"/>
        <v>0</v>
      </c>
      <c r="M509" s="79">
        <f t="shared" si="208"/>
        <v>0</v>
      </c>
      <c r="N509" s="79">
        <f>N508-N510</f>
        <v>0</v>
      </c>
      <c r="O509" s="79">
        <f t="shared" si="210"/>
        <v>0</v>
      </c>
      <c r="P509" s="79">
        <f>P508-P510</f>
        <v>0</v>
      </c>
      <c r="Q509" s="79">
        <f>Q508-Q510</f>
        <v>0</v>
      </c>
      <c r="R509" s="79">
        <f t="shared" si="211"/>
        <v>0</v>
      </c>
      <c r="S509" s="79">
        <f>S508-S510</f>
        <v>0</v>
      </c>
      <c r="U509" s="80">
        <f t="shared" si="212"/>
        <v>0</v>
      </c>
      <c r="W509" s="81" t="str">
        <f t="shared" si="202"/>
        <v xml:space="preserve"> </v>
      </c>
      <c r="X509" s="81" t="str">
        <f t="shared" si="203"/>
        <v xml:space="preserve"> </v>
      </c>
      <c r="Y509" s="81" t="str">
        <f t="shared" si="204"/>
        <v xml:space="preserve"> </v>
      </c>
      <c r="Z509" s="79"/>
      <c r="AF509" s="79"/>
      <c r="AJ509" s="66"/>
      <c r="AK509" s="65"/>
    </row>
    <row r="510" spans="1:37" hidden="1">
      <c r="A510" s="65">
        <f t="shared" si="207"/>
        <v>11</v>
      </c>
      <c r="B510" s="66" t="s">
        <v>168</v>
      </c>
      <c r="C510" s="79">
        <f>ROUND(C1053/C1055*C508,0)</f>
        <v>0</v>
      </c>
      <c r="D510" s="79">
        <f>C510-E510-SUM(G510:I510)-SUM(M510:N510)-R510-S510</f>
        <v>0</v>
      </c>
      <c r="E510" s="79">
        <f>ROUND(E1053/$C1053*$C510,0)</f>
        <v>0</v>
      </c>
      <c r="F510" s="79">
        <f t="shared" si="205"/>
        <v>0</v>
      </c>
      <c r="G510" s="79">
        <f t="shared" ref="G510:L510" si="219">ROUND(G1053/$C1053*$C510,0)</f>
        <v>0</v>
      </c>
      <c r="H510" s="79">
        <f t="shared" si="219"/>
        <v>0</v>
      </c>
      <c r="I510" s="79">
        <f t="shared" si="219"/>
        <v>0</v>
      </c>
      <c r="J510" s="79">
        <f t="shared" si="219"/>
        <v>0</v>
      </c>
      <c r="K510" s="79">
        <f t="shared" si="219"/>
        <v>0</v>
      </c>
      <c r="L510" s="79">
        <f t="shared" si="219"/>
        <v>0</v>
      </c>
      <c r="M510" s="79">
        <f t="shared" si="208"/>
        <v>0</v>
      </c>
      <c r="N510" s="79">
        <f>ROUND(N1053/$C1053*$C510,0)</f>
        <v>0</v>
      </c>
      <c r="O510" s="79">
        <f t="shared" si="210"/>
        <v>0</v>
      </c>
      <c r="P510" s="79">
        <f>ROUND(P1053/$C1053*$C510,0)</f>
        <v>0</v>
      </c>
      <c r="Q510" s="79">
        <f>ROUND(Q1053/$C1053*$C510,0)</f>
        <v>0</v>
      </c>
      <c r="R510" s="79">
        <f t="shared" si="211"/>
        <v>0</v>
      </c>
      <c r="S510" s="79">
        <v>0</v>
      </c>
      <c r="U510" s="80">
        <f t="shared" si="212"/>
        <v>0</v>
      </c>
      <c r="W510" s="81" t="str">
        <f t="shared" si="202"/>
        <v xml:space="preserve"> </v>
      </c>
      <c r="X510" s="81" t="str">
        <f t="shared" si="203"/>
        <v xml:space="preserve"> </v>
      </c>
      <c r="Y510" s="81" t="str">
        <f t="shared" si="204"/>
        <v xml:space="preserve"> </v>
      </c>
      <c r="Z510" s="79"/>
      <c r="AF510" s="79"/>
      <c r="AJ510" s="66"/>
      <c r="AK510" s="70"/>
    </row>
    <row r="511" spans="1:37" hidden="1">
      <c r="A511" s="65">
        <f t="shared" si="207"/>
        <v>12</v>
      </c>
      <c r="B511" s="66" t="s">
        <v>297</v>
      </c>
      <c r="C511" s="79">
        <f>O511+R511+S511</f>
        <v>0</v>
      </c>
      <c r="D511" s="79">
        <f>SUM(D512:D514)</f>
        <v>0</v>
      </c>
      <c r="E511" s="79">
        <f>SUM(E512:E514)</f>
        <v>0</v>
      </c>
      <c r="F511" s="79">
        <f>D511+E511</f>
        <v>0</v>
      </c>
      <c r="G511" s="79">
        <f t="shared" ref="G511:L511" si="220">SUM(G512:G514)</f>
        <v>0</v>
      </c>
      <c r="H511" s="79">
        <f t="shared" si="220"/>
        <v>0</v>
      </c>
      <c r="I511" s="79">
        <f t="shared" si="220"/>
        <v>0</v>
      </c>
      <c r="J511" s="79">
        <f t="shared" si="220"/>
        <v>0</v>
      </c>
      <c r="K511" s="79">
        <f t="shared" si="220"/>
        <v>0</v>
      </c>
      <c r="L511" s="79">
        <f t="shared" si="220"/>
        <v>0</v>
      </c>
      <c r="M511" s="79">
        <f t="shared" si="208"/>
        <v>0</v>
      </c>
      <c r="N511" s="79">
        <f>SUM(N512:N514)</f>
        <v>0</v>
      </c>
      <c r="O511" s="79">
        <f t="shared" si="210"/>
        <v>0</v>
      </c>
      <c r="P511" s="79">
        <f>SUM(P512:P514)</f>
        <v>0</v>
      </c>
      <c r="Q511" s="79">
        <f>SUM(Q512:Q514)</f>
        <v>0</v>
      </c>
      <c r="R511" s="79">
        <f t="shared" si="211"/>
        <v>0</v>
      </c>
      <c r="S511" s="79">
        <f>SUM(S512:S514)</f>
        <v>0</v>
      </c>
      <c r="U511" s="80">
        <f t="shared" si="212"/>
        <v>0</v>
      </c>
      <c r="W511" s="81" t="str">
        <f t="shared" si="202"/>
        <v xml:space="preserve"> </v>
      </c>
      <c r="X511" s="81" t="str">
        <f t="shared" si="203"/>
        <v xml:space="preserve"> </v>
      </c>
      <c r="Y511" s="81" t="str">
        <f t="shared" si="204"/>
        <v xml:space="preserve"> </v>
      </c>
      <c r="Z511" s="79"/>
      <c r="AF511" s="79"/>
      <c r="AJ511" s="66"/>
      <c r="AK511" s="65"/>
    </row>
    <row r="512" spans="1:37" hidden="1">
      <c r="A512" s="65">
        <f t="shared" si="207"/>
        <v>13</v>
      </c>
      <c r="B512" s="66" t="s">
        <v>229</v>
      </c>
      <c r="C512" s="79">
        <f>O512+R512+S512</f>
        <v>0</v>
      </c>
      <c r="D512" s="79">
        <f>D501+D503+D505</f>
        <v>0</v>
      </c>
      <c r="E512" s="79">
        <f>E501+E503+E505</f>
        <v>0</v>
      </c>
      <c r="F512" s="79">
        <f>D512+E512</f>
        <v>0</v>
      </c>
      <c r="G512" s="79">
        <f t="shared" ref="G512:L512" si="221">G501+G503+G505</f>
        <v>0</v>
      </c>
      <c r="H512" s="79">
        <f t="shared" si="221"/>
        <v>0</v>
      </c>
      <c r="I512" s="79">
        <f t="shared" si="221"/>
        <v>0</v>
      </c>
      <c r="J512" s="79">
        <f t="shared" si="221"/>
        <v>0</v>
      </c>
      <c r="K512" s="79">
        <f t="shared" si="221"/>
        <v>0</v>
      </c>
      <c r="L512" s="79">
        <f t="shared" si="221"/>
        <v>0</v>
      </c>
      <c r="M512" s="79">
        <f t="shared" si="208"/>
        <v>0</v>
      </c>
      <c r="N512" s="79">
        <f>N501+N503+N505</f>
        <v>0</v>
      </c>
      <c r="O512" s="79">
        <f t="shared" si="210"/>
        <v>0</v>
      </c>
      <c r="P512" s="79">
        <f>P499+P503+P505</f>
        <v>0</v>
      </c>
      <c r="Q512" s="79">
        <f>Q499+Q503+Q505</f>
        <v>0</v>
      </c>
      <c r="R512" s="79">
        <f t="shared" si="211"/>
        <v>0</v>
      </c>
      <c r="S512" s="79">
        <f>S499+S503+S505</f>
        <v>0</v>
      </c>
      <c r="U512" s="80">
        <f t="shared" si="212"/>
        <v>0</v>
      </c>
      <c r="W512" s="81" t="str">
        <f t="shared" si="202"/>
        <v xml:space="preserve"> </v>
      </c>
      <c r="X512" s="81" t="str">
        <f t="shared" si="203"/>
        <v xml:space="preserve"> </v>
      </c>
      <c r="Y512" s="81" t="str">
        <f t="shared" si="204"/>
        <v xml:space="preserve"> </v>
      </c>
      <c r="Z512" s="79"/>
      <c r="AF512" s="79"/>
      <c r="AJ512" s="66"/>
      <c r="AK512" s="65"/>
    </row>
    <row r="513" spans="1:37" hidden="1">
      <c r="A513" s="65">
        <f t="shared" si="207"/>
        <v>14</v>
      </c>
      <c r="B513" s="66" t="s">
        <v>253</v>
      </c>
      <c r="C513" s="79">
        <f>O513+R513+S513</f>
        <v>0</v>
      </c>
      <c r="D513" s="79">
        <f>D506+D507+D509</f>
        <v>0</v>
      </c>
      <c r="E513" s="79">
        <f>E506+E507+E509</f>
        <v>0</v>
      </c>
      <c r="F513" s="79">
        <f>D513+E513</f>
        <v>0</v>
      </c>
      <c r="G513" s="79">
        <f t="shared" ref="G513:L513" si="222">G506+G507+G509</f>
        <v>0</v>
      </c>
      <c r="H513" s="79">
        <f t="shared" si="222"/>
        <v>0</v>
      </c>
      <c r="I513" s="79">
        <f t="shared" si="222"/>
        <v>0</v>
      </c>
      <c r="J513" s="79">
        <f t="shared" si="222"/>
        <v>0</v>
      </c>
      <c r="K513" s="79">
        <f t="shared" si="222"/>
        <v>0</v>
      </c>
      <c r="L513" s="79">
        <f t="shared" si="222"/>
        <v>0</v>
      </c>
      <c r="M513" s="79">
        <f t="shared" si="208"/>
        <v>0</v>
      </c>
      <c r="N513" s="79">
        <f>N506+N507+N509</f>
        <v>0</v>
      </c>
      <c r="O513" s="79">
        <f t="shared" si="210"/>
        <v>0</v>
      </c>
      <c r="P513" s="79">
        <f>P506+P507+P509</f>
        <v>0</v>
      </c>
      <c r="Q513" s="79">
        <f>Q506+Q507+Q509</f>
        <v>0</v>
      </c>
      <c r="R513" s="79">
        <f t="shared" si="211"/>
        <v>0</v>
      </c>
      <c r="S513" s="79">
        <f>S506+S507+S509</f>
        <v>0</v>
      </c>
      <c r="U513" s="80">
        <f t="shared" si="212"/>
        <v>0</v>
      </c>
      <c r="W513" s="81" t="str">
        <f t="shared" si="202"/>
        <v xml:space="preserve"> </v>
      </c>
      <c r="X513" s="81" t="str">
        <f t="shared" si="203"/>
        <v xml:space="preserve"> </v>
      </c>
      <c r="Y513" s="81" t="str">
        <f t="shared" si="204"/>
        <v xml:space="preserve"> </v>
      </c>
      <c r="Z513" s="79"/>
      <c r="AF513" s="79"/>
      <c r="AJ513" s="66"/>
      <c r="AK513" s="65"/>
    </row>
    <row r="514" spans="1:37" hidden="1">
      <c r="A514" s="65">
        <f t="shared" si="207"/>
        <v>15</v>
      </c>
      <c r="B514" s="66" t="s">
        <v>230</v>
      </c>
      <c r="C514" s="79">
        <f>O514+R514+S514</f>
        <v>0</v>
      </c>
      <c r="D514" s="79">
        <f>D510+D502</f>
        <v>0</v>
      </c>
      <c r="E514" s="79">
        <f>E510+E502</f>
        <v>0</v>
      </c>
      <c r="F514" s="79">
        <f>D514+E514</f>
        <v>0</v>
      </c>
      <c r="G514" s="79">
        <f t="shared" ref="G514:L514" si="223">G510+G502</f>
        <v>0</v>
      </c>
      <c r="H514" s="79">
        <f t="shared" si="223"/>
        <v>0</v>
      </c>
      <c r="I514" s="79">
        <f t="shared" si="223"/>
        <v>0</v>
      </c>
      <c r="J514" s="79">
        <f t="shared" si="223"/>
        <v>0</v>
      </c>
      <c r="K514" s="79">
        <f t="shared" si="223"/>
        <v>0</v>
      </c>
      <c r="L514" s="79">
        <f t="shared" si="223"/>
        <v>0</v>
      </c>
      <c r="M514" s="79">
        <f t="shared" si="208"/>
        <v>0</v>
      </c>
      <c r="N514" s="79">
        <f>N510+N502</f>
        <v>0</v>
      </c>
      <c r="O514" s="79">
        <f t="shared" si="210"/>
        <v>0</v>
      </c>
      <c r="P514" s="79">
        <f>P510+P502</f>
        <v>0</v>
      </c>
      <c r="Q514" s="79">
        <f>Q510+Q502</f>
        <v>0</v>
      </c>
      <c r="R514" s="79">
        <f t="shared" si="211"/>
        <v>0</v>
      </c>
      <c r="S514" s="79">
        <f>S510</f>
        <v>0</v>
      </c>
      <c r="U514" s="80">
        <f t="shared" si="212"/>
        <v>0</v>
      </c>
      <c r="W514" s="81" t="str">
        <f t="shared" si="202"/>
        <v xml:space="preserve"> </v>
      </c>
      <c r="X514" s="81" t="str">
        <f t="shared" si="203"/>
        <v xml:space="preserve"> </v>
      </c>
      <c r="Y514" s="81" t="str">
        <f t="shared" si="204"/>
        <v xml:space="preserve"> </v>
      </c>
      <c r="Z514" s="79"/>
      <c r="AF514" s="79"/>
      <c r="AJ514" s="66"/>
      <c r="AK514" s="65"/>
    </row>
    <row r="515" spans="1:37" hidden="1"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U515" s="80"/>
      <c r="W515" s="81" t="str">
        <f t="shared" si="202"/>
        <v xml:space="preserve"> </v>
      </c>
      <c r="X515" s="81" t="str">
        <f t="shared" si="203"/>
        <v xml:space="preserve"> </v>
      </c>
      <c r="Y515" s="81" t="str">
        <f t="shared" si="204"/>
        <v xml:space="preserve"> </v>
      </c>
      <c r="Z515" s="79"/>
      <c r="AF515" s="79"/>
      <c r="AJ515" s="66"/>
      <c r="AK515" s="65"/>
    </row>
    <row r="516" spans="1:37" hidden="1">
      <c r="B516" s="65" t="s">
        <v>295</v>
      </c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U516" s="80"/>
      <c r="W516" s="81" t="str">
        <f t="shared" si="202"/>
        <v xml:space="preserve"> </v>
      </c>
      <c r="X516" s="81" t="str">
        <f t="shared" si="203"/>
        <v xml:space="preserve"> </v>
      </c>
      <c r="Y516" s="81" t="str">
        <f t="shared" si="204"/>
        <v xml:space="preserve"> </v>
      </c>
      <c r="Z516" s="79"/>
      <c r="AF516" s="79"/>
      <c r="AJ516" s="66"/>
      <c r="AK516" s="65"/>
    </row>
    <row r="517" spans="1:37" hidden="1">
      <c r="B517" s="89" t="s">
        <v>298</v>
      </c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U517" s="80"/>
      <c r="W517" s="81" t="str">
        <f t="shared" si="202"/>
        <v xml:space="preserve"> </v>
      </c>
      <c r="X517" s="81" t="str">
        <f t="shared" si="203"/>
        <v xml:space="preserve"> </v>
      </c>
      <c r="Y517" s="81" t="str">
        <f t="shared" si="204"/>
        <v xml:space="preserve"> </v>
      </c>
      <c r="Z517" s="79"/>
      <c r="AF517" s="79"/>
      <c r="AJ517" s="66"/>
    </row>
    <row r="518" spans="1:37" hidden="1">
      <c r="B518" s="83" t="s">
        <v>170</v>
      </c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U518" s="80"/>
      <c r="W518" s="81" t="str">
        <f t="shared" si="202"/>
        <v xml:space="preserve"> </v>
      </c>
      <c r="X518" s="81" t="str">
        <f t="shared" si="203"/>
        <v xml:space="preserve"> </v>
      </c>
      <c r="Y518" s="81" t="str">
        <f t="shared" si="204"/>
        <v xml:space="preserve"> </v>
      </c>
      <c r="Z518" s="79"/>
      <c r="AF518" s="79"/>
      <c r="AJ518" s="66"/>
    </row>
    <row r="519" spans="1:37" hidden="1">
      <c r="A519" s="65">
        <f>A514+1</f>
        <v>16</v>
      </c>
      <c r="B519" s="66" t="s">
        <v>274</v>
      </c>
      <c r="C519" s="78">
        <f>G2285</f>
        <v>33327</v>
      </c>
      <c r="D519" s="79">
        <f t="shared" ref="D519:I519" si="224">SUM(D521:D522)</f>
        <v>14065</v>
      </c>
      <c r="E519" s="79">
        <f>SUM(E521:E522)</f>
        <v>371</v>
      </c>
      <c r="F519" s="79">
        <f t="shared" ref="F519:F530" si="225">D519+E519</f>
        <v>14436</v>
      </c>
      <c r="G519" s="79">
        <f t="shared" si="224"/>
        <v>709</v>
      </c>
      <c r="H519" s="79">
        <f t="shared" si="224"/>
        <v>5785</v>
      </c>
      <c r="I519" s="79">
        <f t="shared" si="224"/>
        <v>3403</v>
      </c>
      <c r="J519" s="79">
        <f>SUM(J521:J522)</f>
        <v>1498</v>
      </c>
      <c r="K519" s="79">
        <f>SUM(K521:K522)</f>
        <v>104</v>
      </c>
      <c r="L519" s="79">
        <f>SUM(L521:L522)</f>
        <v>62</v>
      </c>
      <c r="M519" s="79">
        <f>SUM(J519:L519)</f>
        <v>1664</v>
      </c>
      <c r="N519" s="79">
        <f>SUM(N521:N522)</f>
        <v>131</v>
      </c>
      <c r="O519" s="79">
        <f>C519-P519-Q519-S519</f>
        <v>26128</v>
      </c>
      <c r="P519" s="79">
        <f>ROUND(P$34/($C$34-$S34)*($C519-$S519),0)</f>
        <v>820</v>
      </c>
      <c r="Q519" s="79">
        <f>ROUND(Q$34/($C$34-$S34)*($C519-$S519),0)</f>
        <v>94</v>
      </c>
      <c r="R519" s="79">
        <f>P519+Q519</f>
        <v>914</v>
      </c>
      <c r="S519" s="78">
        <f>1599+4686</f>
        <v>6285</v>
      </c>
      <c r="U519" s="80">
        <f>O519+R519+S519-C519</f>
        <v>0</v>
      </c>
      <c r="W519" s="81">
        <f t="shared" si="202"/>
        <v>0.96620070000000002</v>
      </c>
      <c r="X519" s="81">
        <f t="shared" si="203"/>
        <v>0.78398900000000005</v>
      </c>
      <c r="Y519" s="81">
        <f t="shared" si="204"/>
        <v>0.1885858</v>
      </c>
      <c r="Z519" s="79"/>
      <c r="AF519" s="79"/>
      <c r="AJ519" s="66"/>
    </row>
    <row r="520" spans="1:37" hidden="1">
      <c r="B520" s="66" t="s">
        <v>275</v>
      </c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U520" s="80"/>
      <c r="W520" s="81" t="str">
        <f t="shared" si="202"/>
        <v xml:space="preserve"> </v>
      </c>
      <c r="X520" s="81" t="str">
        <f t="shared" si="203"/>
        <v xml:space="preserve"> </v>
      </c>
      <c r="Y520" s="81" t="str">
        <f t="shared" si="204"/>
        <v xml:space="preserve"> </v>
      </c>
      <c r="Z520" s="79"/>
      <c r="AF520" s="79"/>
      <c r="AJ520" s="66"/>
    </row>
    <row r="521" spans="1:37" hidden="1">
      <c r="A521" s="65">
        <f>A519+1</f>
        <v>17</v>
      </c>
      <c r="B521" s="66" t="s">
        <v>39</v>
      </c>
      <c r="C521" s="79"/>
      <c r="D521" s="79">
        <f>O521-E521-SUM(G521:I521)-SUM(M521:N521)</f>
        <v>13135</v>
      </c>
      <c r="E521" s="79">
        <f>ROUND(E$37/$O$37*$O521,0)</f>
        <v>336</v>
      </c>
      <c r="F521" s="79">
        <f t="shared" si="225"/>
        <v>13471</v>
      </c>
      <c r="G521" s="79">
        <f t="shared" ref="G521:L521" si="226">ROUND(G$37/$O$37*$O521,0)</f>
        <v>658</v>
      </c>
      <c r="H521" s="79">
        <f t="shared" si="226"/>
        <v>5317</v>
      </c>
      <c r="I521" s="79">
        <f t="shared" si="226"/>
        <v>3089</v>
      </c>
      <c r="J521" s="79">
        <f t="shared" si="226"/>
        <v>1328</v>
      </c>
      <c r="K521" s="79">
        <f t="shared" si="226"/>
        <v>96</v>
      </c>
      <c r="L521" s="79">
        <f t="shared" si="226"/>
        <v>55</v>
      </c>
      <c r="M521" s="79">
        <f t="shared" ref="M521:M530" si="227">SUM(J521:L521)</f>
        <v>1479</v>
      </c>
      <c r="N521" s="79">
        <f>ROUND(N$37/$O$37*$O521,0)</f>
        <v>104</v>
      </c>
      <c r="O521" s="79">
        <f>ROUND(O$37/$O$34*$O519,0)</f>
        <v>24118</v>
      </c>
      <c r="P521" s="79"/>
      <c r="Q521" s="79"/>
      <c r="R521" s="79"/>
      <c r="S521" s="79"/>
      <c r="U521" s="80"/>
      <c r="W521" s="81" t="str">
        <f>IF((P521+Q521)=0," ",ROUND((P521/(P521+Q521)),74))</f>
        <v xml:space="preserve"> </v>
      </c>
      <c r="X521" s="81" t="str">
        <f>IF((C521)=0," ",ROUND((P521/(C521)),74))</f>
        <v xml:space="preserve"> </v>
      </c>
      <c r="Y521" s="81" t="str">
        <f>IF((C521)=0," ",ROUND((R521/(C521)),7))</f>
        <v xml:space="preserve"> </v>
      </c>
      <c r="Z521" s="79"/>
      <c r="AF521" s="79"/>
      <c r="AJ521" s="66"/>
    </row>
    <row r="522" spans="1:37" hidden="1">
      <c r="A522" s="65">
        <f t="shared" ref="A522:A530" si="228">A521+1</f>
        <v>18</v>
      </c>
      <c r="B522" s="66" t="s">
        <v>168</v>
      </c>
      <c r="C522" s="79"/>
      <c r="D522" s="79">
        <f>O522-E522-SUM(G522:I522)-SUM(M522:N522)</f>
        <v>930</v>
      </c>
      <c r="E522" s="79">
        <f>ROUND(E$38/$O$38*$O522,0)</f>
        <v>35</v>
      </c>
      <c r="F522" s="79">
        <f t="shared" si="225"/>
        <v>965</v>
      </c>
      <c r="G522" s="79">
        <f t="shared" ref="G522:L522" si="229">ROUND(G$38/$O$38*$O522,0)</f>
        <v>51</v>
      </c>
      <c r="H522" s="79">
        <f t="shared" si="229"/>
        <v>468</v>
      </c>
      <c r="I522" s="79">
        <f t="shared" si="229"/>
        <v>314</v>
      </c>
      <c r="J522" s="79">
        <f t="shared" si="229"/>
        <v>170</v>
      </c>
      <c r="K522" s="79">
        <f t="shared" si="229"/>
        <v>8</v>
      </c>
      <c r="L522" s="79">
        <f t="shared" si="229"/>
        <v>7</v>
      </c>
      <c r="M522" s="79">
        <f t="shared" si="227"/>
        <v>185</v>
      </c>
      <c r="N522" s="79">
        <f>ROUND(N$38/$O$38*$O522,0)</f>
        <v>27</v>
      </c>
      <c r="O522" s="79">
        <f>O519-O521</f>
        <v>2010</v>
      </c>
      <c r="P522" s="79"/>
      <c r="Q522" s="79"/>
      <c r="R522" s="79"/>
      <c r="S522" s="79"/>
      <c r="U522" s="80"/>
      <c r="W522" s="81" t="str">
        <f>IF((P522+Q522)=0," ",ROUND((P522/(P522+Q522)),74))</f>
        <v xml:space="preserve"> </v>
      </c>
      <c r="X522" s="81" t="str">
        <f>IF((C522)=0," ",ROUND((P522/(C522)),74))</f>
        <v xml:space="preserve"> </v>
      </c>
      <c r="Y522" s="81" t="str">
        <f>IF((C522)=0," ",ROUND((R522/(C522)),7))</f>
        <v xml:space="preserve"> </v>
      </c>
      <c r="Z522" s="79"/>
      <c r="AF522" s="79"/>
      <c r="AJ522" s="66"/>
    </row>
    <row r="523" spans="1:37" hidden="1">
      <c r="A523" s="65">
        <f t="shared" si="228"/>
        <v>19</v>
      </c>
      <c r="B523" s="66" t="s">
        <v>276</v>
      </c>
      <c r="C523" s="78">
        <f>G2286</f>
        <v>23019</v>
      </c>
      <c r="D523" s="79">
        <f>C523-E523-SUM(G523:I523)-SUM(M523:N523)-R523-S523</f>
        <v>12173</v>
      </c>
      <c r="E523" s="79">
        <f>ROUND(E$79/($C$79-$S79)*$C523,0)</f>
        <v>311</v>
      </c>
      <c r="F523" s="79">
        <f t="shared" si="225"/>
        <v>12484</v>
      </c>
      <c r="G523" s="79">
        <f t="shared" ref="G523:L523" si="230">ROUND(G$79/($C$79-$S79)*$C523,0)</f>
        <v>610</v>
      </c>
      <c r="H523" s="79">
        <f t="shared" si="230"/>
        <v>4927</v>
      </c>
      <c r="I523" s="79">
        <f t="shared" si="230"/>
        <v>2817</v>
      </c>
      <c r="J523" s="79">
        <f t="shared" si="230"/>
        <v>1208</v>
      </c>
      <c r="K523" s="79">
        <f t="shared" si="230"/>
        <v>90</v>
      </c>
      <c r="L523" s="79">
        <f t="shared" si="230"/>
        <v>51</v>
      </c>
      <c r="M523" s="79">
        <f t="shared" si="227"/>
        <v>1349</v>
      </c>
      <c r="N523" s="79">
        <f>ROUND(N$79/($C$79-$S79)*$C523,0)</f>
        <v>96</v>
      </c>
      <c r="O523" s="79">
        <f t="shared" ref="O523:O530" si="231">SUM(F523:I523)+SUM(M523:N523)</f>
        <v>22283</v>
      </c>
      <c r="P523" s="79">
        <f>ROUND(P$79/($C$79-$S79)*$C523,0)</f>
        <v>660</v>
      </c>
      <c r="Q523" s="79">
        <f>ROUND(Q$79/($C$79-$S79)*$C523,0)</f>
        <v>76</v>
      </c>
      <c r="R523" s="79">
        <f t="shared" ref="R523:R530" si="232">P523+Q523</f>
        <v>736</v>
      </c>
      <c r="S523" s="79">
        <v>0</v>
      </c>
      <c r="U523" s="80">
        <f t="shared" ref="U523:U530" si="233">O523+R523+S523-C523</f>
        <v>0</v>
      </c>
      <c r="W523" s="81">
        <f t="shared" ref="W523:W561" si="234">IF((O523+R523)=0," ",ROUND((O523/(O523+R523)),7))</f>
        <v>0.96802639999999995</v>
      </c>
      <c r="X523" s="81">
        <f t="shared" ref="X523:X561" si="235">IF((C523)=0," ",ROUND((O523/(C523)),7))</f>
        <v>0.96802639999999995</v>
      </c>
      <c r="Y523" s="81">
        <f t="shared" ref="Y523:Y561" si="236">IF((C523)=0," ",ROUND((S523/(C523)),7))</f>
        <v>0</v>
      </c>
      <c r="Z523" s="79"/>
      <c r="AF523" s="79"/>
      <c r="AJ523" s="66"/>
      <c r="AK523" s="65"/>
    </row>
    <row r="524" spans="1:37" hidden="1">
      <c r="A524" s="65">
        <f t="shared" si="228"/>
        <v>20</v>
      </c>
      <c r="B524" s="66" t="s">
        <v>277</v>
      </c>
      <c r="C524" s="78">
        <f>G2287</f>
        <v>12556</v>
      </c>
      <c r="D524" s="79">
        <f>C524-E524-SUM(G524:I524)-SUM(M524:N524)-R524-S524</f>
        <v>7693</v>
      </c>
      <c r="E524" s="79">
        <f>ROUND(E$164/$C$164*$C524,0)</f>
        <v>232</v>
      </c>
      <c r="F524" s="79">
        <f t="shared" si="225"/>
        <v>7925</v>
      </c>
      <c r="G524" s="79">
        <f t="shared" ref="G524:L524" si="237">ROUND(G$164/$C$164*$C524,0)</f>
        <v>554</v>
      </c>
      <c r="H524" s="79">
        <f t="shared" si="237"/>
        <v>2024</v>
      </c>
      <c r="I524" s="79">
        <f t="shared" si="237"/>
        <v>736</v>
      </c>
      <c r="J524" s="79">
        <f t="shared" si="237"/>
        <v>306</v>
      </c>
      <c r="K524" s="79">
        <f t="shared" si="237"/>
        <v>43</v>
      </c>
      <c r="L524" s="79">
        <f t="shared" si="237"/>
        <v>11</v>
      </c>
      <c r="M524" s="79">
        <f t="shared" si="227"/>
        <v>360</v>
      </c>
      <c r="N524" s="79">
        <f>ROUND(N$164/$C$164*$C524,0)</f>
        <v>902</v>
      </c>
      <c r="O524" s="79">
        <f t="shared" si="231"/>
        <v>12501</v>
      </c>
      <c r="P524" s="79">
        <f>ROUND(P$164/$C$164*$C524,0)</f>
        <v>50</v>
      </c>
      <c r="Q524" s="79">
        <f>ROUND(Q$164/$C$164*$C524,0)</f>
        <v>5</v>
      </c>
      <c r="R524" s="79">
        <f t="shared" si="232"/>
        <v>55</v>
      </c>
      <c r="S524" s="79">
        <v>0</v>
      </c>
      <c r="U524" s="80">
        <f t="shared" si="233"/>
        <v>0</v>
      </c>
      <c r="W524" s="81">
        <f t="shared" si="234"/>
        <v>0.99561960000000005</v>
      </c>
      <c r="X524" s="81">
        <f t="shared" si="235"/>
        <v>0.99561960000000005</v>
      </c>
      <c r="Y524" s="81">
        <f t="shared" si="236"/>
        <v>0</v>
      </c>
      <c r="Z524" s="79"/>
      <c r="AF524" s="79"/>
      <c r="AJ524" s="66"/>
      <c r="AK524" s="65"/>
    </row>
    <row r="525" spans="1:37" hidden="1">
      <c r="A525" s="65">
        <f t="shared" si="228"/>
        <v>21</v>
      </c>
      <c r="B525" s="66" t="s">
        <v>39</v>
      </c>
      <c r="C525" s="79">
        <f>ROUND(C165/C164*C524,0)</f>
        <v>7867</v>
      </c>
      <c r="D525" s="79">
        <f>C525-E525-SUM(G525:I525)-SUM(M525:N525)-R525-S525</f>
        <v>4465</v>
      </c>
      <c r="E525" s="79">
        <f>ROUND(E$165/$C$165*$C525,0)</f>
        <v>138</v>
      </c>
      <c r="F525" s="79">
        <f t="shared" si="225"/>
        <v>4603</v>
      </c>
      <c r="G525" s="79">
        <f t="shared" ref="G525:L525" si="238">ROUND(G$165/$C$165*$C525,0)</f>
        <v>234</v>
      </c>
      <c r="H525" s="79">
        <f t="shared" si="238"/>
        <v>1797</v>
      </c>
      <c r="I525" s="79">
        <f t="shared" si="238"/>
        <v>726</v>
      </c>
      <c r="J525" s="79">
        <f t="shared" si="238"/>
        <v>305</v>
      </c>
      <c r="K525" s="79">
        <f t="shared" si="238"/>
        <v>43</v>
      </c>
      <c r="L525" s="79">
        <f t="shared" si="238"/>
        <v>11</v>
      </c>
      <c r="M525" s="79">
        <f t="shared" si="227"/>
        <v>359</v>
      </c>
      <c r="N525" s="79">
        <f>ROUND(N$165/$C$165*$C525,0)</f>
        <v>93</v>
      </c>
      <c r="O525" s="79">
        <f t="shared" si="231"/>
        <v>7812</v>
      </c>
      <c r="P525" s="79">
        <f>ROUND(P$165/$C$165*$C525,0)</f>
        <v>50</v>
      </c>
      <c r="Q525" s="79">
        <f>ROUND(Q$165/$C$165*$C525,0)</f>
        <v>5</v>
      </c>
      <c r="R525" s="79">
        <f t="shared" si="232"/>
        <v>55</v>
      </c>
      <c r="S525" s="79">
        <v>0</v>
      </c>
      <c r="U525" s="80">
        <f t="shared" si="233"/>
        <v>0</v>
      </c>
      <c r="W525" s="81">
        <f t="shared" si="234"/>
        <v>0.99300880000000002</v>
      </c>
      <c r="X525" s="81">
        <f t="shared" si="235"/>
        <v>0.99300880000000002</v>
      </c>
      <c r="Y525" s="81">
        <f t="shared" si="236"/>
        <v>0</v>
      </c>
      <c r="Z525" s="79"/>
      <c r="AF525" s="79"/>
      <c r="AJ525" s="66"/>
      <c r="AK525" s="65"/>
    </row>
    <row r="526" spans="1:37" hidden="1">
      <c r="A526" s="65">
        <f t="shared" si="228"/>
        <v>22</v>
      </c>
      <c r="B526" s="66" t="s">
        <v>44</v>
      </c>
      <c r="C526" s="79">
        <f>O526+R526+S526</f>
        <v>4689</v>
      </c>
      <c r="D526" s="79">
        <f>D524-D525</f>
        <v>3228</v>
      </c>
      <c r="E526" s="79">
        <f>E524-E525</f>
        <v>94</v>
      </c>
      <c r="F526" s="79">
        <f t="shared" si="225"/>
        <v>3322</v>
      </c>
      <c r="G526" s="79">
        <f t="shared" ref="G526:L526" si="239">G524-G525</f>
        <v>320</v>
      </c>
      <c r="H526" s="79">
        <f t="shared" si="239"/>
        <v>227</v>
      </c>
      <c r="I526" s="79">
        <f t="shared" si="239"/>
        <v>10</v>
      </c>
      <c r="J526" s="79">
        <f t="shared" si="239"/>
        <v>1</v>
      </c>
      <c r="K526" s="79">
        <f t="shared" si="239"/>
        <v>0</v>
      </c>
      <c r="L526" s="79">
        <f t="shared" si="239"/>
        <v>0</v>
      </c>
      <c r="M526" s="79">
        <f t="shared" si="227"/>
        <v>1</v>
      </c>
      <c r="N526" s="79">
        <f>N524-N525</f>
        <v>809</v>
      </c>
      <c r="O526" s="79">
        <f t="shared" si="231"/>
        <v>4689</v>
      </c>
      <c r="P526" s="79">
        <f>P524-P525</f>
        <v>0</v>
      </c>
      <c r="Q526" s="79">
        <f>Q524-Q525</f>
        <v>0</v>
      </c>
      <c r="R526" s="79">
        <f t="shared" si="232"/>
        <v>0</v>
      </c>
      <c r="S526" s="79">
        <f>S524-S525</f>
        <v>0</v>
      </c>
      <c r="U526" s="80">
        <f t="shared" si="233"/>
        <v>0</v>
      </c>
      <c r="W526" s="81">
        <f t="shared" si="234"/>
        <v>1</v>
      </c>
      <c r="X526" s="81">
        <f t="shared" si="235"/>
        <v>1</v>
      </c>
      <c r="Y526" s="81">
        <f t="shared" si="236"/>
        <v>0</v>
      </c>
      <c r="Z526" s="79"/>
      <c r="AF526" s="79"/>
      <c r="AJ526" s="66"/>
      <c r="AK526" s="65"/>
    </row>
    <row r="527" spans="1:37" hidden="1">
      <c r="A527" s="65">
        <f t="shared" si="228"/>
        <v>23</v>
      </c>
      <c r="B527" s="71" t="s">
        <v>299</v>
      </c>
      <c r="C527" s="79">
        <f>O527+R527+S527</f>
        <v>68902</v>
      </c>
      <c r="D527" s="79">
        <f>SUM(D528:D530)</f>
        <v>33931</v>
      </c>
      <c r="E527" s="79">
        <f>SUM(E528:E530)</f>
        <v>914</v>
      </c>
      <c r="F527" s="79">
        <f t="shared" si="225"/>
        <v>34845</v>
      </c>
      <c r="G527" s="79">
        <f t="shared" ref="G527:L527" si="240">SUM(G528:G530)</f>
        <v>1873</v>
      </c>
      <c r="H527" s="79">
        <f t="shared" si="240"/>
        <v>12736</v>
      </c>
      <c r="I527" s="79">
        <f t="shared" si="240"/>
        <v>6956</v>
      </c>
      <c r="J527" s="79">
        <f t="shared" si="240"/>
        <v>3012</v>
      </c>
      <c r="K527" s="79">
        <f t="shared" si="240"/>
        <v>237</v>
      </c>
      <c r="L527" s="79">
        <f t="shared" si="240"/>
        <v>124</v>
      </c>
      <c r="M527" s="79">
        <f t="shared" si="227"/>
        <v>3373</v>
      </c>
      <c r="N527" s="79">
        <f>SUM(N528:N530)</f>
        <v>1129</v>
      </c>
      <c r="O527" s="79">
        <f t="shared" si="231"/>
        <v>60912</v>
      </c>
      <c r="P527" s="79">
        <f>SUM(P528:P530)</f>
        <v>1530</v>
      </c>
      <c r="Q527" s="79">
        <f>SUM(Q528:Q530)</f>
        <v>175</v>
      </c>
      <c r="R527" s="79">
        <f t="shared" si="232"/>
        <v>1705</v>
      </c>
      <c r="S527" s="79">
        <f>SUM(S528:S530)</f>
        <v>6285</v>
      </c>
      <c r="U527" s="80">
        <f t="shared" si="233"/>
        <v>0</v>
      </c>
      <c r="W527" s="81">
        <f t="shared" si="234"/>
        <v>0.97277100000000005</v>
      </c>
      <c r="X527" s="81">
        <f t="shared" si="235"/>
        <v>0.8840382</v>
      </c>
      <c r="Y527" s="81">
        <f t="shared" si="236"/>
        <v>9.1216500000000006E-2</v>
      </c>
      <c r="Z527" s="79"/>
      <c r="AF527" s="79"/>
      <c r="AJ527" s="66"/>
      <c r="AK527" s="65"/>
    </row>
    <row r="528" spans="1:37" hidden="1">
      <c r="A528" s="65">
        <f t="shared" si="228"/>
        <v>24</v>
      </c>
      <c r="B528" s="66" t="s">
        <v>229</v>
      </c>
      <c r="C528" s="79">
        <f>O528+R528+S528</f>
        <v>62203</v>
      </c>
      <c r="D528" s="79">
        <f>D521+D523+D525</f>
        <v>29773</v>
      </c>
      <c r="E528" s="79">
        <f>E521+E523+E525</f>
        <v>785</v>
      </c>
      <c r="F528" s="79">
        <f t="shared" si="225"/>
        <v>30558</v>
      </c>
      <c r="G528" s="79">
        <f t="shared" ref="G528:L528" si="241">G521+G523+G525</f>
        <v>1502</v>
      </c>
      <c r="H528" s="79">
        <f t="shared" si="241"/>
        <v>12041</v>
      </c>
      <c r="I528" s="79">
        <f t="shared" si="241"/>
        <v>6632</v>
      </c>
      <c r="J528" s="79">
        <f t="shared" si="241"/>
        <v>2841</v>
      </c>
      <c r="K528" s="79">
        <f t="shared" si="241"/>
        <v>229</v>
      </c>
      <c r="L528" s="79">
        <f t="shared" si="241"/>
        <v>117</v>
      </c>
      <c r="M528" s="79">
        <f t="shared" si="227"/>
        <v>3187</v>
      </c>
      <c r="N528" s="79">
        <f>N521+N523+N525</f>
        <v>293</v>
      </c>
      <c r="O528" s="79">
        <f>SUM(F528:I528)+SUM(M528:N528)</f>
        <v>54213</v>
      </c>
      <c r="P528" s="79">
        <f>P519+P523+P525</f>
        <v>1530</v>
      </c>
      <c r="Q528" s="79">
        <f>Q519+Q523+Q525</f>
        <v>175</v>
      </c>
      <c r="R528" s="79">
        <f t="shared" si="232"/>
        <v>1705</v>
      </c>
      <c r="S528" s="79">
        <f>S519+S523+S525</f>
        <v>6285</v>
      </c>
      <c r="U528" s="80">
        <f t="shared" si="233"/>
        <v>0</v>
      </c>
      <c r="W528" s="81">
        <f t="shared" si="234"/>
        <v>0.96950890000000001</v>
      </c>
      <c r="X528" s="81">
        <f t="shared" si="235"/>
        <v>0.87154960000000004</v>
      </c>
      <c r="Y528" s="81">
        <f t="shared" si="236"/>
        <v>0.10104009999999999</v>
      </c>
      <c r="Z528" s="79"/>
      <c r="AF528" s="79"/>
      <c r="AJ528" s="66"/>
      <c r="AK528" s="65"/>
    </row>
    <row r="529" spans="1:37" hidden="1">
      <c r="A529" s="65">
        <f t="shared" si="228"/>
        <v>25</v>
      </c>
      <c r="B529" s="66" t="s">
        <v>253</v>
      </c>
      <c r="C529" s="79">
        <f>O529+R529+S529</f>
        <v>4689</v>
      </c>
      <c r="D529" s="79">
        <f>D526</f>
        <v>3228</v>
      </c>
      <c r="E529" s="79">
        <f>E526</f>
        <v>94</v>
      </c>
      <c r="F529" s="79">
        <f t="shared" si="225"/>
        <v>3322</v>
      </c>
      <c r="G529" s="79">
        <f t="shared" ref="G529:L529" si="242">G526</f>
        <v>320</v>
      </c>
      <c r="H529" s="79">
        <f t="shared" si="242"/>
        <v>227</v>
      </c>
      <c r="I529" s="79">
        <f t="shared" si="242"/>
        <v>10</v>
      </c>
      <c r="J529" s="79">
        <f t="shared" si="242"/>
        <v>1</v>
      </c>
      <c r="K529" s="79">
        <f t="shared" si="242"/>
        <v>0</v>
      </c>
      <c r="L529" s="79">
        <f t="shared" si="242"/>
        <v>0</v>
      </c>
      <c r="M529" s="79">
        <f t="shared" si="227"/>
        <v>1</v>
      </c>
      <c r="N529" s="79">
        <f>N526</f>
        <v>809</v>
      </c>
      <c r="O529" s="79">
        <f t="shared" si="231"/>
        <v>4689</v>
      </c>
      <c r="P529" s="79">
        <f>P526</f>
        <v>0</v>
      </c>
      <c r="Q529" s="79">
        <f>Q526</f>
        <v>0</v>
      </c>
      <c r="R529" s="79">
        <f t="shared" si="232"/>
        <v>0</v>
      </c>
      <c r="S529" s="79">
        <f>S526</f>
        <v>0</v>
      </c>
      <c r="U529" s="80">
        <f t="shared" si="233"/>
        <v>0</v>
      </c>
      <c r="W529" s="81">
        <f t="shared" si="234"/>
        <v>1</v>
      </c>
      <c r="X529" s="81">
        <f t="shared" si="235"/>
        <v>1</v>
      </c>
      <c r="Y529" s="81">
        <f t="shared" si="236"/>
        <v>0</v>
      </c>
      <c r="Z529" s="79"/>
      <c r="AF529" s="79"/>
      <c r="AJ529" s="66"/>
      <c r="AK529" s="65"/>
    </row>
    <row r="530" spans="1:37" hidden="1">
      <c r="A530" s="65">
        <f t="shared" si="228"/>
        <v>26</v>
      </c>
      <c r="B530" s="66" t="s">
        <v>230</v>
      </c>
      <c r="C530" s="79">
        <f>O530+R530+S530</f>
        <v>2010</v>
      </c>
      <c r="D530" s="79">
        <f>D522</f>
        <v>930</v>
      </c>
      <c r="E530" s="79">
        <f>E522</f>
        <v>35</v>
      </c>
      <c r="F530" s="79">
        <f t="shared" si="225"/>
        <v>965</v>
      </c>
      <c r="G530" s="79">
        <f t="shared" ref="G530:L530" si="243">G522</f>
        <v>51</v>
      </c>
      <c r="H530" s="79">
        <f t="shared" si="243"/>
        <v>468</v>
      </c>
      <c r="I530" s="79">
        <f t="shared" si="243"/>
        <v>314</v>
      </c>
      <c r="J530" s="79">
        <f t="shared" si="243"/>
        <v>170</v>
      </c>
      <c r="K530" s="79">
        <f t="shared" si="243"/>
        <v>8</v>
      </c>
      <c r="L530" s="79">
        <f t="shared" si="243"/>
        <v>7</v>
      </c>
      <c r="M530" s="79">
        <f t="shared" si="227"/>
        <v>185</v>
      </c>
      <c r="N530" s="79">
        <f>N522</f>
        <v>27</v>
      </c>
      <c r="O530" s="79">
        <f t="shared" si="231"/>
        <v>2010</v>
      </c>
      <c r="P530" s="79">
        <f>P522</f>
        <v>0</v>
      </c>
      <c r="Q530" s="79">
        <f>Q522</f>
        <v>0</v>
      </c>
      <c r="R530" s="79">
        <f t="shared" si="232"/>
        <v>0</v>
      </c>
      <c r="S530" s="79">
        <f>S522</f>
        <v>0</v>
      </c>
      <c r="U530" s="80">
        <f t="shared" si="233"/>
        <v>0</v>
      </c>
      <c r="W530" s="81">
        <f t="shared" si="234"/>
        <v>1</v>
      </c>
      <c r="X530" s="81">
        <f t="shared" si="235"/>
        <v>1</v>
      </c>
      <c r="Y530" s="81">
        <f t="shared" si="236"/>
        <v>0</v>
      </c>
      <c r="Z530" s="79"/>
      <c r="AF530" s="79"/>
      <c r="AJ530" s="66"/>
      <c r="AK530" s="65"/>
    </row>
    <row r="531" spans="1:37" hidden="1">
      <c r="B531" s="72"/>
      <c r="C531" s="79"/>
      <c r="H531" s="65" t="s">
        <v>80</v>
      </c>
      <c r="I531" s="79"/>
      <c r="J531" s="79"/>
      <c r="K531" s="79"/>
      <c r="L531" s="79"/>
      <c r="M531" s="79"/>
      <c r="Q531" s="65" t="s">
        <v>80</v>
      </c>
      <c r="R531" s="79"/>
      <c r="S531" s="65"/>
      <c r="W531" s="81"/>
      <c r="X531" s="81"/>
      <c r="Y531" s="81"/>
      <c r="Z531" s="65"/>
      <c r="AJ531" s="66"/>
    </row>
    <row r="532" spans="1:37" hidden="1">
      <c r="C532" s="79"/>
      <c r="H532" s="70" t="str">
        <f>$H$24</f>
        <v>12 MONTHS ENDING DECEMBER 31, 2012</v>
      </c>
      <c r="I532" s="79"/>
      <c r="J532" s="79"/>
      <c r="K532" s="79"/>
      <c r="L532" s="79"/>
      <c r="M532" s="79"/>
      <c r="Q532" s="70" t="str">
        <f>$H$24</f>
        <v>12 MONTHS ENDING DECEMBER 31, 2012</v>
      </c>
      <c r="S532" s="79"/>
      <c r="U532" s="80"/>
      <c r="X532" s="81"/>
      <c r="Y532" s="81"/>
      <c r="Z532" s="70"/>
      <c r="AF532" s="79"/>
      <c r="AJ532" s="66"/>
    </row>
    <row r="533" spans="1:37" hidden="1">
      <c r="C533" s="79"/>
      <c r="H533" s="70" t="str">
        <f>$H$25</f>
        <v>12/13 DEMAND ALLOCATION WITH MDS METHODOLOGY</v>
      </c>
      <c r="Q533" s="70" t="str">
        <f>$H$25</f>
        <v>12/13 DEMAND ALLOCATION WITH MDS METHODOLOGY</v>
      </c>
      <c r="S533" s="79"/>
      <c r="X533" s="81"/>
      <c r="Y533" s="81"/>
      <c r="Z533" s="70"/>
      <c r="AF533" s="79"/>
      <c r="AJ533" s="66"/>
    </row>
    <row r="534" spans="1:37" hidden="1">
      <c r="C534" s="79"/>
      <c r="H534" s="87" t="s">
        <v>100</v>
      </c>
      <c r="I534" s="79"/>
      <c r="J534" s="79"/>
      <c r="K534" s="79"/>
      <c r="L534" s="79"/>
      <c r="M534" s="79"/>
      <c r="N534" s="79"/>
      <c r="Q534" s="87" t="s">
        <v>100</v>
      </c>
      <c r="S534" s="79"/>
      <c r="U534" s="80"/>
      <c r="X534" s="81"/>
      <c r="Y534" s="81"/>
      <c r="Z534" s="87"/>
      <c r="AF534" s="79"/>
      <c r="AJ534" s="66"/>
    </row>
    <row r="535" spans="1:37" hidden="1">
      <c r="C535" s="79"/>
      <c r="H535" s="87" t="s">
        <v>114</v>
      </c>
      <c r="J535" s="79"/>
      <c r="K535" s="79"/>
      <c r="L535" s="79"/>
      <c r="M535" s="79"/>
      <c r="N535" s="79"/>
      <c r="Q535" s="87" t="s">
        <v>114</v>
      </c>
      <c r="S535" s="79"/>
      <c r="U535" s="80"/>
      <c r="X535" s="81"/>
      <c r="Y535" s="81"/>
      <c r="Z535" s="87"/>
      <c r="AF535" s="79"/>
      <c r="AJ535" s="66"/>
    </row>
    <row r="536" spans="1:37" hidden="1">
      <c r="C536" s="65" t="s">
        <v>59</v>
      </c>
      <c r="K536" s="65"/>
      <c r="L536" s="65"/>
      <c r="M536" s="65"/>
      <c r="O536" s="65" t="s">
        <v>59</v>
      </c>
      <c r="P536" s="65"/>
      <c r="Q536" s="65"/>
      <c r="R536" s="65"/>
      <c r="S536" s="65" t="s">
        <v>115</v>
      </c>
      <c r="W536" s="76" t="s">
        <v>116</v>
      </c>
      <c r="X536" s="76" t="s">
        <v>116</v>
      </c>
      <c r="Y536" s="76" t="s">
        <v>117</v>
      </c>
      <c r="AF536" s="65"/>
      <c r="AJ536" s="66"/>
    </row>
    <row r="537" spans="1:37" hidden="1">
      <c r="A537" s="65" t="s">
        <v>118</v>
      </c>
      <c r="C537" s="65" t="s">
        <v>58</v>
      </c>
      <c r="D537" s="70" t="s">
        <v>119</v>
      </c>
      <c r="E537" s="70" t="s">
        <v>119</v>
      </c>
      <c r="F537" s="70" t="s">
        <v>119</v>
      </c>
      <c r="G537" s="70" t="s">
        <v>119</v>
      </c>
      <c r="H537" s="70" t="s">
        <v>119</v>
      </c>
      <c r="I537" s="70" t="s">
        <v>119</v>
      </c>
      <c r="J537" s="70" t="s">
        <v>119</v>
      </c>
      <c r="K537" s="70" t="s">
        <v>119</v>
      </c>
      <c r="L537" s="70" t="s">
        <v>119</v>
      </c>
      <c r="M537" s="70" t="s">
        <v>119</v>
      </c>
      <c r="N537" s="70" t="s">
        <v>119</v>
      </c>
      <c r="O537" s="65" t="s">
        <v>116</v>
      </c>
      <c r="P537" s="65"/>
      <c r="Q537" s="70" t="s">
        <v>120</v>
      </c>
      <c r="R537" s="65"/>
      <c r="S537" s="65" t="s">
        <v>121</v>
      </c>
      <c r="W537" s="76" t="s">
        <v>122</v>
      </c>
      <c r="X537" s="76" t="s">
        <v>123</v>
      </c>
      <c r="Y537" s="76" t="s">
        <v>124</v>
      </c>
      <c r="Z537" s="65"/>
      <c r="AF537" s="70"/>
      <c r="AJ537" s="66"/>
    </row>
    <row r="538" spans="1:37" hidden="1">
      <c r="A538" s="65" t="s">
        <v>125</v>
      </c>
      <c r="B538" s="65" t="s">
        <v>126</v>
      </c>
      <c r="C538" s="65" t="s">
        <v>57</v>
      </c>
      <c r="D538" s="70" t="s">
        <v>127</v>
      </c>
      <c r="E538" s="70" t="s">
        <v>128</v>
      </c>
      <c r="F538" s="70" t="s">
        <v>129</v>
      </c>
      <c r="G538" s="70" t="s">
        <v>130</v>
      </c>
      <c r="H538" s="70" t="s">
        <v>131</v>
      </c>
      <c r="I538" s="65" t="s">
        <v>132</v>
      </c>
      <c r="J538" s="70" t="s">
        <v>133</v>
      </c>
      <c r="K538" s="70" t="s">
        <v>134</v>
      </c>
      <c r="L538" s="70" t="s">
        <v>135</v>
      </c>
      <c r="M538" s="70" t="s">
        <v>136</v>
      </c>
      <c r="N538" s="70" t="s">
        <v>137</v>
      </c>
      <c r="O538" s="65" t="s">
        <v>138</v>
      </c>
      <c r="P538" s="70" t="s">
        <v>139</v>
      </c>
      <c r="Q538" s="70" t="s">
        <v>140</v>
      </c>
      <c r="R538" s="65" t="s">
        <v>122</v>
      </c>
      <c r="S538" s="65" t="s">
        <v>141</v>
      </c>
      <c r="U538" s="65" t="s">
        <v>162</v>
      </c>
      <c r="W538" s="76" t="s">
        <v>142</v>
      </c>
      <c r="X538" s="76" t="s">
        <v>142</v>
      </c>
      <c r="Y538" s="76" t="s">
        <v>142</v>
      </c>
      <c r="Z538" s="65"/>
      <c r="AF538" s="70"/>
      <c r="AJ538" s="66"/>
    </row>
    <row r="539" spans="1:37" hidden="1">
      <c r="A539" s="65" t="s">
        <v>143</v>
      </c>
      <c r="B539" s="65" t="s">
        <v>144</v>
      </c>
      <c r="C539" s="65" t="s">
        <v>145</v>
      </c>
      <c r="D539" s="70" t="s">
        <v>146</v>
      </c>
      <c r="E539" s="70" t="s">
        <v>147</v>
      </c>
      <c r="F539" s="70" t="s">
        <v>148</v>
      </c>
      <c r="G539" s="65" t="s">
        <v>149</v>
      </c>
      <c r="H539" s="65" t="s">
        <v>150</v>
      </c>
      <c r="I539" s="65" t="s">
        <v>151</v>
      </c>
      <c r="J539" s="70" t="s">
        <v>152</v>
      </c>
      <c r="K539" s="70" t="s">
        <v>153</v>
      </c>
      <c r="L539" s="70" t="s">
        <v>154</v>
      </c>
      <c r="M539" s="70" t="s">
        <v>155</v>
      </c>
      <c r="N539" s="70" t="s">
        <v>156</v>
      </c>
      <c r="O539" s="70" t="s">
        <v>157</v>
      </c>
      <c r="P539" s="70" t="s">
        <v>158</v>
      </c>
      <c r="Q539" s="70" t="s">
        <v>159</v>
      </c>
      <c r="R539" s="70" t="s">
        <v>160</v>
      </c>
      <c r="S539" s="70" t="s">
        <v>161</v>
      </c>
      <c r="W539" s="76" t="s">
        <v>165</v>
      </c>
      <c r="X539" s="77" t="s">
        <v>289</v>
      </c>
      <c r="Y539" s="77" t="s">
        <v>290</v>
      </c>
      <c r="Z539" s="70"/>
      <c r="AF539" s="76"/>
      <c r="AJ539" s="66"/>
    </row>
    <row r="540" spans="1:37" hidden="1">
      <c r="W540" s="81"/>
      <c r="X540" s="81"/>
      <c r="Y540" s="81"/>
      <c r="AK540" s="65"/>
    </row>
    <row r="541" spans="1:37" hidden="1">
      <c r="B541" s="66" t="s">
        <v>300</v>
      </c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U541" s="80"/>
      <c r="W541" s="81" t="str">
        <f t="shared" si="234"/>
        <v xml:space="preserve"> </v>
      </c>
      <c r="X541" s="81" t="str">
        <f t="shared" si="235"/>
        <v xml:space="preserve"> </v>
      </c>
      <c r="Y541" s="81" t="str">
        <f t="shared" si="236"/>
        <v xml:space="preserve"> </v>
      </c>
      <c r="Z541" s="79"/>
      <c r="AK541" s="65"/>
    </row>
    <row r="542" spans="1:37" hidden="1">
      <c r="B542" s="83" t="s">
        <v>170</v>
      </c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U542" s="80"/>
      <c r="W542" s="81" t="str">
        <f t="shared" si="234"/>
        <v xml:space="preserve"> </v>
      </c>
      <c r="X542" s="81" t="str">
        <f t="shared" si="235"/>
        <v xml:space="preserve"> </v>
      </c>
      <c r="Y542" s="81" t="str">
        <f t="shared" si="236"/>
        <v xml:space="preserve"> </v>
      </c>
      <c r="Z542" s="79"/>
      <c r="AK542" s="70"/>
    </row>
    <row r="543" spans="1:37" hidden="1"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U543" s="80"/>
      <c r="W543" s="81" t="str">
        <f t="shared" si="234"/>
        <v xml:space="preserve"> </v>
      </c>
      <c r="X543" s="81" t="str">
        <f t="shared" si="235"/>
        <v xml:space="preserve"> </v>
      </c>
      <c r="Y543" s="81" t="str">
        <f t="shared" si="236"/>
        <v xml:space="preserve"> </v>
      </c>
      <c r="Z543" s="79"/>
      <c r="AK543" s="65"/>
    </row>
    <row r="544" spans="1:37" hidden="1">
      <c r="A544" s="65">
        <f>A530+1</f>
        <v>27</v>
      </c>
      <c r="B544" s="66" t="s">
        <v>274</v>
      </c>
      <c r="C544" s="78">
        <f>5341+27687</f>
        <v>33028</v>
      </c>
      <c r="D544" s="79">
        <f t="shared" ref="D544:I544" si="244">SUM(D546:D547)</f>
        <v>17182</v>
      </c>
      <c r="E544" s="79">
        <f>SUM(E546:E547)</f>
        <v>453</v>
      </c>
      <c r="F544" s="79">
        <f>D544+E544</f>
        <v>17635</v>
      </c>
      <c r="G544" s="79">
        <f t="shared" si="244"/>
        <v>865</v>
      </c>
      <c r="H544" s="79">
        <f t="shared" si="244"/>
        <v>7066</v>
      </c>
      <c r="I544" s="79">
        <f t="shared" si="244"/>
        <v>4156</v>
      </c>
      <c r="J544" s="79">
        <f>SUM(J546:J547)</f>
        <v>1829</v>
      </c>
      <c r="K544" s="79">
        <f>SUM(K546:K547)</f>
        <v>126</v>
      </c>
      <c r="L544" s="79">
        <f>SUM(L546:L547)</f>
        <v>75</v>
      </c>
      <c r="M544" s="79">
        <f>SUM(J544:L544)</f>
        <v>2030</v>
      </c>
      <c r="N544" s="79">
        <f>SUM(N546:N547)</f>
        <v>160</v>
      </c>
      <c r="O544" s="79">
        <f>C544-P544-Q544-S544</f>
        <v>31912</v>
      </c>
      <c r="P544" s="79">
        <f>ROUND(P$34/($C$34-$S34)*($C544-$S544),0)</f>
        <v>1001</v>
      </c>
      <c r="Q544" s="79">
        <f>ROUND(Q$34/($C$34-$S34)*($C544-$S544),0)</f>
        <v>115</v>
      </c>
      <c r="R544" s="79">
        <f>P544+Q544</f>
        <v>1116</v>
      </c>
      <c r="S544" s="79">
        <v>0</v>
      </c>
      <c r="U544" s="80">
        <f>O544+R544+S544-C544</f>
        <v>0</v>
      </c>
      <c r="W544" s="81">
        <f t="shared" si="234"/>
        <v>0.96621049999999997</v>
      </c>
      <c r="X544" s="81">
        <f t="shared" si="235"/>
        <v>0.96621049999999997</v>
      </c>
      <c r="Y544" s="81">
        <f t="shared" si="236"/>
        <v>0</v>
      </c>
      <c r="Z544" s="79"/>
      <c r="AJ544" s="66"/>
      <c r="AK544" s="65"/>
    </row>
    <row r="545" spans="1:37" hidden="1">
      <c r="B545" s="66" t="s">
        <v>275</v>
      </c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U545" s="80"/>
      <c r="W545" s="81" t="str">
        <f t="shared" si="234"/>
        <v xml:space="preserve"> </v>
      </c>
      <c r="X545" s="81" t="str">
        <f t="shared" si="235"/>
        <v xml:space="preserve"> </v>
      </c>
      <c r="Y545" s="81" t="str">
        <f t="shared" si="236"/>
        <v xml:space="preserve"> </v>
      </c>
      <c r="Z545" s="79"/>
      <c r="AJ545" s="66"/>
      <c r="AK545" s="65"/>
    </row>
    <row r="546" spans="1:37" hidden="1">
      <c r="A546" s="65">
        <f>A544+1</f>
        <v>28</v>
      </c>
      <c r="B546" s="66" t="s">
        <v>39</v>
      </c>
      <c r="C546" s="79"/>
      <c r="D546" s="79">
        <f>O546-E546-SUM(G546:I546)-SUM(M546:N546)</f>
        <v>16044</v>
      </c>
      <c r="E546" s="79">
        <f>ROUND(E$37/$O$37*$O546,0)</f>
        <v>410</v>
      </c>
      <c r="F546" s="79">
        <f t="shared" ref="F546:F561" si="245">D546+E546</f>
        <v>16454</v>
      </c>
      <c r="G546" s="79">
        <f t="shared" ref="G546:L546" si="246">ROUND(G$37/$O$37*$O546,0)</f>
        <v>803</v>
      </c>
      <c r="H546" s="79">
        <f t="shared" si="246"/>
        <v>6494</v>
      </c>
      <c r="I546" s="79">
        <f t="shared" si="246"/>
        <v>3773</v>
      </c>
      <c r="J546" s="79">
        <f t="shared" si="246"/>
        <v>1622</v>
      </c>
      <c r="K546" s="79">
        <f t="shared" si="246"/>
        <v>117</v>
      </c>
      <c r="L546" s="79">
        <f t="shared" si="246"/>
        <v>67</v>
      </c>
      <c r="M546" s="79">
        <f t="shared" ref="M546:M555" si="247">SUM(J546:L546)</f>
        <v>1806</v>
      </c>
      <c r="N546" s="79">
        <f>ROUND(N$37/$O$37*$O546,0)</f>
        <v>127</v>
      </c>
      <c r="O546" s="79">
        <f>ROUND(O$37/$O$34*$O544,0)</f>
        <v>29457</v>
      </c>
      <c r="P546" s="79"/>
      <c r="Q546" s="79"/>
      <c r="R546" s="79"/>
      <c r="S546" s="79"/>
      <c r="U546" s="80"/>
      <c r="W546" s="81">
        <f t="shared" si="234"/>
        <v>1</v>
      </c>
      <c r="X546" s="81" t="str">
        <f t="shared" si="235"/>
        <v xml:space="preserve"> </v>
      </c>
      <c r="Y546" s="81" t="str">
        <f t="shared" si="236"/>
        <v xml:space="preserve"> </v>
      </c>
      <c r="Z546" s="79"/>
      <c r="AJ546" s="66"/>
      <c r="AK546" s="65"/>
    </row>
    <row r="547" spans="1:37" hidden="1">
      <c r="A547" s="65">
        <f>A546+1</f>
        <v>29</v>
      </c>
      <c r="B547" s="66" t="s">
        <v>168</v>
      </c>
      <c r="C547" s="79"/>
      <c r="D547" s="79">
        <f>O547-E547-SUM(G547:I547)-SUM(M547:N547)</f>
        <v>1138</v>
      </c>
      <c r="E547" s="79">
        <f>ROUND(E$38/$O$38*$O547,0)</f>
        <v>43</v>
      </c>
      <c r="F547" s="79">
        <f t="shared" si="245"/>
        <v>1181</v>
      </c>
      <c r="G547" s="79">
        <f t="shared" ref="G547:L547" si="248">ROUND(G$38/$O$38*$O547,0)</f>
        <v>62</v>
      </c>
      <c r="H547" s="79">
        <f t="shared" si="248"/>
        <v>572</v>
      </c>
      <c r="I547" s="79">
        <f t="shared" si="248"/>
        <v>383</v>
      </c>
      <c r="J547" s="79">
        <f t="shared" si="248"/>
        <v>207</v>
      </c>
      <c r="K547" s="79">
        <f t="shared" si="248"/>
        <v>9</v>
      </c>
      <c r="L547" s="79">
        <f t="shared" si="248"/>
        <v>8</v>
      </c>
      <c r="M547" s="79">
        <f t="shared" si="247"/>
        <v>224</v>
      </c>
      <c r="N547" s="79">
        <f>ROUND(N$38/$O$38*$O547,0)</f>
        <v>33</v>
      </c>
      <c r="O547" s="79">
        <f>O544-O546</f>
        <v>2455</v>
      </c>
      <c r="P547" s="79"/>
      <c r="Q547" s="79"/>
      <c r="R547" s="79"/>
      <c r="S547" s="79"/>
      <c r="U547" s="80"/>
      <c r="W547" s="81">
        <f t="shared" si="234"/>
        <v>1</v>
      </c>
      <c r="X547" s="81" t="str">
        <f t="shared" si="235"/>
        <v xml:space="preserve"> </v>
      </c>
      <c r="Y547" s="81" t="str">
        <f t="shared" si="236"/>
        <v xml:space="preserve"> </v>
      </c>
      <c r="Z547" s="79"/>
      <c r="AJ547" s="66"/>
      <c r="AK547" s="70"/>
    </row>
    <row r="548" spans="1:37" hidden="1">
      <c r="B548" s="66" t="s">
        <v>277</v>
      </c>
      <c r="C548" s="78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U548" s="80"/>
      <c r="W548" s="81" t="str">
        <f t="shared" si="234"/>
        <v xml:space="preserve"> </v>
      </c>
      <c r="X548" s="81" t="str">
        <f t="shared" si="235"/>
        <v xml:space="preserve"> </v>
      </c>
      <c r="Y548" s="81" t="str">
        <f t="shared" si="236"/>
        <v xml:space="preserve"> </v>
      </c>
      <c r="Z548" s="79"/>
      <c r="AJ548" s="66"/>
      <c r="AK548" s="65"/>
    </row>
    <row r="549" spans="1:37" hidden="1">
      <c r="A549" s="65">
        <f>A547+1</f>
        <v>30</v>
      </c>
      <c r="B549" s="66" t="s">
        <v>39</v>
      </c>
      <c r="C549" s="79">
        <f>ROUND((((C165-$S165)/($C$164-$S164))*C$551),0)</f>
        <v>68</v>
      </c>
      <c r="D549" s="79">
        <f t="shared" ref="D549:D561" si="249">C549-E549-SUM(G549:I549)-SUM(M549:N549)-R549-S549</f>
        <v>39</v>
      </c>
      <c r="E549" s="79">
        <f>ROUND(((E165/($C165-$S165))*$C549),0)</f>
        <v>1</v>
      </c>
      <c r="F549" s="79">
        <f t="shared" si="245"/>
        <v>40</v>
      </c>
      <c r="G549" s="79">
        <f t="shared" ref="G549:L549" si="250">ROUND(((G165/($C165-$S165))*$C549),0)</f>
        <v>2</v>
      </c>
      <c r="H549" s="79">
        <f t="shared" si="250"/>
        <v>16</v>
      </c>
      <c r="I549" s="79">
        <f t="shared" si="250"/>
        <v>6</v>
      </c>
      <c r="J549" s="79">
        <f t="shared" si="250"/>
        <v>3</v>
      </c>
      <c r="K549" s="79">
        <f t="shared" si="250"/>
        <v>0</v>
      </c>
      <c r="L549" s="79">
        <f t="shared" si="250"/>
        <v>0</v>
      </c>
      <c r="M549" s="79">
        <f t="shared" si="247"/>
        <v>3</v>
      </c>
      <c r="N549" s="79">
        <f>ROUND(((N165/($C165-$S165))*$C549),0)</f>
        <v>1</v>
      </c>
      <c r="O549" s="79">
        <f t="shared" ref="O549:O561" si="251">SUM(F549:I549)+SUM(M549:N549)</f>
        <v>68</v>
      </c>
      <c r="P549" s="79">
        <f>ROUND(((P165/($C165-$S165))*$C549),0)</f>
        <v>0</v>
      </c>
      <c r="Q549" s="79">
        <f>ROUND(((Q165/($C165-$S165))*$C549),0)</f>
        <v>0</v>
      </c>
      <c r="R549" s="79">
        <f>P549+Q549</f>
        <v>0</v>
      </c>
      <c r="S549" s="79">
        <v>0</v>
      </c>
      <c r="U549" s="80">
        <f t="shared" ref="U549:U561" si="252">O549+R549+S549-C549</f>
        <v>0</v>
      </c>
      <c r="W549" s="81">
        <f t="shared" si="234"/>
        <v>1</v>
      </c>
      <c r="X549" s="81">
        <f t="shared" si="235"/>
        <v>1</v>
      </c>
      <c r="Y549" s="81">
        <f t="shared" si="236"/>
        <v>0</v>
      </c>
      <c r="Z549" s="79"/>
      <c r="AJ549" s="66"/>
      <c r="AK549" s="70"/>
    </row>
    <row r="550" spans="1:37" hidden="1">
      <c r="A550" s="65">
        <f>A549+1</f>
        <v>31</v>
      </c>
      <c r="B550" s="66" t="s">
        <v>44</v>
      </c>
      <c r="C550" s="79">
        <f>C551-C549</f>
        <v>40</v>
      </c>
      <c r="D550" s="79">
        <f t="shared" si="249"/>
        <v>28</v>
      </c>
      <c r="E550" s="79">
        <f>E551-E549</f>
        <v>1</v>
      </c>
      <c r="F550" s="79">
        <f t="shared" si="245"/>
        <v>29</v>
      </c>
      <c r="G550" s="79">
        <f t="shared" ref="G550:L550" si="253">G551-G549</f>
        <v>3</v>
      </c>
      <c r="H550" s="79">
        <f t="shared" si="253"/>
        <v>1</v>
      </c>
      <c r="I550" s="79">
        <f t="shared" si="253"/>
        <v>0</v>
      </c>
      <c r="J550" s="79">
        <f t="shared" si="253"/>
        <v>0</v>
      </c>
      <c r="K550" s="79">
        <f t="shared" si="253"/>
        <v>0</v>
      </c>
      <c r="L550" s="79">
        <f t="shared" si="253"/>
        <v>0</v>
      </c>
      <c r="M550" s="79">
        <f t="shared" si="247"/>
        <v>0</v>
      </c>
      <c r="N550" s="79">
        <f>N551-N549</f>
        <v>7</v>
      </c>
      <c r="O550" s="79">
        <f t="shared" si="251"/>
        <v>40</v>
      </c>
      <c r="P550" s="79">
        <f>P551-P549</f>
        <v>0</v>
      </c>
      <c r="Q550" s="79">
        <f>Q551-Q549</f>
        <v>0</v>
      </c>
      <c r="R550" s="79">
        <f>P550+Q550</f>
        <v>0</v>
      </c>
      <c r="S550" s="79">
        <v>0</v>
      </c>
      <c r="U550" s="80">
        <f t="shared" si="252"/>
        <v>0</v>
      </c>
      <c r="W550" s="81">
        <f t="shared" si="234"/>
        <v>1</v>
      </c>
      <c r="X550" s="81">
        <f t="shared" si="235"/>
        <v>1</v>
      </c>
      <c r="Y550" s="81">
        <f t="shared" si="236"/>
        <v>0</v>
      </c>
      <c r="Z550" s="79"/>
      <c r="AJ550" s="66"/>
      <c r="AK550" s="70"/>
    </row>
    <row r="551" spans="1:37" hidden="1">
      <c r="A551" s="65">
        <f>A550+1</f>
        <v>32</v>
      </c>
      <c r="B551" s="66" t="s">
        <v>301</v>
      </c>
      <c r="C551" s="78">
        <v>108</v>
      </c>
      <c r="D551" s="79">
        <f t="shared" si="249"/>
        <v>67</v>
      </c>
      <c r="E551" s="79">
        <f>ROUND(((E164/($C164-$S164))*$C551),0)</f>
        <v>2</v>
      </c>
      <c r="F551" s="79">
        <f t="shared" si="245"/>
        <v>69</v>
      </c>
      <c r="G551" s="79">
        <f t="shared" ref="G551:L551" si="254">ROUND(((G164/($C164-$S164))*$C551),0)</f>
        <v>5</v>
      </c>
      <c r="H551" s="79">
        <f t="shared" si="254"/>
        <v>17</v>
      </c>
      <c r="I551" s="79">
        <f t="shared" si="254"/>
        <v>6</v>
      </c>
      <c r="J551" s="79">
        <f t="shared" si="254"/>
        <v>3</v>
      </c>
      <c r="K551" s="79">
        <f t="shared" si="254"/>
        <v>0</v>
      </c>
      <c r="L551" s="79">
        <f t="shared" si="254"/>
        <v>0</v>
      </c>
      <c r="M551" s="79">
        <f t="shared" si="247"/>
        <v>3</v>
      </c>
      <c r="N551" s="79">
        <f>ROUND(((N164/($C164-$S164))*$C551),0)</f>
        <v>8</v>
      </c>
      <c r="O551" s="79">
        <f t="shared" si="251"/>
        <v>108</v>
      </c>
      <c r="P551" s="79">
        <f>ROUND(((P164/($C164-$S164))*$C551),0)</f>
        <v>0</v>
      </c>
      <c r="Q551" s="79">
        <f>ROUND(((Q164/($C164-$S164))*$C551),0)</f>
        <v>0</v>
      </c>
      <c r="R551" s="79">
        <f>P551+Q551</f>
        <v>0</v>
      </c>
      <c r="S551" s="79">
        <v>0</v>
      </c>
      <c r="U551" s="80">
        <f t="shared" si="252"/>
        <v>0</v>
      </c>
      <c r="W551" s="81">
        <f t="shared" si="234"/>
        <v>1</v>
      </c>
      <c r="X551" s="81">
        <f t="shared" si="235"/>
        <v>1</v>
      </c>
      <c r="Y551" s="81">
        <f t="shared" si="236"/>
        <v>0</v>
      </c>
      <c r="Z551" s="79"/>
      <c r="AF551" s="65"/>
      <c r="AJ551" s="66"/>
      <c r="AK551" s="70"/>
    </row>
    <row r="552" spans="1:37" hidden="1">
      <c r="B552" s="66" t="s">
        <v>302</v>
      </c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U552" s="80"/>
      <c r="W552" s="81" t="str">
        <f t="shared" si="234"/>
        <v xml:space="preserve"> </v>
      </c>
      <c r="X552" s="81" t="str">
        <f t="shared" si="235"/>
        <v xml:space="preserve"> </v>
      </c>
      <c r="Y552" s="81" t="str">
        <f t="shared" si="236"/>
        <v xml:space="preserve"> </v>
      </c>
      <c r="Z552" s="79"/>
      <c r="AF552" s="70"/>
      <c r="AJ552" s="66"/>
      <c r="AK552" s="70"/>
    </row>
    <row r="553" spans="1:37" hidden="1">
      <c r="A553" s="65">
        <f>A551+1</f>
        <v>33</v>
      </c>
      <c r="B553" s="66" t="s">
        <v>39</v>
      </c>
      <c r="C553" s="79">
        <f>ROUND((((C202-$S202)/($C$201-$S201))*C$556),0)</f>
        <v>130</v>
      </c>
      <c r="D553" s="79">
        <f t="shared" si="249"/>
        <v>71</v>
      </c>
      <c r="E553" s="79">
        <f>ROUND(((E202/($C202-$R202))*$C553),0)</f>
        <v>2</v>
      </c>
      <c r="F553" s="79">
        <f t="shared" si="245"/>
        <v>73</v>
      </c>
      <c r="G553" s="79">
        <f t="shared" ref="G553:L554" si="255">ROUND(((G202/($C202-$R202))*$C553),0)</f>
        <v>3</v>
      </c>
      <c r="H553" s="79">
        <f t="shared" si="255"/>
        <v>28</v>
      </c>
      <c r="I553" s="79">
        <f t="shared" si="255"/>
        <v>15</v>
      </c>
      <c r="J553" s="79">
        <f t="shared" si="255"/>
        <v>6</v>
      </c>
      <c r="K553" s="79">
        <f t="shared" si="255"/>
        <v>1</v>
      </c>
      <c r="L553" s="79">
        <f t="shared" si="255"/>
        <v>0</v>
      </c>
      <c r="M553" s="79">
        <f t="shared" si="247"/>
        <v>7</v>
      </c>
      <c r="N553" s="79">
        <f>ROUND(((N202/($C202-$R202))*$C553),0)</f>
        <v>1</v>
      </c>
      <c r="O553" s="79">
        <f t="shared" si="251"/>
        <v>127</v>
      </c>
      <c r="P553" s="79">
        <f>ROUND(((P202/($C202-$R202))*$C553),0)</f>
        <v>3</v>
      </c>
      <c r="Q553" s="79">
        <f>ROUND(((Q202/($C202-$R202))*$C553),0)</f>
        <v>0</v>
      </c>
      <c r="R553" s="79">
        <f t="shared" ref="R553:R561" si="256">P553+Q553</f>
        <v>3</v>
      </c>
      <c r="S553" s="79">
        <v>0</v>
      </c>
      <c r="U553" s="80">
        <f t="shared" si="252"/>
        <v>0</v>
      </c>
      <c r="W553" s="81">
        <f t="shared" si="234"/>
        <v>0.97692310000000004</v>
      </c>
      <c r="X553" s="81">
        <f t="shared" si="235"/>
        <v>0.97692310000000004</v>
      </c>
      <c r="Y553" s="81">
        <f t="shared" si="236"/>
        <v>0</v>
      </c>
      <c r="Z553" s="79"/>
      <c r="AF553" s="70"/>
      <c r="AJ553" s="66"/>
      <c r="AK553" s="70"/>
    </row>
    <row r="554" spans="1:37" hidden="1">
      <c r="A554" s="65">
        <f>A553+1</f>
        <v>34</v>
      </c>
      <c r="B554" s="66" t="s">
        <v>44</v>
      </c>
      <c r="C554" s="79">
        <f>ROUND((((C203-$S203)/($C$201-$S201))*C$556),0)</f>
        <v>79</v>
      </c>
      <c r="D554" s="79">
        <f t="shared" si="249"/>
        <v>58</v>
      </c>
      <c r="E554" s="79">
        <f>ROUND(((E203/($C203-$R203))*$C554),0)</f>
        <v>2</v>
      </c>
      <c r="F554" s="79">
        <f t="shared" si="245"/>
        <v>60</v>
      </c>
      <c r="G554" s="79">
        <f t="shared" si="255"/>
        <v>8</v>
      </c>
      <c r="H554" s="79">
        <f t="shared" si="255"/>
        <v>7</v>
      </c>
      <c r="I554" s="79">
        <f t="shared" si="255"/>
        <v>1</v>
      </c>
      <c r="J554" s="79">
        <f t="shared" si="255"/>
        <v>0</v>
      </c>
      <c r="K554" s="79">
        <f t="shared" si="255"/>
        <v>0</v>
      </c>
      <c r="L554" s="79">
        <f t="shared" si="255"/>
        <v>0</v>
      </c>
      <c r="M554" s="79">
        <f t="shared" si="247"/>
        <v>0</v>
      </c>
      <c r="N554" s="79">
        <f>ROUND(((N203/($C203-$R203))*$C554),0)</f>
        <v>3</v>
      </c>
      <c r="O554" s="79">
        <f t="shared" si="251"/>
        <v>79</v>
      </c>
      <c r="P554" s="79">
        <f>ROUND(((P203/($C203-$R203))*$C554),0)</f>
        <v>0</v>
      </c>
      <c r="Q554" s="79">
        <f>ROUND(((Q203/($C203-$R203))*$C554),0)</f>
        <v>0</v>
      </c>
      <c r="R554" s="79">
        <f t="shared" si="256"/>
        <v>0</v>
      </c>
      <c r="S554" s="79">
        <v>0</v>
      </c>
      <c r="U554" s="80">
        <f t="shared" si="252"/>
        <v>0</v>
      </c>
      <c r="W554" s="81">
        <f t="shared" si="234"/>
        <v>1</v>
      </c>
      <c r="X554" s="81">
        <f t="shared" si="235"/>
        <v>1</v>
      </c>
      <c r="Y554" s="81">
        <f t="shared" si="236"/>
        <v>0</v>
      </c>
      <c r="Z554" s="79"/>
      <c r="AF554" s="76"/>
      <c r="AJ554" s="66"/>
      <c r="AK554" s="70"/>
    </row>
    <row r="555" spans="1:37" hidden="1">
      <c r="A555" s="65">
        <f>A554+1</f>
        <v>35</v>
      </c>
      <c r="B555" s="66" t="s">
        <v>168</v>
      </c>
      <c r="C555" s="79">
        <f>C556-C553-C554</f>
        <v>7</v>
      </c>
      <c r="D555" s="79">
        <f t="shared" si="249"/>
        <v>3</v>
      </c>
      <c r="E555" s="79">
        <f>E556-E553-E554</f>
        <v>0</v>
      </c>
      <c r="F555" s="79">
        <f t="shared" si="245"/>
        <v>3</v>
      </c>
      <c r="G555" s="79">
        <f t="shared" ref="G555:L555" si="257">G556-G553-G554</f>
        <v>1</v>
      </c>
      <c r="H555" s="79">
        <f t="shared" si="257"/>
        <v>1</v>
      </c>
      <c r="I555" s="79">
        <f t="shared" si="257"/>
        <v>1</v>
      </c>
      <c r="J555" s="79">
        <f t="shared" si="257"/>
        <v>1</v>
      </c>
      <c r="K555" s="79">
        <f t="shared" si="257"/>
        <v>0</v>
      </c>
      <c r="L555" s="79">
        <f t="shared" si="257"/>
        <v>0</v>
      </c>
      <c r="M555" s="79">
        <f t="shared" si="247"/>
        <v>1</v>
      </c>
      <c r="N555" s="79">
        <f>N556-N553-N554</f>
        <v>0</v>
      </c>
      <c r="O555" s="79">
        <f t="shared" si="251"/>
        <v>7</v>
      </c>
      <c r="P555" s="79">
        <f>P556-P553-P554</f>
        <v>0</v>
      </c>
      <c r="Q555" s="79">
        <f>Q556-Q553-Q554</f>
        <v>0</v>
      </c>
      <c r="R555" s="79">
        <f t="shared" si="256"/>
        <v>0</v>
      </c>
      <c r="S555" s="79">
        <v>0</v>
      </c>
      <c r="U555" s="80">
        <f t="shared" si="252"/>
        <v>0</v>
      </c>
      <c r="W555" s="81">
        <f t="shared" si="234"/>
        <v>1</v>
      </c>
      <c r="X555" s="81">
        <f t="shared" si="235"/>
        <v>1</v>
      </c>
      <c r="Y555" s="81">
        <f t="shared" si="236"/>
        <v>0</v>
      </c>
      <c r="Z555" s="79"/>
      <c r="AF555" s="79"/>
      <c r="AJ555" s="66"/>
      <c r="AK555" s="70"/>
    </row>
    <row r="556" spans="1:37" hidden="1">
      <c r="A556" s="65">
        <f>A555+1</f>
        <v>36</v>
      </c>
      <c r="B556" s="66" t="s">
        <v>303</v>
      </c>
      <c r="C556" s="78">
        <v>216</v>
      </c>
      <c r="D556" s="79">
        <f t="shared" si="249"/>
        <v>132</v>
      </c>
      <c r="E556" s="79">
        <f>ROUND(((E201/($C201-$R201))*$C556),0)</f>
        <v>4</v>
      </c>
      <c r="F556" s="79">
        <f t="shared" si="245"/>
        <v>136</v>
      </c>
      <c r="G556" s="79">
        <f t="shared" ref="G556:L556" si="258">ROUND(((G201/($C201-$R201))*$C556),0)</f>
        <v>12</v>
      </c>
      <c r="H556" s="79">
        <f t="shared" si="258"/>
        <v>36</v>
      </c>
      <c r="I556" s="79">
        <f t="shared" si="258"/>
        <v>17</v>
      </c>
      <c r="J556" s="79">
        <f t="shared" si="258"/>
        <v>7</v>
      </c>
      <c r="K556" s="79">
        <f t="shared" si="258"/>
        <v>1</v>
      </c>
      <c r="L556" s="79">
        <f t="shared" si="258"/>
        <v>0</v>
      </c>
      <c r="M556" s="79">
        <f>SUM(J556:K556)</f>
        <v>8</v>
      </c>
      <c r="N556" s="79">
        <f>ROUND(((N201/($C201-$R201))*$C556),0)</f>
        <v>4</v>
      </c>
      <c r="O556" s="79">
        <f t="shared" si="251"/>
        <v>213</v>
      </c>
      <c r="P556" s="79">
        <f>ROUND(((P201/($C201-$R201))*$C556),0)</f>
        <v>3</v>
      </c>
      <c r="Q556" s="79">
        <f>ROUND(((Q201/($C201-$R201))*$C556),0)</f>
        <v>0</v>
      </c>
      <c r="R556" s="79">
        <f t="shared" si="256"/>
        <v>3</v>
      </c>
      <c r="S556" s="79">
        <v>0</v>
      </c>
      <c r="U556" s="80">
        <f t="shared" si="252"/>
        <v>0</v>
      </c>
      <c r="W556" s="81">
        <f t="shared" si="234"/>
        <v>0.98611110000000002</v>
      </c>
      <c r="X556" s="81">
        <f t="shared" si="235"/>
        <v>0.98611110000000002</v>
      </c>
      <c r="Y556" s="81">
        <f t="shared" si="236"/>
        <v>0</v>
      </c>
      <c r="Z556" s="79"/>
      <c r="AF556" s="79"/>
      <c r="AJ556" s="66"/>
      <c r="AK556" s="70"/>
    </row>
    <row r="557" spans="1:37" hidden="1"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U557" s="80"/>
      <c r="W557" s="81" t="str">
        <f t="shared" si="234"/>
        <v xml:space="preserve"> </v>
      </c>
      <c r="X557" s="81" t="str">
        <f t="shared" si="235"/>
        <v xml:space="preserve"> </v>
      </c>
      <c r="Y557" s="81" t="str">
        <f t="shared" si="236"/>
        <v xml:space="preserve"> </v>
      </c>
      <c r="Z557" s="79"/>
      <c r="AF557" s="79"/>
      <c r="AJ557" s="66"/>
      <c r="AK557" s="70"/>
    </row>
    <row r="558" spans="1:37" hidden="1">
      <c r="A558" s="65">
        <f>A556+1</f>
        <v>37</v>
      </c>
      <c r="B558" s="66" t="s">
        <v>304</v>
      </c>
      <c r="C558" s="79">
        <f t="shared" ref="C558:I558" si="259">C544+C551+C556</f>
        <v>33352</v>
      </c>
      <c r="D558" s="79">
        <f t="shared" si="249"/>
        <v>17381</v>
      </c>
      <c r="E558" s="79">
        <f>E544+E551+E556</f>
        <v>459</v>
      </c>
      <c r="F558" s="79">
        <f t="shared" si="245"/>
        <v>17840</v>
      </c>
      <c r="G558" s="79">
        <f t="shared" si="259"/>
        <v>882</v>
      </c>
      <c r="H558" s="79">
        <f t="shared" si="259"/>
        <v>7119</v>
      </c>
      <c r="I558" s="79">
        <f t="shared" si="259"/>
        <v>4179</v>
      </c>
      <c r="J558" s="79">
        <f>J544+J551+J556</f>
        <v>1839</v>
      </c>
      <c r="K558" s="79">
        <f>K544+K551+K556</f>
        <v>127</v>
      </c>
      <c r="L558" s="79">
        <f>L544+L551+L556</f>
        <v>75</v>
      </c>
      <c r="M558" s="79">
        <f>SUM(J558:L558)</f>
        <v>2041</v>
      </c>
      <c r="N558" s="79">
        <f>N544+N551+N556</f>
        <v>172</v>
      </c>
      <c r="O558" s="79">
        <f t="shared" si="251"/>
        <v>32233</v>
      </c>
      <c r="P558" s="79">
        <f>P544+P551+P556</f>
        <v>1004</v>
      </c>
      <c r="Q558" s="79">
        <f>Q544+Q551+Q556</f>
        <v>115</v>
      </c>
      <c r="R558" s="79">
        <f t="shared" si="256"/>
        <v>1119</v>
      </c>
      <c r="S558" s="79">
        <f>S544+S551+S556</f>
        <v>0</v>
      </c>
      <c r="U558" s="80">
        <f t="shared" si="252"/>
        <v>0</v>
      </c>
      <c r="W558" s="81">
        <f t="shared" si="234"/>
        <v>0.9664488</v>
      </c>
      <c r="X558" s="81">
        <f t="shared" si="235"/>
        <v>0.9664488</v>
      </c>
      <c r="Y558" s="81">
        <f t="shared" si="236"/>
        <v>0</v>
      </c>
      <c r="Z558" s="79"/>
      <c r="AF558" s="79"/>
      <c r="AJ558" s="66"/>
      <c r="AK558" s="70"/>
    </row>
    <row r="559" spans="1:37" hidden="1">
      <c r="A559" s="65">
        <f>A558+1</f>
        <v>38</v>
      </c>
      <c r="B559" s="66" t="s">
        <v>39</v>
      </c>
      <c r="C559" s="79">
        <f>R544+S544+O546+C549+C553</f>
        <v>30771</v>
      </c>
      <c r="D559" s="79">
        <f t="shared" si="249"/>
        <v>16154</v>
      </c>
      <c r="E559" s="79">
        <f>E546+E549+E553</f>
        <v>413</v>
      </c>
      <c r="F559" s="79">
        <f t="shared" si="245"/>
        <v>16567</v>
      </c>
      <c r="G559" s="79">
        <f t="shared" ref="G559:L559" si="260">G546+G549+G553</f>
        <v>808</v>
      </c>
      <c r="H559" s="79">
        <f t="shared" si="260"/>
        <v>6538</v>
      </c>
      <c r="I559" s="79">
        <f t="shared" si="260"/>
        <v>3794</v>
      </c>
      <c r="J559" s="79">
        <f t="shared" si="260"/>
        <v>1631</v>
      </c>
      <c r="K559" s="79">
        <f t="shared" si="260"/>
        <v>118</v>
      </c>
      <c r="L559" s="79">
        <f t="shared" si="260"/>
        <v>67</v>
      </c>
      <c r="M559" s="79">
        <f>SUM(J559:L559)</f>
        <v>1816</v>
      </c>
      <c r="N559" s="79">
        <f>N546+N549+N553</f>
        <v>129</v>
      </c>
      <c r="O559" s="79">
        <f t="shared" si="251"/>
        <v>29652</v>
      </c>
      <c r="P559" s="79">
        <f>P544+P549+P553</f>
        <v>1004</v>
      </c>
      <c r="Q559" s="79">
        <f>Q544+Q549+Q553</f>
        <v>115</v>
      </c>
      <c r="R559" s="79">
        <f t="shared" si="256"/>
        <v>1119</v>
      </c>
      <c r="S559" s="79">
        <f>S544+S549+S553</f>
        <v>0</v>
      </c>
      <c r="U559" s="80">
        <f t="shared" si="252"/>
        <v>0</v>
      </c>
      <c r="W559" s="81">
        <f t="shared" si="234"/>
        <v>0.96363460000000001</v>
      </c>
      <c r="X559" s="81">
        <f t="shared" si="235"/>
        <v>0.96363460000000001</v>
      </c>
      <c r="Y559" s="81">
        <f t="shared" si="236"/>
        <v>0</v>
      </c>
      <c r="Z559" s="79"/>
      <c r="AF559" s="79"/>
      <c r="AJ559" s="66"/>
      <c r="AK559" s="65"/>
    </row>
    <row r="560" spans="1:37" hidden="1">
      <c r="A560" s="65">
        <f>A559+1</f>
        <v>39</v>
      </c>
      <c r="B560" s="66" t="s">
        <v>44</v>
      </c>
      <c r="C560" s="79">
        <f t="shared" ref="C560:I560" si="261">C550+C554</f>
        <v>119</v>
      </c>
      <c r="D560" s="79">
        <f t="shared" si="249"/>
        <v>86</v>
      </c>
      <c r="E560" s="79">
        <f>E550+E554</f>
        <v>3</v>
      </c>
      <c r="F560" s="79">
        <f t="shared" si="245"/>
        <v>89</v>
      </c>
      <c r="G560" s="79">
        <f t="shared" si="261"/>
        <v>11</v>
      </c>
      <c r="H560" s="79">
        <f t="shared" si="261"/>
        <v>8</v>
      </c>
      <c r="I560" s="79">
        <f t="shared" si="261"/>
        <v>1</v>
      </c>
      <c r="J560" s="79">
        <f>J550+J554</f>
        <v>0</v>
      </c>
      <c r="K560" s="79">
        <f>K550+K554</f>
        <v>0</v>
      </c>
      <c r="L560" s="79">
        <f>L550+L554</f>
        <v>0</v>
      </c>
      <c r="M560" s="79">
        <f>SUM(J560:L560)</f>
        <v>0</v>
      </c>
      <c r="N560" s="79">
        <f>N550+N554</f>
        <v>10</v>
      </c>
      <c r="O560" s="79">
        <f t="shared" si="251"/>
        <v>119</v>
      </c>
      <c r="P560" s="79">
        <f>P550+P554</f>
        <v>0</v>
      </c>
      <c r="Q560" s="79">
        <f>Q550+Q554</f>
        <v>0</v>
      </c>
      <c r="R560" s="79">
        <f t="shared" si="256"/>
        <v>0</v>
      </c>
      <c r="S560" s="79">
        <f>S550+S554</f>
        <v>0</v>
      </c>
      <c r="U560" s="80">
        <f t="shared" si="252"/>
        <v>0</v>
      </c>
      <c r="W560" s="81">
        <f t="shared" si="234"/>
        <v>1</v>
      </c>
      <c r="X560" s="81">
        <f t="shared" si="235"/>
        <v>1</v>
      </c>
      <c r="Y560" s="81">
        <f t="shared" si="236"/>
        <v>0</v>
      </c>
      <c r="Z560" s="79"/>
      <c r="AF560" s="79"/>
      <c r="AJ560" s="66"/>
      <c r="AK560" s="65"/>
    </row>
    <row r="561" spans="1:37" hidden="1">
      <c r="A561" s="65">
        <f>A560+1</f>
        <v>40</v>
      </c>
      <c r="B561" s="66" t="s">
        <v>168</v>
      </c>
      <c r="C561" s="79">
        <f>O547+C555</f>
        <v>2462</v>
      </c>
      <c r="D561" s="79">
        <f t="shared" si="249"/>
        <v>1141</v>
      </c>
      <c r="E561" s="79">
        <f>E547+E555</f>
        <v>43</v>
      </c>
      <c r="F561" s="79">
        <f t="shared" si="245"/>
        <v>1184</v>
      </c>
      <c r="G561" s="79">
        <f t="shared" ref="G561:L561" si="262">G547+G555</f>
        <v>63</v>
      </c>
      <c r="H561" s="79">
        <f t="shared" si="262"/>
        <v>573</v>
      </c>
      <c r="I561" s="79">
        <f t="shared" si="262"/>
        <v>384</v>
      </c>
      <c r="J561" s="79">
        <f t="shared" si="262"/>
        <v>208</v>
      </c>
      <c r="K561" s="79">
        <f t="shared" si="262"/>
        <v>9</v>
      </c>
      <c r="L561" s="79">
        <f t="shared" si="262"/>
        <v>8</v>
      </c>
      <c r="M561" s="79">
        <f>SUM(J561:L561)</f>
        <v>225</v>
      </c>
      <c r="N561" s="79">
        <f>N547+N555</f>
        <v>33</v>
      </c>
      <c r="O561" s="79">
        <f t="shared" si="251"/>
        <v>2462</v>
      </c>
      <c r="P561" s="79">
        <f>P555</f>
        <v>0</v>
      </c>
      <c r="Q561" s="79">
        <f>Q555</f>
        <v>0</v>
      </c>
      <c r="R561" s="79">
        <f t="shared" si="256"/>
        <v>0</v>
      </c>
      <c r="S561" s="79">
        <f>S555</f>
        <v>0</v>
      </c>
      <c r="U561" s="80">
        <f t="shared" si="252"/>
        <v>0</v>
      </c>
      <c r="W561" s="81">
        <f t="shared" si="234"/>
        <v>1</v>
      </c>
      <c r="X561" s="81">
        <f t="shared" si="235"/>
        <v>1</v>
      </c>
      <c r="Y561" s="81">
        <f t="shared" si="236"/>
        <v>0</v>
      </c>
      <c r="Z561" s="79"/>
      <c r="AF561" s="79"/>
      <c r="AJ561" s="66"/>
      <c r="AK561" s="65"/>
    </row>
    <row r="562" spans="1:37" hidden="1">
      <c r="B562" s="72"/>
      <c r="C562" s="79"/>
      <c r="H562" s="65" t="s">
        <v>80</v>
      </c>
      <c r="I562" s="79"/>
      <c r="J562" s="79"/>
      <c r="K562" s="79"/>
      <c r="L562" s="79"/>
      <c r="M562" s="79"/>
      <c r="Q562" s="65" t="s">
        <v>80</v>
      </c>
      <c r="R562" s="79"/>
      <c r="S562" s="65"/>
      <c r="W562" s="81"/>
      <c r="X562" s="81"/>
      <c r="Y562" s="81"/>
      <c r="Z562" s="65"/>
      <c r="AF562" s="79"/>
      <c r="AJ562" s="66"/>
      <c r="AK562" s="70"/>
    </row>
    <row r="563" spans="1:37" hidden="1">
      <c r="C563" s="79"/>
      <c r="H563" s="70" t="str">
        <f>$H$24</f>
        <v>12 MONTHS ENDING DECEMBER 31, 2012</v>
      </c>
      <c r="I563" s="79"/>
      <c r="J563" s="79"/>
      <c r="K563" s="79"/>
      <c r="L563" s="79"/>
      <c r="M563" s="79"/>
      <c r="Q563" s="70" t="str">
        <f>$H$24</f>
        <v>12 MONTHS ENDING DECEMBER 31, 2012</v>
      </c>
      <c r="S563" s="79"/>
      <c r="U563" s="80"/>
      <c r="X563" s="81"/>
      <c r="Y563" s="81"/>
      <c r="Z563" s="70"/>
      <c r="AF563" s="79"/>
      <c r="AJ563" s="66"/>
      <c r="AK563" s="65"/>
    </row>
    <row r="564" spans="1:37" hidden="1">
      <c r="C564" s="79"/>
      <c r="H564" s="70" t="str">
        <f>$H$25</f>
        <v>12/13 DEMAND ALLOCATION WITH MDS METHODOLOGY</v>
      </c>
      <c r="Q564" s="70" t="str">
        <f>$H$25</f>
        <v>12/13 DEMAND ALLOCATION WITH MDS METHODOLOGY</v>
      </c>
      <c r="S564" s="79"/>
      <c r="X564" s="81"/>
      <c r="Y564" s="81"/>
      <c r="Z564" s="70"/>
      <c r="AF564" s="79"/>
      <c r="AJ564" s="66"/>
      <c r="AK564" s="70"/>
    </row>
    <row r="565" spans="1:37" hidden="1">
      <c r="C565" s="79"/>
      <c r="H565" s="87" t="s">
        <v>100</v>
      </c>
      <c r="I565" s="79"/>
      <c r="J565" s="79"/>
      <c r="K565" s="79"/>
      <c r="L565" s="79"/>
      <c r="M565" s="79"/>
      <c r="N565" s="79"/>
      <c r="Q565" s="87" t="s">
        <v>100</v>
      </c>
      <c r="S565" s="79"/>
      <c r="U565" s="80"/>
      <c r="X565" s="81"/>
      <c r="Y565" s="81"/>
      <c r="Z565" s="87"/>
      <c r="AF565" s="79"/>
      <c r="AJ565" s="66"/>
      <c r="AK565" s="70"/>
    </row>
    <row r="566" spans="1:37" hidden="1">
      <c r="C566" s="79"/>
      <c r="H566" s="87" t="s">
        <v>114</v>
      </c>
      <c r="J566" s="79"/>
      <c r="K566" s="79"/>
      <c r="L566" s="79"/>
      <c r="M566" s="79"/>
      <c r="N566" s="79"/>
      <c r="Q566" s="87" t="s">
        <v>114</v>
      </c>
      <c r="S566" s="79"/>
      <c r="U566" s="80"/>
      <c r="X566" s="81"/>
      <c r="Y566" s="81"/>
      <c r="Z566" s="87"/>
      <c r="AF566" s="79"/>
      <c r="AJ566" s="66"/>
      <c r="AK566" s="70"/>
    </row>
    <row r="567" spans="1:37" hidden="1">
      <c r="C567" s="65" t="s">
        <v>59</v>
      </c>
      <c r="K567" s="65"/>
      <c r="L567" s="65"/>
      <c r="M567" s="65"/>
      <c r="O567" s="65" t="s">
        <v>59</v>
      </c>
      <c r="P567" s="65"/>
      <c r="Q567" s="65"/>
      <c r="R567" s="65"/>
      <c r="S567" s="65" t="s">
        <v>115</v>
      </c>
      <c r="W567" s="76" t="s">
        <v>116</v>
      </c>
      <c r="X567" s="76" t="s">
        <v>116</v>
      </c>
      <c r="Y567" s="76" t="s">
        <v>117</v>
      </c>
      <c r="AF567" s="79"/>
      <c r="AJ567" s="66"/>
      <c r="AK567" s="70"/>
    </row>
    <row r="568" spans="1:37" hidden="1">
      <c r="A568" s="65" t="s">
        <v>118</v>
      </c>
      <c r="C568" s="65" t="s">
        <v>58</v>
      </c>
      <c r="D568" s="70" t="s">
        <v>119</v>
      </c>
      <c r="E568" s="70" t="s">
        <v>119</v>
      </c>
      <c r="F568" s="70" t="s">
        <v>119</v>
      </c>
      <c r="G568" s="70" t="s">
        <v>119</v>
      </c>
      <c r="H568" s="70" t="s">
        <v>119</v>
      </c>
      <c r="I568" s="70" t="s">
        <v>119</v>
      </c>
      <c r="J568" s="70" t="s">
        <v>119</v>
      </c>
      <c r="K568" s="70" t="s">
        <v>119</v>
      </c>
      <c r="L568" s="70" t="s">
        <v>119</v>
      </c>
      <c r="M568" s="70" t="s">
        <v>119</v>
      </c>
      <c r="N568" s="70" t="s">
        <v>119</v>
      </c>
      <c r="O568" s="65" t="s">
        <v>116</v>
      </c>
      <c r="P568" s="65"/>
      <c r="Q568" s="70" t="s">
        <v>120</v>
      </c>
      <c r="R568" s="65"/>
      <c r="S568" s="65" t="s">
        <v>121</v>
      </c>
      <c r="W568" s="76" t="s">
        <v>122</v>
      </c>
      <c r="X568" s="76" t="s">
        <v>123</v>
      </c>
      <c r="Y568" s="76" t="s">
        <v>124</v>
      </c>
      <c r="Z568" s="65"/>
      <c r="AF568" s="79"/>
      <c r="AJ568" s="66"/>
      <c r="AK568" s="65"/>
    </row>
    <row r="569" spans="1:37" hidden="1">
      <c r="A569" s="65" t="s">
        <v>125</v>
      </c>
      <c r="B569" s="65" t="s">
        <v>126</v>
      </c>
      <c r="C569" s="65" t="s">
        <v>57</v>
      </c>
      <c r="D569" s="70" t="s">
        <v>127</v>
      </c>
      <c r="E569" s="70" t="s">
        <v>128</v>
      </c>
      <c r="F569" s="70" t="s">
        <v>129</v>
      </c>
      <c r="G569" s="70" t="s">
        <v>130</v>
      </c>
      <c r="H569" s="70" t="s">
        <v>131</v>
      </c>
      <c r="I569" s="65" t="s">
        <v>132</v>
      </c>
      <c r="J569" s="70" t="s">
        <v>133</v>
      </c>
      <c r="K569" s="70" t="s">
        <v>134</v>
      </c>
      <c r="L569" s="70" t="s">
        <v>135</v>
      </c>
      <c r="M569" s="70" t="s">
        <v>136</v>
      </c>
      <c r="N569" s="70" t="s">
        <v>137</v>
      </c>
      <c r="O569" s="65" t="s">
        <v>138</v>
      </c>
      <c r="P569" s="70" t="s">
        <v>139</v>
      </c>
      <c r="Q569" s="70" t="s">
        <v>140</v>
      </c>
      <c r="R569" s="65" t="s">
        <v>122</v>
      </c>
      <c r="S569" s="65" t="s">
        <v>141</v>
      </c>
      <c r="U569" s="65" t="s">
        <v>162</v>
      </c>
      <c r="W569" s="76" t="s">
        <v>142</v>
      </c>
      <c r="X569" s="76" t="s">
        <v>142</v>
      </c>
      <c r="Y569" s="76" t="s">
        <v>142</v>
      </c>
      <c r="Z569" s="65"/>
      <c r="AF569" s="79"/>
      <c r="AJ569" s="66"/>
      <c r="AK569" s="65"/>
    </row>
    <row r="570" spans="1:37" hidden="1">
      <c r="A570" s="65" t="s">
        <v>143</v>
      </c>
      <c r="B570" s="65" t="s">
        <v>144</v>
      </c>
      <c r="C570" s="65" t="s">
        <v>145</v>
      </c>
      <c r="D570" s="70" t="s">
        <v>146</v>
      </c>
      <c r="E570" s="70" t="s">
        <v>147</v>
      </c>
      <c r="F570" s="70" t="s">
        <v>148</v>
      </c>
      <c r="G570" s="65" t="s">
        <v>149</v>
      </c>
      <c r="H570" s="65" t="s">
        <v>150</v>
      </c>
      <c r="I570" s="65" t="s">
        <v>151</v>
      </c>
      <c r="J570" s="70" t="s">
        <v>152</v>
      </c>
      <c r="K570" s="70" t="s">
        <v>153</v>
      </c>
      <c r="L570" s="70" t="s">
        <v>154</v>
      </c>
      <c r="M570" s="70" t="s">
        <v>155</v>
      </c>
      <c r="N570" s="70" t="s">
        <v>156</v>
      </c>
      <c r="O570" s="70" t="s">
        <v>157</v>
      </c>
      <c r="P570" s="70" t="s">
        <v>158</v>
      </c>
      <c r="Q570" s="70" t="s">
        <v>159</v>
      </c>
      <c r="R570" s="70" t="s">
        <v>160</v>
      </c>
      <c r="S570" s="70" t="s">
        <v>161</v>
      </c>
      <c r="W570" s="77" t="s">
        <v>163</v>
      </c>
      <c r="X570" s="77" t="s">
        <v>164</v>
      </c>
      <c r="Y570" s="76" t="s">
        <v>165</v>
      </c>
      <c r="Z570" s="70"/>
      <c r="AF570" s="79"/>
      <c r="AJ570" s="66"/>
      <c r="AK570" s="65"/>
    </row>
    <row r="571" spans="1:37" hidden="1">
      <c r="Y571" s="65"/>
      <c r="AF571" s="79"/>
      <c r="AJ571" s="66"/>
      <c r="AK571" s="65"/>
    </row>
    <row r="572" spans="1:37" hidden="1">
      <c r="B572" s="66" t="s">
        <v>305</v>
      </c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O572" s="79"/>
      <c r="P572" s="79"/>
      <c r="Q572" s="79"/>
      <c r="R572" s="79"/>
      <c r="S572" s="79"/>
      <c r="U572" s="80"/>
      <c r="W572" s="81" t="str">
        <f t="shared" ref="W572:W609" si="263">IF((O572+R572)=0," ",ROUND((O572/(O572+R572)),7))</f>
        <v xml:space="preserve"> </v>
      </c>
      <c r="X572" s="81" t="str">
        <f t="shared" ref="X572:X609" si="264">IF((C572)=0," ",ROUND((O572/(C572)),7))</f>
        <v xml:space="preserve"> </v>
      </c>
      <c r="Y572" s="81" t="str">
        <f t="shared" ref="Y572:Y609" si="265">IF((C572)=0," ",ROUND((S572/(C572)),7))</f>
        <v xml:space="preserve"> </v>
      </c>
      <c r="Z572" s="79"/>
      <c r="AK572" s="65"/>
    </row>
    <row r="573" spans="1:37" hidden="1">
      <c r="A573" s="65">
        <f>A561+1</f>
        <v>41</v>
      </c>
      <c r="B573" s="66" t="s">
        <v>274</v>
      </c>
      <c r="C573" s="78">
        <f>C2230</f>
        <v>-1464</v>
      </c>
      <c r="D573" s="79">
        <f t="shared" ref="D573:I573" si="266">SUM(D575:D576)</f>
        <v>-719</v>
      </c>
      <c r="E573" s="79">
        <f>SUM(E575:E576)</f>
        <v>-19</v>
      </c>
      <c r="F573" s="79">
        <f>D573+E573</f>
        <v>-738</v>
      </c>
      <c r="G573" s="79">
        <f t="shared" si="266"/>
        <v>-37</v>
      </c>
      <c r="H573" s="79">
        <f t="shared" si="266"/>
        <v>-296</v>
      </c>
      <c r="I573" s="79">
        <f t="shared" si="266"/>
        <v>-174</v>
      </c>
      <c r="J573" s="79">
        <f>SUM(J575:J576)</f>
        <v>-77</v>
      </c>
      <c r="K573" s="79">
        <f>SUM(K575:K576)</f>
        <v>-5</v>
      </c>
      <c r="L573" s="79">
        <f>SUM(L575:L576)</f>
        <v>-3</v>
      </c>
      <c r="M573" s="79">
        <f>SUM(J573:L573)</f>
        <v>-85</v>
      </c>
      <c r="N573" s="79">
        <f>SUM(N575:N576)</f>
        <v>-6</v>
      </c>
      <c r="O573" s="79">
        <f>C573-P573-Q573-S573</f>
        <v>-1336</v>
      </c>
      <c r="P573" s="79">
        <v>-42</v>
      </c>
      <c r="Q573" s="79">
        <v>-5</v>
      </c>
      <c r="R573" s="79">
        <f>P573+Q573</f>
        <v>-47</v>
      </c>
      <c r="S573" s="78">
        <f>D2230</f>
        <v>-81</v>
      </c>
      <c r="U573" s="80">
        <f>O573+R573+S573-C573</f>
        <v>0</v>
      </c>
      <c r="W573" s="81">
        <f t="shared" si="263"/>
        <v>0.96601590000000004</v>
      </c>
      <c r="X573" s="81">
        <f t="shared" si="264"/>
        <v>0.9125683</v>
      </c>
      <c r="Y573" s="81">
        <f t="shared" si="265"/>
        <v>5.5327899999999999E-2</v>
      </c>
      <c r="Z573" s="79"/>
      <c r="AK573" s="65"/>
    </row>
    <row r="574" spans="1:37" hidden="1">
      <c r="B574" s="66" t="s">
        <v>275</v>
      </c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U574" s="80"/>
      <c r="W574" s="81" t="str">
        <f t="shared" si="263"/>
        <v xml:space="preserve"> </v>
      </c>
      <c r="X574" s="81" t="str">
        <f t="shared" si="264"/>
        <v xml:space="preserve"> </v>
      </c>
      <c r="Y574" s="81" t="str">
        <f t="shared" si="265"/>
        <v xml:space="preserve"> </v>
      </c>
      <c r="Z574" s="79"/>
      <c r="AF574" s="79"/>
      <c r="AJ574" s="66"/>
      <c r="AK574" s="65"/>
    </row>
    <row r="575" spans="1:37" hidden="1">
      <c r="A575" s="65">
        <f>A573+1</f>
        <v>42</v>
      </c>
      <c r="B575" s="66" t="s">
        <v>39</v>
      </c>
      <c r="C575" s="79"/>
      <c r="D575" s="79">
        <f>O575-E575-SUM(G575:I575)-SUM(M575:N575)</f>
        <v>-671</v>
      </c>
      <c r="E575" s="79">
        <v>-17</v>
      </c>
      <c r="F575" s="79">
        <f t="shared" ref="F575:F588" si="267">D575+E575</f>
        <v>-688</v>
      </c>
      <c r="G575" s="79">
        <v>-34</v>
      </c>
      <c r="H575" s="79">
        <v>-272</v>
      </c>
      <c r="I575" s="79">
        <v>-158</v>
      </c>
      <c r="J575" s="79">
        <v>-68</v>
      </c>
      <c r="K575" s="79">
        <v>-5</v>
      </c>
      <c r="L575" s="79">
        <v>-3</v>
      </c>
      <c r="M575" s="79">
        <f t="shared" ref="M575:M588" si="268">SUM(J575:L575)</f>
        <v>-76</v>
      </c>
      <c r="N575" s="79">
        <v>-5</v>
      </c>
      <c r="O575" s="79">
        <v>-1233</v>
      </c>
      <c r="P575" s="79"/>
      <c r="Q575" s="79"/>
      <c r="R575" s="79"/>
      <c r="S575" s="79"/>
      <c r="U575" s="80"/>
      <c r="W575" s="81">
        <f t="shared" si="263"/>
        <v>1</v>
      </c>
      <c r="X575" s="81" t="str">
        <f t="shared" si="264"/>
        <v xml:space="preserve"> </v>
      </c>
      <c r="Y575" s="81" t="str">
        <f t="shared" si="265"/>
        <v xml:space="preserve"> </v>
      </c>
      <c r="Z575" s="79"/>
      <c r="AF575" s="79"/>
      <c r="AJ575" s="66"/>
      <c r="AK575" s="65"/>
    </row>
    <row r="576" spans="1:37" hidden="1">
      <c r="A576" s="65">
        <f t="shared" ref="A576:A588" si="269">A575+1</f>
        <v>43</v>
      </c>
      <c r="B576" s="66" t="s">
        <v>168</v>
      </c>
      <c r="C576" s="79"/>
      <c r="D576" s="79">
        <f>O576-E576-SUM(G576:I576)-SUM(M576:N576)</f>
        <v>-48</v>
      </c>
      <c r="E576" s="79">
        <v>-2</v>
      </c>
      <c r="F576" s="79">
        <f t="shared" si="267"/>
        <v>-50</v>
      </c>
      <c r="G576" s="79">
        <v>-3</v>
      </c>
      <c r="H576" s="79">
        <v>-24</v>
      </c>
      <c r="I576" s="79">
        <v>-16</v>
      </c>
      <c r="J576" s="79">
        <v>-9</v>
      </c>
      <c r="K576" s="79">
        <v>0</v>
      </c>
      <c r="L576" s="79">
        <v>0</v>
      </c>
      <c r="M576" s="79">
        <f t="shared" si="268"/>
        <v>-9</v>
      </c>
      <c r="N576" s="79">
        <v>-1</v>
      </c>
      <c r="O576" s="79">
        <f>O573-O575</f>
        <v>-103</v>
      </c>
      <c r="P576" s="79"/>
      <c r="Q576" s="79"/>
      <c r="R576" s="79"/>
      <c r="S576" s="79"/>
      <c r="U576" s="80"/>
      <c r="W576" s="81">
        <f t="shared" si="263"/>
        <v>1</v>
      </c>
      <c r="X576" s="81" t="str">
        <f t="shared" si="264"/>
        <v xml:space="preserve"> </v>
      </c>
      <c r="Y576" s="81" t="str">
        <f t="shared" si="265"/>
        <v xml:space="preserve"> </v>
      </c>
      <c r="Z576" s="79"/>
      <c r="AF576" s="79"/>
      <c r="AJ576" s="66"/>
      <c r="AK576" s="65"/>
    </row>
    <row r="577" spans="1:37" hidden="1">
      <c r="A577" s="65">
        <f t="shared" si="269"/>
        <v>44</v>
      </c>
      <c r="B577" s="66" t="s">
        <v>276</v>
      </c>
      <c r="C577" s="78">
        <f>C2231</f>
        <v>-120</v>
      </c>
      <c r="D577" s="79">
        <f>C577-E577-SUM(G577:I577)-SUM(M577:N577)-R577-S577</f>
        <v>-63</v>
      </c>
      <c r="E577" s="79">
        <v>-2</v>
      </c>
      <c r="F577" s="79">
        <f t="shared" si="267"/>
        <v>-65</v>
      </c>
      <c r="G577" s="79">
        <v>-3</v>
      </c>
      <c r="H577" s="79">
        <v>-26</v>
      </c>
      <c r="I577" s="79">
        <v>-15</v>
      </c>
      <c r="J577" s="79">
        <v>-6</v>
      </c>
      <c r="K577" s="79">
        <v>0</v>
      </c>
      <c r="L577" s="79">
        <v>0</v>
      </c>
      <c r="M577" s="79">
        <f t="shared" si="268"/>
        <v>-6</v>
      </c>
      <c r="N577" s="79">
        <v>-1</v>
      </c>
      <c r="O577" s="79">
        <f t="shared" ref="O577:O588" si="270">SUM(F577:I577)+SUM(M577:N577)</f>
        <v>-116</v>
      </c>
      <c r="P577" s="79">
        <v>-4</v>
      </c>
      <c r="Q577" s="79">
        <v>0</v>
      </c>
      <c r="R577" s="79">
        <f t="shared" ref="R577:R584" si="271">P577+Q577</f>
        <v>-4</v>
      </c>
      <c r="S577" s="78">
        <f>D2231</f>
        <v>0</v>
      </c>
      <c r="U577" s="80">
        <f t="shared" ref="U577:U588" si="272">O577+R577+S577-C577</f>
        <v>0</v>
      </c>
      <c r="W577" s="81">
        <f t="shared" si="263"/>
        <v>0.96666669999999999</v>
      </c>
      <c r="X577" s="81">
        <f t="shared" si="264"/>
        <v>0.96666669999999999</v>
      </c>
      <c r="Y577" s="81">
        <f t="shared" si="265"/>
        <v>0</v>
      </c>
      <c r="Z577" s="79"/>
      <c r="AF577" s="79"/>
      <c r="AJ577" s="66"/>
      <c r="AK577" s="65"/>
    </row>
    <row r="578" spans="1:37" hidden="1">
      <c r="A578" s="65">
        <f t="shared" si="269"/>
        <v>45</v>
      </c>
      <c r="B578" s="66" t="s">
        <v>277</v>
      </c>
      <c r="C578" s="78">
        <f>C2232</f>
        <v>-603</v>
      </c>
      <c r="D578" s="79">
        <f>C578-E578-SUM(G578:I578)-SUM(M578:N578)-R578-S578</f>
        <v>-386</v>
      </c>
      <c r="E578" s="79">
        <v>-11</v>
      </c>
      <c r="F578" s="79">
        <f t="shared" si="267"/>
        <v>-397</v>
      </c>
      <c r="G578" s="79">
        <v>-33</v>
      </c>
      <c r="H578" s="79">
        <v>-91</v>
      </c>
      <c r="I578" s="79">
        <v>-30</v>
      </c>
      <c r="J578" s="79">
        <v>-11</v>
      </c>
      <c r="K578" s="79">
        <v>-2</v>
      </c>
      <c r="L578" s="79">
        <v>-1</v>
      </c>
      <c r="M578" s="79">
        <f t="shared" si="268"/>
        <v>-14</v>
      </c>
      <c r="N578" s="79">
        <v>-37</v>
      </c>
      <c r="O578" s="79">
        <f t="shared" si="270"/>
        <v>-602</v>
      </c>
      <c r="P578" s="79">
        <v>-1</v>
      </c>
      <c r="Q578" s="79">
        <v>0</v>
      </c>
      <c r="R578" s="79">
        <f t="shared" si="271"/>
        <v>-1</v>
      </c>
      <c r="S578" s="79">
        <v>0</v>
      </c>
      <c r="U578" s="80">
        <f t="shared" si="272"/>
        <v>0</v>
      </c>
      <c r="W578" s="81">
        <f t="shared" si="263"/>
        <v>0.99834160000000005</v>
      </c>
      <c r="X578" s="81">
        <f t="shared" si="264"/>
        <v>0.99834160000000005</v>
      </c>
      <c r="Y578" s="81">
        <f t="shared" si="265"/>
        <v>0</v>
      </c>
      <c r="Z578" s="79"/>
      <c r="AF578" s="79"/>
      <c r="AJ578" s="66"/>
      <c r="AK578" s="65"/>
    </row>
    <row r="579" spans="1:37" hidden="1">
      <c r="A579" s="65">
        <f t="shared" si="269"/>
        <v>46</v>
      </c>
      <c r="B579" s="66" t="s">
        <v>39</v>
      </c>
      <c r="C579" s="79">
        <v>-321</v>
      </c>
      <c r="D579" s="79">
        <f>C579-E579-SUM(G579:I579)-SUM(M579:N579)-R579-S579</f>
        <v>-183</v>
      </c>
      <c r="E579" s="79">
        <v>-6</v>
      </c>
      <c r="F579" s="79">
        <f t="shared" si="267"/>
        <v>-189</v>
      </c>
      <c r="G579" s="79">
        <v>-10</v>
      </c>
      <c r="H579" s="79">
        <v>-74</v>
      </c>
      <c r="I579" s="79">
        <v>-29</v>
      </c>
      <c r="J579" s="79">
        <v>-11</v>
      </c>
      <c r="K579" s="79">
        <v>-2</v>
      </c>
      <c r="L579" s="79">
        <v>-1</v>
      </c>
      <c r="M579" s="79">
        <f t="shared" si="268"/>
        <v>-14</v>
      </c>
      <c r="N579" s="79">
        <v>-4</v>
      </c>
      <c r="O579" s="79">
        <f t="shared" si="270"/>
        <v>-320</v>
      </c>
      <c r="P579" s="79">
        <v>-1</v>
      </c>
      <c r="Q579" s="79">
        <v>0</v>
      </c>
      <c r="R579" s="79">
        <f t="shared" si="271"/>
        <v>-1</v>
      </c>
      <c r="S579" s="79">
        <v>0</v>
      </c>
      <c r="U579" s="80">
        <f t="shared" si="272"/>
        <v>0</v>
      </c>
      <c r="W579" s="81">
        <f t="shared" si="263"/>
        <v>0.99688469999999996</v>
      </c>
      <c r="X579" s="81">
        <f t="shared" si="264"/>
        <v>0.99688469999999996</v>
      </c>
      <c r="Y579" s="81">
        <f t="shared" si="265"/>
        <v>0</v>
      </c>
      <c r="Z579" s="79"/>
      <c r="AJ579" s="66"/>
      <c r="AK579" s="65"/>
    </row>
    <row r="580" spans="1:37" hidden="1">
      <c r="A580" s="65">
        <f t="shared" si="269"/>
        <v>47</v>
      </c>
      <c r="B580" s="66" t="s">
        <v>44</v>
      </c>
      <c r="C580" s="79">
        <f>O580+R580+S580</f>
        <v>-282</v>
      </c>
      <c r="D580" s="79">
        <f>D578-D579</f>
        <v>-203</v>
      </c>
      <c r="E580" s="79">
        <f>E578-E579</f>
        <v>-5</v>
      </c>
      <c r="F580" s="79">
        <f>D580+E580</f>
        <v>-208</v>
      </c>
      <c r="G580" s="79">
        <f t="shared" ref="G580:L580" si="273">G578-G579</f>
        <v>-23</v>
      </c>
      <c r="H580" s="79">
        <f t="shared" si="273"/>
        <v>-17</v>
      </c>
      <c r="I580" s="79">
        <f t="shared" si="273"/>
        <v>-1</v>
      </c>
      <c r="J580" s="79">
        <f t="shared" si="273"/>
        <v>0</v>
      </c>
      <c r="K580" s="79">
        <f t="shared" si="273"/>
        <v>0</v>
      </c>
      <c r="L580" s="79">
        <f t="shared" si="273"/>
        <v>0</v>
      </c>
      <c r="M580" s="79">
        <f t="shared" si="268"/>
        <v>0</v>
      </c>
      <c r="N580" s="79">
        <f>N578-N579</f>
        <v>-33</v>
      </c>
      <c r="O580" s="79">
        <f t="shared" si="270"/>
        <v>-282</v>
      </c>
      <c r="P580" s="79">
        <f>P578-P579</f>
        <v>0</v>
      </c>
      <c r="Q580" s="79">
        <f>Q578-Q579</f>
        <v>0</v>
      </c>
      <c r="R580" s="79">
        <f t="shared" si="271"/>
        <v>0</v>
      </c>
      <c r="S580" s="79">
        <f>S578-S579</f>
        <v>0</v>
      </c>
      <c r="U580" s="80">
        <f t="shared" si="272"/>
        <v>0</v>
      </c>
      <c r="W580" s="81">
        <f t="shared" si="263"/>
        <v>1</v>
      </c>
      <c r="X580" s="81">
        <f t="shared" si="264"/>
        <v>1</v>
      </c>
      <c r="Y580" s="81">
        <f t="shared" si="265"/>
        <v>0</v>
      </c>
      <c r="Z580" s="79"/>
      <c r="AJ580" s="66"/>
      <c r="AK580" s="65"/>
    </row>
    <row r="581" spans="1:37" hidden="1">
      <c r="A581" s="65">
        <f t="shared" si="269"/>
        <v>48</v>
      </c>
      <c r="B581" s="66" t="s">
        <v>278</v>
      </c>
      <c r="C581" s="78">
        <f>C2233</f>
        <v>-366</v>
      </c>
      <c r="D581" s="79">
        <f>C581-E581-SUM(G581:I581)-SUM(M581:N581)-R581-S581</f>
        <v>-309</v>
      </c>
      <c r="E581" s="79">
        <v>-9</v>
      </c>
      <c r="F581" s="79">
        <f t="shared" si="267"/>
        <v>-318</v>
      </c>
      <c r="G581" s="79">
        <v>-25</v>
      </c>
      <c r="H581" s="79">
        <v>-15</v>
      </c>
      <c r="I581" s="79">
        <v>0</v>
      </c>
      <c r="J581" s="79">
        <v>0</v>
      </c>
      <c r="K581" s="79">
        <v>0</v>
      </c>
      <c r="L581" s="79">
        <v>0</v>
      </c>
      <c r="M581" s="79">
        <f t="shared" si="268"/>
        <v>0</v>
      </c>
      <c r="N581" s="79">
        <v>-8</v>
      </c>
      <c r="O581" s="79">
        <f t="shared" si="270"/>
        <v>-366</v>
      </c>
      <c r="P581" s="79">
        <v>0</v>
      </c>
      <c r="Q581" s="79">
        <v>0</v>
      </c>
      <c r="R581" s="79">
        <f t="shared" si="271"/>
        <v>0</v>
      </c>
      <c r="S581" s="79">
        <v>0</v>
      </c>
      <c r="U581" s="80">
        <f t="shared" si="272"/>
        <v>0</v>
      </c>
      <c r="W581" s="81">
        <f t="shared" si="263"/>
        <v>1</v>
      </c>
      <c r="X581" s="81">
        <f t="shared" si="264"/>
        <v>1</v>
      </c>
      <c r="Y581" s="81">
        <f t="shared" si="265"/>
        <v>0</v>
      </c>
      <c r="Z581" s="79"/>
      <c r="AF581" s="65"/>
      <c r="AJ581" s="66"/>
      <c r="AK581" s="70"/>
    </row>
    <row r="582" spans="1:37" hidden="1">
      <c r="A582" s="65">
        <f t="shared" si="269"/>
        <v>49</v>
      </c>
      <c r="B582" s="66" t="s">
        <v>283</v>
      </c>
      <c r="C582" s="78">
        <f>C2234</f>
        <v>-397</v>
      </c>
      <c r="D582" s="79">
        <f>C582-E582-SUM(G582:I582)-SUM(M582:N582)-R582-S582</f>
        <v>-256</v>
      </c>
      <c r="E582" s="79">
        <v>-7</v>
      </c>
      <c r="F582" s="79">
        <f t="shared" si="267"/>
        <v>-263</v>
      </c>
      <c r="G582" s="79">
        <v>-60</v>
      </c>
      <c r="H582" s="79">
        <v>-58</v>
      </c>
      <c r="I582" s="79">
        <v>-11</v>
      </c>
      <c r="J582" s="79">
        <v>-4</v>
      </c>
      <c r="K582" s="79">
        <v>-1</v>
      </c>
      <c r="L582" s="79">
        <v>0</v>
      </c>
      <c r="M582" s="79">
        <f t="shared" si="268"/>
        <v>-5</v>
      </c>
      <c r="N582" s="79">
        <v>0</v>
      </c>
      <c r="O582" s="79">
        <f t="shared" si="270"/>
        <v>-397</v>
      </c>
      <c r="P582" s="79">
        <v>0</v>
      </c>
      <c r="Q582" s="79">
        <v>0</v>
      </c>
      <c r="R582" s="79">
        <f t="shared" si="271"/>
        <v>0</v>
      </c>
      <c r="S582" s="79">
        <v>0</v>
      </c>
      <c r="U582" s="80">
        <f t="shared" si="272"/>
        <v>0</v>
      </c>
      <c r="W582" s="81">
        <f t="shared" si="263"/>
        <v>1</v>
      </c>
      <c r="X582" s="81">
        <f t="shared" si="264"/>
        <v>1</v>
      </c>
      <c r="Y582" s="81">
        <f t="shared" si="265"/>
        <v>0</v>
      </c>
      <c r="Z582" s="79"/>
      <c r="AF582" s="70"/>
      <c r="AJ582" s="66"/>
      <c r="AK582" s="65"/>
    </row>
    <row r="583" spans="1:37" hidden="1">
      <c r="A583" s="65">
        <f t="shared" si="269"/>
        <v>50</v>
      </c>
      <c r="B583" s="66" t="s">
        <v>44</v>
      </c>
      <c r="C583" s="79">
        <f>O583+R583+S583</f>
        <v>-397</v>
      </c>
      <c r="D583" s="79">
        <f>D582-D584</f>
        <v>-256</v>
      </c>
      <c r="E583" s="79">
        <f>E582-E584</f>
        <v>-7</v>
      </c>
      <c r="F583" s="79">
        <f t="shared" si="267"/>
        <v>-263</v>
      </c>
      <c r="G583" s="79">
        <f t="shared" ref="G583:L583" si="274">G582-G584</f>
        <v>-60</v>
      </c>
      <c r="H583" s="79">
        <f t="shared" si="274"/>
        <v>-58</v>
      </c>
      <c r="I583" s="79">
        <f t="shared" si="274"/>
        <v>-11</v>
      </c>
      <c r="J583" s="79">
        <f t="shared" si="274"/>
        <v>-4</v>
      </c>
      <c r="K583" s="79">
        <f t="shared" si="274"/>
        <v>-1</v>
      </c>
      <c r="L583" s="79">
        <f t="shared" si="274"/>
        <v>0</v>
      </c>
      <c r="M583" s="79">
        <f t="shared" si="268"/>
        <v>-5</v>
      </c>
      <c r="N583" s="79">
        <f>N582-N584</f>
        <v>0</v>
      </c>
      <c r="O583" s="79">
        <f t="shared" si="270"/>
        <v>-397</v>
      </c>
      <c r="P583" s="79">
        <f>P582-P584</f>
        <v>0</v>
      </c>
      <c r="Q583" s="79">
        <f>Q582-Q584</f>
        <v>0</v>
      </c>
      <c r="R583" s="79">
        <f t="shared" si="271"/>
        <v>0</v>
      </c>
      <c r="S583" s="79">
        <f>S582-S584</f>
        <v>0</v>
      </c>
      <c r="U583" s="80">
        <f t="shared" si="272"/>
        <v>0</v>
      </c>
      <c r="W583" s="81">
        <f t="shared" si="263"/>
        <v>1</v>
      </c>
      <c r="X583" s="81">
        <f t="shared" si="264"/>
        <v>1</v>
      </c>
      <c r="Y583" s="81">
        <f t="shared" si="265"/>
        <v>0</v>
      </c>
      <c r="Z583" s="79"/>
      <c r="AF583" s="70"/>
      <c r="AJ583" s="66"/>
      <c r="AK583" s="65"/>
    </row>
    <row r="584" spans="1:37" hidden="1">
      <c r="A584" s="65">
        <f t="shared" si="269"/>
        <v>51</v>
      </c>
      <c r="B584" s="66" t="s">
        <v>168</v>
      </c>
      <c r="C584" s="79">
        <v>0</v>
      </c>
      <c r="D584" s="79">
        <f>C584-E584-SUM(G584:I584)-SUM(M584:N584)-R584-S584</f>
        <v>0</v>
      </c>
      <c r="E584" s="79">
        <v>0</v>
      </c>
      <c r="F584" s="79">
        <f t="shared" si="267"/>
        <v>0</v>
      </c>
      <c r="G584" s="79">
        <v>0</v>
      </c>
      <c r="H584" s="79">
        <v>0</v>
      </c>
      <c r="I584" s="79">
        <v>0</v>
      </c>
      <c r="J584" s="79">
        <v>0</v>
      </c>
      <c r="K584" s="79">
        <v>0</v>
      </c>
      <c r="L584" s="79">
        <v>0</v>
      </c>
      <c r="M584" s="79">
        <f t="shared" si="268"/>
        <v>0</v>
      </c>
      <c r="N584" s="79">
        <v>0</v>
      </c>
      <c r="O584" s="79">
        <f t="shared" si="270"/>
        <v>0</v>
      </c>
      <c r="P584" s="79">
        <v>0</v>
      </c>
      <c r="Q584" s="79">
        <v>0</v>
      </c>
      <c r="R584" s="79">
        <f t="shared" si="271"/>
        <v>0</v>
      </c>
      <c r="S584" s="79">
        <v>0</v>
      </c>
      <c r="U584" s="80">
        <f t="shared" si="272"/>
        <v>0</v>
      </c>
      <c r="W584" s="81" t="str">
        <f t="shared" si="263"/>
        <v xml:space="preserve"> </v>
      </c>
      <c r="X584" s="81" t="str">
        <f t="shared" si="264"/>
        <v xml:space="preserve"> </v>
      </c>
      <c r="Y584" s="81" t="str">
        <f t="shared" si="265"/>
        <v xml:space="preserve"> </v>
      </c>
      <c r="Z584" s="79"/>
      <c r="AF584" s="76"/>
      <c r="AJ584" s="66"/>
      <c r="AK584" s="65"/>
    </row>
    <row r="585" spans="1:37" hidden="1">
      <c r="A585" s="65">
        <f t="shared" si="269"/>
        <v>52</v>
      </c>
      <c r="B585" s="66" t="s">
        <v>306</v>
      </c>
      <c r="C585" s="79">
        <f>O585+R585+S585</f>
        <v>-2950</v>
      </c>
      <c r="D585" s="79">
        <f>SUM(D586:D588)</f>
        <v>-1733</v>
      </c>
      <c r="E585" s="79">
        <f>SUM(E586:E588)</f>
        <v>-48</v>
      </c>
      <c r="F585" s="79">
        <f t="shared" si="267"/>
        <v>-1781</v>
      </c>
      <c r="G585" s="79">
        <f t="shared" ref="G585:L585" si="275">SUM(G586:G588)</f>
        <v>-158</v>
      </c>
      <c r="H585" s="79">
        <f t="shared" si="275"/>
        <v>-486</v>
      </c>
      <c r="I585" s="79">
        <f t="shared" si="275"/>
        <v>-230</v>
      </c>
      <c r="J585" s="79">
        <f t="shared" si="275"/>
        <v>-98</v>
      </c>
      <c r="K585" s="79">
        <f t="shared" si="275"/>
        <v>-8</v>
      </c>
      <c r="L585" s="79">
        <f t="shared" si="275"/>
        <v>-4</v>
      </c>
      <c r="M585" s="79">
        <f t="shared" si="268"/>
        <v>-110</v>
      </c>
      <c r="N585" s="79">
        <f>SUM(N586:N588)</f>
        <v>-52</v>
      </c>
      <c r="O585" s="79">
        <f t="shared" si="270"/>
        <v>-2817</v>
      </c>
      <c r="P585" s="79">
        <f>SUM(P586:P588)</f>
        <v>-47</v>
      </c>
      <c r="Q585" s="79">
        <f>SUM(Q586:Q588)</f>
        <v>-5</v>
      </c>
      <c r="R585" s="79">
        <f>SUM(R586:R588)</f>
        <v>-52</v>
      </c>
      <c r="S585" s="79">
        <f>SUM(S586:S588)</f>
        <v>-81</v>
      </c>
      <c r="U585" s="80">
        <f t="shared" si="272"/>
        <v>0</v>
      </c>
      <c r="W585" s="81">
        <f t="shared" si="263"/>
        <v>0.98187519999999995</v>
      </c>
      <c r="X585" s="81">
        <f t="shared" si="264"/>
        <v>0.95491530000000002</v>
      </c>
      <c r="Y585" s="81">
        <f t="shared" si="265"/>
        <v>2.7457599999999999E-2</v>
      </c>
      <c r="Z585" s="79"/>
      <c r="AF585" s="79"/>
      <c r="AJ585" s="66"/>
      <c r="AK585" s="65"/>
    </row>
    <row r="586" spans="1:37" hidden="1">
      <c r="A586" s="65">
        <f t="shared" si="269"/>
        <v>53</v>
      </c>
      <c r="B586" s="66" t="s">
        <v>229</v>
      </c>
      <c r="C586" s="79">
        <f>O586+R586+S586</f>
        <v>-1802</v>
      </c>
      <c r="D586" s="79">
        <f>D575+D577+D579</f>
        <v>-917</v>
      </c>
      <c r="E586" s="79">
        <f>E575+E577+E579</f>
        <v>-25</v>
      </c>
      <c r="F586" s="79">
        <f t="shared" si="267"/>
        <v>-942</v>
      </c>
      <c r="G586" s="79">
        <f t="shared" ref="G586:L586" si="276">G575+G577+G579</f>
        <v>-47</v>
      </c>
      <c r="H586" s="79">
        <f t="shared" si="276"/>
        <v>-372</v>
      </c>
      <c r="I586" s="79">
        <f t="shared" si="276"/>
        <v>-202</v>
      </c>
      <c r="J586" s="79">
        <f t="shared" si="276"/>
        <v>-85</v>
      </c>
      <c r="K586" s="79">
        <f t="shared" si="276"/>
        <v>-7</v>
      </c>
      <c r="L586" s="79">
        <f t="shared" si="276"/>
        <v>-4</v>
      </c>
      <c r="M586" s="79">
        <f t="shared" si="268"/>
        <v>-96</v>
      </c>
      <c r="N586" s="79">
        <f>N575+N577+N579</f>
        <v>-10</v>
      </c>
      <c r="O586" s="79">
        <f t="shared" si="270"/>
        <v>-1669</v>
      </c>
      <c r="P586" s="79">
        <f>P573+P577+P579</f>
        <v>-47</v>
      </c>
      <c r="Q586" s="79">
        <f>Q573+Q577+Q579</f>
        <v>-5</v>
      </c>
      <c r="R586" s="79">
        <f>R573+R577+R579</f>
        <v>-52</v>
      </c>
      <c r="S586" s="79">
        <f>S573+S577+S579</f>
        <v>-81</v>
      </c>
      <c r="U586" s="80">
        <f t="shared" si="272"/>
        <v>0</v>
      </c>
      <c r="W586" s="81">
        <f t="shared" si="263"/>
        <v>0.96978500000000001</v>
      </c>
      <c r="X586" s="81">
        <f t="shared" si="264"/>
        <v>0.92619309999999999</v>
      </c>
      <c r="Y586" s="81">
        <f t="shared" si="265"/>
        <v>4.49501E-2</v>
      </c>
      <c r="Z586" s="79"/>
      <c r="AF586" s="79"/>
      <c r="AJ586" s="66"/>
      <c r="AK586" s="70"/>
    </row>
    <row r="587" spans="1:37" hidden="1">
      <c r="A587" s="65">
        <f t="shared" si="269"/>
        <v>54</v>
      </c>
      <c r="B587" s="66" t="s">
        <v>253</v>
      </c>
      <c r="C587" s="79">
        <f>O587+R587+S587</f>
        <v>-1045</v>
      </c>
      <c r="D587" s="79">
        <f>D580+D583+D581</f>
        <v>-768</v>
      </c>
      <c r="E587" s="79">
        <f>E580+E583+E581</f>
        <v>-21</v>
      </c>
      <c r="F587" s="79">
        <f t="shared" si="267"/>
        <v>-789</v>
      </c>
      <c r="G587" s="79">
        <f t="shared" ref="G587:L587" si="277">G580+G583+G581</f>
        <v>-108</v>
      </c>
      <c r="H587" s="79">
        <f t="shared" si="277"/>
        <v>-90</v>
      </c>
      <c r="I587" s="79">
        <f t="shared" si="277"/>
        <v>-12</v>
      </c>
      <c r="J587" s="79">
        <f t="shared" si="277"/>
        <v>-4</v>
      </c>
      <c r="K587" s="79">
        <f t="shared" si="277"/>
        <v>-1</v>
      </c>
      <c r="L587" s="79">
        <f t="shared" si="277"/>
        <v>0</v>
      </c>
      <c r="M587" s="79">
        <f t="shared" si="268"/>
        <v>-5</v>
      </c>
      <c r="N587" s="79">
        <f>N580+N583+N581</f>
        <v>-41</v>
      </c>
      <c r="O587" s="79">
        <f t="shared" si="270"/>
        <v>-1045</v>
      </c>
      <c r="P587" s="79">
        <f>P580+P583+P581</f>
        <v>0</v>
      </c>
      <c r="Q587" s="79">
        <f>Q580+Q583+Q581</f>
        <v>0</v>
      </c>
      <c r="R587" s="79">
        <f>R580+R583+R581</f>
        <v>0</v>
      </c>
      <c r="S587" s="79">
        <f>S580+S583+S581</f>
        <v>0</v>
      </c>
      <c r="U587" s="80">
        <f t="shared" si="272"/>
        <v>0</v>
      </c>
      <c r="W587" s="81">
        <f t="shared" si="263"/>
        <v>1</v>
      </c>
      <c r="X587" s="81">
        <f t="shared" si="264"/>
        <v>1</v>
      </c>
      <c r="Y587" s="81">
        <f t="shared" si="265"/>
        <v>0</v>
      </c>
      <c r="Z587" s="79"/>
      <c r="AF587" s="79"/>
      <c r="AJ587" s="66"/>
      <c r="AK587" s="65"/>
    </row>
    <row r="588" spans="1:37" hidden="1">
      <c r="A588" s="65">
        <f t="shared" si="269"/>
        <v>55</v>
      </c>
      <c r="B588" s="66" t="s">
        <v>230</v>
      </c>
      <c r="C588" s="79">
        <f>O588+R588+S588</f>
        <v>-103</v>
      </c>
      <c r="D588" s="79">
        <f>D584+D576</f>
        <v>-48</v>
      </c>
      <c r="E588" s="79">
        <f>E584+E576</f>
        <v>-2</v>
      </c>
      <c r="F588" s="79">
        <f t="shared" si="267"/>
        <v>-50</v>
      </c>
      <c r="G588" s="79">
        <f t="shared" ref="G588:L588" si="278">G584+G576</f>
        <v>-3</v>
      </c>
      <c r="H588" s="79">
        <f t="shared" si="278"/>
        <v>-24</v>
      </c>
      <c r="I588" s="79">
        <f t="shared" si="278"/>
        <v>-16</v>
      </c>
      <c r="J588" s="79">
        <f t="shared" si="278"/>
        <v>-9</v>
      </c>
      <c r="K588" s="79">
        <f t="shared" si="278"/>
        <v>0</v>
      </c>
      <c r="L588" s="79">
        <f t="shared" si="278"/>
        <v>0</v>
      </c>
      <c r="M588" s="79">
        <f t="shared" si="268"/>
        <v>-9</v>
      </c>
      <c r="N588" s="79">
        <f>N584+N576</f>
        <v>-1</v>
      </c>
      <c r="O588" s="79">
        <f t="shared" si="270"/>
        <v>-103</v>
      </c>
      <c r="P588" s="79">
        <f>P584</f>
        <v>0</v>
      </c>
      <c r="Q588" s="79">
        <f>Q584</f>
        <v>0</v>
      </c>
      <c r="R588" s="79">
        <f>R584</f>
        <v>0</v>
      </c>
      <c r="S588" s="79">
        <f>S584</f>
        <v>0</v>
      </c>
      <c r="U588" s="80">
        <f t="shared" si="272"/>
        <v>0</v>
      </c>
      <c r="W588" s="81">
        <f t="shared" si="263"/>
        <v>1</v>
      </c>
      <c r="X588" s="81">
        <f t="shared" si="264"/>
        <v>1</v>
      </c>
      <c r="Y588" s="81">
        <f t="shared" si="265"/>
        <v>0</v>
      </c>
      <c r="Z588" s="79"/>
      <c r="AF588" s="79"/>
      <c r="AJ588" s="66"/>
      <c r="AK588" s="70"/>
    </row>
    <row r="589" spans="1:37" hidden="1">
      <c r="A589" s="85" t="s">
        <v>307</v>
      </c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U589" s="80"/>
      <c r="V589" s="85"/>
      <c r="W589" s="81" t="str">
        <f t="shared" si="263"/>
        <v xml:space="preserve"> </v>
      </c>
      <c r="X589" s="81" t="str">
        <f t="shared" si="264"/>
        <v xml:space="preserve"> </v>
      </c>
      <c r="Y589" s="81" t="str">
        <f t="shared" si="265"/>
        <v xml:space="preserve"> </v>
      </c>
      <c r="Z589" s="79"/>
      <c r="AF589" s="79"/>
      <c r="AJ589" s="66"/>
      <c r="AK589" s="70"/>
    </row>
    <row r="590" spans="1:37" hidden="1">
      <c r="B590" s="66" t="s">
        <v>308</v>
      </c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U590" s="80"/>
      <c r="W590" s="81" t="str">
        <f t="shared" si="263"/>
        <v xml:space="preserve"> </v>
      </c>
      <c r="X590" s="81" t="str">
        <f t="shared" si="264"/>
        <v xml:space="preserve"> </v>
      </c>
      <c r="Y590" s="81" t="str">
        <f t="shared" si="265"/>
        <v xml:space="preserve"> </v>
      </c>
      <c r="Z590" s="79"/>
      <c r="AF590" s="79"/>
      <c r="AJ590" s="66"/>
      <c r="AK590" s="70"/>
    </row>
    <row r="591" spans="1:37" hidden="1">
      <c r="A591" s="65">
        <f>A588+1</f>
        <v>56</v>
      </c>
      <c r="B591" s="66" t="s">
        <v>274</v>
      </c>
      <c r="C591" s="78">
        <v>2349</v>
      </c>
      <c r="D591" s="79">
        <f>SUM(D593:D594)</f>
        <v>0</v>
      </c>
      <c r="E591" s="79">
        <f>SUM(E593:E594)</f>
        <v>0</v>
      </c>
      <c r="F591" s="79">
        <f t="shared" ref="F591:F609" si="279">D591+E591</f>
        <v>0</v>
      </c>
      <c r="G591" s="79">
        <f t="shared" ref="G591:L591" si="280">SUM(G593:G594)</f>
        <v>0</v>
      </c>
      <c r="H591" s="79">
        <f t="shared" si="280"/>
        <v>0</v>
      </c>
      <c r="I591" s="79">
        <f t="shared" si="280"/>
        <v>0</v>
      </c>
      <c r="J591" s="79">
        <f t="shared" si="280"/>
        <v>0</v>
      </c>
      <c r="K591" s="79">
        <f t="shared" si="280"/>
        <v>0</v>
      </c>
      <c r="L591" s="79">
        <f t="shared" si="280"/>
        <v>0</v>
      </c>
      <c r="M591" s="79">
        <f t="shared" ref="M591:M609" si="281">SUM(J591:L591)</f>
        <v>0</v>
      </c>
      <c r="N591" s="79">
        <f>SUM(N593:N594)</f>
        <v>0</v>
      </c>
      <c r="O591" s="79">
        <f>C591-P591-Q591-S591</f>
        <v>0</v>
      </c>
      <c r="P591" s="79">
        <f>ROUND(P$34/($C$34-$S$34)*($C591-$S591),0)</f>
        <v>0</v>
      </c>
      <c r="Q591" s="79">
        <f>ROUND(Q$34/($C$34-$S$34)*($C591-$S591),0)</f>
        <v>0</v>
      </c>
      <c r="R591" s="79">
        <f>P591+Q591</f>
        <v>0</v>
      </c>
      <c r="S591" s="78">
        <v>2349</v>
      </c>
      <c r="U591" s="80">
        <f>O591+R591+S591-C591</f>
        <v>0</v>
      </c>
      <c r="W591" s="81" t="str">
        <f t="shared" si="263"/>
        <v xml:space="preserve"> </v>
      </c>
      <c r="X591" s="81">
        <f t="shared" si="264"/>
        <v>0</v>
      </c>
      <c r="Y591" s="81">
        <f t="shared" si="265"/>
        <v>1</v>
      </c>
      <c r="Z591" s="79"/>
      <c r="AF591" s="79"/>
      <c r="AJ591" s="66"/>
      <c r="AK591" s="70"/>
    </row>
    <row r="592" spans="1:37" hidden="1">
      <c r="B592" s="66" t="s">
        <v>275</v>
      </c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U592" s="80"/>
      <c r="W592" s="81" t="str">
        <f t="shared" si="263"/>
        <v xml:space="preserve"> </v>
      </c>
      <c r="X592" s="81" t="str">
        <f t="shared" si="264"/>
        <v xml:space="preserve"> </v>
      </c>
      <c r="Y592" s="81" t="str">
        <f t="shared" si="265"/>
        <v xml:space="preserve"> </v>
      </c>
      <c r="Z592" s="79"/>
      <c r="AF592" s="79"/>
      <c r="AJ592" s="66"/>
      <c r="AK592" s="65"/>
    </row>
    <row r="593" spans="1:37" hidden="1">
      <c r="A593" s="65">
        <f>A591+1</f>
        <v>57</v>
      </c>
      <c r="B593" s="66" t="s">
        <v>39</v>
      </c>
      <c r="C593" s="79"/>
      <c r="D593" s="79">
        <f>O593-E593-SUM(G593:I593)-SUM(M593:N593)</f>
        <v>0</v>
      </c>
      <c r="E593" s="79">
        <f>ROUND(E$37/$O$37*$O593,0)</f>
        <v>0</v>
      </c>
      <c r="F593" s="79">
        <f t="shared" si="279"/>
        <v>0</v>
      </c>
      <c r="G593" s="79">
        <f t="shared" ref="G593:L593" si="282">ROUND(G$37/$O$37*$O593,0)</f>
        <v>0</v>
      </c>
      <c r="H593" s="79">
        <f t="shared" si="282"/>
        <v>0</v>
      </c>
      <c r="I593" s="79">
        <f t="shared" si="282"/>
        <v>0</v>
      </c>
      <c r="J593" s="79">
        <f t="shared" si="282"/>
        <v>0</v>
      </c>
      <c r="K593" s="79">
        <f t="shared" si="282"/>
        <v>0</v>
      </c>
      <c r="L593" s="79">
        <f t="shared" si="282"/>
        <v>0</v>
      </c>
      <c r="M593" s="79">
        <f t="shared" si="281"/>
        <v>0</v>
      </c>
      <c r="N593" s="79">
        <f>ROUND(N$37/$O$37*$O593,0)</f>
        <v>0</v>
      </c>
      <c r="O593" s="79">
        <f>ROUND(O$37/$O$34*$O591,0)</f>
        <v>0</v>
      </c>
      <c r="P593" s="79"/>
      <c r="Q593" s="79"/>
      <c r="R593" s="79"/>
      <c r="S593" s="79"/>
      <c r="U593" s="80"/>
      <c r="W593" s="81" t="str">
        <f t="shared" si="263"/>
        <v xml:space="preserve"> </v>
      </c>
      <c r="X593" s="81" t="str">
        <f t="shared" si="264"/>
        <v xml:space="preserve"> </v>
      </c>
      <c r="Y593" s="81" t="str">
        <f t="shared" si="265"/>
        <v xml:space="preserve"> </v>
      </c>
      <c r="Z593" s="79"/>
      <c r="AF593" s="79"/>
      <c r="AJ593" s="66"/>
      <c r="AK593" s="65"/>
    </row>
    <row r="594" spans="1:37" hidden="1">
      <c r="A594" s="65">
        <f t="shared" ref="A594:A602" si="283">A593+1</f>
        <v>58</v>
      </c>
      <c r="B594" s="66" t="s">
        <v>168</v>
      </c>
      <c r="C594" s="79"/>
      <c r="D594" s="79">
        <f>O594-E594-SUM(G594:I594)-SUM(M594:N594)</f>
        <v>0</v>
      </c>
      <c r="E594" s="79">
        <f>ROUND(E$38/$O$38*$O594,0)</f>
        <v>0</v>
      </c>
      <c r="F594" s="79">
        <f t="shared" si="279"/>
        <v>0</v>
      </c>
      <c r="G594" s="79">
        <f t="shared" ref="G594:L594" si="284">ROUND(G$38/$O$38*$O594,0)</f>
        <v>0</v>
      </c>
      <c r="H594" s="79">
        <f t="shared" si="284"/>
        <v>0</v>
      </c>
      <c r="I594" s="79">
        <f t="shared" si="284"/>
        <v>0</v>
      </c>
      <c r="J594" s="79">
        <f t="shared" si="284"/>
        <v>0</v>
      </c>
      <c r="K594" s="79">
        <f t="shared" si="284"/>
        <v>0</v>
      </c>
      <c r="L594" s="79">
        <f t="shared" si="284"/>
        <v>0</v>
      </c>
      <c r="M594" s="79">
        <f t="shared" si="281"/>
        <v>0</v>
      </c>
      <c r="N594" s="79">
        <f>ROUND(N$38/$O$38*$O594,0)</f>
        <v>0</v>
      </c>
      <c r="O594" s="79">
        <f>O591-O593</f>
        <v>0</v>
      </c>
      <c r="P594" s="79"/>
      <c r="Q594" s="79"/>
      <c r="R594" s="79"/>
      <c r="S594" s="79"/>
      <c r="U594" s="80"/>
      <c r="W594" s="81" t="str">
        <f t="shared" si="263"/>
        <v xml:space="preserve"> </v>
      </c>
      <c r="X594" s="81" t="str">
        <f t="shared" si="264"/>
        <v xml:space="preserve"> </v>
      </c>
      <c r="Y594" s="81" t="str">
        <f t="shared" si="265"/>
        <v xml:space="preserve"> </v>
      </c>
      <c r="Z594" s="79"/>
      <c r="AF594" s="79"/>
      <c r="AJ594" s="66"/>
      <c r="AK594" s="65"/>
    </row>
    <row r="595" spans="1:37" hidden="1">
      <c r="A595" s="65">
        <f t="shared" si="283"/>
        <v>59</v>
      </c>
      <c r="B595" s="66" t="s">
        <v>276</v>
      </c>
      <c r="C595" s="78">
        <v>65</v>
      </c>
      <c r="D595" s="79">
        <f t="shared" ref="D595:D602" si="285">C595-E595-SUM(G595:I595)-SUM(M595:N595)-R595-S595</f>
        <v>0</v>
      </c>
      <c r="E595" s="79">
        <f>ROUND((E$79/($C$79-$S$79))*($C595-$S595),0)</f>
        <v>0</v>
      </c>
      <c r="F595" s="79">
        <f t="shared" si="279"/>
        <v>0</v>
      </c>
      <c r="G595" s="79">
        <f t="shared" ref="G595:L595" si="286">ROUND((G$79/($C$79-$S$79))*($C595-$S595),0)</f>
        <v>0</v>
      </c>
      <c r="H595" s="79">
        <f t="shared" si="286"/>
        <v>0</v>
      </c>
      <c r="I595" s="79">
        <f t="shared" si="286"/>
        <v>0</v>
      </c>
      <c r="J595" s="79">
        <f t="shared" si="286"/>
        <v>0</v>
      </c>
      <c r="K595" s="79">
        <f t="shared" si="286"/>
        <v>0</v>
      </c>
      <c r="L595" s="79">
        <f t="shared" si="286"/>
        <v>0</v>
      </c>
      <c r="M595" s="79">
        <f t="shared" si="281"/>
        <v>0</v>
      </c>
      <c r="N595" s="79">
        <f>ROUND((N$79/($C$79-$S$79))*($C595-$S595),0)</f>
        <v>0</v>
      </c>
      <c r="O595" s="79">
        <f t="shared" ref="O595:O609" si="287">SUM(F595:I595)+SUM(M595:N595)</f>
        <v>0</v>
      </c>
      <c r="P595" s="79">
        <f>ROUND((P$79/($C$79-$S$79))*($C595-$S595),0)</f>
        <v>0</v>
      </c>
      <c r="Q595" s="79">
        <f>ROUND((Q$79/($C$79-$S$79))*($C595-$S595),0)</f>
        <v>0</v>
      </c>
      <c r="R595" s="79">
        <f t="shared" ref="R595:R609" si="288">P595+Q595</f>
        <v>0</v>
      </c>
      <c r="S595" s="78">
        <v>65</v>
      </c>
      <c r="U595" s="80">
        <f t="shared" ref="U595:U609" si="289">O595+R595+S595-C595</f>
        <v>0</v>
      </c>
      <c r="W595" s="81" t="str">
        <f t="shared" si="263"/>
        <v xml:space="preserve"> </v>
      </c>
      <c r="X595" s="81">
        <f t="shared" si="264"/>
        <v>0</v>
      </c>
      <c r="Y595" s="81">
        <f t="shared" si="265"/>
        <v>1</v>
      </c>
      <c r="Z595" s="79"/>
      <c r="AF595" s="79"/>
      <c r="AJ595" s="66"/>
      <c r="AK595" s="70"/>
    </row>
    <row r="596" spans="1:37" hidden="1">
      <c r="A596" s="65">
        <f t="shared" si="283"/>
        <v>60</v>
      </c>
      <c r="B596" s="66" t="s">
        <v>277</v>
      </c>
      <c r="C596" s="78">
        <f>0</f>
        <v>0</v>
      </c>
      <c r="D596" s="79">
        <f t="shared" si="285"/>
        <v>0</v>
      </c>
      <c r="E596" s="79">
        <f>ROUND(E164/$C164*$C596,0)</f>
        <v>0</v>
      </c>
      <c r="F596" s="79">
        <f t="shared" si="279"/>
        <v>0</v>
      </c>
      <c r="G596" s="79">
        <f t="shared" ref="G596:L597" si="290">ROUND(G164/$C164*$C596,0)</f>
        <v>0</v>
      </c>
      <c r="H596" s="79">
        <f t="shared" si="290"/>
        <v>0</v>
      </c>
      <c r="I596" s="79">
        <f t="shared" si="290"/>
        <v>0</v>
      </c>
      <c r="J596" s="79">
        <f t="shared" si="290"/>
        <v>0</v>
      </c>
      <c r="K596" s="79">
        <f t="shared" si="290"/>
        <v>0</v>
      </c>
      <c r="L596" s="79">
        <f t="shared" si="290"/>
        <v>0</v>
      </c>
      <c r="M596" s="79">
        <f t="shared" si="281"/>
        <v>0</v>
      </c>
      <c r="N596" s="79">
        <f>ROUND(N164/$C164*$C596,0)</f>
        <v>0</v>
      </c>
      <c r="O596" s="79">
        <f t="shared" si="287"/>
        <v>0</v>
      </c>
      <c r="P596" s="79">
        <f>ROUND(P164/$C164*$C596,0)</f>
        <v>0</v>
      </c>
      <c r="Q596" s="79">
        <f>ROUND(Q164/$C164*$C596,0)</f>
        <v>0</v>
      </c>
      <c r="R596" s="79">
        <f t="shared" si="288"/>
        <v>0</v>
      </c>
      <c r="S596" s="79">
        <v>0</v>
      </c>
      <c r="U596" s="80">
        <f t="shared" si="289"/>
        <v>0</v>
      </c>
      <c r="W596" s="81" t="str">
        <f t="shared" si="263"/>
        <v xml:space="preserve"> </v>
      </c>
      <c r="X596" s="81" t="str">
        <f t="shared" si="264"/>
        <v xml:space="preserve"> </v>
      </c>
      <c r="Y596" s="81" t="str">
        <f t="shared" si="265"/>
        <v xml:space="preserve"> </v>
      </c>
      <c r="Z596" s="79"/>
      <c r="AF596" s="79"/>
      <c r="AJ596" s="66"/>
      <c r="AK596" s="70"/>
    </row>
    <row r="597" spans="1:37" hidden="1">
      <c r="A597" s="65">
        <f t="shared" si="283"/>
        <v>61</v>
      </c>
      <c r="B597" s="66" t="s">
        <v>39</v>
      </c>
      <c r="C597" s="79">
        <f>ROUND(C165/$C164*$C596,0)</f>
        <v>0</v>
      </c>
      <c r="D597" s="79">
        <f t="shared" si="285"/>
        <v>0</v>
      </c>
      <c r="E597" s="79">
        <f>ROUND(E165/$C165*$C597,0)</f>
        <v>0</v>
      </c>
      <c r="F597" s="79">
        <f t="shared" si="279"/>
        <v>0</v>
      </c>
      <c r="G597" s="79">
        <f t="shared" si="290"/>
        <v>0</v>
      </c>
      <c r="H597" s="79">
        <f t="shared" si="290"/>
        <v>0</v>
      </c>
      <c r="I597" s="79">
        <f t="shared" si="290"/>
        <v>0</v>
      </c>
      <c r="J597" s="79">
        <f t="shared" si="290"/>
        <v>0</v>
      </c>
      <c r="K597" s="79">
        <f t="shared" si="290"/>
        <v>0</v>
      </c>
      <c r="L597" s="79">
        <f t="shared" si="290"/>
        <v>0</v>
      </c>
      <c r="M597" s="79">
        <f t="shared" si="281"/>
        <v>0</v>
      </c>
      <c r="N597" s="79">
        <f>ROUND(N165/$C165*$C597,0)</f>
        <v>0</v>
      </c>
      <c r="O597" s="79">
        <f t="shared" si="287"/>
        <v>0</v>
      </c>
      <c r="P597" s="79">
        <f>ROUND(P165/$C165*$C597,0)</f>
        <v>0</v>
      </c>
      <c r="Q597" s="79">
        <f>ROUND(Q165/$C165*$C597,0)</f>
        <v>0</v>
      </c>
      <c r="R597" s="79">
        <f t="shared" si="288"/>
        <v>0</v>
      </c>
      <c r="S597" s="79">
        <v>0</v>
      </c>
      <c r="U597" s="80">
        <f t="shared" si="289"/>
        <v>0</v>
      </c>
      <c r="W597" s="81" t="str">
        <f t="shared" si="263"/>
        <v xml:space="preserve"> </v>
      </c>
      <c r="X597" s="81" t="str">
        <f t="shared" si="264"/>
        <v xml:space="preserve"> </v>
      </c>
      <c r="Y597" s="81" t="str">
        <f t="shared" si="265"/>
        <v xml:space="preserve"> </v>
      </c>
      <c r="Z597" s="79"/>
      <c r="AF597" s="79"/>
      <c r="AJ597" s="66"/>
      <c r="AK597" s="70"/>
    </row>
    <row r="598" spans="1:37" hidden="1">
      <c r="A598" s="65">
        <f t="shared" si="283"/>
        <v>62</v>
      </c>
      <c r="B598" s="66" t="s">
        <v>44</v>
      </c>
      <c r="C598" s="79">
        <f>C596-C597</f>
        <v>0</v>
      </c>
      <c r="D598" s="79">
        <f t="shared" si="285"/>
        <v>0</v>
      </c>
      <c r="E598" s="79">
        <f>E596-E597</f>
        <v>0</v>
      </c>
      <c r="F598" s="79">
        <f t="shared" si="279"/>
        <v>0</v>
      </c>
      <c r="G598" s="79">
        <f t="shared" ref="G598:L598" si="291">G596-G597</f>
        <v>0</v>
      </c>
      <c r="H598" s="79">
        <f t="shared" si="291"/>
        <v>0</v>
      </c>
      <c r="I598" s="79">
        <f t="shared" si="291"/>
        <v>0</v>
      </c>
      <c r="J598" s="79">
        <f t="shared" si="291"/>
        <v>0</v>
      </c>
      <c r="K598" s="79">
        <f t="shared" si="291"/>
        <v>0</v>
      </c>
      <c r="L598" s="79">
        <f t="shared" si="291"/>
        <v>0</v>
      </c>
      <c r="M598" s="79">
        <f t="shared" si="281"/>
        <v>0</v>
      </c>
      <c r="N598" s="79">
        <f>N596-N597</f>
        <v>0</v>
      </c>
      <c r="O598" s="79">
        <f t="shared" si="287"/>
        <v>0</v>
      </c>
      <c r="P598" s="79">
        <f>P596-P597</f>
        <v>0</v>
      </c>
      <c r="Q598" s="79">
        <f>Q596-Q597</f>
        <v>0</v>
      </c>
      <c r="R598" s="79">
        <f>P598+Q598</f>
        <v>0</v>
      </c>
      <c r="S598" s="79">
        <v>0</v>
      </c>
      <c r="U598" s="80">
        <f t="shared" si="289"/>
        <v>0</v>
      </c>
      <c r="W598" s="81" t="str">
        <f t="shared" si="263"/>
        <v xml:space="preserve"> </v>
      </c>
      <c r="X598" s="81" t="str">
        <f t="shared" si="264"/>
        <v xml:space="preserve"> </v>
      </c>
      <c r="Y598" s="81" t="str">
        <f t="shared" si="265"/>
        <v xml:space="preserve"> </v>
      </c>
      <c r="Z598" s="79"/>
      <c r="AF598" s="79"/>
      <c r="AJ598" s="66"/>
      <c r="AK598" s="65"/>
    </row>
    <row r="599" spans="1:37" hidden="1">
      <c r="A599" s="65">
        <f t="shared" si="283"/>
        <v>63</v>
      </c>
      <c r="B599" s="66" t="s">
        <v>309</v>
      </c>
      <c r="C599" s="79">
        <f>C591+C595+C596</f>
        <v>2414</v>
      </c>
      <c r="D599" s="79">
        <f t="shared" si="285"/>
        <v>0</v>
      </c>
      <c r="E599" s="79">
        <f>E591+E595+E596</f>
        <v>0</v>
      </c>
      <c r="F599" s="79">
        <f t="shared" si="279"/>
        <v>0</v>
      </c>
      <c r="G599" s="79">
        <f t="shared" ref="G599:L599" si="292">G591+G595+G596</f>
        <v>0</v>
      </c>
      <c r="H599" s="79">
        <f t="shared" si="292"/>
        <v>0</v>
      </c>
      <c r="I599" s="79">
        <f t="shared" si="292"/>
        <v>0</v>
      </c>
      <c r="J599" s="79">
        <f t="shared" si="292"/>
        <v>0</v>
      </c>
      <c r="K599" s="79">
        <f t="shared" si="292"/>
        <v>0</v>
      </c>
      <c r="L599" s="79">
        <f t="shared" si="292"/>
        <v>0</v>
      </c>
      <c r="M599" s="79">
        <f t="shared" si="281"/>
        <v>0</v>
      </c>
      <c r="N599" s="79">
        <f>N591+N595+N596</f>
        <v>0</v>
      </c>
      <c r="O599" s="79">
        <f t="shared" si="287"/>
        <v>0</v>
      </c>
      <c r="P599" s="79">
        <f>P591+P595+P596</f>
        <v>0</v>
      </c>
      <c r="Q599" s="79">
        <f>Q591+Q595+Q596</f>
        <v>0</v>
      </c>
      <c r="R599" s="79">
        <f t="shared" si="288"/>
        <v>0</v>
      </c>
      <c r="S599" s="79">
        <f>S591+S595+S596</f>
        <v>2414</v>
      </c>
      <c r="U599" s="80">
        <f t="shared" si="289"/>
        <v>0</v>
      </c>
      <c r="W599" s="81" t="str">
        <f t="shared" si="263"/>
        <v xml:space="preserve"> </v>
      </c>
      <c r="X599" s="81">
        <f t="shared" si="264"/>
        <v>0</v>
      </c>
      <c r="Y599" s="81">
        <f t="shared" si="265"/>
        <v>1</v>
      </c>
      <c r="Z599" s="79"/>
      <c r="AF599" s="79"/>
      <c r="AJ599" s="66"/>
      <c r="AK599" s="65"/>
    </row>
    <row r="600" spans="1:37" hidden="1">
      <c r="A600" s="65">
        <f t="shared" si="283"/>
        <v>64</v>
      </c>
      <c r="B600" s="66" t="s">
        <v>229</v>
      </c>
      <c r="C600" s="79">
        <f>O593+R591+S591+C595+C597</f>
        <v>2414</v>
      </c>
      <c r="D600" s="79">
        <f>C600-E600-SUM(G600:I600)-SUM(M600:N600)-R600-S600</f>
        <v>0</v>
      </c>
      <c r="E600" s="79">
        <f>E593+E595+E597</f>
        <v>0</v>
      </c>
      <c r="F600" s="79">
        <f t="shared" si="279"/>
        <v>0</v>
      </c>
      <c r="G600" s="79">
        <f t="shared" ref="G600:L600" si="293">G593+G595+G597</f>
        <v>0</v>
      </c>
      <c r="H600" s="79">
        <f t="shared" si="293"/>
        <v>0</v>
      </c>
      <c r="I600" s="79">
        <f t="shared" si="293"/>
        <v>0</v>
      </c>
      <c r="J600" s="79">
        <f t="shared" si="293"/>
        <v>0</v>
      </c>
      <c r="K600" s="79">
        <f t="shared" si="293"/>
        <v>0</v>
      </c>
      <c r="L600" s="79">
        <f t="shared" si="293"/>
        <v>0</v>
      </c>
      <c r="M600" s="79">
        <f t="shared" si="281"/>
        <v>0</v>
      </c>
      <c r="N600" s="79">
        <f>N593+N595+N597</f>
        <v>0</v>
      </c>
      <c r="O600" s="79">
        <f t="shared" si="287"/>
        <v>0</v>
      </c>
      <c r="P600" s="79">
        <f>P591+P595+P597</f>
        <v>0</v>
      </c>
      <c r="Q600" s="79">
        <f>Q591+Q595+Q597</f>
        <v>0</v>
      </c>
      <c r="R600" s="79">
        <f t="shared" si="288"/>
        <v>0</v>
      </c>
      <c r="S600" s="79">
        <f>S591+S595+S597</f>
        <v>2414</v>
      </c>
      <c r="U600" s="80">
        <f t="shared" si="289"/>
        <v>0</v>
      </c>
      <c r="W600" s="81" t="str">
        <f t="shared" si="263"/>
        <v xml:space="preserve"> </v>
      </c>
      <c r="X600" s="81">
        <f t="shared" si="264"/>
        <v>0</v>
      </c>
      <c r="Y600" s="81">
        <f t="shared" si="265"/>
        <v>1</v>
      </c>
      <c r="Z600" s="79"/>
      <c r="AF600" s="79"/>
      <c r="AJ600" s="66"/>
      <c r="AK600" s="65"/>
    </row>
    <row r="601" spans="1:37" hidden="1">
      <c r="A601" s="65">
        <f t="shared" si="283"/>
        <v>65</v>
      </c>
      <c r="B601" s="66" t="s">
        <v>253</v>
      </c>
      <c r="C601" s="79">
        <f>C598</f>
        <v>0</v>
      </c>
      <c r="D601" s="79">
        <f t="shared" si="285"/>
        <v>0</v>
      </c>
      <c r="E601" s="79">
        <f>E598</f>
        <v>0</v>
      </c>
      <c r="F601" s="79">
        <f t="shared" si="279"/>
        <v>0</v>
      </c>
      <c r="G601" s="79">
        <f t="shared" ref="G601:L601" si="294">G598</f>
        <v>0</v>
      </c>
      <c r="H601" s="79">
        <f t="shared" si="294"/>
        <v>0</v>
      </c>
      <c r="I601" s="79">
        <f t="shared" si="294"/>
        <v>0</v>
      </c>
      <c r="J601" s="79">
        <f t="shared" si="294"/>
        <v>0</v>
      </c>
      <c r="K601" s="79">
        <f t="shared" si="294"/>
        <v>0</v>
      </c>
      <c r="L601" s="79">
        <f t="shared" si="294"/>
        <v>0</v>
      </c>
      <c r="M601" s="79">
        <f t="shared" si="281"/>
        <v>0</v>
      </c>
      <c r="N601" s="79">
        <f>N598</f>
        <v>0</v>
      </c>
      <c r="O601" s="79">
        <f t="shared" si="287"/>
        <v>0</v>
      </c>
      <c r="P601" s="79">
        <f>P598</f>
        <v>0</v>
      </c>
      <c r="Q601" s="79">
        <f>Q598</f>
        <v>0</v>
      </c>
      <c r="R601" s="79">
        <f t="shared" si="288"/>
        <v>0</v>
      </c>
      <c r="S601" s="79">
        <f>S598</f>
        <v>0</v>
      </c>
      <c r="U601" s="80">
        <f t="shared" si="289"/>
        <v>0</v>
      </c>
      <c r="W601" s="81" t="str">
        <f t="shared" si="263"/>
        <v xml:space="preserve"> </v>
      </c>
      <c r="X601" s="81" t="str">
        <f t="shared" si="264"/>
        <v xml:space="preserve"> </v>
      </c>
      <c r="Y601" s="81" t="str">
        <f t="shared" si="265"/>
        <v xml:space="preserve"> </v>
      </c>
      <c r="Z601" s="79"/>
      <c r="AF601" s="79"/>
      <c r="AJ601" s="66"/>
      <c r="AK601" s="65"/>
    </row>
    <row r="602" spans="1:37" hidden="1">
      <c r="A602" s="65">
        <f t="shared" si="283"/>
        <v>66</v>
      </c>
      <c r="B602" s="66" t="s">
        <v>230</v>
      </c>
      <c r="C602" s="79">
        <f>O594+C598</f>
        <v>0</v>
      </c>
      <c r="D602" s="79">
        <f t="shared" si="285"/>
        <v>0</v>
      </c>
      <c r="E602" s="79">
        <f>E594</f>
        <v>0</v>
      </c>
      <c r="F602" s="79">
        <f t="shared" si="279"/>
        <v>0</v>
      </c>
      <c r="G602" s="79">
        <f t="shared" ref="G602:L602" si="295">G594</f>
        <v>0</v>
      </c>
      <c r="H602" s="79">
        <f t="shared" si="295"/>
        <v>0</v>
      </c>
      <c r="I602" s="79">
        <f t="shared" si="295"/>
        <v>0</v>
      </c>
      <c r="J602" s="79">
        <f t="shared" si="295"/>
        <v>0</v>
      </c>
      <c r="K602" s="79">
        <f t="shared" si="295"/>
        <v>0</v>
      </c>
      <c r="L602" s="79">
        <f t="shared" si="295"/>
        <v>0</v>
      </c>
      <c r="M602" s="79">
        <f t="shared" si="281"/>
        <v>0</v>
      </c>
      <c r="N602" s="79">
        <f>N594</f>
        <v>0</v>
      </c>
      <c r="O602" s="79">
        <f t="shared" si="287"/>
        <v>0</v>
      </c>
      <c r="P602" s="79">
        <f>P594</f>
        <v>0</v>
      </c>
      <c r="Q602" s="79">
        <f>Q594</f>
        <v>0</v>
      </c>
      <c r="R602" s="79">
        <f t="shared" si="288"/>
        <v>0</v>
      </c>
      <c r="S602" s="79">
        <f>S594</f>
        <v>0</v>
      </c>
      <c r="U602" s="80">
        <f t="shared" si="289"/>
        <v>0</v>
      </c>
      <c r="W602" s="81" t="str">
        <f t="shared" si="263"/>
        <v xml:space="preserve"> </v>
      </c>
      <c r="X602" s="81" t="str">
        <f t="shared" si="264"/>
        <v xml:space="preserve"> </v>
      </c>
      <c r="Y602" s="81" t="str">
        <f t="shared" si="265"/>
        <v xml:space="preserve"> </v>
      </c>
      <c r="Z602" s="79"/>
      <c r="AF602" s="79"/>
      <c r="AJ602" s="66"/>
      <c r="AK602" s="65"/>
    </row>
    <row r="603" spans="1:37" hidden="1"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U603" s="80"/>
      <c r="W603" s="81" t="str">
        <f t="shared" si="263"/>
        <v xml:space="preserve"> </v>
      </c>
      <c r="X603" s="81" t="str">
        <f t="shared" si="264"/>
        <v xml:space="preserve"> </v>
      </c>
      <c r="Y603" s="81" t="str">
        <f t="shared" si="265"/>
        <v xml:space="preserve"> </v>
      </c>
      <c r="Z603" s="79"/>
      <c r="AF603" s="79"/>
      <c r="AJ603" s="66"/>
      <c r="AK603" s="65"/>
    </row>
    <row r="604" spans="1:37" hidden="1">
      <c r="A604" s="65">
        <f>A602+1</f>
        <v>67</v>
      </c>
      <c r="B604" s="66" t="s">
        <v>310</v>
      </c>
      <c r="C604" s="79">
        <f>O604+R604+S604</f>
        <v>0</v>
      </c>
      <c r="D604" s="78">
        <f>0</f>
        <v>0</v>
      </c>
      <c r="E604" s="79">
        <v>0</v>
      </c>
      <c r="F604" s="79">
        <f t="shared" si="279"/>
        <v>0</v>
      </c>
      <c r="G604" s="79">
        <v>0</v>
      </c>
      <c r="H604" s="79">
        <v>0</v>
      </c>
      <c r="I604" s="79">
        <v>0</v>
      </c>
      <c r="J604" s="79">
        <v>0</v>
      </c>
      <c r="K604" s="79">
        <v>0</v>
      </c>
      <c r="L604" s="79">
        <v>0</v>
      </c>
      <c r="M604" s="79">
        <f t="shared" si="281"/>
        <v>0</v>
      </c>
      <c r="N604" s="79">
        <v>0</v>
      </c>
      <c r="O604" s="79">
        <f t="shared" si="287"/>
        <v>0</v>
      </c>
      <c r="P604" s="79">
        <v>0</v>
      </c>
      <c r="Q604" s="79">
        <v>0</v>
      </c>
      <c r="R604" s="79">
        <f t="shared" si="288"/>
        <v>0</v>
      </c>
      <c r="S604" s="79">
        <v>0</v>
      </c>
      <c r="U604" s="80">
        <f t="shared" si="289"/>
        <v>0</v>
      </c>
      <c r="W604" s="81" t="str">
        <f t="shared" si="263"/>
        <v xml:space="preserve"> </v>
      </c>
      <c r="X604" s="81" t="str">
        <f t="shared" si="264"/>
        <v xml:space="preserve"> </v>
      </c>
      <c r="Y604" s="81" t="str">
        <f t="shared" si="265"/>
        <v xml:space="preserve"> </v>
      </c>
      <c r="Z604" s="79"/>
      <c r="AF604" s="79"/>
      <c r="AJ604" s="66"/>
      <c r="AK604" s="65"/>
    </row>
    <row r="605" spans="1:37" hidden="1"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U605" s="80"/>
      <c r="W605" s="81" t="str">
        <f t="shared" si="263"/>
        <v xml:space="preserve"> </v>
      </c>
      <c r="X605" s="81" t="str">
        <f t="shared" si="264"/>
        <v xml:space="preserve"> </v>
      </c>
      <c r="Y605" s="81" t="str">
        <f t="shared" si="265"/>
        <v xml:space="preserve"> </v>
      </c>
      <c r="Z605" s="79"/>
      <c r="AF605" s="79"/>
      <c r="AJ605" s="66"/>
      <c r="AK605" s="65"/>
    </row>
    <row r="606" spans="1:37" hidden="1">
      <c r="A606" s="65">
        <f>A604+1</f>
        <v>68</v>
      </c>
      <c r="B606" s="66" t="s">
        <v>311</v>
      </c>
      <c r="C606" s="79">
        <f>O606+R606+S606</f>
        <v>101718</v>
      </c>
      <c r="D606" s="79">
        <f t="shared" ref="D606:I606" si="296">SUM(D607:D609)</f>
        <v>49579</v>
      </c>
      <c r="E606" s="79">
        <f>SUM(E607:E609)</f>
        <v>1325</v>
      </c>
      <c r="F606" s="79">
        <f t="shared" si="279"/>
        <v>50904</v>
      </c>
      <c r="G606" s="79">
        <f t="shared" si="296"/>
        <v>2597</v>
      </c>
      <c r="H606" s="79">
        <f t="shared" si="296"/>
        <v>19369</v>
      </c>
      <c r="I606" s="79">
        <f t="shared" si="296"/>
        <v>10905</v>
      </c>
      <c r="J606" s="79">
        <f>SUM(J607:J609)</f>
        <v>4753</v>
      </c>
      <c r="K606" s="79">
        <f>SUM(K607:K609)</f>
        <v>356</v>
      </c>
      <c r="L606" s="79">
        <f>SUM(L607:L609)</f>
        <v>195</v>
      </c>
      <c r="M606" s="79">
        <f t="shared" si="281"/>
        <v>5304</v>
      </c>
      <c r="N606" s="79">
        <f>SUM(N607:N609)</f>
        <v>1249</v>
      </c>
      <c r="O606" s="79">
        <f t="shared" si="287"/>
        <v>90328</v>
      </c>
      <c r="P606" s="79">
        <f>SUM(P607:P609)</f>
        <v>2487</v>
      </c>
      <c r="Q606" s="79">
        <f>SUM(Q607:Q609)</f>
        <v>285</v>
      </c>
      <c r="R606" s="79">
        <f t="shared" si="288"/>
        <v>2772</v>
      </c>
      <c r="S606" s="79">
        <f>SUM(S607:S609)</f>
        <v>8618</v>
      </c>
      <c r="U606" s="80">
        <f t="shared" si="289"/>
        <v>0</v>
      </c>
      <c r="W606" s="81">
        <f t="shared" si="263"/>
        <v>0.97022560000000002</v>
      </c>
      <c r="X606" s="81">
        <f t="shared" si="264"/>
        <v>0.88802380000000003</v>
      </c>
      <c r="Y606" s="81">
        <f t="shared" si="265"/>
        <v>8.4724400000000005E-2</v>
      </c>
      <c r="Z606" s="79"/>
      <c r="AF606" s="79"/>
      <c r="AJ606" s="66"/>
      <c r="AK606" s="65"/>
    </row>
    <row r="607" spans="1:37" hidden="1">
      <c r="A607" s="65">
        <f>A606+1</f>
        <v>69</v>
      </c>
      <c r="B607" s="66" t="s">
        <v>229</v>
      </c>
      <c r="C607" s="79">
        <f>O607+R607+S607</f>
        <v>93586</v>
      </c>
      <c r="D607" s="79">
        <f>D512+D528+D559+D586+D600</f>
        <v>45010</v>
      </c>
      <c r="E607" s="79">
        <f>E512+E528+E559+E586+E600</f>
        <v>1173</v>
      </c>
      <c r="F607" s="79">
        <f t="shared" si="279"/>
        <v>46183</v>
      </c>
      <c r="G607" s="79">
        <f t="shared" ref="G607:L607" si="297">G512+G528+G559+G586+G600</f>
        <v>2263</v>
      </c>
      <c r="H607" s="79">
        <f t="shared" si="297"/>
        <v>18207</v>
      </c>
      <c r="I607" s="79">
        <f t="shared" si="297"/>
        <v>10224</v>
      </c>
      <c r="J607" s="79">
        <f t="shared" si="297"/>
        <v>4387</v>
      </c>
      <c r="K607" s="79">
        <f t="shared" si="297"/>
        <v>340</v>
      </c>
      <c r="L607" s="79">
        <f t="shared" si="297"/>
        <v>180</v>
      </c>
      <c r="M607" s="79">
        <f t="shared" si="281"/>
        <v>4907</v>
      </c>
      <c r="N607" s="79">
        <f>N512+N528+N559+N586+N600</f>
        <v>412</v>
      </c>
      <c r="O607" s="79">
        <f t="shared" si="287"/>
        <v>82196</v>
      </c>
      <c r="P607" s="79">
        <f>P512+P528+P559+P586+P600</f>
        <v>2487</v>
      </c>
      <c r="Q607" s="79">
        <f>Q512+Q528+Q559+Q586+Q600</f>
        <v>285</v>
      </c>
      <c r="R607" s="79">
        <f t="shared" si="288"/>
        <v>2772</v>
      </c>
      <c r="S607" s="79">
        <f>S512+S528+S559+S586+S600</f>
        <v>8618</v>
      </c>
      <c r="U607" s="80">
        <f t="shared" si="289"/>
        <v>0</v>
      </c>
      <c r="W607" s="81">
        <f t="shared" si="263"/>
        <v>0.96737600000000001</v>
      </c>
      <c r="X607" s="81">
        <f t="shared" si="264"/>
        <v>0.87829380000000001</v>
      </c>
      <c r="Y607" s="81">
        <f t="shared" si="265"/>
        <v>9.2086399999999999E-2</v>
      </c>
      <c r="Z607" s="79"/>
      <c r="AF607" s="79"/>
      <c r="AJ607" s="66"/>
      <c r="AK607" s="70"/>
    </row>
    <row r="608" spans="1:37" hidden="1">
      <c r="A608" s="65">
        <f>A607+1</f>
        <v>70</v>
      </c>
      <c r="B608" s="66" t="s">
        <v>253</v>
      </c>
      <c r="C608" s="79">
        <f>O608+R608+S608</f>
        <v>3763</v>
      </c>
      <c r="D608" s="79">
        <f>D513+D529+D560+D587+D601+D604</f>
        <v>2546</v>
      </c>
      <c r="E608" s="79">
        <f>E513+E529+E560+E587+E601+E604</f>
        <v>76</v>
      </c>
      <c r="F608" s="79">
        <f t="shared" si="279"/>
        <v>2622</v>
      </c>
      <c r="G608" s="79">
        <f t="shared" ref="G608:L608" si="298">G513+G529+G560+G587+G601+G604</f>
        <v>223</v>
      </c>
      <c r="H608" s="79">
        <f t="shared" si="298"/>
        <v>145</v>
      </c>
      <c r="I608" s="79">
        <f t="shared" si="298"/>
        <v>-1</v>
      </c>
      <c r="J608" s="79">
        <f t="shared" si="298"/>
        <v>-3</v>
      </c>
      <c r="K608" s="79">
        <f t="shared" si="298"/>
        <v>-1</v>
      </c>
      <c r="L608" s="79">
        <f t="shared" si="298"/>
        <v>0</v>
      </c>
      <c r="M608" s="79">
        <f t="shared" si="281"/>
        <v>-4</v>
      </c>
      <c r="N608" s="79">
        <f>N513+N529+N560+N587+N601+N604</f>
        <v>778</v>
      </c>
      <c r="O608" s="79">
        <f t="shared" si="287"/>
        <v>3763</v>
      </c>
      <c r="P608" s="79">
        <f>P513+P529+P560+P587+P601+P604</f>
        <v>0</v>
      </c>
      <c r="Q608" s="79">
        <f>Q513+Q529+Q560+Q587+Q601+Q604</f>
        <v>0</v>
      </c>
      <c r="R608" s="79">
        <f t="shared" si="288"/>
        <v>0</v>
      </c>
      <c r="S608" s="79">
        <f>S513+S529+S560+S587+S601+S604</f>
        <v>0</v>
      </c>
      <c r="U608" s="80">
        <f t="shared" si="289"/>
        <v>0</v>
      </c>
      <c r="W608" s="81">
        <f t="shared" si="263"/>
        <v>1</v>
      </c>
      <c r="X608" s="81">
        <f t="shared" si="264"/>
        <v>1</v>
      </c>
      <c r="Y608" s="81">
        <f t="shared" si="265"/>
        <v>0</v>
      </c>
      <c r="Z608" s="79"/>
      <c r="AF608" s="79"/>
      <c r="AJ608" s="66"/>
      <c r="AK608" s="70"/>
    </row>
    <row r="609" spans="1:37" hidden="1">
      <c r="A609" s="65">
        <f>A608+1</f>
        <v>71</v>
      </c>
      <c r="B609" s="66" t="s">
        <v>230</v>
      </c>
      <c r="C609" s="79">
        <f>O609+R609+S609</f>
        <v>4369</v>
      </c>
      <c r="D609" s="79">
        <f>D514+D588+D530+D561+D602</f>
        <v>2023</v>
      </c>
      <c r="E609" s="79">
        <f>E514+E588+E530+E561+E602</f>
        <v>76</v>
      </c>
      <c r="F609" s="79">
        <f t="shared" si="279"/>
        <v>2099</v>
      </c>
      <c r="G609" s="79">
        <f t="shared" ref="G609:L609" si="299">G514+G588+G530+G561+G602</f>
        <v>111</v>
      </c>
      <c r="H609" s="79">
        <f t="shared" si="299"/>
        <v>1017</v>
      </c>
      <c r="I609" s="79">
        <f t="shared" si="299"/>
        <v>682</v>
      </c>
      <c r="J609" s="79">
        <f t="shared" si="299"/>
        <v>369</v>
      </c>
      <c r="K609" s="79">
        <f t="shared" si="299"/>
        <v>17</v>
      </c>
      <c r="L609" s="79">
        <f t="shared" si="299"/>
        <v>15</v>
      </c>
      <c r="M609" s="79">
        <f t="shared" si="281"/>
        <v>401</v>
      </c>
      <c r="N609" s="79">
        <f>N514+N588+N530+N561+N602</f>
        <v>59</v>
      </c>
      <c r="O609" s="79">
        <f t="shared" si="287"/>
        <v>4369</v>
      </c>
      <c r="P609" s="79">
        <f>P514+P588+P530+P561+P602</f>
        <v>0</v>
      </c>
      <c r="Q609" s="79">
        <f>Q514+Q588+Q530+Q561+Q602</f>
        <v>0</v>
      </c>
      <c r="R609" s="79">
        <f t="shared" si="288"/>
        <v>0</v>
      </c>
      <c r="S609" s="79">
        <f>S514+S588+S530+S561+S602</f>
        <v>0</v>
      </c>
      <c r="U609" s="80">
        <f t="shared" si="289"/>
        <v>0</v>
      </c>
      <c r="W609" s="81">
        <f t="shared" si="263"/>
        <v>1</v>
      </c>
      <c r="X609" s="81">
        <f t="shared" si="264"/>
        <v>1</v>
      </c>
      <c r="Y609" s="81">
        <f t="shared" si="265"/>
        <v>0</v>
      </c>
      <c r="Z609" s="79"/>
      <c r="AF609" s="79"/>
      <c r="AJ609" s="66"/>
      <c r="AK609" s="65"/>
    </row>
    <row r="610" spans="1:37" hidden="1">
      <c r="B610" s="72"/>
      <c r="C610" s="79"/>
      <c r="H610" s="65" t="s">
        <v>80</v>
      </c>
      <c r="J610" s="79"/>
      <c r="K610" s="79"/>
      <c r="L610" s="79"/>
      <c r="M610" s="79"/>
      <c r="N610" s="80"/>
      <c r="Q610" s="65" t="s">
        <v>80</v>
      </c>
      <c r="R610" s="79"/>
      <c r="S610" s="65"/>
      <c r="W610" s="81"/>
      <c r="X610" s="81"/>
      <c r="Y610" s="81"/>
      <c r="Z610" s="65"/>
      <c r="AJ610" s="66"/>
      <c r="AK610" s="65"/>
    </row>
    <row r="611" spans="1:37" hidden="1">
      <c r="B611" s="72"/>
      <c r="C611" s="79"/>
      <c r="H611" s="70" t="str">
        <f>$H$24</f>
        <v>12 MONTHS ENDING DECEMBER 31, 2012</v>
      </c>
      <c r="J611" s="79"/>
      <c r="K611" s="79"/>
      <c r="L611" s="79"/>
      <c r="M611" s="79"/>
      <c r="N611" s="79"/>
      <c r="Q611" s="70" t="str">
        <f>$H$24</f>
        <v>12 MONTHS ENDING DECEMBER 31, 2012</v>
      </c>
      <c r="R611" s="79"/>
      <c r="S611" s="79"/>
      <c r="U611" s="80"/>
      <c r="W611" s="81"/>
      <c r="X611" s="81"/>
      <c r="Y611" s="81"/>
      <c r="Z611" s="70"/>
      <c r="AJ611" s="66"/>
      <c r="AK611" s="65"/>
    </row>
    <row r="612" spans="1:37" hidden="1">
      <c r="C612" s="79"/>
      <c r="H612" s="70" t="str">
        <f>$H$25</f>
        <v>12/13 DEMAND ALLOCATION WITH MDS METHODOLOGY</v>
      </c>
      <c r="Q612" s="70" t="str">
        <f>$H$25</f>
        <v>12/13 DEMAND ALLOCATION WITH MDS METHODOLOGY</v>
      </c>
      <c r="R612" s="79"/>
      <c r="S612" s="79"/>
      <c r="W612" s="81"/>
      <c r="X612" s="81"/>
      <c r="Y612" s="81"/>
      <c r="Z612" s="70"/>
      <c r="AJ612" s="66"/>
      <c r="AK612" s="65"/>
    </row>
    <row r="613" spans="1:37" hidden="1">
      <c r="C613" s="79"/>
      <c r="H613" s="87" t="s">
        <v>102</v>
      </c>
      <c r="J613" s="79"/>
      <c r="K613" s="79"/>
      <c r="L613" s="79"/>
      <c r="M613" s="79"/>
      <c r="N613" s="79"/>
      <c r="Q613" s="87" t="s">
        <v>102</v>
      </c>
      <c r="R613" s="79"/>
      <c r="S613" s="79"/>
      <c r="U613" s="80"/>
      <c r="W613" s="81"/>
      <c r="X613" s="81"/>
      <c r="Y613" s="81"/>
      <c r="Z613" s="87"/>
      <c r="AJ613" s="66"/>
      <c r="AK613" s="65"/>
    </row>
    <row r="614" spans="1:37" hidden="1">
      <c r="C614" s="79"/>
      <c r="H614" s="87" t="s">
        <v>114</v>
      </c>
      <c r="J614" s="79"/>
      <c r="K614" s="79"/>
      <c r="L614" s="79"/>
      <c r="M614" s="79"/>
      <c r="N614" s="79"/>
      <c r="Q614" s="87" t="s">
        <v>114</v>
      </c>
      <c r="S614" s="79"/>
      <c r="U614" s="80"/>
      <c r="X614" s="81"/>
      <c r="Y614" s="81"/>
      <c r="Z614" s="87"/>
      <c r="AF614" s="79"/>
      <c r="AJ614" s="66"/>
      <c r="AK614" s="65"/>
    </row>
    <row r="615" spans="1:37" hidden="1">
      <c r="C615" s="65" t="s">
        <v>59</v>
      </c>
      <c r="K615" s="65"/>
      <c r="L615" s="65"/>
      <c r="M615" s="65"/>
      <c r="O615" s="65" t="s">
        <v>59</v>
      </c>
      <c r="P615" s="65"/>
      <c r="Q615" s="65"/>
      <c r="R615" s="65"/>
      <c r="S615" s="65" t="s">
        <v>115</v>
      </c>
      <c r="W615" s="76" t="s">
        <v>116</v>
      </c>
      <c r="X615" s="76" t="s">
        <v>116</v>
      </c>
      <c r="Y615" s="76" t="s">
        <v>117</v>
      </c>
      <c r="AF615" s="65"/>
      <c r="AJ615" s="66"/>
      <c r="AK615" s="65"/>
    </row>
    <row r="616" spans="1:37" hidden="1">
      <c r="A616" s="65" t="s">
        <v>118</v>
      </c>
      <c r="C616" s="65" t="s">
        <v>58</v>
      </c>
      <c r="D616" s="70" t="s">
        <v>119</v>
      </c>
      <c r="E616" s="70" t="s">
        <v>119</v>
      </c>
      <c r="F616" s="70" t="s">
        <v>119</v>
      </c>
      <c r="G616" s="70" t="s">
        <v>119</v>
      </c>
      <c r="H616" s="70" t="s">
        <v>119</v>
      </c>
      <c r="I616" s="70" t="s">
        <v>119</v>
      </c>
      <c r="J616" s="70" t="s">
        <v>119</v>
      </c>
      <c r="K616" s="70" t="s">
        <v>119</v>
      </c>
      <c r="L616" s="70" t="s">
        <v>119</v>
      </c>
      <c r="M616" s="70" t="s">
        <v>119</v>
      </c>
      <c r="N616" s="70" t="s">
        <v>119</v>
      </c>
      <c r="O616" s="65" t="s">
        <v>116</v>
      </c>
      <c r="P616" s="65"/>
      <c r="Q616" s="70" t="s">
        <v>120</v>
      </c>
      <c r="R616" s="65"/>
      <c r="S616" s="65" t="s">
        <v>121</v>
      </c>
      <c r="W616" s="76" t="s">
        <v>122</v>
      </c>
      <c r="X616" s="76" t="s">
        <v>123</v>
      </c>
      <c r="Y616" s="76" t="s">
        <v>124</v>
      </c>
      <c r="Z616" s="65"/>
      <c r="AF616" s="70"/>
      <c r="AJ616" s="66"/>
      <c r="AK616" s="65"/>
    </row>
    <row r="617" spans="1:37" hidden="1">
      <c r="A617" s="65" t="s">
        <v>125</v>
      </c>
      <c r="B617" s="65" t="s">
        <v>126</v>
      </c>
      <c r="C617" s="65" t="s">
        <v>57</v>
      </c>
      <c r="D617" s="70" t="s">
        <v>127</v>
      </c>
      <c r="E617" s="70" t="s">
        <v>128</v>
      </c>
      <c r="F617" s="70" t="s">
        <v>129</v>
      </c>
      <c r="G617" s="70" t="s">
        <v>130</v>
      </c>
      <c r="H617" s="70" t="s">
        <v>131</v>
      </c>
      <c r="I617" s="65" t="s">
        <v>132</v>
      </c>
      <c r="J617" s="70" t="s">
        <v>133</v>
      </c>
      <c r="K617" s="70" t="s">
        <v>134</v>
      </c>
      <c r="L617" s="70" t="s">
        <v>135</v>
      </c>
      <c r="M617" s="70" t="s">
        <v>136</v>
      </c>
      <c r="N617" s="70" t="s">
        <v>137</v>
      </c>
      <c r="O617" s="65" t="s">
        <v>138</v>
      </c>
      <c r="P617" s="70" t="s">
        <v>139</v>
      </c>
      <c r="Q617" s="70" t="s">
        <v>140</v>
      </c>
      <c r="R617" s="65" t="s">
        <v>122</v>
      </c>
      <c r="S617" s="65" t="s">
        <v>141</v>
      </c>
      <c r="U617" s="65" t="s">
        <v>162</v>
      </c>
      <c r="W617" s="76" t="s">
        <v>142</v>
      </c>
      <c r="X617" s="76" t="s">
        <v>142</v>
      </c>
      <c r="Y617" s="76" t="s">
        <v>142</v>
      </c>
      <c r="Z617" s="65"/>
      <c r="AF617" s="70"/>
      <c r="AJ617" s="66"/>
      <c r="AK617" s="65"/>
    </row>
    <row r="618" spans="1:37" hidden="1">
      <c r="A618" s="65" t="s">
        <v>143</v>
      </c>
      <c r="B618" s="65" t="s">
        <v>144</v>
      </c>
      <c r="C618" s="65" t="s">
        <v>145</v>
      </c>
      <c r="D618" s="70" t="s">
        <v>146</v>
      </c>
      <c r="E618" s="70" t="s">
        <v>147</v>
      </c>
      <c r="F618" s="70" t="s">
        <v>148</v>
      </c>
      <c r="G618" s="65" t="s">
        <v>149</v>
      </c>
      <c r="H618" s="65" t="s">
        <v>150</v>
      </c>
      <c r="I618" s="65" t="s">
        <v>151</v>
      </c>
      <c r="J618" s="70" t="s">
        <v>152</v>
      </c>
      <c r="K618" s="70" t="s">
        <v>153</v>
      </c>
      <c r="L618" s="70" t="s">
        <v>154</v>
      </c>
      <c r="M618" s="70" t="s">
        <v>155</v>
      </c>
      <c r="N618" s="70" t="s">
        <v>156</v>
      </c>
      <c r="O618" s="70" t="s">
        <v>157</v>
      </c>
      <c r="P618" s="70" t="s">
        <v>158</v>
      </c>
      <c r="Q618" s="70" t="s">
        <v>159</v>
      </c>
      <c r="R618" s="70" t="s">
        <v>160</v>
      </c>
      <c r="S618" s="70" t="s">
        <v>161</v>
      </c>
      <c r="W618" s="77" t="s">
        <v>163</v>
      </c>
      <c r="X618" s="77" t="s">
        <v>164</v>
      </c>
      <c r="Y618" s="76" t="s">
        <v>165</v>
      </c>
      <c r="Z618" s="70"/>
      <c r="AF618" s="76"/>
      <c r="AJ618" s="66"/>
      <c r="AK618" s="70"/>
    </row>
    <row r="619" spans="1:37" hidden="1"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U619" s="80"/>
      <c r="W619" s="81" t="str">
        <f>IF((P619+Q619)=0," ",ROUND((P619/(P619+Q619)),74))</f>
        <v xml:space="preserve"> </v>
      </c>
      <c r="X619" s="81" t="str">
        <f>IF((C619)=0," ",ROUND((P619/(C619)),74))</f>
        <v xml:space="preserve"> </v>
      </c>
      <c r="Y619" s="81" t="str">
        <f>IF((C619)=0," ",ROUND((R619/(C619)),7))</f>
        <v xml:space="preserve"> </v>
      </c>
      <c r="Z619" s="79"/>
      <c r="AF619" s="79"/>
      <c r="AJ619" s="66"/>
      <c r="AK619" s="65"/>
    </row>
    <row r="620" spans="1:37" hidden="1">
      <c r="B620" s="65" t="s">
        <v>312</v>
      </c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U620" s="80"/>
      <c r="W620" s="81" t="str">
        <f>IF((P620+Q620)=0," ",ROUND((P620/(P620+Q620)),74))</f>
        <v xml:space="preserve"> </v>
      </c>
      <c r="X620" s="81" t="str">
        <f>IF((C620)=0," ",ROUND((P620/(C620)),74))</f>
        <v xml:space="preserve"> </v>
      </c>
      <c r="Y620" s="81" t="str">
        <f>IF((C620)=0," ",ROUND((R620/(C620)),7))</f>
        <v xml:space="preserve"> </v>
      </c>
      <c r="Z620" s="79"/>
      <c r="AF620" s="79"/>
      <c r="AJ620" s="66"/>
      <c r="AK620" s="65"/>
    </row>
    <row r="621" spans="1:37" hidden="1">
      <c r="B621" s="83" t="s">
        <v>170</v>
      </c>
      <c r="C621" s="79"/>
      <c r="D621" s="79"/>
      <c r="E621" s="79"/>
      <c r="F621" s="90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U621" s="80"/>
      <c r="W621" s="81" t="str">
        <f>IF((P621+Q621)=0," ",ROUND((P621/(P621+Q621)),74))</f>
        <v xml:space="preserve"> </v>
      </c>
      <c r="X621" s="81" t="str">
        <f>IF((C621)=0," ",ROUND((P621/(C621)),74))</f>
        <v xml:space="preserve"> </v>
      </c>
      <c r="Y621" s="81" t="str">
        <f>IF((C621)=0," ",ROUND((R621/(C621)),7))</f>
        <v xml:space="preserve"> </v>
      </c>
      <c r="Z621" s="79"/>
      <c r="AF621" s="79"/>
      <c r="AJ621" s="66"/>
      <c r="AK621" s="65"/>
    </row>
    <row r="622" spans="1:37" hidden="1"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U622" s="80"/>
      <c r="W622" s="81" t="str">
        <f>IF((P622+Q622)=0," ",ROUND((P622/(P622+Q622)),74))</f>
        <v xml:space="preserve"> </v>
      </c>
      <c r="X622" s="81" t="str">
        <f>IF((C622)=0," ",ROUND((P622/(C622)),74))</f>
        <v xml:space="preserve"> </v>
      </c>
      <c r="Y622" s="81" t="str">
        <f>IF((C622)=0," ",ROUND((R622/(C622)),7))</f>
        <v xml:space="preserve"> </v>
      </c>
      <c r="Z622" s="79"/>
      <c r="AF622" s="79"/>
      <c r="AJ622" s="66"/>
      <c r="AK622" s="65"/>
    </row>
    <row r="623" spans="1:37" hidden="1">
      <c r="A623" s="65">
        <f>A619+1</f>
        <v>1</v>
      </c>
      <c r="B623" s="66" t="s">
        <v>313</v>
      </c>
      <c r="C623" s="79">
        <f>O623+R623+S623</f>
        <v>464147</v>
      </c>
      <c r="D623" s="78">
        <f>251608+333+15973+5103+8+318-15973-318+1</f>
        <v>257053</v>
      </c>
      <c r="E623" s="78">
        <f>7976+8+571-571</f>
        <v>7984</v>
      </c>
      <c r="F623" s="78">
        <f>D623+E623</f>
        <v>265037</v>
      </c>
      <c r="G623" s="78">
        <f>18221+52+973+30+2+1376+4+86+14+1+63+1+4-973-2-86-1-4</f>
        <v>19761</v>
      </c>
      <c r="H623" s="78">
        <f>87365+824+416+7+6676+59+2157+160+10+1+181+13-6676-59-181-13</f>
        <v>90940</v>
      </c>
      <c r="I623" s="78">
        <f>12246+10613+82+30+1145+1077+3360+17769+16+41+327+1968-1145-1077-327-1968</f>
        <v>44157</v>
      </c>
      <c r="J623" s="78">
        <f>1157+151+15136+2238-151-2238</f>
        <v>16293</v>
      </c>
      <c r="K623" s="78">
        <f>1088+168+110+11-110-11</f>
        <v>1256</v>
      </c>
      <c r="L623" s="78">
        <f>947+100-100</f>
        <v>947</v>
      </c>
      <c r="M623" s="79">
        <f>SUM(J623:L623)</f>
        <v>18496</v>
      </c>
      <c r="N623" s="78">
        <f>2481+17+103+5469+112+1564+36+11+242+13+115+60+3+3087+163-103-242-13-115-3-163</f>
        <v>12837</v>
      </c>
      <c r="O623" s="79">
        <f>SUM(F623:I623)+SUM(M623:N623)</f>
        <v>451228</v>
      </c>
      <c r="P623" s="78">
        <f>9828+1693</f>
        <v>11521</v>
      </c>
      <c r="Q623" s="78">
        <f>1205+193</f>
        <v>1398</v>
      </c>
      <c r="R623" s="79">
        <f>P623+Q623</f>
        <v>12919</v>
      </c>
      <c r="S623" s="79">
        <v>0</v>
      </c>
      <c r="U623" s="80">
        <f>O623+R623+S623-C623</f>
        <v>0</v>
      </c>
      <c r="W623" s="81">
        <f t="shared" ref="W623:W685" si="300">IF((O623+R623)=0," ",ROUND((O623/(O623+R623)),7))</f>
        <v>0.97216610000000003</v>
      </c>
      <c r="X623" s="81">
        <f t="shared" ref="X623:X685" si="301">IF((C623)=0," ",ROUND((O623/(C623)),7))</f>
        <v>0.97216610000000003</v>
      </c>
      <c r="Y623" s="81">
        <f t="shared" ref="Y623:Y685" si="302">IF((C623)=0," ",ROUND((S623/(C623)),7))</f>
        <v>0</v>
      </c>
      <c r="Z623" s="78"/>
      <c r="AF623" s="78"/>
      <c r="AJ623" s="66"/>
      <c r="AK623" s="70"/>
    </row>
    <row r="624" spans="1:37" hidden="1">
      <c r="A624" s="65">
        <f>A623+1</f>
        <v>2</v>
      </c>
      <c r="B624" s="66" t="s">
        <v>314</v>
      </c>
      <c r="C624" s="78">
        <f>573239+19347+22003+52263+176447+5942-592586-22003-52263-182389</f>
        <v>0</v>
      </c>
      <c r="D624" s="79">
        <f>C624-E624-SUM(G624:I624)-SUM(M624:N624)-R624-S624</f>
        <v>0</v>
      </c>
      <c r="E624" s="79">
        <v>0</v>
      </c>
      <c r="F624" s="78">
        <f>D624+E624</f>
        <v>0</v>
      </c>
      <c r="G624" s="79">
        <v>0</v>
      </c>
      <c r="H624" s="79">
        <v>0</v>
      </c>
      <c r="I624" s="79">
        <v>0</v>
      </c>
      <c r="J624" s="79">
        <v>0</v>
      </c>
      <c r="K624" s="79">
        <v>0</v>
      </c>
      <c r="L624" s="79">
        <v>0</v>
      </c>
      <c r="M624" s="79">
        <f>SUM(J624:L624)</f>
        <v>0</v>
      </c>
      <c r="N624" s="79">
        <v>0</v>
      </c>
      <c r="O624" s="79">
        <f>SUM(F624:I624)+SUM(M624:N624)</f>
        <v>0</v>
      </c>
      <c r="P624" s="79">
        <v>0</v>
      </c>
      <c r="Q624" s="79">
        <v>0</v>
      </c>
      <c r="R624" s="79">
        <f>P624+Q624</f>
        <v>0</v>
      </c>
      <c r="S624" s="79">
        <v>0</v>
      </c>
      <c r="U624" s="80">
        <f>O624+R624+S624-C624</f>
        <v>0</v>
      </c>
      <c r="W624" s="81" t="str">
        <f t="shared" si="300"/>
        <v xml:space="preserve"> </v>
      </c>
      <c r="X624" s="81" t="str">
        <f t="shared" si="301"/>
        <v xml:space="preserve"> </v>
      </c>
      <c r="Y624" s="81" t="str">
        <f t="shared" si="302"/>
        <v xml:space="preserve"> </v>
      </c>
      <c r="Z624" s="79"/>
      <c r="AF624" s="79"/>
      <c r="AJ624" s="66"/>
      <c r="AK624" s="70"/>
    </row>
    <row r="625" spans="1:37" hidden="1">
      <c r="A625" s="65">
        <f>A624+1</f>
        <v>3</v>
      </c>
      <c r="B625" s="66" t="s">
        <v>315</v>
      </c>
      <c r="C625" s="79">
        <f>O625+R625+S625</f>
        <v>464147</v>
      </c>
      <c r="D625" s="79">
        <f t="shared" ref="D625:I625" si="303">D623+D624</f>
        <v>257053</v>
      </c>
      <c r="E625" s="79">
        <f>E623+E624</f>
        <v>7984</v>
      </c>
      <c r="F625" s="78">
        <f>D625+E625</f>
        <v>265037</v>
      </c>
      <c r="G625" s="79">
        <f t="shared" si="303"/>
        <v>19761</v>
      </c>
      <c r="H625" s="79">
        <f t="shared" si="303"/>
        <v>90940</v>
      </c>
      <c r="I625" s="79">
        <f t="shared" si="303"/>
        <v>44157</v>
      </c>
      <c r="J625" s="79">
        <f>J623+J624</f>
        <v>16293</v>
      </c>
      <c r="K625" s="79">
        <f>K623+K624</f>
        <v>1256</v>
      </c>
      <c r="L625" s="79">
        <f>L623+L624</f>
        <v>947</v>
      </c>
      <c r="M625" s="79">
        <f>SUM(J625:L625)</f>
        <v>18496</v>
      </c>
      <c r="N625" s="79">
        <f>N623+N624</f>
        <v>12837</v>
      </c>
      <c r="O625" s="79">
        <f>SUM(F625:I625)+SUM(M625:N625)</f>
        <v>451228</v>
      </c>
      <c r="P625" s="79">
        <f>P623+P624</f>
        <v>11521</v>
      </c>
      <c r="Q625" s="79">
        <f>Q623+Q624</f>
        <v>1398</v>
      </c>
      <c r="R625" s="79">
        <f>P625+Q625</f>
        <v>12919</v>
      </c>
      <c r="S625" s="79">
        <f>S623+S624</f>
        <v>0</v>
      </c>
      <c r="U625" s="80">
        <f>O625+R625+S625-C625</f>
        <v>0</v>
      </c>
      <c r="W625" s="81">
        <f t="shared" si="300"/>
        <v>0.97216610000000003</v>
      </c>
      <c r="X625" s="81">
        <f t="shared" si="301"/>
        <v>0.97216610000000003</v>
      </c>
      <c r="Y625" s="81">
        <f t="shared" si="302"/>
        <v>0</v>
      </c>
      <c r="Z625" s="79"/>
      <c r="AF625" s="79"/>
      <c r="AJ625" s="66"/>
      <c r="AK625" s="65"/>
    </row>
    <row r="626" spans="1:37" hidden="1"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U626" s="80"/>
      <c r="W626" s="81" t="str">
        <f t="shared" si="300"/>
        <v xml:space="preserve"> </v>
      </c>
      <c r="X626" s="81" t="str">
        <f t="shared" si="301"/>
        <v xml:space="preserve"> </v>
      </c>
      <c r="Y626" s="81" t="str">
        <f t="shared" si="302"/>
        <v xml:space="preserve"> </v>
      </c>
      <c r="Z626" s="79"/>
      <c r="AF626" s="79"/>
      <c r="AJ626" s="66"/>
      <c r="AK626" s="65"/>
    </row>
    <row r="627" spans="1:37" hidden="1">
      <c r="B627" s="65" t="s">
        <v>316</v>
      </c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U627" s="80"/>
      <c r="W627" s="81" t="str">
        <f t="shared" si="300"/>
        <v xml:space="preserve"> </v>
      </c>
      <c r="X627" s="81" t="str">
        <f t="shared" si="301"/>
        <v xml:space="preserve"> </v>
      </c>
      <c r="Y627" s="81" t="str">
        <f t="shared" si="302"/>
        <v xml:space="preserve"> </v>
      </c>
      <c r="Z627" s="79"/>
      <c r="AF627" s="79"/>
      <c r="AJ627" s="66"/>
      <c r="AK627" s="65"/>
    </row>
    <row r="628" spans="1:37" hidden="1">
      <c r="B628" s="83" t="s">
        <v>170</v>
      </c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U628" s="80"/>
      <c r="W628" s="81" t="str">
        <f t="shared" si="300"/>
        <v xml:space="preserve"> </v>
      </c>
      <c r="X628" s="81" t="str">
        <f t="shared" si="301"/>
        <v xml:space="preserve"> </v>
      </c>
      <c r="Y628" s="81" t="str">
        <f t="shared" si="302"/>
        <v xml:space="preserve"> </v>
      </c>
      <c r="Z628" s="79"/>
      <c r="AF628" s="79"/>
      <c r="AJ628" s="66"/>
      <c r="AK628" s="65"/>
    </row>
    <row r="629" spans="1:37" hidden="1"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U629" s="80"/>
      <c r="W629" s="81" t="str">
        <f t="shared" si="300"/>
        <v xml:space="preserve"> </v>
      </c>
      <c r="X629" s="81" t="str">
        <f t="shared" si="301"/>
        <v xml:space="preserve"> </v>
      </c>
      <c r="Y629" s="81" t="str">
        <f t="shared" si="302"/>
        <v xml:space="preserve"> </v>
      </c>
      <c r="Z629" s="79"/>
      <c r="AF629" s="79"/>
      <c r="AJ629" s="66"/>
      <c r="AK629" s="65"/>
    </row>
    <row r="630" spans="1:37" hidden="1">
      <c r="B630" s="66" t="s">
        <v>317</v>
      </c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U630" s="80"/>
      <c r="W630" s="81" t="str">
        <f t="shared" si="300"/>
        <v xml:space="preserve"> </v>
      </c>
      <c r="X630" s="81" t="str">
        <f t="shared" si="301"/>
        <v xml:space="preserve"> </v>
      </c>
      <c r="Y630" s="81" t="str">
        <f t="shared" si="302"/>
        <v xml:space="preserve"> </v>
      </c>
      <c r="Z630" s="79"/>
      <c r="AF630" s="79"/>
      <c r="AJ630" s="66"/>
      <c r="AK630" s="65"/>
    </row>
    <row r="631" spans="1:37" hidden="1">
      <c r="A631" s="65">
        <f>A625+1</f>
        <v>4</v>
      </c>
      <c r="B631" s="66" t="s">
        <v>318</v>
      </c>
      <c r="C631" s="79">
        <f>O631+R631+S631</f>
        <v>1676.0004000000001</v>
      </c>
      <c r="D631" s="78">
        <f>749+860</f>
        <v>1609</v>
      </c>
      <c r="E631" s="78">
        <v>0</v>
      </c>
      <c r="F631" s="78">
        <f>D631+E631</f>
        <v>1609</v>
      </c>
      <c r="G631" s="78">
        <f>23+27</f>
        <v>50</v>
      </c>
      <c r="H631" s="78">
        <f>8+9</f>
        <v>17</v>
      </c>
      <c r="I631" s="78">
        <v>5.0000000000000002E-5</v>
      </c>
      <c r="J631" s="78">
        <v>5.0000000000000002E-5</v>
      </c>
      <c r="K631" s="78">
        <v>5.0000000000000002E-5</v>
      </c>
      <c r="L631" s="78">
        <v>5.0000000000000002E-5</v>
      </c>
      <c r="M631" s="79">
        <f>SUM(J631:L631)</f>
        <v>1.5000000000000001E-4</v>
      </c>
      <c r="N631" s="78">
        <v>5.0000000000000002E-5</v>
      </c>
      <c r="O631" s="79">
        <f t="shared" ref="O631:O641" si="304">SUM(F631:I631)+SUM(M631:N631)</f>
        <v>1676.0002500000001</v>
      </c>
      <c r="P631" s="78">
        <v>5.0000000000000002E-5</v>
      </c>
      <c r="Q631" s="78">
        <v>5.0000000000000002E-5</v>
      </c>
      <c r="R631" s="78">
        <f t="shared" ref="R631:R640" si="305">P631+Q631</f>
        <v>1E-4</v>
      </c>
      <c r="S631" s="78">
        <v>5.0000000000000002E-5</v>
      </c>
      <c r="U631" s="80">
        <f>O631+R631+S631-C631</f>
        <v>0</v>
      </c>
      <c r="W631" s="81">
        <f t="shared" si="300"/>
        <v>0.99999990000000005</v>
      </c>
      <c r="X631" s="81">
        <f t="shared" si="301"/>
        <v>0.99999990000000005</v>
      </c>
      <c r="Y631" s="81">
        <f t="shared" si="302"/>
        <v>0</v>
      </c>
      <c r="Z631" s="78"/>
      <c r="AF631" s="78"/>
      <c r="AJ631" s="66"/>
      <c r="AK631" s="70"/>
    </row>
    <row r="632" spans="1:37" hidden="1">
      <c r="A632" s="65">
        <f>A631+1</f>
        <v>5</v>
      </c>
      <c r="B632" s="71" t="s">
        <v>319</v>
      </c>
      <c r="C632" s="79">
        <f>O632+R632+S632</f>
        <v>85.000400000000013</v>
      </c>
      <c r="D632" s="78">
        <v>84</v>
      </c>
      <c r="E632" s="78">
        <v>0</v>
      </c>
      <c r="F632" s="78">
        <f>D632+E632</f>
        <v>84</v>
      </c>
      <c r="G632" s="78">
        <v>1</v>
      </c>
      <c r="H632" s="78">
        <v>0</v>
      </c>
      <c r="I632" s="78">
        <v>5.0000000000000002E-5</v>
      </c>
      <c r="J632" s="78">
        <v>5.0000000000000002E-5</v>
      </c>
      <c r="K632" s="78">
        <v>5.0000000000000002E-5</v>
      </c>
      <c r="L632" s="78">
        <v>5.0000000000000002E-5</v>
      </c>
      <c r="M632" s="79">
        <f>SUM(J632:L632)</f>
        <v>1.5000000000000001E-4</v>
      </c>
      <c r="N632" s="78">
        <v>5.0000000000000002E-5</v>
      </c>
      <c r="O632" s="79">
        <f t="shared" si="304"/>
        <v>85.000250000000008</v>
      </c>
      <c r="P632" s="78">
        <v>5.0000000000000002E-5</v>
      </c>
      <c r="Q632" s="78">
        <v>5.0000000000000002E-5</v>
      </c>
      <c r="R632" s="78">
        <f t="shared" si="305"/>
        <v>1E-4</v>
      </c>
      <c r="S632" s="78">
        <v>5.0000000000000002E-5</v>
      </c>
      <c r="U632" s="80">
        <f>O632+R632+S632-C632</f>
        <v>0</v>
      </c>
      <c r="W632" s="81">
        <f t="shared" si="300"/>
        <v>0.99999879999999997</v>
      </c>
      <c r="X632" s="81">
        <f t="shared" si="301"/>
        <v>0.99999819999999995</v>
      </c>
      <c r="Y632" s="81">
        <f t="shared" si="302"/>
        <v>5.9999999999999997E-7</v>
      </c>
      <c r="Z632" s="78"/>
      <c r="AF632" s="78"/>
      <c r="AJ632" s="66"/>
      <c r="AK632" s="70"/>
    </row>
    <row r="633" spans="1:37" hidden="1">
      <c r="A633" s="65">
        <f t="shared" ref="A633:A638" si="306">A632+1</f>
        <v>6</v>
      </c>
      <c r="B633" s="71" t="s">
        <v>320</v>
      </c>
      <c r="C633" s="79">
        <f>O633+R633+S633</f>
        <v>31.000400000000003</v>
      </c>
      <c r="D633" s="78">
        <v>28</v>
      </c>
      <c r="E633" s="78">
        <v>0</v>
      </c>
      <c r="F633" s="78">
        <f>D633+E633</f>
        <v>28</v>
      </c>
      <c r="G633" s="78">
        <v>2</v>
      </c>
      <c r="H633" s="78">
        <v>1</v>
      </c>
      <c r="I633" s="78">
        <v>5.0000000000000002E-5</v>
      </c>
      <c r="J633" s="78">
        <v>5.0000000000000002E-5</v>
      </c>
      <c r="K633" s="78">
        <v>5.0000000000000002E-5</v>
      </c>
      <c r="L633" s="78">
        <v>5.0000000000000002E-5</v>
      </c>
      <c r="M633" s="79">
        <f>SUM(J633:L633)</f>
        <v>1.5000000000000001E-4</v>
      </c>
      <c r="N633" s="78">
        <v>5.0000000000000002E-5</v>
      </c>
      <c r="O633" s="79">
        <f t="shared" si="304"/>
        <v>31.000250000000001</v>
      </c>
      <c r="P633" s="78">
        <v>5.0000000000000002E-5</v>
      </c>
      <c r="Q633" s="78">
        <v>5.0000000000000002E-5</v>
      </c>
      <c r="R633" s="78">
        <f t="shared" si="305"/>
        <v>1E-4</v>
      </c>
      <c r="S633" s="78">
        <v>5.0000000000000002E-5</v>
      </c>
      <c r="U633" s="80">
        <f>O633+R633+S633-C633</f>
        <v>0</v>
      </c>
      <c r="W633" s="81">
        <f t="shared" si="300"/>
        <v>0.99999680000000002</v>
      </c>
      <c r="X633" s="81">
        <f t="shared" si="301"/>
        <v>0.99999519999999997</v>
      </c>
      <c r="Y633" s="81">
        <f t="shared" si="302"/>
        <v>1.5999999999999999E-6</v>
      </c>
      <c r="Z633" s="78"/>
      <c r="AF633" s="78"/>
      <c r="AJ633" s="66"/>
      <c r="AK633" s="70"/>
    </row>
    <row r="634" spans="1:37" hidden="1">
      <c r="A634" s="65">
        <f t="shared" si="306"/>
        <v>7</v>
      </c>
      <c r="B634" s="71" t="s">
        <v>321</v>
      </c>
      <c r="C634" s="79">
        <f>O634+R634+S634</f>
        <v>2832.0009000000005</v>
      </c>
      <c r="D634" s="78">
        <v>2719</v>
      </c>
      <c r="E634" s="78">
        <f>0+0.0005</f>
        <v>5.0000000000000001E-4</v>
      </c>
      <c r="F634" s="78">
        <f t="shared" ref="F634:F640" si="307">D634+E634</f>
        <v>2719.0005000000001</v>
      </c>
      <c r="G634" s="78">
        <v>85</v>
      </c>
      <c r="H634" s="78">
        <v>28</v>
      </c>
      <c r="I634" s="78">
        <v>5.0000000000000002E-5</v>
      </c>
      <c r="J634" s="78">
        <v>5.0000000000000002E-5</v>
      </c>
      <c r="K634" s="78">
        <v>5.0000000000000002E-5</v>
      </c>
      <c r="L634" s="78">
        <v>5.0000000000000002E-5</v>
      </c>
      <c r="M634" s="79">
        <f t="shared" ref="M634:M640" si="308">SUM(J634:L634)</f>
        <v>1.5000000000000001E-4</v>
      </c>
      <c r="N634" s="78">
        <v>5.0000000000000002E-5</v>
      </c>
      <c r="O634" s="79">
        <f t="shared" si="304"/>
        <v>2832.0007500000002</v>
      </c>
      <c r="P634" s="78">
        <v>5.0000000000000002E-5</v>
      </c>
      <c r="Q634" s="78">
        <v>5.0000000000000002E-5</v>
      </c>
      <c r="R634" s="78">
        <f t="shared" si="305"/>
        <v>1E-4</v>
      </c>
      <c r="S634" s="78">
        <v>5.0000000000000002E-5</v>
      </c>
      <c r="U634" s="80">
        <f t="shared" ref="U634:U640" si="309">O634+R634+S634-C634</f>
        <v>0</v>
      </c>
      <c r="W634" s="81">
        <f t="shared" si="300"/>
        <v>1</v>
      </c>
      <c r="X634" s="81">
        <f t="shared" si="301"/>
        <v>0.99999990000000005</v>
      </c>
      <c r="Y634" s="81">
        <f t="shared" si="302"/>
        <v>0</v>
      </c>
      <c r="Z634" s="78"/>
      <c r="AF634" s="78"/>
      <c r="AJ634" s="66"/>
      <c r="AK634" s="70"/>
    </row>
    <row r="635" spans="1:37" hidden="1">
      <c r="A635" s="65">
        <f t="shared" si="306"/>
        <v>8</v>
      </c>
      <c r="B635" s="71" t="s">
        <v>322</v>
      </c>
      <c r="C635" s="79">
        <f>22131+17107</f>
        <v>39238</v>
      </c>
      <c r="D635" s="79">
        <f>C635-E635-SUM(G635:I635)-SUM(M635:N635)-R635-S635</f>
        <v>22830.985000000001</v>
      </c>
      <c r="E635" s="66">
        <f>ROUND(((E623/$C$623)*$C$635),0)-1</f>
        <v>674</v>
      </c>
      <c r="F635" s="78">
        <f>D635+E635</f>
        <v>23504.985000000001</v>
      </c>
      <c r="G635" s="66">
        <f t="shared" ref="G635:L635" si="310">ROUND(((G623/$C$623)*$C$635),0)-1</f>
        <v>1670</v>
      </c>
      <c r="H635" s="66">
        <f t="shared" si="310"/>
        <v>7687</v>
      </c>
      <c r="I635" s="66">
        <f t="shared" si="310"/>
        <v>3732</v>
      </c>
      <c r="J635" s="66">
        <f t="shared" si="310"/>
        <v>1376</v>
      </c>
      <c r="K635" s="66">
        <f t="shared" si="310"/>
        <v>105</v>
      </c>
      <c r="L635" s="66">
        <f t="shared" si="310"/>
        <v>79</v>
      </c>
      <c r="M635" s="79">
        <f>SUM(J635:L635)</f>
        <v>1560</v>
      </c>
      <c r="N635" s="66">
        <f>ROUND(((N623/$C$623)*$C$635),0)-1</f>
        <v>1084</v>
      </c>
      <c r="O635" s="79">
        <f t="shared" si="304"/>
        <v>39237.985000000001</v>
      </c>
      <c r="P635" s="78">
        <v>5.0000000000000001E-3</v>
      </c>
      <c r="Q635" s="78">
        <v>5.0000000000000001E-3</v>
      </c>
      <c r="R635" s="78">
        <f t="shared" si="305"/>
        <v>0.01</v>
      </c>
      <c r="S635" s="78">
        <v>5.0000000000000001E-3</v>
      </c>
      <c r="U635" s="80">
        <f t="shared" si="309"/>
        <v>0</v>
      </c>
      <c r="W635" s="81">
        <f t="shared" si="300"/>
        <v>0.99999970000000005</v>
      </c>
      <c r="X635" s="81">
        <f t="shared" si="301"/>
        <v>0.99999959999999999</v>
      </c>
      <c r="Y635" s="81">
        <f t="shared" si="302"/>
        <v>9.9999999999999995E-8</v>
      </c>
      <c r="AJ635" s="66"/>
    </row>
    <row r="636" spans="1:37" hidden="1">
      <c r="A636" s="65">
        <f t="shared" si="306"/>
        <v>9</v>
      </c>
      <c r="B636" s="66" t="s">
        <v>323</v>
      </c>
      <c r="C636" s="79">
        <f t="shared" ref="C636:C641" si="311">O636+R636+S636</f>
        <v>90.000400000000013</v>
      </c>
      <c r="D636" s="78">
        <v>0</v>
      </c>
      <c r="E636" s="78">
        <v>0</v>
      </c>
      <c r="F636" s="78">
        <f>D636+E636</f>
        <v>0</v>
      </c>
      <c r="G636" s="78">
        <v>90</v>
      </c>
      <c r="H636" s="78">
        <v>0</v>
      </c>
      <c r="I636" s="78">
        <v>5.0000000000000002E-5</v>
      </c>
      <c r="J636" s="78">
        <v>5.0000000000000002E-5</v>
      </c>
      <c r="K636" s="78">
        <v>5.0000000000000002E-5</v>
      </c>
      <c r="L636" s="78">
        <v>5.0000000000000002E-5</v>
      </c>
      <c r="M636" s="79">
        <f>SUM(J636:L636)</f>
        <v>1.5000000000000001E-4</v>
      </c>
      <c r="N636" s="78">
        <v>5.0000000000000002E-5</v>
      </c>
      <c r="O636" s="79">
        <f t="shared" si="304"/>
        <v>90.000250000000008</v>
      </c>
      <c r="P636" s="78">
        <v>5.0000000000000002E-5</v>
      </c>
      <c r="Q636" s="78">
        <v>5.0000000000000002E-5</v>
      </c>
      <c r="R636" s="78">
        <f t="shared" si="305"/>
        <v>1E-4</v>
      </c>
      <c r="S636" s="78">
        <v>5.0000000000000002E-5</v>
      </c>
      <c r="U636" s="80">
        <f t="shared" si="309"/>
        <v>0</v>
      </c>
      <c r="W636" s="81">
        <f t="shared" si="300"/>
        <v>0.99999890000000002</v>
      </c>
      <c r="X636" s="81">
        <f t="shared" si="301"/>
        <v>0.99999830000000001</v>
      </c>
      <c r="Y636" s="81">
        <f t="shared" si="302"/>
        <v>5.9999999999999997E-7</v>
      </c>
      <c r="AJ636" s="66"/>
    </row>
    <row r="637" spans="1:37" hidden="1">
      <c r="A637" s="65">
        <f t="shared" si="306"/>
        <v>10</v>
      </c>
      <c r="B637" s="71" t="s">
        <v>324</v>
      </c>
      <c r="C637" s="79">
        <f t="shared" si="311"/>
        <v>133.00089999999997</v>
      </c>
      <c r="D637" s="78">
        <v>106</v>
      </c>
      <c r="E637" s="78">
        <f>0+0.0005</f>
        <v>5.0000000000000001E-4</v>
      </c>
      <c r="F637" s="78">
        <f t="shared" si="307"/>
        <v>106.0005</v>
      </c>
      <c r="G637" s="78">
        <v>24</v>
      </c>
      <c r="H637" s="78">
        <v>3</v>
      </c>
      <c r="I637" s="78">
        <v>5.0000000000000002E-5</v>
      </c>
      <c r="J637" s="78">
        <v>5.0000000000000002E-5</v>
      </c>
      <c r="K637" s="78">
        <v>5.0000000000000002E-5</v>
      </c>
      <c r="L637" s="78">
        <v>5.0000000000000002E-5</v>
      </c>
      <c r="M637" s="79">
        <f t="shared" si="308"/>
        <v>1.5000000000000001E-4</v>
      </c>
      <c r="N637" s="78">
        <v>5.0000000000000002E-5</v>
      </c>
      <c r="O637" s="79">
        <f t="shared" si="304"/>
        <v>133.00074999999998</v>
      </c>
      <c r="P637" s="78">
        <v>5.0000000000000002E-5</v>
      </c>
      <c r="Q637" s="78">
        <v>5.0000000000000002E-5</v>
      </c>
      <c r="R637" s="78">
        <f t="shared" si="305"/>
        <v>1E-4</v>
      </c>
      <c r="S637" s="78">
        <v>5.0000000000000002E-5</v>
      </c>
      <c r="U637" s="80">
        <f t="shared" si="309"/>
        <v>0</v>
      </c>
      <c r="W637" s="81">
        <f t="shared" si="300"/>
        <v>0.99999919999999998</v>
      </c>
      <c r="X637" s="81">
        <f t="shared" si="301"/>
        <v>0.99999890000000002</v>
      </c>
      <c r="Y637" s="81">
        <f t="shared" si="302"/>
        <v>3.9999999999999998E-7</v>
      </c>
      <c r="Z637" s="78"/>
      <c r="AF637" s="78"/>
      <c r="AJ637" s="66"/>
      <c r="AK637" s="70"/>
    </row>
    <row r="638" spans="1:37" hidden="1">
      <c r="A638" s="65">
        <f t="shared" si="306"/>
        <v>11</v>
      </c>
      <c r="B638" s="66" t="s">
        <v>325</v>
      </c>
      <c r="C638" s="79">
        <f t="shared" si="311"/>
        <v>192.00039999999998</v>
      </c>
      <c r="D638" s="78">
        <f>59+76</f>
        <v>135</v>
      </c>
      <c r="E638" s="78">
        <v>0</v>
      </c>
      <c r="F638" s="78">
        <f t="shared" si="307"/>
        <v>135</v>
      </c>
      <c r="G638" s="78">
        <f>12+15</f>
        <v>27</v>
      </c>
      <c r="H638" s="78">
        <f>13+17</f>
        <v>30</v>
      </c>
      <c r="I638" s="78">
        <v>5.0000000000000002E-5</v>
      </c>
      <c r="J638" s="78">
        <v>5.0000000000000002E-5</v>
      </c>
      <c r="K638" s="78">
        <v>5.0000000000000002E-5</v>
      </c>
      <c r="L638" s="78">
        <v>5.0000000000000002E-5</v>
      </c>
      <c r="M638" s="79">
        <f t="shared" si="308"/>
        <v>1.5000000000000001E-4</v>
      </c>
      <c r="N638" s="78">
        <v>5.0000000000000002E-5</v>
      </c>
      <c r="O638" s="79">
        <f t="shared" si="304"/>
        <v>192.00024999999999</v>
      </c>
      <c r="P638" s="78">
        <v>5.0000000000000002E-5</v>
      </c>
      <c r="Q638" s="78">
        <v>5.0000000000000002E-5</v>
      </c>
      <c r="R638" s="78">
        <f t="shared" si="305"/>
        <v>1E-4</v>
      </c>
      <c r="S638" s="78">
        <v>5.0000000000000002E-5</v>
      </c>
      <c r="U638" s="80">
        <f t="shared" si="309"/>
        <v>0</v>
      </c>
      <c r="W638" s="81">
        <f t="shared" si="300"/>
        <v>0.99999950000000004</v>
      </c>
      <c r="X638" s="81">
        <f t="shared" si="301"/>
        <v>0.99999919999999998</v>
      </c>
      <c r="Y638" s="81">
        <f t="shared" si="302"/>
        <v>2.9999999999999999E-7</v>
      </c>
      <c r="Z638" s="78"/>
      <c r="AF638" s="78"/>
      <c r="AJ638" s="66"/>
      <c r="AK638" s="70"/>
    </row>
    <row r="639" spans="1:37" hidden="1">
      <c r="A639" s="65">
        <f>A638+1</f>
        <v>12</v>
      </c>
      <c r="B639" s="66" t="s">
        <v>326</v>
      </c>
      <c r="C639" s="79">
        <f t="shared" si="311"/>
        <v>46.000400000000006</v>
      </c>
      <c r="D639" s="78">
        <v>44</v>
      </c>
      <c r="E639" s="78">
        <v>0</v>
      </c>
      <c r="F639" s="78">
        <f t="shared" si="307"/>
        <v>44</v>
      </c>
      <c r="G639" s="78">
        <v>2</v>
      </c>
      <c r="H639" s="78">
        <v>0</v>
      </c>
      <c r="I639" s="78">
        <v>5.0000000000000002E-5</v>
      </c>
      <c r="J639" s="78">
        <v>5.0000000000000002E-5</v>
      </c>
      <c r="K639" s="78">
        <v>5.0000000000000002E-5</v>
      </c>
      <c r="L639" s="78">
        <v>5.0000000000000002E-5</v>
      </c>
      <c r="M639" s="79">
        <f t="shared" si="308"/>
        <v>1.5000000000000001E-4</v>
      </c>
      <c r="N639" s="78">
        <v>5.0000000000000002E-5</v>
      </c>
      <c r="O639" s="79">
        <f t="shared" si="304"/>
        <v>46.000250000000001</v>
      </c>
      <c r="P639" s="78">
        <v>5.0000000000000002E-5</v>
      </c>
      <c r="Q639" s="78">
        <v>5.0000000000000002E-5</v>
      </c>
      <c r="R639" s="78">
        <f t="shared" si="305"/>
        <v>1E-4</v>
      </c>
      <c r="S639" s="78">
        <v>5.0000000000000002E-5</v>
      </c>
      <c r="U639" s="80">
        <f t="shared" si="309"/>
        <v>0</v>
      </c>
      <c r="W639" s="81">
        <f t="shared" si="300"/>
        <v>0.99999780000000005</v>
      </c>
      <c r="X639" s="81">
        <f t="shared" si="301"/>
        <v>0.99999669999999996</v>
      </c>
      <c r="Y639" s="81">
        <f t="shared" si="302"/>
        <v>1.1000000000000001E-6</v>
      </c>
      <c r="Z639" s="78"/>
      <c r="AF639" s="78"/>
      <c r="AJ639" s="66"/>
      <c r="AK639" s="70"/>
    </row>
    <row r="640" spans="1:37" hidden="1">
      <c r="A640" s="65">
        <f>A639+1</f>
        <v>13</v>
      </c>
      <c r="B640" s="71" t="s">
        <v>327</v>
      </c>
      <c r="C640" s="79">
        <f t="shared" si="311"/>
        <v>356.00039999999996</v>
      </c>
      <c r="D640" s="78">
        <v>334</v>
      </c>
      <c r="E640" s="78">
        <v>0</v>
      </c>
      <c r="F640" s="78">
        <f t="shared" si="307"/>
        <v>334</v>
      </c>
      <c r="G640" s="78">
        <v>11</v>
      </c>
      <c r="H640" s="78">
        <v>11</v>
      </c>
      <c r="I640" s="78">
        <v>5.0000000000000002E-5</v>
      </c>
      <c r="J640" s="78">
        <v>5.0000000000000002E-5</v>
      </c>
      <c r="K640" s="78">
        <v>5.0000000000000002E-5</v>
      </c>
      <c r="L640" s="78">
        <v>5.0000000000000002E-5</v>
      </c>
      <c r="M640" s="79">
        <f t="shared" si="308"/>
        <v>1.5000000000000001E-4</v>
      </c>
      <c r="N640" s="78">
        <v>5.0000000000000002E-5</v>
      </c>
      <c r="O640" s="79">
        <f t="shared" si="304"/>
        <v>356.00024999999999</v>
      </c>
      <c r="P640" s="78">
        <v>5.0000000000000002E-5</v>
      </c>
      <c r="Q640" s="78">
        <v>5.0000000000000002E-5</v>
      </c>
      <c r="R640" s="78">
        <f t="shared" si="305"/>
        <v>1E-4</v>
      </c>
      <c r="S640" s="78">
        <v>5.0000000000000002E-5</v>
      </c>
      <c r="U640" s="80">
        <f t="shared" si="309"/>
        <v>0</v>
      </c>
      <c r="W640" s="81">
        <f t="shared" si="300"/>
        <v>0.99999970000000005</v>
      </c>
      <c r="X640" s="81">
        <f t="shared" si="301"/>
        <v>0.99999959999999999</v>
      </c>
      <c r="Y640" s="81">
        <f t="shared" si="302"/>
        <v>9.9999999999999995E-8</v>
      </c>
      <c r="Z640" s="78"/>
      <c r="AF640" s="78"/>
      <c r="AJ640" s="66"/>
      <c r="AK640" s="70"/>
    </row>
    <row r="641" spans="1:37" hidden="1">
      <c r="A641" s="65">
        <f>A640+1</f>
        <v>14</v>
      </c>
      <c r="B641" s="66" t="s">
        <v>328</v>
      </c>
      <c r="C641" s="79">
        <f t="shared" si="311"/>
        <v>44679.0046</v>
      </c>
      <c r="D641" s="79">
        <f>SUM(D631:D640)</f>
        <v>27889.985000000001</v>
      </c>
      <c r="E641" s="79">
        <f>SUM(E631:E640)</f>
        <v>674.00099999999998</v>
      </c>
      <c r="F641" s="78">
        <f>D641+E641</f>
        <v>28563.986000000001</v>
      </c>
      <c r="G641" s="79">
        <f t="shared" ref="G641:L641" si="312">SUM(G631:G640)</f>
        <v>1962</v>
      </c>
      <c r="H641" s="79">
        <f t="shared" si="312"/>
        <v>7777</v>
      </c>
      <c r="I641" s="79">
        <f t="shared" si="312"/>
        <v>3732.0004500000005</v>
      </c>
      <c r="J641" s="79">
        <f t="shared" si="312"/>
        <v>1376.0004500000005</v>
      </c>
      <c r="K641" s="79">
        <f t="shared" si="312"/>
        <v>105.00045000000001</v>
      </c>
      <c r="L641" s="79">
        <f t="shared" si="312"/>
        <v>79.000450000000015</v>
      </c>
      <c r="M641" s="79">
        <f>SUM(J641:L641)</f>
        <v>1560.0013500000005</v>
      </c>
      <c r="N641" s="79">
        <f>SUM(N631:N640)</f>
        <v>1084.0004500000005</v>
      </c>
      <c r="O641" s="79">
        <f t="shared" si="304"/>
        <v>44678.988250000002</v>
      </c>
      <c r="P641" s="79">
        <f>SUM(P631:P640)</f>
        <v>5.4499999999999982E-3</v>
      </c>
      <c r="Q641" s="79">
        <f>SUM(Q631:Q640)</f>
        <v>5.4499999999999982E-3</v>
      </c>
      <c r="R641" s="79">
        <f>SUM(R631:R640)</f>
        <v>1.0899999999999996E-2</v>
      </c>
      <c r="S641" s="79">
        <f>SUM(S631:S640)</f>
        <v>5.4499999999999982E-3</v>
      </c>
      <c r="U641" s="80">
        <f>O641+R641+S641-C641</f>
        <v>0</v>
      </c>
      <c r="W641" s="81">
        <f t="shared" si="300"/>
        <v>0.99999979999999999</v>
      </c>
      <c r="X641" s="81">
        <f t="shared" si="301"/>
        <v>0.99999959999999999</v>
      </c>
      <c r="Y641" s="81">
        <f t="shared" si="302"/>
        <v>9.9999999999999995E-8</v>
      </c>
      <c r="Z641" s="79"/>
      <c r="AF641" s="79"/>
      <c r="AJ641" s="66"/>
      <c r="AK641" s="65"/>
    </row>
    <row r="642" spans="1:37" hidden="1"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U642" s="80"/>
      <c r="W642" s="81" t="str">
        <f t="shared" si="300"/>
        <v xml:space="preserve"> </v>
      </c>
      <c r="X642" s="81" t="str">
        <f t="shared" si="301"/>
        <v xml:space="preserve"> </v>
      </c>
      <c r="Y642" s="81" t="str">
        <f t="shared" si="302"/>
        <v xml:space="preserve"> </v>
      </c>
      <c r="Z642" s="79"/>
      <c r="AF642" s="79"/>
      <c r="AJ642" s="66"/>
      <c r="AK642" s="65"/>
    </row>
    <row r="643" spans="1:37" hidden="1">
      <c r="B643" s="66" t="s">
        <v>329</v>
      </c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U643" s="80"/>
      <c r="W643" s="81" t="str">
        <f t="shared" si="300"/>
        <v xml:space="preserve"> </v>
      </c>
      <c r="X643" s="81" t="str">
        <f t="shared" si="301"/>
        <v xml:space="preserve"> </v>
      </c>
      <c r="Y643" s="81" t="str">
        <f t="shared" si="302"/>
        <v xml:space="preserve"> </v>
      </c>
      <c r="Z643" s="79"/>
      <c r="AF643" s="79"/>
      <c r="AJ643" s="66"/>
      <c r="AK643" s="65"/>
    </row>
    <row r="644" spans="1:37" hidden="1">
      <c r="A644" s="65">
        <f>A641+1</f>
        <v>15</v>
      </c>
      <c r="B644" s="66" t="s">
        <v>330</v>
      </c>
      <c r="C644" s="78">
        <v>1831</v>
      </c>
      <c r="D644" s="79">
        <f t="shared" ref="D644:D649" si="313">C644-E644-SUM(G644:I644)-SUM(M644:N644)-R644-S644</f>
        <v>1115.99999</v>
      </c>
      <c r="E644" s="79">
        <v>37</v>
      </c>
      <c r="F644" s="78">
        <f t="shared" ref="F644:F650" si="314">D644+E644</f>
        <v>1152.99999</v>
      </c>
      <c r="G644" s="79">
        <v>60</v>
      </c>
      <c r="H644" s="79">
        <v>447</v>
      </c>
      <c r="I644" s="79">
        <v>138</v>
      </c>
      <c r="J644" s="79">
        <v>4</v>
      </c>
      <c r="K644" s="79">
        <v>0</v>
      </c>
      <c r="L644" s="79">
        <v>0</v>
      </c>
      <c r="M644" s="79">
        <f t="shared" ref="M644:M650" si="315">SUM(J644:L644)</f>
        <v>4</v>
      </c>
      <c r="N644" s="79">
        <v>29.00001</v>
      </c>
      <c r="O644" s="79">
        <f t="shared" ref="O644:O650" si="316">SUM(F644:I644)+SUM(M644:N644)</f>
        <v>1831</v>
      </c>
      <c r="P644" s="79">
        <v>0</v>
      </c>
      <c r="Q644" s="79">
        <v>0</v>
      </c>
      <c r="R644" s="78">
        <f t="shared" ref="R644:R649" si="317">P644+Q644</f>
        <v>0</v>
      </c>
      <c r="S644" s="79">
        <v>0</v>
      </c>
      <c r="U644" s="80">
        <f t="shared" ref="U644:U650" si="318">O644+R644+S644-C644</f>
        <v>0</v>
      </c>
      <c r="W644" s="81">
        <f t="shared" si="300"/>
        <v>1</v>
      </c>
      <c r="X644" s="81">
        <f t="shared" si="301"/>
        <v>1</v>
      </c>
      <c r="Y644" s="81">
        <f t="shared" si="302"/>
        <v>0</v>
      </c>
      <c r="Z644" s="79"/>
      <c r="AF644" s="79"/>
      <c r="AJ644" s="66"/>
      <c r="AK644" s="70"/>
    </row>
    <row r="645" spans="1:37" hidden="1">
      <c r="A645" s="65">
        <f t="shared" ref="A645:A650" si="319">A644+1</f>
        <v>16</v>
      </c>
      <c r="B645" s="66" t="s">
        <v>331</v>
      </c>
      <c r="C645" s="78">
        <v>286</v>
      </c>
      <c r="D645" s="79">
        <f t="shared" si="313"/>
        <v>276</v>
      </c>
      <c r="E645" s="79">
        <v>0</v>
      </c>
      <c r="F645" s="78">
        <f t="shared" si="314"/>
        <v>276</v>
      </c>
      <c r="G645" s="79">
        <v>8</v>
      </c>
      <c r="H645" s="79">
        <v>2</v>
      </c>
      <c r="I645" s="79">
        <v>0</v>
      </c>
      <c r="J645" s="79">
        <v>0</v>
      </c>
      <c r="K645" s="79">
        <v>0</v>
      </c>
      <c r="L645" s="79">
        <v>0</v>
      </c>
      <c r="M645" s="79">
        <f t="shared" si="315"/>
        <v>0</v>
      </c>
      <c r="N645" s="79">
        <v>0</v>
      </c>
      <c r="O645" s="79">
        <f t="shared" si="316"/>
        <v>286</v>
      </c>
      <c r="P645" s="79">
        <v>0</v>
      </c>
      <c r="Q645" s="79">
        <v>0</v>
      </c>
      <c r="R645" s="78">
        <f t="shared" si="317"/>
        <v>0</v>
      </c>
      <c r="S645" s="79">
        <v>0</v>
      </c>
      <c r="U645" s="80">
        <f t="shared" si="318"/>
        <v>0</v>
      </c>
      <c r="W645" s="81">
        <f t="shared" si="300"/>
        <v>1</v>
      </c>
      <c r="X645" s="81">
        <f t="shared" si="301"/>
        <v>1</v>
      </c>
      <c r="Y645" s="81">
        <f t="shared" si="302"/>
        <v>0</v>
      </c>
      <c r="Z645" s="79"/>
      <c r="AF645" s="79"/>
      <c r="AJ645" s="66"/>
      <c r="AK645" s="70"/>
    </row>
    <row r="646" spans="1:37" hidden="1">
      <c r="A646" s="65">
        <f t="shared" si="319"/>
        <v>17</v>
      </c>
      <c r="B646" s="66" t="s">
        <v>332</v>
      </c>
      <c r="C646" s="78">
        <v>2523</v>
      </c>
      <c r="D646" s="79">
        <f t="shared" si="313"/>
        <v>1894</v>
      </c>
      <c r="E646" s="79">
        <f>ROUND(E115/$C115*$C646,0)</f>
        <v>55</v>
      </c>
      <c r="F646" s="78">
        <f t="shared" si="314"/>
        <v>1949</v>
      </c>
      <c r="G646" s="79">
        <f t="shared" ref="G646:L646" si="320">ROUND(G115/$C115*$C646,0)</f>
        <v>137</v>
      </c>
      <c r="H646" s="79">
        <f t="shared" si="320"/>
        <v>268</v>
      </c>
      <c r="I646" s="79">
        <f t="shared" si="320"/>
        <v>79</v>
      </c>
      <c r="J646" s="79">
        <f t="shared" si="320"/>
        <v>29</v>
      </c>
      <c r="K646" s="79">
        <f t="shared" si="320"/>
        <v>8</v>
      </c>
      <c r="L646" s="79">
        <f t="shared" si="320"/>
        <v>1</v>
      </c>
      <c r="M646" s="79">
        <f t="shared" si="315"/>
        <v>38</v>
      </c>
      <c r="N646" s="79">
        <f>ROUND(N115/$C115*$C646,0)</f>
        <v>52</v>
      </c>
      <c r="O646" s="79">
        <f t="shared" si="316"/>
        <v>2523</v>
      </c>
      <c r="P646" s="79">
        <f>ROUND(P115/$C115*$C646,0)</f>
        <v>0</v>
      </c>
      <c r="Q646" s="79">
        <f>ROUND(Q115/$C115*$C646,0)</f>
        <v>0</v>
      </c>
      <c r="R646" s="78">
        <f t="shared" si="317"/>
        <v>0</v>
      </c>
      <c r="S646" s="79">
        <v>0</v>
      </c>
      <c r="U646" s="80">
        <f t="shared" si="318"/>
        <v>0</v>
      </c>
      <c r="W646" s="81">
        <f t="shared" si="300"/>
        <v>1</v>
      </c>
      <c r="X646" s="81">
        <f t="shared" si="301"/>
        <v>1</v>
      </c>
      <c r="Y646" s="81">
        <f t="shared" si="302"/>
        <v>0</v>
      </c>
      <c r="Z646" s="79"/>
      <c r="AF646" s="79"/>
      <c r="AJ646" s="66"/>
      <c r="AK646" s="70"/>
    </row>
    <row r="647" spans="1:37" hidden="1">
      <c r="A647" s="65">
        <f t="shared" si="319"/>
        <v>18</v>
      </c>
      <c r="B647" s="71" t="s">
        <v>333</v>
      </c>
      <c r="C647" s="78">
        <v>715</v>
      </c>
      <c r="D647" s="79">
        <f t="shared" si="313"/>
        <v>433</v>
      </c>
      <c r="E647" s="79">
        <v>12</v>
      </c>
      <c r="F647" s="78">
        <f t="shared" si="314"/>
        <v>445</v>
      </c>
      <c r="G647" s="79">
        <v>39</v>
      </c>
      <c r="H647" s="79">
        <v>121</v>
      </c>
      <c r="I647" s="79">
        <v>57</v>
      </c>
      <c r="J647" s="79">
        <v>24</v>
      </c>
      <c r="K647" s="79">
        <v>2</v>
      </c>
      <c r="L647" s="79">
        <v>1</v>
      </c>
      <c r="M647" s="79">
        <f t="shared" si="315"/>
        <v>27</v>
      </c>
      <c r="N647" s="79">
        <v>13</v>
      </c>
      <c r="O647" s="79">
        <f t="shared" si="316"/>
        <v>702</v>
      </c>
      <c r="P647" s="79">
        <v>12</v>
      </c>
      <c r="Q647" s="79">
        <v>1</v>
      </c>
      <c r="R647" s="78">
        <f t="shared" si="317"/>
        <v>13</v>
      </c>
      <c r="S647" s="79">
        <v>0</v>
      </c>
      <c r="U647" s="80">
        <f t="shared" si="318"/>
        <v>0</v>
      </c>
      <c r="W647" s="81">
        <f t="shared" si="300"/>
        <v>0.98181819999999997</v>
      </c>
      <c r="X647" s="81">
        <f t="shared" si="301"/>
        <v>0.98181819999999997</v>
      </c>
      <c r="Y647" s="81">
        <f t="shared" si="302"/>
        <v>0</v>
      </c>
      <c r="Z647" s="79"/>
      <c r="AF647" s="79"/>
      <c r="AJ647" s="66"/>
      <c r="AK647" s="70"/>
    </row>
    <row r="648" spans="1:37" hidden="1">
      <c r="A648" s="65">
        <f t="shared" si="319"/>
        <v>19</v>
      </c>
      <c r="B648" s="71" t="s">
        <v>334</v>
      </c>
      <c r="C648" s="78">
        <v>20</v>
      </c>
      <c r="D648" s="79">
        <f t="shared" si="313"/>
        <v>11</v>
      </c>
      <c r="E648" s="79">
        <v>0</v>
      </c>
      <c r="F648" s="78">
        <f t="shared" si="314"/>
        <v>11</v>
      </c>
      <c r="G648" s="79">
        <v>1</v>
      </c>
      <c r="H648" s="79">
        <v>4</v>
      </c>
      <c r="I648" s="79">
        <v>2</v>
      </c>
      <c r="J648" s="79">
        <v>1</v>
      </c>
      <c r="K648" s="79">
        <v>0</v>
      </c>
      <c r="L648" s="79">
        <v>0</v>
      </c>
      <c r="M648" s="79">
        <f t="shared" si="315"/>
        <v>1</v>
      </c>
      <c r="N648" s="79">
        <v>0</v>
      </c>
      <c r="O648" s="79">
        <f t="shared" si="316"/>
        <v>19</v>
      </c>
      <c r="P648" s="79">
        <v>1</v>
      </c>
      <c r="Q648" s="79">
        <v>0</v>
      </c>
      <c r="R648" s="78">
        <f t="shared" si="317"/>
        <v>1</v>
      </c>
      <c r="S648" s="79">
        <v>0</v>
      </c>
      <c r="U648" s="80">
        <f t="shared" si="318"/>
        <v>0</v>
      </c>
      <c r="W648" s="81">
        <f t="shared" si="300"/>
        <v>0.95</v>
      </c>
      <c r="X648" s="81">
        <f t="shared" si="301"/>
        <v>0.95</v>
      </c>
      <c r="Y648" s="81">
        <f t="shared" si="302"/>
        <v>0</v>
      </c>
      <c r="Z648" s="79"/>
      <c r="AF648" s="79"/>
      <c r="AJ648" s="66"/>
    </row>
    <row r="649" spans="1:37" hidden="1">
      <c r="A649" s="65">
        <f t="shared" si="319"/>
        <v>20</v>
      </c>
      <c r="B649" s="66" t="s">
        <v>335</v>
      </c>
      <c r="C649" s="78">
        <v>452</v>
      </c>
      <c r="D649" s="79">
        <f t="shared" si="313"/>
        <v>274</v>
      </c>
      <c r="E649" s="79">
        <v>7</v>
      </c>
      <c r="F649" s="78">
        <f t="shared" si="314"/>
        <v>281</v>
      </c>
      <c r="G649" s="79">
        <v>25</v>
      </c>
      <c r="H649" s="79">
        <v>77</v>
      </c>
      <c r="I649" s="79">
        <v>36</v>
      </c>
      <c r="J649" s="79">
        <v>15</v>
      </c>
      <c r="K649" s="79">
        <v>1</v>
      </c>
      <c r="L649" s="79">
        <v>1</v>
      </c>
      <c r="M649" s="79">
        <f t="shared" si="315"/>
        <v>17</v>
      </c>
      <c r="N649" s="79">
        <v>8</v>
      </c>
      <c r="O649" s="79">
        <f t="shared" si="316"/>
        <v>444</v>
      </c>
      <c r="P649" s="79">
        <v>7</v>
      </c>
      <c r="Q649" s="79">
        <v>1</v>
      </c>
      <c r="R649" s="78">
        <f t="shared" si="317"/>
        <v>8</v>
      </c>
      <c r="S649" s="79">
        <v>0</v>
      </c>
      <c r="U649" s="80">
        <f t="shared" si="318"/>
        <v>0</v>
      </c>
      <c r="W649" s="81">
        <f t="shared" si="300"/>
        <v>0.98230090000000003</v>
      </c>
      <c r="X649" s="81">
        <f t="shared" si="301"/>
        <v>0.98230090000000003</v>
      </c>
      <c r="Y649" s="81">
        <f t="shared" si="302"/>
        <v>0</v>
      </c>
      <c r="Z649" s="79"/>
      <c r="AF649" s="79"/>
      <c r="AJ649" s="66"/>
      <c r="AK649" s="70"/>
    </row>
    <row r="650" spans="1:37" hidden="1">
      <c r="A650" s="65">
        <f t="shared" si="319"/>
        <v>21</v>
      </c>
      <c r="B650" s="66" t="s">
        <v>336</v>
      </c>
      <c r="C650" s="79">
        <f>O650+R650+S650</f>
        <v>5827</v>
      </c>
      <c r="D650" s="79">
        <f>SUM(D644:D649)</f>
        <v>4003.9999900000003</v>
      </c>
      <c r="E650" s="79">
        <f>SUM(E644:E649)</f>
        <v>111</v>
      </c>
      <c r="F650" s="78">
        <f t="shared" si="314"/>
        <v>4114.9999900000003</v>
      </c>
      <c r="G650" s="79">
        <f t="shared" ref="G650:L650" si="321">SUM(G644:G649)</f>
        <v>270</v>
      </c>
      <c r="H650" s="79">
        <f t="shared" si="321"/>
        <v>919</v>
      </c>
      <c r="I650" s="79">
        <f t="shared" si="321"/>
        <v>312</v>
      </c>
      <c r="J650" s="79">
        <f t="shared" si="321"/>
        <v>73</v>
      </c>
      <c r="K650" s="79">
        <f t="shared" si="321"/>
        <v>11</v>
      </c>
      <c r="L650" s="79">
        <f t="shared" si="321"/>
        <v>3</v>
      </c>
      <c r="M650" s="79">
        <f t="shared" si="315"/>
        <v>87</v>
      </c>
      <c r="N650" s="79">
        <f>SUM(N644:N649)</f>
        <v>102.00001</v>
      </c>
      <c r="O650" s="79">
        <f t="shared" si="316"/>
        <v>5805</v>
      </c>
      <c r="P650" s="79">
        <f>SUM(P644:P649)</f>
        <v>20</v>
      </c>
      <c r="Q650" s="79">
        <f>SUM(Q644:Q649)</f>
        <v>2</v>
      </c>
      <c r="R650" s="79">
        <f>SUM(R644:R649)</f>
        <v>22</v>
      </c>
      <c r="S650" s="79">
        <f>SUM(S644:S649)</f>
        <v>0</v>
      </c>
      <c r="U650" s="80">
        <f t="shared" si="318"/>
        <v>0</v>
      </c>
      <c r="W650" s="81">
        <f t="shared" si="300"/>
        <v>0.99622449999999996</v>
      </c>
      <c r="X650" s="81">
        <f t="shared" si="301"/>
        <v>0.99622449999999996</v>
      </c>
      <c r="Y650" s="81">
        <f t="shared" si="302"/>
        <v>0</v>
      </c>
      <c r="Z650" s="79"/>
      <c r="AF650" s="79"/>
      <c r="AJ650" s="66"/>
      <c r="AK650" s="65"/>
    </row>
    <row r="651" spans="1:37" hidden="1"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U651" s="80"/>
      <c r="W651" s="81" t="str">
        <f t="shared" si="300"/>
        <v xml:space="preserve"> </v>
      </c>
      <c r="X651" s="81" t="str">
        <f t="shared" si="301"/>
        <v xml:space="preserve"> </v>
      </c>
      <c r="Y651" s="81" t="str">
        <f t="shared" si="302"/>
        <v xml:space="preserve"> </v>
      </c>
      <c r="Z651" s="79"/>
      <c r="AF651" s="79"/>
      <c r="AJ651" s="66"/>
      <c r="AK651" s="65"/>
    </row>
    <row r="652" spans="1:37" hidden="1">
      <c r="A652" s="65">
        <f>A650+1</f>
        <v>22</v>
      </c>
      <c r="B652" s="66" t="s">
        <v>337</v>
      </c>
      <c r="C652" s="78">
        <f>0+0.0000001</f>
        <v>9.9999999999999995E-8</v>
      </c>
      <c r="D652" s="79">
        <f>C652-E652-SUM(G652:I652)-SUM(M652:N652)-R652-S652</f>
        <v>9.9999999999999995E-8</v>
      </c>
      <c r="E652" s="79">
        <v>0</v>
      </c>
      <c r="F652" s="78">
        <f>D652+E652</f>
        <v>9.9999999999999995E-8</v>
      </c>
      <c r="G652" s="79">
        <v>0</v>
      </c>
      <c r="H652" s="79">
        <v>0</v>
      </c>
      <c r="I652" s="79">
        <v>0</v>
      </c>
      <c r="J652" s="79">
        <v>0</v>
      </c>
      <c r="K652" s="79">
        <v>0</v>
      </c>
      <c r="L652" s="79">
        <v>0</v>
      </c>
      <c r="M652" s="79">
        <f>SUM(J652:L652)</f>
        <v>0</v>
      </c>
      <c r="N652" s="79">
        <v>0</v>
      </c>
      <c r="O652" s="79">
        <f>SUM(F652:I652)+SUM(M652:N652)</f>
        <v>9.9999999999999995E-8</v>
      </c>
      <c r="P652" s="79">
        <v>0</v>
      </c>
      <c r="Q652" s="79">
        <v>0</v>
      </c>
      <c r="R652" s="78">
        <f>P652+Q652</f>
        <v>0</v>
      </c>
      <c r="S652" s="79">
        <v>0</v>
      </c>
      <c r="U652" s="80">
        <f>O652+R652+S652-C652</f>
        <v>0</v>
      </c>
      <c r="W652" s="81">
        <f t="shared" si="300"/>
        <v>1</v>
      </c>
      <c r="X652" s="81">
        <f t="shared" si="301"/>
        <v>1</v>
      </c>
      <c r="Y652" s="81">
        <f t="shared" si="302"/>
        <v>0</v>
      </c>
      <c r="Z652" s="79"/>
      <c r="AF652" s="79"/>
      <c r="AJ652" s="66"/>
      <c r="AK652" s="70"/>
    </row>
    <row r="653" spans="1:37" hidden="1">
      <c r="C653" s="78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U653" s="80"/>
      <c r="W653" s="81" t="str">
        <f t="shared" si="300"/>
        <v xml:space="preserve"> </v>
      </c>
      <c r="X653" s="81" t="str">
        <f t="shared" si="301"/>
        <v xml:space="preserve"> </v>
      </c>
      <c r="Y653" s="81" t="str">
        <f t="shared" si="302"/>
        <v xml:space="preserve"> </v>
      </c>
      <c r="Z653" s="79"/>
      <c r="AF653" s="79"/>
      <c r="AJ653" s="66"/>
      <c r="AK653" s="65"/>
    </row>
    <row r="654" spans="1:37" hidden="1">
      <c r="A654" s="65">
        <f>A652+1</f>
        <v>23</v>
      </c>
      <c r="B654" s="66" t="s">
        <v>338</v>
      </c>
      <c r="C654" s="78">
        <f>30+10+82+45+205+177+1994+2507+549+1292-1</f>
        <v>6890</v>
      </c>
      <c r="D654" s="79">
        <f>C654-E654-SUM(G654:I654)-SUM(M654:N654)-R654-S654</f>
        <v>3624</v>
      </c>
      <c r="E654" s="79">
        <v>93</v>
      </c>
      <c r="F654" s="78">
        <f>D654+E654</f>
        <v>3717</v>
      </c>
      <c r="G654" s="79">
        <v>182</v>
      </c>
      <c r="H654" s="79">
        <v>1468</v>
      </c>
      <c r="I654" s="79">
        <v>853</v>
      </c>
      <c r="J654" s="79">
        <v>366</v>
      </c>
      <c r="K654" s="79">
        <v>27</v>
      </c>
      <c r="L654" s="79">
        <v>15</v>
      </c>
      <c r="M654" s="79">
        <f>SUM(J654:L654)</f>
        <v>408</v>
      </c>
      <c r="N654" s="79">
        <v>29</v>
      </c>
      <c r="O654" s="79">
        <f>SUM(F654:I654)+SUM(M654:N654)</f>
        <v>6657</v>
      </c>
      <c r="P654" s="79">
        <v>209</v>
      </c>
      <c r="Q654" s="79">
        <v>24</v>
      </c>
      <c r="R654" s="78">
        <f>P654+Q654</f>
        <v>233</v>
      </c>
      <c r="S654" s="79">
        <v>0</v>
      </c>
      <c r="U654" s="80">
        <f>O654+R654+S654-C654</f>
        <v>0</v>
      </c>
      <c r="W654" s="81">
        <f t="shared" si="300"/>
        <v>0.96618289999999996</v>
      </c>
      <c r="X654" s="81">
        <f t="shared" si="301"/>
        <v>0.96618289999999996</v>
      </c>
      <c r="Y654" s="81">
        <f t="shared" si="302"/>
        <v>0</v>
      </c>
      <c r="Z654" s="79"/>
      <c r="AF654" s="79"/>
      <c r="AJ654" s="66"/>
      <c r="AK654" s="70"/>
    </row>
    <row r="655" spans="1:37" hidden="1">
      <c r="A655" s="65">
        <f>A654+1</f>
        <v>24</v>
      </c>
      <c r="B655" s="71" t="s">
        <v>339</v>
      </c>
      <c r="C655" s="78">
        <f>8938</f>
        <v>8938</v>
      </c>
      <c r="D655" s="79">
        <v>0</v>
      </c>
      <c r="E655" s="79">
        <v>0</v>
      </c>
      <c r="F655" s="78">
        <f>D655+E655</f>
        <v>0</v>
      </c>
      <c r="G655" s="79">
        <v>0</v>
      </c>
      <c r="H655" s="79">
        <v>0</v>
      </c>
      <c r="I655" s="79">
        <f>C655</f>
        <v>8938</v>
      </c>
      <c r="J655" s="79">
        <v>0</v>
      </c>
      <c r="K655" s="79">
        <v>0</v>
      </c>
      <c r="L655" s="79">
        <v>0</v>
      </c>
      <c r="M655" s="79">
        <f>SUM(J655:L655)</f>
        <v>0</v>
      </c>
      <c r="N655" s="79">
        <v>0</v>
      </c>
      <c r="O655" s="79">
        <f>SUM(F655:I655)+SUM(M655:N655)</f>
        <v>8938</v>
      </c>
      <c r="P655" s="79">
        <v>0</v>
      </c>
      <c r="Q655" s="79">
        <v>0</v>
      </c>
      <c r="R655" s="78">
        <f>P655+Q655</f>
        <v>0</v>
      </c>
      <c r="S655" s="79">
        <v>0</v>
      </c>
      <c r="U655" s="80"/>
      <c r="W655" s="81"/>
      <c r="X655" s="81"/>
      <c r="Y655" s="81"/>
      <c r="Z655" s="79"/>
      <c r="AF655" s="79"/>
      <c r="AJ655" s="66"/>
      <c r="AK655" s="70"/>
    </row>
    <row r="656" spans="1:37" hidden="1">
      <c r="A656" s="65">
        <f>A655+1</f>
        <v>25</v>
      </c>
      <c r="B656" s="71" t="s">
        <v>340</v>
      </c>
      <c r="C656" s="78">
        <f>2866+954</f>
        <v>3820</v>
      </c>
      <c r="D656" s="79">
        <f>C656-E656-SUM(G656:I656)-SUM(M656:N656)-R656-S656</f>
        <v>0</v>
      </c>
      <c r="E656" s="79">
        <v>0</v>
      </c>
      <c r="F656" s="78">
        <f>D656+E656</f>
        <v>0</v>
      </c>
      <c r="G656" s="79">
        <v>0</v>
      </c>
      <c r="H656" s="79">
        <v>0</v>
      </c>
      <c r="I656" s="79">
        <v>0</v>
      </c>
      <c r="J656" s="79">
        <v>0</v>
      </c>
      <c r="K656" s="79">
        <v>0</v>
      </c>
      <c r="L656" s="79">
        <v>0</v>
      </c>
      <c r="M656" s="79">
        <f>SUM(J656:L656)</f>
        <v>0</v>
      </c>
      <c r="N656" s="79">
        <v>0</v>
      </c>
      <c r="O656" s="79">
        <f>SUM(F656:I656)+SUM(M656:N656)</f>
        <v>0</v>
      </c>
      <c r="P656" s="79">
        <f>C656</f>
        <v>3820</v>
      </c>
      <c r="Q656" s="79">
        <v>0</v>
      </c>
      <c r="R656" s="78">
        <f t="shared" ref="R656:R658" si="322">P656+Q656</f>
        <v>3820</v>
      </c>
      <c r="S656" s="79">
        <v>0</v>
      </c>
      <c r="U656" s="80">
        <f>O656+R656+S656-C656</f>
        <v>0</v>
      </c>
      <c r="W656" s="81">
        <f t="shared" si="300"/>
        <v>0</v>
      </c>
      <c r="X656" s="81">
        <f t="shared" si="301"/>
        <v>0</v>
      </c>
      <c r="Y656" s="81">
        <f t="shared" si="302"/>
        <v>0</v>
      </c>
      <c r="Z656" s="79"/>
      <c r="AF656" s="79"/>
      <c r="AJ656" s="66"/>
      <c r="AK656" s="70"/>
    </row>
    <row r="657" spans="1:37" hidden="1">
      <c r="A657" s="65">
        <f>A656+1</f>
        <v>26</v>
      </c>
      <c r="B657" s="71" t="s">
        <v>341</v>
      </c>
      <c r="C657" s="78">
        <f>262+39</f>
        <v>301</v>
      </c>
      <c r="D657" s="79">
        <v>0</v>
      </c>
      <c r="E657" s="79">
        <v>0</v>
      </c>
      <c r="F657" s="78">
        <f>D657+E657</f>
        <v>0</v>
      </c>
      <c r="G657" s="79">
        <v>0</v>
      </c>
      <c r="H657" s="79">
        <v>0</v>
      </c>
      <c r="I657" s="79">
        <v>0</v>
      </c>
      <c r="J657" s="79">
        <v>0</v>
      </c>
      <c r="K657" s="79">
        <v>0</v>
      </c>
      <c r="L657" s="79">
        <v>0</v>
      </c>
      <c r="M657" s="79">
        <f>SUM(J657:L657)</f>
        <v>0</v>
      </c>
      <c r="N657" s="79">
        <v>0</v>
      </c>
      <c r="O657" s="79">
        <f>SUM(F657:I657)+SUM(M657:N657)</f>
        <v>0</v>
      </c>
      <c r="P657" s="79">
        <v>0</v>
      </c>
      <c r="Q657" s="79">
        <f>C657</f>
        <v>301</v>
      </c>
      <c r="R657" s="78">
        <f t="shared" si="322"/>
        <v>301</v>
      </c>
      <c r="S657" s="79">
        <v>0</v>
      </c>
      <c r="U657" s="80">
        <f>O657+R657+S657-C657</f>
        <v>0</v>
      </c>
      <c r="W657" s="81">
        <f t="shared" si="300"/>
        <v>0</v>
      </c>
      <c r="X657" s="81">
        <f t="shared" si="301"/>
        <v>0</v>
      </c>
      <c r="Y657" s="81">
        <f t="shared" si="302"/>
        <v>0</v>
      </c>
      <c r="Z657" s="79"/>
      <c r="AF657" s="79"/>
      <c r="AJ657" s="66"/>
      <c r="AK657" s="70"/>
    </row>
    <row r="658" spans="1:37" hidden="1">
      <c r="A658" s="65">
        <f>A657+1</f>
        <v>27</v>
      </c>
      <c r="B658" s="66" t="s">
        <v>342</v>
      </c>
      <c r="C658" s="79">
        <f>O658+R658+S658</f>
        <v>19949</v>
      </c>
      <c r="D658" s="79">
        <f>SUM(D654:D657)</f>
        <v>3624</v>
      </c>
      <c r="E658" s="79">
        <f>SUM(E654:E657)</f>
        <v>93</v>
      </c>
      <c r="F658" s="78">
        <f>D658+E658</f>
        <v>3717</v>
      </c>
      <c r="G658" s="79">
        <f>SUM(G654:G657)</f>
        <v>182</v>
      </c>
      <c r="H658" s="79">
        <f t="shared" ref="H658:N658" si="323">SUM(H654:H657)</f>
        <v>1468</v>
      </c>
      <c r="I658" s="79">
        <f t="shared" si="323"/>
        <v>9791</v>
      </c>
      <c r="J658" s="79">
        <f t="shared" si="323"/>
        <v>366</v>
      </c>
      <c r="K658" s="79">
        <f t="shared" si="323"/>
        <v>27</v>
      </c>
      <c r="L658" s="79">
        <f t="shared" si="323"/>
        <v>15</v>
      </c>
      <c r="M658" s="79">
        <f>SUM(J658:L658)</f>
        <v>408</v>
      </c>
      <c r="N658" s="79">
        <f t="shared" si="323"/>
        <v>29</v>
      </c>
      <c r="O658" s="79">
        <f>SUM(F658:I658)+SUM(M658:N658)</f>
        <v>15595</v>
      </c>
      <c r="P658" s="79">
        <f t="shared" ref="P658" si="324">SUM(P654:P657)</f>
        <v>4029</v>
      </c>
      <c r="Q658" s="79">
        <f t="shared" ref="Q658" si="325">SUM(Q654:Q657)</f>
        <v>325</v>
      </c>
      <c r="R658" s="78">
        <f t="shared" si="322"/>
        <v>4354</v>
      </c>
      <c r="S658" s="79">
        <f>SUM(S654:S656)</f>
        <v>0</v>
      </c>
      <c r="U658" s="80">
        <f>O658+R658+S658-C658</f>
        <v>0</v>
      </c>
      <c r="W658" s="81">
        <f t="shared" si="300"/>
        <v>0.78174339999999998</v>
      </c>
      <c r="X658" s="81">
        <f t="shared" si="301"/>
        <v>0.78174339999999998</v>
      </c>
      <c r="Y658" s="81">
        <f t="shared" si="302"/>
        <v>0</v>
      </c>
      <c r="Z658" s="79"/>
      <c r="AF658" s="79"/>
      <c r="AJ658" s="66"/>
      <c r="AK658" s="65"/>
    </row>
    <row r="659" spans="1:37" hidden="1">
      <c r="A659" s="66"/>
      <c r="U659" s="66"/>
      <c r="V659" s="66"/>
      <c r="W659" s="81" t="str">
        <f t="shared" si="300"/>
        <v xml:space="preserve"> </v>
      </c>
      <c r="X659" s="81" t="str">
        <f t="shared" si="301"/>
        <v xml:space="preserve"> </v>
      </c>
      <c r="Y659" s="81" t="str">
        <f t="shared" si="302"/>
        <v xml:space="preserve"> </v>
      </c>
      <c r="AJ659" s="66"/>
    </row>
    <row r="660" spans="1:37" hidden="1">
      <c r="A660" s="65">
        <f>A658+1</f>
        <v>28</v>
      </c>
      <c r="B660" s="66" t="s">
        <v>343</v>
      </c>
      <c r="C660" s="78">
        <f>52341+275-275</f>
        <v>52341</v>
      </c>
      <c r="D660" s="79">
        <f>C660-E660-SUM(G660:I660)-SUM(M660:N660)-R660-S660</f>
        <v>0</v>
      </c>
      <c r="E660" s="79">
        <v>0</v>
      </c>
      <c r="F660" s="79">
        <f>D660+E660</f>
        <v>0</v>
      </c>
      <c r="G660" s="79">
        <v>0</v>
      </c>
      <c r="H660" s="79">
        <v>0</v>
      </c>
      <c r="I660" s="79">
        <v>0</v>
      </c>
      <c r="J660" s="79">
        <v>0</v>
      </c>
      <c r="K660" s="79">
        <v>0</v>
      </c>
      <c r="L660" s="79">
        <v>0</v>
      </c>
      <c r="M660" s="79">
        <f>SUM(J660:L660)</f>
        <v>0</v>
      </c>
      <c r="N660" s="79">
        <v>0</v>
      </c>
      <c r="O660" s="79">
        <f>SUM(F660:I660)+SUM(M660:N660)</f>
        <v>0</v>
      </c>
      <c r="P660" s="79">
        <v>0</v>
      </c>
      <c r="Q660" s="79">
        <v>0</v>
      </c>
      <c r="R660" s="78">
        <f>P660+Q660</f>
        <v>0</v>
      </c>
      <c r="S660" s="78">
        <v>52341</v>
      </c>
      <c r="U660" s="80">
        <f>O660+R660+S660-C660</f>
        <v>0</v>
      </c>
      <c r="W660" s="81" t="str">
        <f t="shared" si="300"/>
        <v xml:space="preserve"> </v>
      </c>
      <c r="X660" s="81">
        <f t="shared" si="301"/>
        <v>0</v>
      </c>
      <c r="Y660" s="81">
        <f t="shared" si="302"/>
        <v>1</v>
      </c>
      <c r="Z660" s="79"/>
      <c r="AF660" s="79"/>
      <c r="AJ660" s="66"/>
    </row>
    <row r="661" spans="1:37" hidden="1">
      <c r="A661" s="65">
        <f>A660+1</f>
        <v>29</v>
      </c>
      <c r="B661" s="66" t="s">
        <v>344</v>
      </c>
      <c r="C661" s="78">
        <f>42346+9049-44085+38574+6757+759-35724-6995+2</f>
        <v>10683</v>
      </c>
      <c r="D661" s="79">
        <f>C661-E661-SUM(G661:I661)-SUM(M661:N661)-R661-S661</f>
        <v>1511</v>
      </c>
      <c r="E661" s="79">
        <v>57</v>
      </c>
      <c r="F661" s="79">
        <f>D661+E661</f>
        <v>1568</v>
      </c>
      <c r="G661" s="79">
        <v>83</v>
      </c>
      <c r="H661" s="79">
        <v>760</v>
      </c>
      <c r="I661" s="79">
        <v>509</v>
      </c>
      <c r="J661" s="79">
        <v>276</v>
      </c>
      <c r="K661" s="79">
        <v>13</v>
      </c>
      <c r="L661" s="79">
        <v>11</v>
      </c>
      <c r="M661" s="79">
        <f>SUM(J661:L661)</f>
        <v>300</v>
      </c>
      <c r="N661" s="79">
        <v>45</v>
      </c>
      <c r="O661" s="79">
        <f>SUM(F661:I661)+SUM(M661:N661)</f>
        <v>3265</v>
      </c>
      <c r="P661" s="79">
        <v>96</v>
      </c>
      <c r="Q661" s="79">
        <v>11</v>
      </c>
      <c r="R661" s="78">
        <f>P661+Q661</f>
        <v>107</v>
      </c>
      <c r="S661" s="78">
        <f>42346+9049-44085+1</f>
        <v>7311</v>
      </c>
      <c r="U661" s="80">
        <f>O661+R661+S661-C661</f>
        <v>0</v>
      </c>
      <c r="W661" s="81">
        <f t="shared" si="300"/>
        <v>0.96826809999999996</v>
      </c>
      <c r="X661" s="81">
        <f t="shared" si="301"/>
        <v>0.3056258</v>
      </c>
      <c r="Y661" s="81">
        <f t="shared" si="302"/>
        <v>0.68435829999999997</v>
      </c>
      <c r="Z661" s="79"/>
      <c r="AF661" s="79"/>
      <c r="AJ661" s="66"/>
    </row>
    <row r="662" spans="1:37" hidden="1">
      <c r="A662" s="65">
        <f>A661+1</f>
        <v>30</v>
      </c>
      <c r="B662" s="66" t="s">
        <v>345</v>
      </c>
      <c r="C662" s="79">
        <f>O662+R662+S662</f>
        <v>63024</v>
      </c>
      <c r="D662" s="79">
        <f>SUM(D660:D661)</f>
        <v>1511</v>
      </c>
      <c r="E662" s="79">
        <f>SUM(E660:E661)</f>
        <v>57</v>
      </c>
      <c r="F662" s="79">
        <f>D662+E662</f>
        <v>1568</v>
      </c>
      <c r="G662" s="79">
        <f t="shared" ref="G662:L662" si="326">SUM(G660:G661)</f>
        <v>83</v>
      </c>
      <c r="H662" s="79">
        <f t="shared" si="326"/>
        <v>760</v>
      </c>
      <c r="I662" s="79">
        <f t="shared" si="326"/>
        <v>509</v>
      </c>
      <c r="J662" s="79">
        <f t="shared" si="326"/>
        <v>276</v>
      </c>
      <c r="K662" s="79">
        <f t="shared" si="326"/>
        <v>13</v>
      </c>
      <c r="L662" s="79">
        <f t="shared" si="326"/>
        <v>11</v>
      </c>
      <c r="M662" s="79">
        <f>SUM(J662:L662)</f>
        <v>300</v>
      </c>
      <c r="N662" s="79">
        <f>SUM(N660:N661)</f>
        <v>45</v>
      </c>
      <c r="O662" s="79">
        <f>SUM(F662:I662)+SUM(M662:N662)</f>
        <v>3265</v>
      </c>
      <c r="P662" s="79">
        <f>SUM(P660:P661)</f>
        <v>96</v>
      </c>
      <c r="Q662" s="79">
        <f>SUM(Q660:Q661)</f>
        <v>11</v>
      </c>
      <c r="R662" s="78">
        <f>P662+Q662</f>
        <v>107</v>
      </c>
      <c r="S662" s="79">
        <f>SUM(S660:S661)</f>
        <v>59652</v>
      </c>
      <c r="U662" s="80">
        <f>O662+R662+S662-C662</f>
        <v>0</v>
      </c>
      <c r="W662" s="81">
        <f t="shared" si="300"/>
        <v>0.96826809999999996</v>
      </c>
      <c r="X662" s="81">
        <f t="shared" si="301"/>
        <v>5.1805700000000003E-2</v>
      </c>
      <c r="Y662" s="81">
        <f t="shared" si="302"/>
        <v>0.94649660000000002</v>
      </c>
      <c r="Z662" s="79"/>
      <c r="AF662" s="79"/>
      <c r="AJ662" s="66"/>
      <c r="AK662" s="65"/>
    </row>
    <row r="663" spans="1:37" hidden="1"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U663" s="80"/>
      <c r="W663" s="81" t="str">
        <f t="shared" si="300"/>
        <v xml:space="preserve"> </v>
      </c>
      <c r="X663" s="81" t="str">
        <f t="shared" si="301"/>
        <v xml:space="preserve"> </v>
      </c>
      <c r="Y663" s="81" t="str">
        <f t="shared" si="302"/>
        <v xml:space="preserve"> </v>
      </c>
      <c r="Z663" s="79"/>
      <c r="AF663" s="79"/>
      <c r="AJ663" s="66"/>
      <c r="AK663" s="65"/>
    </row>
    <row r="664" spans="1:37" hidden="1">
      <c r="A664" s="65">
        <f>A662+1</f>
        <v>31</v>
      </c>
      <c r="B664" s="66" t="s">
        <v>346</v>
      </c>
      <c r="C664" s="79">
        <f>O664+R664+S664</f>
        <v>133479.00460009999</v>
      </c>
      <c r="D664" s="79">
        <f>D641+D650+D652+D658+D662</f>
        <v>37028.984990099998</v>
      </c>
      <c r="E664" s="79">
        <f>E641+E650+E652+E658+E662</f>
        <v>935.00099999999998</v>
      </c>
      <c r="F664" s="79">
        <f>D664+E664</f>
        <v>37963.985990099995</v>
      </c>
      <c r="G664" s="79">
        <f t="shared" ref="G664:L664" si="327">G641+G650+G652+G658+G662</f>
        <v>2497</v>
      </c>
      <c r="H664" s="79">
        <f t="shared" si="327"/>
        <v>10924</v>
      </c>
      <c r="I664" s="79">
        <f t="shared" si="327"/>
        <v>14344.00045</v>
      </c>
      <c r="J664" s="79">
        <f t="shared" si="327"/>
        <v>2091.0004500000005</v>
      </c>
      <c r="K664" s="79">
        <f t="shared" si="327"/>
        <v>156.00045</v>
      </c>
      <c r="L664" s="79">
        <f t="shared" si="327"/>
        <v>108.00045000000001</v>
      </c>
      <c r="M664" s="79">
        <f>SUM(J664:L664)</f>
        <v>2355.0013500000005</v>
      </c>
      <c r="N664" s="79">
        <f>N641+N650+N652+N658+N662</f>
        <v>1260.0004600000004</v>
      </c>
      <c r="O664" s="79">
        <f>SUM(F664:I664)+SUM(M664:N664)</f>
        <v>69343.988250099996</v>
      </c>
      <c r="P664" s="79">
        <f>P641+P650+P652+P658+P662</f>
        <v>4145.0054500000006</v>
      </c>
      <c r="Q664" s="79">
        <f>Q641+Q650+Q652+Q658+Q662</f>
        <v>338.00545</v>
      </c>
      <c r="R664" s="78">
        <f>P664+Q664</f>
        <v>4483.0109000000002</v>
      </c>
      <c r="S664" s="79">
        <f>S641+S650+S652+S658+S662</f>
        <v>59652.005449999997</v>
      </c>
      <c r="U664" s="80">
        <f>O664+R664+S664-C664</f>
        <v>0</v>
      </c>
      <c r="W664" s="81">
        <f t="shared" si="300"/>
        <v>0.93927680000000002</v>
      </c>
      <c r="X664" s="81">
        <f t="shared" si="301"/>
        <v>0.51951230000000004</v>
      </c>
      <c r="Y664" s="81">
        <f t="shared" si="302"/>
        <v>0.44690180000000002</v>
      </c>
      <c r="Z664" s="79"/>
      <c r="AF664" s="79"/>
      <c r="AJ664" s="66"/>
      <c r="AK664" s="65"/>
    </row>
    <row r="665" spans="1:37" hidden="1">
      <c r="B665" s="72"/>
      <c r="C665" s="79"/>
      <c r="H665" s="65" t="s">
        <v>80</v>
      </c>
      <c r="J665" s="79"/>
      <c r="K665" s="79"/>
      <c r="L665" s="79"/>
      <c r="M665" s="79"/>
      <c r="N665" s="80"/>
      <c r="Q665" s="65" t="s">
        <v>80</v>
      </c>
      <c r="R665" s="79"/>
      <c r="S665" s="65"/>
      <c r="W665" s="81"/>
      <c r="X665" s="81"/>
      <c r="Y665" s="81"/>
      <c r="Z665" s="65"/>
      <c r="AJ665" s="66"/>
      <c r="AK665" s="65"/>
    </row>
    <row r="666" spans="1:37" hidden="1">
      <c r="B666" s="72"/>
      <c r="C666" s="79"/>
      <c r="H666" s="70" t="str">
        <f>$H$24</f>
        <v>12 MONTHS ENDING DECEMBER 31, 2012</v>
      </c>
      <c r="J666" s="79"/>
      <c r="K666" s="79"/>
      <c r="L666" s="79"/>
      <c r="M666" s="79"/>
      <c r="N666" s="79"/>
      <c r="Q666" s="70" t="str">
        <f>$H$24</f>
        <v>12 MONTHS ENDING DECEMBER 31, 2012</v>
      </c>
      <c r="R666" s="79"/>
      <c r="S666" s="79"/>
      <c r="U666" s="80"/>
      <c r="W666" s="81"/>
      <c r="X666" s="81"/>
      <c r="Y666" s="81"/>
      <c r="Z666" s="70"/>
      <c r="AJ666" s="66"/>
      <c r="AK666" s="65"/>
    </row>
    <row r="667" spans="1:37" hidden="1">
      <c r="C667" s="79"/>
      <c r="H667" s="70" t="str">
        <f>$H$25</f>
        <v>12/13 DEMAND ALLOCATION WITH MDS METHODOLOGY</v>
      </c>
      <c r="Q667" s="70" t="str">
        <f>$H$25</f>
        <v>12/13 DEMAND ALLOCATION WITH MDS METHODOLOGY</v>
      </c>
      <c r="R667" s="79"/>
      <c r="S667" s="79"/>
      <c r="W667" s="81"/>
      <c r="X667" s="81"/>
      <c r="Y667" s="81"/>
      <c r="Z667" s="70"/>
      <c r="AJ667" s="66"/>
      <c r="AK667" s="65"/>
    </row>
    <row r="668" spans="1:37" hidden="1">
      <c r="C668" s="79"/>
      <c r="H668" s="87" t="s">
        <v>102</v>
      </c>
      <c r="J668" s="79"/>
      <c r="K668" s="79"/>
      <c r="L668" s="79"/>
      <c r="M668" s="79"/>
      <c r="N668" s="79"/>
      <c r="Q668" s="87" t="s">
        <v>102</v>
      </c>
      <c r="R668" s="79"/>
      <c r="S668" s="79"/>
      <c r="U668" s="80"/>
      <c r="W668" s="81"/>
      <c r="X668" s="81"/>
      <c r="Y668" s="81"/>
      <c r="Z668" s="87"/>
      <c r="AJ668" s="66"/>
      <c r="AK668" s="65"/>
    </row>
    <row r="669" spans="1:37" hidden="1">
      <c r="C669" s="79"/>
      <c r="H669" s="87" t="s">
        <v>114</v>
      </c>
      <c r="J669" s="79"/>
      <c r="K669" s="79"/>
      <c r="L669" s="79"/>
      <c r="M669" s="79"/>
      <c r="N669" s="79"/>
      <c r="Q669" s="87" t="s">
        <v>114</v>
      </c>
      <c r="S669" s="79"/>
      <c r="U669" s="80"/>
      <c r="X669" s="81"/>
      <c r="Y669" s="81"/>
      <c r="Z669" s="87"/>
      <c r="AF669" s="79"/>
      <c r="AJ669" s="66"/>
      <c r="AK669" s="65"/>
    </row>
    <row r="670" spans="1:37" hidden="1">
      <c r="C670" s="65" t="s">
        <v>59</v>
      </c>
      <c r="K670" s="65"/>
      <c r="L670" s="65"/>
      <c r="M670" s="65"/>
      <c r="O670" s="65" t="s">
        <v>59</v>
      </c>
      <c r="P670" s="65"/>
      <c r="Q670" s="65"/>
      <c r="R670" s="65"/>
      <c r="S670" s="65" t="s">
        <v>115</v>
      </c>
      <c r="W670" s="76" t="s">
        <v>116</v>
      </c>
      <c r="X670" s="76" t="s">
        <v>116</v>
      </c>
      <c r="Y670" s="76" t="s">
        <v>117</v>
      </c>
      <c r="AF670" s="65"/>
      <c r="AJ670" s="66"/>
      <c r="AK670" s="65"/>
    </row>
    <row r="671" spans="1:37" hidden="1">
      <c r="A671" s="65" t="s">
        <v>118</v>
      </c>
      <c r="C671" s="65" t="s">
        <v>58</v>
      </c>
      <c r="D671" s="70" t="s">
        <v>119</v>
      </c>
      <c r="E671" s="70" t="s">
        <v>119</v>
      </c>
      <c r="F671" s="70" t="s">
        <v>119</v>
      </c>
      <c r="G671" s="70" t="s">
        <v>119</v>
      </c>
      <c r="H671" s="70" t="s">
        <v>119</v>
      </c>
      <c r="I671" s="70" t="s">
        <v>119</v>
      </c>
      <c r="J671" s="70" t="s">
        <v>119</v>
      </c>
      <c r="K671" s="70" t="s">
        <v>119</v>
      </c>
      <c r="L671" s="70" t="s">
        <v>119</v>
      </c>
      <c r="M671" s="70" t="s">
        <v>119</v>
      </c>
      <c r="N671" s="70" t="s">
        <v>119</v>
      </c>
      <c r="O671" s="65" t="s">
        <v>116</v>
      </c>
      <c r="P671" s="65"/>
      <c r="Q671" s="70" t="s">
        <v>120</v>
      </c>
      <c r="R671" s="65"/>
      <c r="S671" s="65" t="s">
        <v>121</v>
      </c>
      <c r="W671" s="76" t="s">
        <v>122</v>
      </c>
      <c r="X671" s="76" t="s">
        <v>123</v>
      </c>
      <c r="Y671" s="76" t="s">
        <v>124</v>
      </c>
      <c r="Z671" s="65"/>
      <c r="AF671" s="70"/>
      <c r="AJ671" s="66"/>
      <c r="AK671" s="65"/>
    </row>
    <row r="672" spans="1:37" hidden="1">
      <c r="A672" s="65" t="s">
        <v>125</v>
      </c>
      <c r="B672" s="65" t="s">
        <v>126</v>
      </c>
      <c r="C672" s="65" t="s">
        <v>57</v>
      </c>
      <c r="D672" s="70" t="s">
        <v>127</v>
      </c>
      <c r="E672" s="70" t="s">
        <v>128</v>
      </c>
      <c r="F672" s="70" t="s">
        <v>129</v>
      </c>
      <c r="G672" s="70" t="s">
        <v>130</v>
      </c>
      <c r="H672" s="70" t="s">
        <v>131</v>
      </c>
      <c r="I672" s="65" t="s">
        <v>132</v>
      </c>
      <c r="J672" s="70" t="s">
        <v>133</v>
      </c>
      <c r="K672" s="70" t="s">
        <v>134</v>
      </c>
      <c r="L672" s="70" t="s">
        <v>135</v>
      </c>
      <c r="M672" s="70" t="s">
        <v>136</v>
      </c>
      <c r="N672" s="70" t="s">
        <v>137</v>
      </c>
      <c r="O672" s="65" t="s">
        <v>138</v>
      </c>
      <c r="P672" s="70" t="s">
        <v>139</v>
      </c>
      <c r="Q672" s="70" t="s">
        <v>140</v>
      </c>
      <c r="R672" s="65" t="s">
        <v>122</v>
      </c>
      <c r="S672" s="65" t="s">
        <v>141</v>
      </c>
      <c r="U672" s="65" t="s">
        <v>162</v>
      </c>
      <c r="W672" s="76" t="s">
        <v>142</v>
      </c>
      <c r="X672" s="76" t="s">
        <v>142</v>
      </c>
      <c r="Y672" s="76" t="s">
        <v>142</v>
      </c>
      <c r="Z672" s="65"/>
      <c r="AF672" s="70"/>
      <c r="AJ672" s="66"/>
      <c r="AK672" s="65"/>
    </row>
    <row r="673" spans="1:37" hidden="1">
      <c r="A673" s="65" t="s">
        <v>143</v>
      </c>
      <c r="B673" s="65" t="s">
        <v>144</v>
      </c>
      <c r="C673" s="65" t="s">
        <v>145</v>
      </c>
      <c r="D673" s="70" t="s">
        <v>146</v>
      </c>
      <c r="E673" s="70" t="s">
        <v>147</v>
      </c>
      <c r="F673" s="70" t="s">
        <v>148</v>
      </c>
      <c r="G673" s="65" t="s">
        <v>149</v>
      </c>
      <c r="H673" s="65" t="s">
        <v>150</v>
      </c>
      <c r="I673" s="65" t="s">
        <v>151</v>
      </c>
      <c r="J673" s="70" t="s">
        <v>152</v>
      </c>
      <c r="K673" s="70" t="s">
        <v>153</v>
      </c>
      <c r="L673" s="70" t="s">
        <v>154</v>
      </c>
      <c r="M673" s="70" t="s">
        <v>155</v>
      </c>
      <c r="N673" s="70" t="s">
        <v>156</v>
      </c>
      <c r="O673" s="70" t="s">
        <v>157</v>
      </c>
      <c r="P673" s="70" t="s">
        <v>158</v>
      </c>
      <c r="Q673" s="70" t="s">
        <v>159</v>
      </c>
      <c r="R673" s="70" t="s">
        <v>160</v>
      </c>
      <c r="S673" s="70" t="s">
        <v>161</v>
      </c>
      <c r="W673" s="77" t="s">
        <v>163</v>
      </c>
      <c r="X673" s="77" t="s">
        <v>164</v>
      </c>
      <c r="Y673" s="76" t="s">
        <v>165</v>
      </c>
      <c r="Z673" s="70"/>
      <c r="AF673" s="76"/>
      <c r="AJ673" s="66"/>
      <c r="AK673" s="70"/>
    </row>
    <row r="674" spans="1:37" hidden="1"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8"/>
      <c r="S674" s="79"/>
      <c r="U674" s="80"/>
      <c r="W674" s="81"/>
      <c r="X674" s="81"/>
      <c r="Y674" s="81"/>
      <c r="Z674" s="79"/>
      <c r="AF674" s="79"/>
      <c r="AJ674" s="66"/>
      <c r="AK674" s="65"/>
    </row>
    <row r="675" spans="1:37" hidden="1"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8"/>
      <c r="S675" s="79"/>
      <c r="U675" s="80"/>
      <c r="W675" s="81"/>
      <c r="X675" s="81"/>
      <c r="Y675" s="81"/>
      <c r="Z675" s="79"/>
      <c r="AF675" s="79"/>
      <c r="AJ675" s="66"/>
      <c r="AK675" s="65"/>
    </row>
    <row r="676" spans="1:37" hidden="1"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U676" s="80"/>
      <c r="W676" s="81" t="str">
        <f t="shared" si="300"/>
        <v xml:space="preserve"> </v>
      </c>
      <c r="X676" s="81" t="str">
        <f t="shared" si="301"/>
        <v xml:space="preserve"> </v>
      </c>
      <c r="Y676" s="81" t="str">
        <f t="shared" si="302"/>
        <v xml:space="preserve"> </v>
      </c>
      <c r="Z676" s="79"/>
      <c r="AF676" s="79"/>
      <c r="AJ676" s="66"/>
      <c r="AK676" s="65"/>
    </row>
    <row r="677" spans="1:37" hidden="1">
      <c r="B677" s="65" t="s">
        <v>347</v>
      </c>
      <c r="C677" s="79"/>
      <c r="D677" s="79"/>
      <c r="E677" s="79"/>
      <c r="F677" s="79"/>
      <c r="G677" s="79"/>
      <c r="H677" s="79"/>
      <c r="I677" s="79" t="s">
        <v>348</v>
      </c>
      <c r="J677" s="79"/>
      <c r="K677" s="79"/>
      <c r="L677" s="79"/>
      <c r="M677" s="79"/>
      <c r="N677" s="79"/>
      <c r="O677" s="79"/>
      <c r="P677" s="79"/>
      <c r="Q677" s="79"/>
      <c r="R677" s="79"/>
      <c r="S677" s="78"/>
      <c r="U677" s="80"/>
      <c r="W677" s="81" t="str">
        <f t="shared" si="300"/>
        <v xml:space="preserve"> </v>
      </c>
      <c r="X677" s="81" t="str">
        <f t="shared" si="301"/>
        <v xml:space="preserve"> </v>
      </c>
      <c r="Y677" s="81" t="str">
        <f t="shared" si="302"/>
        <v xml:space="preserve"> </v>
      </c>
      <c r="Z677" s="79"/>
      <c r="AF677" s="79"/>
      <c r="AJ677" s="66"/>
      <c r="AK677" s="65"/>
    </row>
    <row r="678" spans="1:37" hidden="1">
      <c r="B678" s="83" t="s">
        <v>170</v>
      </c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U678" s="80"/>
      <c r="W678" s="81" t="str">
        <f t="shared" si="300"/>
        <v xml:space="preserve"> </v>
      </c>
      <c r="X678" s="81" t="str">
        <f t="shared" si="301"/>
        <v xml:space="preserve"> </v>
      </c>
      <c r="Y678" s="81" t="str">
        <f t="shared" si="302"/>
        <v xml:space="preserve"> </v>
      </c>
      <c r="Z678" s="79"/>
      <c r="AF678" s="79"/>
      <c r="AJ678" s="66"/>
      <c r="AK678" s="65"/>
    </row>
    <row r="679" spans="1:37" hidden="1"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U679" s="80"/>
      <c r="W679" s="81" t="str">
        <f t="shared" si="300"/>
        <v xml:space="preserve"> </v>
      </c>
      <c r="X679" s="81" t="str">
        <f t="shared" si="301"/>
        <v xml:space="preserve"> </v>
      </c>
      <c r="Y679" s="81" t="str">
        <f t="shared" si="302"/>
        <v xml:space="preserve"> </v>
      </c>
      <c r="Z679" s="79"/>
      <c r="AF679" s="79"/>
      <c r="AJ679" s="66"/>
      <c r="AK679" s="65"/>
    </row>
    <row r="680" spans="1:37" hidden="1">
      <c r="A680" s="65">
        <f>A664+1</f>
        <v>32</v>
      </c>
      <c r="B680" s="66" t="s">
        <v>349</v>
      </c>
      <c r="C680" s="79">
        <f>O680+R680+S680</f>
        <v>-39237.995000000003</v>
      </c>
      <c r="D680" s="79">
        <f>-D635</f>
        <v>-22830.985000000001</v>
      </c>
      <c r="E680" s="79">
        <f>-E635</f>
        <v>-674</v>
      </c>
      <c r="F680" s="79">
        <f>D680+E680</f>
        <v>-23504.985000000001</v>
      </c>
      <c r="G680" s="79">
        <f t="shared" ref="G680:L680" si="328">-G635</f>
        <v>-1670</v>
      </c>
      <c r="H680" s="79">
        <f t="shared" si="328"/>
        <v>-7687</v>
      </c>
      <c r="I680" s="79">
        <f t="shared" si="328"/>
        <v>-3732</v>
      </c>
      <c r="J680" s="79">
        <f t="shared" si="328"/>
        <v>-1376</v>
      </c>
      <c r="K680" s="79">
        <f t="shared" si="328"/>
        <v>-105</v>
      </c>
      <c r="L680" s="79">
        <f t="shared" si="328"/>
        <v>-79</v>
      </c>
      <c r="M680" s="79">
        <f>SUM(J680:L680)</f>
        <v>-1560</v>
      </c>
      <c r="N680" s="79">
        <f>-N635</f>
        <v>-1084</v>
      </c>
      <c r="O680" s="79">
        <f>SUM(F680:I680)+SUM(M680:N680)</f>
        <v>-39237.985000000001</v>
      </c>
      <c r="P680" s="79">
        <f>-P635</f>
        <v>-5.0000000000000001E-3</v>
      </c>
      <c r="Q680" s="79">
        <f>-Q635</f>
        <v>-5.0000000000000001E-3</v>
      </c>
      <c r="R680" s="78">
        <f t="shared" ref="R680:R685" si="329">P680+Q680</f>
        <v>-0.01</v>
      </c>
      <c r="S680" s="79">
        <v>0</v>
      </c>
      <c r="U680" s="80">
        <f t="shared" ref="U680:U685" si="330">O680+R680+S680-C680</f>
        <v>0</v>
      </c>
      <c r="W680" s="81">
        <f t="shared" si="300"/>
        <v>0.99999970000000005</v>
      </c>
      <c r="X680" s="81">
        <f t="shared" si="301"/>
        <v>0.99999970000000005</v>
      </c>
      <c r="Y680" s="81">
        <f t="shared" si="302"/>
        <v>0</v>
      </c>
      <c r="Z680" s="79"/>
      <c r="AF680" s="79"/>
      <c r="AJ680" s="66"/>
      <c r="AK680" s="65"/>
    </row>
    <row r="681" spans="1:37" hidden="1">
      <c r="A681" s="65">
        <f>A680+1</f>
        <v>33</v>
      </c>
      <c r="B681" s="71" t="s">
        <v>350</v>
      </c>
      <c r="C681" s="79">
        <f>O681+R681+S681</f>
        <v>575</v>
      </c>
      <c r="D681" s="91">
        <f>390+8</f>
        <v>398</v>
      </c>
      <c r="E681" s="91">
        <v>0</v>
      </c>
      <c r="F681" s="79">
        <f>D681+E681</f>
        <v>398</v>
      </c>
      <c r="G681" s="91">
        <v>26</v>
      </c>
      <c r="H681" s="91">
        <v>151</v>
      </c>
      <c r="I681" s="91">
        <v>0</v>
      </c>
      <c r="J681" s="91">
        <v>0</v>
      </c>
      <c r="K681" s="91">
        <v>0</v>
      </c>
      <c r="L681" s="91">
        <v>0</v>
      </c>
      <c r="M681" s="79">
        <f>SUM(J681:L681)</f>
        <v>0</v>
      </c>
      <c r="N681" s="91">
        <v>0</v>
      </c>
      <c r="O681" s="79">
        <f>SUM(F681:I681)+SUM(M681:N681)</f>
        <v>575</v>
      </c>
      <c r="P681" s="91">
        <v>0</v>
      </c>
      <c r="Q681" s="91">
        <v>0</v>
      </c>
      <c r="R681" s="78">
        <f t="shared" si="329"/>
        <v>0</v>
      </c>
      <c r="S681" s="91">
        <v>0</v>
      </c>
      <c r="U681" s="80">
        <f t="shared" si="330"/>
        <v>0</v>
      </c>
      <c r="W681" s="81">
        <f t="shared" si="300"/>
        <v>1</v>
      </c>
      <c r="X681" s="81">
        <f t="shared" si="301"/>
        <v>1</v>
      </c>
      <c r="Y681" s="81">
        <f t="shared" si="302"/>
        <v>0</v>
      </c>
      <c r="Z681" s="79"/>
      <c r="AF681" s="79"/>
      <c r="AJ681" s="66"/>
      <c r="AK681" s="65"/>
    </row>
    <row r="682" spans="1:37" hidden="1"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U682" s="80"/>
      <c r="W682" s="81" t="str">
        <f t="shared" si="300"/>
        <v xml:space="preserve"> </v>
      </c>
      <c r="X682" s="81" t="str">
        <f t="shared" si="301"/>
        <v xml:space="preserve"> </v>
      </c>
      <c r="Y682" s="81" t="str">
        <f t="shared" si="302"/>
        <v xml:space="preserve"> </v>
      </c>
      <c r="Z682" s="79"/>
      <c r="AF682" s="79"/>
      <c r="AJ682" s="66"/>
      <c r="AK682" s="65"/>
    </row>
    <row r="683" spans="1:37" hidden="1">
      <c r="A683" s="65">
        <f>A681+1</f>
        <v>34</v>
      </c>
      <c r="B683" s="66" t="s">
        <v>351</v>
      </c>
      <c r="C683" s="79">
        <f>O683+R683+S683</f>
        <v>-38662.995000000003</v>
      </c>
      <c r="D683" s="79">
        <f>SUM(D680:D681)</f>
        <v>-22432.985000000001</v>
      </c>
      <c r="E683" s="79">
        <f>SUM(E680:E681)</f>
        <v>-674</v>
      </c>
      <c r="F683" s="79">
        <f>D683+E683</f>
        <v>-23106.985000000001</v>
      </c>
      <c r="G683" s="79">
        <f t="shared" ref="G683:L683" si="331">SUM(G680:G681)</f>
        <v>-1644</v>
      </c>
      <c r="H683" s="79">
        <f t="shared" si="331"/>
        <v>-7536</v>
      </c>
      <c r="I683" s="79">
        <f t="shared" si="331"/>
        <v>-3732</v>
      </c>
      <c r="J683" s="79">
        <f t="shared" si="331"/>
        <v>-1376</v>
      </c>
      <c r="K683" s="79">
        <f t="shared" si="331"/>
        <v>-105</v>
      </c>
      <c r="L683" s="79">
        <f t="shared" si="331"/>
        <v>-79</v>
      </c>
      <c r="M683" s="79">
        <f>SUM(J683:L683)</f>
        <v>-1560</v>
      </c>
      <c r="N683" s="79">
        <f>SUM(N680:N681)</f>
        <v>-1084</v>
      </c>
      <c r="O683" s="79">
        <f>SUM(F683:I683)+SUM(M683:N683)</f>
        <v>-38662.985000000001</v>
      </c>
      <c r="P683" s="79">
        <f>SUM(P680:P681)</f>
        <v>-5.0000000000000001E-3</v>
      </c>
      <c r="Q683" s="79">
        <f>SUM(Q680:Q681)</f>
        <v>-5.0000000000000001E-3</v>
      </c>
      <c r="R683" s="78">
        <f t="shared" si="329"/>
        <v>-0.01</v>
      </c>
      <c r="S683" s="79">
        <f>SUM(S680:S681)</f>
        <v>0</v>
      </c>
      <c r="U683" s="80">
        <f t="shared" si="330"/>
        <v>0</v>
      </c>
      <c r="W683" s="81">
        <f t="shared" si="300"/>
        <v>0.99999970000000005</v>
      </c>
      <c r="X683" s="81">
        <f t="shared" si="301"/>
        <v>0.99999970000000005</v>
      </c>
      <c r="Y683" s="81">
        <f t="shared" si="302"/>
        <v>0</v>
      </c>
      <c r="Z683" s="79"/>
      <c r="AF683" s="79"/>
      <c r="AJ683" s="66"/>
      <c r="AK683" s="70"/>
    </row>
    <row r="684" spans="1:37" hidden="1"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U684" s="80"/>
      <c r="W684" s="81" t="str">
        <f t="shared" si="300"/>
        <v xml:space="preserve"> </v>
      </c>
      <c r="X684" s="81" t="str">
        <f t="shared" si="301"/>
        <v xml:space="preserve"> </v>
      </c>
      <c r="Y684" s="81" t="str">
        <f t="shared" si="302"/>
        <v xml:space="preserve"> </v>
      </c>
      <c r="Z684" s="79"/>
      <c r="AF684" s="79"/>
      <c r="AJ684" s="66"/>
      <c r="AK684" s="65"/>
    </row>
    <row r="685" spans="1:37" hidden="1">
      <c r="A685" s="65">
        <f>A683+1</f>
        <v>35</v>
      </c>
      <c r="B685" s="66" t="s">
        <v>352</v>
      </c>
      <c r="C685" s="79">
        <f>O685+R685+S685</f>
        <v>558963.00960009999</v>
      </c>
      <c r="D685" s="79">
        <f>D625+D664+D683</f>
        <v>271648.99999010004</v>
      </c>
      <c r="E685" s="79">
        <f>E625+E664+E683</f>
        <v>8245.0010000000002</v>
      </c>
      <c r="F685" s="79">
        <f>D685+E685</f>
        <v>279894.00099010003</v>
      </c>
      <c r="G685" s="79">
        <f t="shared" ref="G685:L685" si="332">G625+G664+G683</f>
        <v>20614</v>
      </c>
      <c r="H685" s="79">
        <f t="shared" si="332"/>
        <v>94328</v>
      </c>
      <c r="I685" s="79">
        <f t="shared" si="332"/>
        <v>54769.00045</v>
      </c>
      <c r="J685" s="79">
        <f t="shared" si="332"/>
        <v>17008.00045</v>
      </c>
      <c r="K685" s="79">
        <f t="shared" si="332"/>
        <v>1307.00045</v>
      </c>
      <c r="L685" s="79">
        <f t="shared" si="332"/>
        <v>976.00045</v>
      </c>
      <c r="M685" s="79">
        <f>SUM(J685:L685)</f>
        <v>19291.001349999999</v>
      </c>
      <c r="N685" s="79">
        <f>N625+N664+N683</f>
        <v>13013.000460000001</v>
      </c>
      <c r="O685" s="79">
        <f>SUM(F685:I685)+SUM(M685:N685)</f>
        <v>481909.00325010001</v>
      </c>
      <c r="P685" s="79">
        <f>P625+P664+P683</f>
        <v>15666.000450000001</v>
      </c>
      <c r="Q685" s="79">
        <f>Q625+Q664+Q683</f>
        <v>1736.00045</v>
      </c>
      <c r="R685" s="78">
        <f t="shared" si="329"/>
        <v>17402.000900000003</v>
      </c>
      <c r="S685" s="79">
        <f>S625+S664+S683</f>
        <v>59652.005449999997</v>
      </c>
      <c r="U685" s="80">
        <f t="shared" si="330"/>
        <v>0</v>
      </c>
      <c r="W685" s="81">
        <f t="shared" si="300"/>
        <v>0.96514800000000001</v>
      </c>
      <c r="X685" s="81">
        <f t="shared" si="301"/>
        <v>0.86214829999999998</v>
      </c>
      <c r="Y685" s="81">
        <f t="shared" si="302"/>
        <v>0.1067191</v>
      </c>
      <c r="Z685" s="79"/>
      <c r="AF685" s="79"/>
      <c r="AJ685" s="66"/>
      <c r="AK685" s="70"/>
    </row>
    <row r="686" spans="1:37" hidden="1">
      <c r="B686" s="72"/>
      <c r="C686" s="79"/>
      <c r="H686" s="65" t="s">
        <v>80</v>
      </c>
      <c r="I686" s="79"/>
      <c r="J686" s="79"/>
      <c r="K686" s="79"/>
      <c r="L686" s="79"/>
      <c r="M686" s="79"/>
      <c r="N686" s="80"/>
      <c r="Q686" s="65" t="s">
        <v>80</v>
      </c>
      <c r="R686" s="79"/>
      <c r="S686" s="65"/>
      <c r="W686" s="81"/>
      <c r="X686" s="81"/>
      <c r="Y686" s="81"/>
      <c r="Z686" s="65"/>
      <c r="AJ686" s="66"/>
      <c r="AK686" s="65"/>
    </row>
    <row r="687" spans="1:37" hidden="1">
      <c r="C687" s="79"/>
      <c r="H687" s="70" t="str">
        <f>$H$24</f>
        <v>12 MONTHS ENDING DECEMBER 31, 2012</v>
      </c>
      <c r="I687" s="79"/>
      <c r="J687" s="79"/>
      <c r="K687" s="79"/>
      <c r="L687" s="79"/>
      <c r="M687" s="79"/>
      <c r="N687" s="79"/>
      <c r="Q687" s="70" t="str">
        <f>$H$24</f>
        <v>12 MONTHS ENDING DECEMBER 31, 2012</v>
      </c>
      <c r="R687" s="79"/>
      <c r="S687" s="79"/>
      <c r="U687" s="80"/>
      <c r="W687" s="81"/>
      <c r="X687" s="81"/>
      <c r="Y687" s="81"/>
      <c r="Z687" s="70"/>
      <c r="AJ687" s="66"/>
      <c r="AK687" s="65"/>
    </row>
    <row r="688" spans="1:37" hidden="1">
      <c r="C688" s="79"/>
      <c r="H688" s="70" t="str">
        <f>$H$25</f>
        <v>12/13 DEMAND ALLOCATION WITH MDS METHODOLOGY</v>
      </c>
      <c r="Q688" s="70" t="str">
        <f>$H$25</f>
        <v>12/13 DEMAND ALLOCATION WITH MDS METHODOLOGY</v>
      </c>
      <c r="R688" s="79"/>
      <c r="S688" s="79"/>
      <c r="W688" s="81"/>
      <c r="X688" s="81"/>
      <c r="Y688" s="81"/>
      <c r="Z688" s="70"/>
      <c r="AJ688" s="66"/>
      <c r="AK688" s="65"/>
    </row>
    <row r="689" spans="1:37" hidden="1">
      <c r="C689" s="79"/>
      <c r="H689" s="87" t="s">
        <v>104</v>
      </c>
      <c r="I689" s="79"/>
      <c r="J689" s="79"/>
      <c r="K689" s="79"/>
      <c r="L689" s="79"/>
      <c r="M689" s="79"/>
      <c r="N689" s="79"/>
      <c r="Q689" s="87" t="s">
        <v>104</v>
      </c>
      <c r="S689" s="79"/>
      <c r="U689" s="80"/>
      <c r="X689" s="81"/>
      <c r="Y689" s="81"/>
      <c r="Z689" s="87"/>
      <c r="AF689" s="79"/>
      <c r="AJ689" s="66"/>
      <c r="AK689" s="65"/>
    </row>
    <row r="690" spans="1:37" hidden="1">
      <c r="C690" s="79"/>
      <c r="H690" s="87" t="s">
        <v>114</v>
      </c>
      <c r="J690" s="79"/>
      <c r="K690" s="79"/>
      <c r="L690" s="79"/>
      <c r="M690" s="79"/>
      <c r="N690" s="79"/>
      <c r="Q690" s="87" t="s">
        <v>114</v>
      </c>
      <c r="S690" s="79"/>
      <c r="U690" s="80"/>
      <c r="X690" s="81"/>
      <c r="Y690" s="81"/>
      <c r="Z690" s="87"/>
      <c r="AF690" s="79"/>
      <c r="AJ690" s="66"/>
      <c r="AK690" s="65"/>
    </row>
    <row r="691" spans="1:37" hidden="1">
      <c r="C691" s="65" t="s">
        <v>59</v>
      </c>
      <c r="K691" s="65"/>
      <c r="L691" s="65"/>
      <c r="M691" s="65"/>
      <c r="O691" s="65" t="s">
        <v>59</v>
      </c>
      <c r="P691" s="65"/>
      <c r="Q691" s="65"/>
      <c r="R691" s="65"/>
      <c r="S691" s="65" t="s">
        <v>115</v>
      </c>
      <c r="W691" s="76" t="s">
        <v>116</v>
      </c>
      <c r="X691" s="76" t="s">
        <v>116</v>
      </c>
      <c r="Y691" s="76" t="s">
        <v>117</v>
      </c>
      <c r="AF691" s="65"/>
      <c r="AJ691" s="66"/>
      <c r="AK691" s="65"/>
    </row>
    <row r="692" spans="1:37" hidden="1">
      <c r="A692" s="65" t="s">
        <v>118</v>
      </c>
      <c r="C692" s="65" t="s">
        <v>58</v>
      </c>
      <c r="D692" s="70" t="s">
        <v>119</v>
      </c>
      <c r="E692" s="70" t="s">
        <v>119</v>
      </c>
      <c r="F692" s="70" t="s">
        <v>119</v>
      </c>
      <c r="G692" s="70" t="s">
        <v>119</v>
      </c>
      <c r="H692" s="70" t="s">
        <v>119</v>
      </c>
      <c r="I692" s="70" t="s">
        <v>119</v>
      </c>
      <c r="J692" s="70" t="s">
        <v>119</v>
      </c>
      <c r="K692" s="70" t="s">
        <v>119</v>
      </c>
      <c r="L692" s="70" t="s">
        <v>119</v>
      </c>
      <c r="M692" s="70" t="s">
        <v>119</v>
      </c>
      <c r="N692" s="70" t="s">
        <v>119</v>
      </c>
      <c r="O692" s="65" t="s">
        <v>116</v>
      </c>
      <c r="P692" s="65"/>
      <c r="Q692" s="70" t="s">
        <v>120</v>
      </c>
      <c r="R692" s="65"/>
      <c r="S692" s="65" t="s">
        <v>121</v>
      </c>
      <c r="W692" s="76" t="s">
        <v>122</v>
      </c>
      <c r="X692" s="76" t="s">
        <v>123</v>
      </c>
      <c r="Y692" s="76" t="s">
        <v>124</v>
      </c>
      <c r="Z692" s="65"/>
      <c r="AF692" s="70"/>
      <c r="AJ692" s="66"/>
      <c r="AK692" s="65"/>
    </row>
    <row r="693" spans="1:37" hidden="1">
      <c r="A693" s="65" t="s">
        <v>125</v>
      </c>
      <c r="B693" s="65" t="s">
        <v>126</v>
      </c>
      <c r="C693" s="65" t="s">
        <v>57</v>
      </c>
      <c r="D693" s="70" t="s">
        <v>127</v>
      </c>
      <c r="E693" s="70" t="s">
        <v>128</v>
      </c>
      <c r="F693" s="70" t="s">
        <v>129</v>
      </c>
      <c r="G693" s="70" t="s">
        <v>130</v>
      </c>
      <c r="H693" s="70" t="s">
        <v>131</v>
      </c>
      <c r="I693" s="65" t="s">
        <v>132</v>
      </c>
      <c r="J693" s="70" t="s">
        <v>133</v>
      </c>
      <c r="K693" s="70" t="s">
        <v>134</v>
      </c>
      <c r="L693" s="70" t="s">
        <v>135</v>
      </c>
      <c r="M693" s="70" t="s">
        <v>136</v>
      </c>
      <c r="N693" s="70" t="s">
        <v>137</v>
      </c>
      <c r="O693" s="65" t="s">
        <v>138</v>
      </c>
      <c r="P693" s="70" t="s">
        <v>139</v>
      </c>
      <c r="Q693" s="70" t="s">
        <v>140</v>
      </c>
      <c r="R693" s="65" t="s">
        <v>122</v>
      </c>
      <c r="S693" s="65" t="s">
        <v>141</v>
      </c>
      <c r="U693" s="65" t="s">
        <v>162</v>
      </c>
      <c r="W693" s="76" t="s">
        <v>142</v>
      </c>
      <c r="X693" s="76" t="s">
        <v>142</v>
      </c>
      <c r="Y693" s="76" t="s">
        <v>142</v>
      </c>
      <c r="Z693" s="65"/>
      <c r="AF693" s="70"/>
      <c r="AJ693" s="66"/>
      <c r="AK693" s="65"/>
    </row>
    <row r="694" spans="1:37" hidden="1">
      <c r="A694" s="65" t="s">
        <v>143</v>
      </c>
      <c r="B694" s="65" t="s">
        <v>144</v>
      </c>
      <c r="C694" s="65" t="s">
        <v>145</v>
      </c>
      <c r="D694" s="70" t="s">
        <v>146</v>
      </c>
      <c r="E694" s="70" t="s">
        <v>147</v>
      </c>
      <c r="F694" s="70" t="s">
        <v>148</v>
      </c>
      <c r="G694" s="65" t="s">
        <v>149</v>
      </c>
      <c r="H694" s="65" t="s">
        <v>150</v>
      </c>
      <c r="I694" s="65" t="s">
        <v>151</v>
      </c>
      <c r="J694" s="70" t="s">
        <v>152</v>
      </c>
      <c r="K694" s="70" t="s">
        <v>153</v>
      </c>
      <c r="L694" s="70" t="s">
        <v>154</v>
      </c>
      <c r="M694" s="70" t="s">
        <v>155</v>
      </c>
      <c r="N694" s="70" t="s">
        <v>156</v>
      </c>
      <c r="O694" s="70" t="s">
        <v>157</v>
      </c>
      <c r="P694" s="70" t="s">
        <v>158</v>
      </c>
      <c r="Q694" s="70" t="s">
        <v>159</v>
      </c>
      <c r="R694" s="70" t="s">
        <v>160</v>
      </c>
      <c r="S694" s="70" t="s">
        <v>161</v>
      </c>
      <c r="W694" s="77" t="s">
        <v>163</v>
      </c>
      <c r="X694" s="77" t="s">
        <v>164</v>
      </c>
      <c r="Y694" s="76" t="s">
        <v>165</v>
      </c>
      <c r="Z694" s="70"/>
      <c r="AF694" s="76"/>
      <c r="AJ694" s="66"/>
      <c r="AK694" s="70"/>
    </row>
    <row r="695" spans="1:37" hidden="1"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U695" s="80"/>
      <c r="W695" s="81" t="str">
        <f t="shared" ref="W695:W701" si="333">IF((P695+Q695)=0," ",ROUND((P695/(P695+Q695)),74))</f>
        <v xml:space="preserve"> </v>
      </c>
      <c r="X695" s="81" t="str">
        <f t="shared" ref="X695:X701" si="334">IF((C695)=0," ",ROUND((P695/(C695)),74))</f>
        <v xml:space="preserve"> </v>
      </c>
      <c r="Y695" s="81" t="str">
        <f t="shared" ref="Y695:Y701" si="335">IF((C695)=0," ",ROUND((R695/(C695)),7))</f>
        <v xml:space="preserve"> </v>
      </c>
      <c r="Z695" s="79"/>
      <c r="AF695" s="79"/>
      <c r="AJ695" s="66"/>
      <c r="AK695" s="65"/>
    </row>
    <row r="696" spans="1:37" hidden="1">
      <c r="B696" s="65" t="s">
        <v>353</v>
      </c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U696" s="80"/>
      <c r="W696" s="81" t="str">
        <f t="shared" si="333"/>
        <v xml:space="preserve"> </v>
      </c>
      <c r="X696" s="81" t="str">
        <f t="shared" si="334"/>
        <v xml:space="preserve"> </v>
      </c>
      <c r="Y696" s="81" t="str">
        <f t="shared" si="335"/>
        <v xml:space="preserve"> </v>
      </c>
      <c r="Z696" s="79"/>
      <c r="AF696" s="79"/>
      <c r="AJ696" s="66"/>
      <c r="AK696" s="65"/>
    </row>
    <row r="697" spans="1:37" hidden="1">
      <c r="B697" s="83" t="s">
        <v>170</v>
      </c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U697" s="80"/>
      <c r="W697" s="81" t="str">
        <f t="shared" si="333"/>
        <v xml:space="preserve"> </v>
      </c>
      <c r="X697" s="81" t="str">
        <f t="shared" si="334"/>
        <v xml:space="preserve"> </v>
      </c>
      <c r="Y697" s="81" t="str">
        <f t="shared" si="335"/>
        <v xml:space="preserve"> </v>
      </c>
      <c r="Z697" s="79"/>
      <c r="AF697" s="79"/>
      <c r="AJ697" s="66"/>
      <c r="AK697" s="65"/>
    </row>
    <row r="698" spans="1:37" hidden="1"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U698" s="80"/>
      <c r="W698" s="81" t="str">
        <f t="shared" si="333"/>
        <v xml:space="preserve"> </v>
      </c>
      <c r="X698" s="81" t="str">
        <f t="shared" si="334"/>
        <v xml:space="preserve"> </v>
      </c>
      <c r="Y698" s="81" t="str">
        <f t="shared" si="335"/>
        <v xml:space="preserve"> </v>
      </c>
      <c r="Z698" s="79"/>
      <c r="AF698" s="79"/>
      <c r="AJ698" s="66"/>
      <c r="AK698" s="65"/>
    </row>
    <row r="699" spans="1:37" hidden="1">
      <c r="B699" s="65" t="s">
        <v>354</v>
      </c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U699" s="80"/>
      <c r="W699" s="81" t="str">
        <f t="shared" si="333"/>
        <v xml:space="preserve"> </v>
      </c>
      <c r="X699" s="81" t="str">
        <f t="shared" si="334"/>
        <v xml:space="preserve"> </v>
      </c>
      <c r="Y699" s="81" t="str">
        <f t="shared" si="335"/>
        <v xml:space="preserve"> </v>
      </c>
      <c r="Z699" s="79"/>
      <c r="AF699" s="79"/>
      <c r="AJ699" s="66"/>
      <c r="AK699" s="65"/>
    </row>
    <row r="700" spans="1:37" hidden="1">
      <c r="B700" s="83" t="s">
        <v>170</v>
      </c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U700" s="80"/>
      <c r="W700" s="81" t="str">
        <f t="shared" si="333"/>
        <v xml:space="preserve"> </v>
      </c>
      <c r="X700" s="81" t="str">
        <f t="shared" si="334"/>
        <v xml:space="preserve"> </v>
      </c>
      <c r="Y700" s="81" t="str">
        <f t="shared" si="335"/>
        <v xml:space="preserve"> </v>
      </c>
      <c r="Z700" s="79"/>
      <c r="AF700" s="79"/>
      <c r="AJ700" s="66"/>
      <c r="AK700" s="65"/>
    </row>
    <row r="701" spans="1:37" hidden="1">
      <c r="B701" s="66" t="s">
        <v>355</v>
      </c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U701" s="80"/>
      <c r="W701" s="81" t="str">
        <f t="shared" si="333"/>
        <v xml:space="preserve"> </v>
      </c>
      <c r="X701" s="81" t="str">
        <f t="shared" si="334"/>
        <v xml:space="preserve"> </v>
      </c>
      <c r="Y701" s="81" t="str">
        <f t="shared" si="335"/>
        <v xml:space="preserve"> </v>
      </c>
      <c r="Z701" s="79"/>
      <c r="AF701" s="79"/>
      <c r="AJ701" s="66"/>
      <c r="AK701" s="65"/>
    </row>
    <row r="702" spans="1:37" hidden="1">
      <c r="A702" s="65">
        <f>A701+1</f>
        <v>1</v>
      </c>
      <c r="B702" s="66" t="s">
        <v>356</v>
      </c>
      <c r="C702" s="78">
        <v>10997</v>
      </c>
      <c r="D702" s="79">
        <f>C702-E702-SUM(G702:I702)-SUM(M702:N702)-R702-S702</f>
        <v>5646.2420000000002</v>
      </c>
      <c r="E702" s="79">
        <v>144</v>
      </c>
      <c r="F702" s="79">
        <f>D702+E702</f>
        <v>5790.2420000000002</v>
      </c>
      <c r="G702" s="79">
        <v>283</v>
      </c>
      <c r="H702" s="79">
        <v>2285</v>
      </c>
      <c r="I702" s="79">
        <v>1328</v>
      </c>
      <c r="J702" s="79">
        <v>571</v>
      </c>
      <c r="K702" s="79">
        <v>41</v>
      </c>
      <c r="L702" s="79">
        <v>24</v>
      </c>
      <c r="M702" s="79">
        <f>SUM(J702:L702)</f>
        <v>636</v>
      </c>
      <c r="N702" s="79">
        <v>45</v>
      </c>
      <c r="O702" s="79">
        <f>SUM(F702:I702)+SUM(M702:N702)</f>
        <v>10367.242</v>
      </c>
      <c r="P702" s="79">
        <v>325</v>
      </c>
      <c r="Q702" s="79">
        <v>37</v>
      </c>
      <c r="R702" s="78">
        <f>P702+Q702</f>
        <v>362</v>
      </c>
      <c r="S702" s="78">
        <v>267.75799999999998</v>
      </c>
      <c r="U702" s="80">
        <f>O702+R702+S702-C702</f>
        <v>0</v>
      </c>
      <c r="W702" s="81">
        <f t="shared" ref="W702:W742" si="336">IF((O702+R702)=0," ",ROUND((O702/(O702+R702)),7))</f>
        <v>0.96626040000000002</v>
      </c>
      <c r="X702" s="81">
        <f t="shared" ref="X702:X742" si="337">IF((C702)=0," ",ROUND((O702/(C702)),7))</f>
        <v>0.94273370000000001</v>
      </c>
      <c r="Y702" s="81">
        <f t="shared" ref="Y702:Y742" si="338">IF((C702)=0," ",ROUND((S702/(C702)),7))</f>
        <v>2.43483E-2</v>
      </c>
      <c r="Z702" s="79"/>
      <c r="AF702" s="79"/>
      <c r="AJ702" s="66"/>
      <c r="AK702" s="70"/>
    </row>
    <row r="703" spans="1:37" hidden="1">
      <c r="W703" s="81" t="str">
        <f t="shared" si="336"/>
        <v xml:space="preserve"> </v>
      </c>
      <c r="X703" s="81" t="str">
        <f t="shared" si="337"/>
        <v xml:space="preserve"> </v>
      </c>
      <c r="Y703" s="81" t="str">
        <f t="shared" si="338"/>
        <v xml:space="preserve"> </v>
      </c>
      <c r="AJ703" s="66"/>
      <c r="AK703" s="65"/>
    </row>
    <row r="704" spans="1:37" hidden="1">
      <c r="A704" s="65">
        <f>A702+1</f>
        <v>2</v>
      </c>
      <c r="B704" s="71" t="s">
        <v>357</v>
      </c>
      <c r="C704" s="78">
        <v>448059</v>
      </c>
      <c r="D704" s="79">
        <f>C704-E704-SUM(G704:I704)-SUM(M704:N704)-R704-S704</f>
        <v>184400</v>
      </c>
      <c r="E704" s="79">
        <v>6966</v>
      </c>
      <c r="F704" s="79">
        <f>D704+E704</f>
        <v>191366</v>
      </c>
      <c r="G704" s="79">
        <v>10118</v>
      </c>
      <c r="H704" s="79">
        <v>92717</v>
      </c>
      <c r="I704" s="79">
        <v>62127</v>
      </c>
      <c r="J704" s="79">
        <v>33640</v>
      </c>
      <c r="K704" s="79">
        <v>1527</v>
      </c>
      <c r="L704" s="79">
        <v>1295</v>
      </c>
      <c r="M704" s="79">
        <f>SUM(J704:L704)</f>
        <v>36462</v>
      </c>
      <c r="N704" s="79">
        <v>5434</v>
      </c>
      <c r="O704" s="79">
        <f>SUM(F704:I704)+SUM(M704:N704)</f>
        <v>398224</v>
      </c>
      <c r="P704" s="79">
        <v>11750</v>
      </c>
      <c r="Q704" s="79">
        <v>1341</v>
      </c>
      <c r="R704" s="78">
        <f>P704+Q704</f>
        <v>13091</v>
      </c>
      <c r="S704" s="78">
        <f>36522+222</f>
        <v>36744</v>
      </c>
      <c r="U704" s="80">
        <f>O704+R704+S704-C704</f>
        <v>0</v>
      </c>
      <c r="W704" s="81">
        <f t="shared" si="336"/>
        <v>0.96817279999999994</v>
      </c>
      <c r="X704" s="81">
        <f t="shared" si="337"/>
        <v>0.8887758</v>
      </c>
      <c r="Y704" s="81">
        <f t="shared" si="338"/>
        <v>8.2007099999999999E-2</v>
      </c>
      <c r="Z704" s="79"/>
      <c r="AF704" s="79"/>
      <c r="AJ704" s="66"/>
      <c r="AK704" s="70"/>
    </row>
    <row r="705" spans="1:37" hidden="1">
      <c r="A705" s="65">
        <f>A704+1</f>
        <v>3</v>
      </c>
      <c r="B705" s="66" t="s">
        <v>358</v>
      </c>
      <c r="C705" s="78">
        <v>-440918</v>
      </c>
      <c r="D705" s="79">
        <f>C705-E705-SUM(G705:I705)-SUM(M705:N705)-R705-S705</f>
        <v>-181298</v>
      </c>
      <c r="E705" s="79">
        <v>-6849</v>
      </c>
      <c r="F705" s="79">
        <f>D705+E705</f>
        <v>-188147</v>
      </c>
      <c r="G705" s="79">
        <v>-9948</v>
      </c>
      <c r="H705" s="79">
        <v>-91157</v>
      </c>
      <c r="I705" s="79">
        <v>-61082</v>
      </c>
      <c r="J705" s="79">
        <v>-33074</v>
      </c>
      <c r="K705" s="79">
        <v>-1501</v>
      </c>
      <c r="L705" s="79">
        <v>-1273</v>
      </c>
      <c r="M705" s="79">
        <f>SUM(J705:L705)</f>
        <v>-35848</v>
      </c>
      <c r="N705" s="79">
        <v>-5343</v>
      </c>
      <c r="O705" s="79">
        <f>SUM(F705:I705)+SUM(M705:N705)</f>
        <v>-391525</v>
      </c>
      <c r="P705" s="79">
        <v>-11553</v>
      </c>
      <c r="Q705" s="79">
        <v>-1318</v>
      </c>
      <c r="R705" s="78">
        <f>P705+Q705</f>
        <v>-12871</v>
      </c>
      <c r="S705" s="78">
        <v>-36522</v>
      </c>
      <c r="U705" s="80">
        <f>O705+R705+S705-C705</f>
        <v>0</v>
      </c>
      <c r="W705" s="81">
        <f t="shared" si="336"/>
        <v>0.96817229999999999</v>
      </c>
      <c r="X705" s="81">
        <f t="shared" si="337"/>
        <v>0.88797689999999996</v>
      </c>
      <c r="Y705" s="81">
        <f t="shared" si="338"/>
        <v>8.2831699999999994E-2</v>
      </c>
      <c r="Z705" s="79"/>
      <c r="AF705" s="79"/>
      <c r="AJ705" s="66"/>
      <c r="AK705" s="70"/>
    </row>
    <row r="706" spans="1:37" hidden="1">
      <c r="A706" s="65">
        <f>A705+1</f>
        <v>4</v>
      </c>
      <c r="B706" s="66" t="s">
        <v>359</v>
      </c>
      <c r="C706" s="79">
        <f>C704+C705</f>
        <v>7141</v>
      </c>
      <c r="D706" s="79">
        <f>D704+D705</f>
        <v>3102</v>
      </c>
      <c r="E706" s="79">
        <f>E704+E705</f>
        <v>117</v>
      </c>
      <c r="F706" s="79">
        <f>D706+E706</f>
        <v>3219</v>
      </c>
      <c r="G706" s="79">
        <f t="shared" ref="G706:L706" si="339">G704+G705</f>
        <v>170</v>
      </c>
      <c r="H706" s="79">
        <f t="shared" si="339"/>
        <v>1560</v>
      </c>
      <c r="I706" s="79">
        <f t="shared" si="339"/>
        <v>1045</v>
      </c>
      <c r="J706" s="79">
        <f t="shared" si="339"/>
        <v>566</v>
      </c>
      <c r="K706" s="79">
        <f t="shared" si="339"/>
        <v>26</v>
      </c>
      <c r="L706" s="79">
        <f t="shared" si="339"/>
        <v>22</v>
      </c>
      <c r="M706" s="79">
        <f>SUM(J706:L706)</f>
        <v>614</v>
      </c>
      <c r="N706" s="79">
        <f>N704+N705</f>
        <v>91</v>
      </c>
      <c r="O706" s="79">
        <f>SUM(F706:I706)+SUM(M706:N706)</f>
        <v>6699</v>
      </c>
      <c r="P706" s="79">
        <f>P704+P705</f>
        <v>197</v>
      </c>
      <c r="Q706" s="79">
        <f>Q704+Q705</f>
        <v>23</v>
      </c>
      <c r="R706" s="78">
        <f>P706+Q706</f>
        <v>220</v>
      </c>
      <c r="S706" s="78">
        <f>S704+S705</f>
        <v>222</v>
      </c>
      <c r="U706" s="80">
        <f>O706+R706+S706-C706</f>
        <v>0</v>
      </c>
      <c r="W706" s="81">
        <f t="shared" si="336"/>
        <v>0.96820349999999999</v>
      </c>
      <c r="X706" s="81">
        <f t="shared" si="337"/>
        <v>0.93810389999999999</v>
      </c>
      <c r="Y706" s="81">
        <f t="shared" si="338"/>
        <v>3.10881E-2</v>
      </c>
      <c r="Z706" s="79"/>
      <c r="AF706" s="79"/>
      <c r="AJ706" s="66"/>
      <c r="AK706" s="65"/>
    </row>
    <row r="707" spans="1:37" hidden="1">
      <c r="W707" s="81" t="str">
        <f t="shared" si="336"/>
        <v xml:space="preserve"> </v>
      </c>
      <c r="X707" s="81" t="str">
        <f t="shared" si="337"/>
        <v xml:space="preserve"> </v>
      </c>
      <c r="Y707" s="81" t="str">
        <f t="shared" si="338"/>
        <v xml:space="preserve"> </v>
      </c>
      <c r="AJ707" s="66"/>
      <c r="AK707" s="65"/>
    </row>
    <row r="708" spans="1:37" hidden="1">
      <c r="B708" s="66" t="s">
        <v>360</v>
      </c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U708" s="80"/>
      <c r="W708" s="81" t="str">
        <f t="shared" si="336"/>
        <v xml:space="preserve"> </v>
      </c>
      <c r="X708" s="81" t="str">
        <f t="shared" si="337"/>
        <v xml:space="preserve"> </v>
      </c>
      <c r="Y708" s="81" t="str">
        <f t="shared" si="338"/>
        <v xml:space="preserve"> </v>
      </c>
      <c r="Z708" s="79"/>
      <c r="AF708" s="79"/>
      <c r="AJ708" s="66"/>
      <c r="AK708" s="65"/>
    </row>
    <row r="709" spans="1:37" hidden="1">
      <c r="A709" s="65">
        <f>A706+1</f>
        <v>5</v>
      </c>
      <c r="B709" s="66" t="s">
        <v>361</v>
      </c>
      <c r="C709" s="78">
        <f>4508-3318</f>
        <v>1190</v>
      </c>
      <c r="D709" s="79">
        <f>C709-E709-SUM(G709:I709)-SUM(M709:N709)-R709-S709</f>
        <v>521.26</v>
      </c>
      <c r="E709" s="79">
        <v>13</v>
      </c>
      <c r="F709" s="79">
        <f>D709+E709</f>
        <v>534.26</v>
      </c>
      <c r="G709" s="79">
        <v>26</v>
      </c>
      <c r="H709" s="79">
        <v>211</v>
      </c>
      <c r="I709" s="79">
        <v>122</v>
      </c>
      <c r="J709" s="79">
        <v>53</v>
      </c>
      <c r="K709" s="79">
        <v>4</v>
      </c>
      <c r="L709" s="79">
        <v>2</v>
      </c>
      <c r="M709" s="79">
        <f>SUM(J709:L709)</f>
        <v>59</v>
      </c>
      <c r="N709" s="79">
        <v>4</v>
      </c>
      <c r="O709" s="79">
        <f>SUM(F709:I709)+SUM(M709:N709)</f>
        <v>956.26</v>
      </c>
      <c r="P709" s="79">
        <v>30</v>
      </c>
      <c r="Q709" s="79">
        <v>3</v>
      </c>
      <c r="R709" s="78">
        <f>P709+Q709</f>
        <v>33</v>
      </c>
      <c r="S709" s="78">
        <v>200.74</v>
      </c>
      <c r="U709" s="80">
        <f>O709+R709+S709-C709</f>
        <v>0</v>
      </c>
      <c r="W709" s="81">
        <f t="shared" si="336"/>
        <v>0.96664170000000005</v>
      </c>
      <c r="X709" s="81">
        <f t="shared" si="337"/>
        <v>0.80357979999999996</v>
      </c>
      <c r="Y709" s="81">
        <f t="shared" si="338"/>
        <v>0.16868910000000001</v>
      </c>
      <c r="Z709" s="79"/>
      <c r="AF709" s="79"/>
      <c r="AJ709" s="66"/>
      <c r="AK709" s="70"/>
    </row>
    <row r="710" spans="1:37" hidden="1">
      <c r="A710" s="65">
        <f>A709+1</f>
        <v>6</v>
      </c>
      <c r="B710" s="66" t="s">
        <v>362</v>
      </c>
      <c r="C710" s="78">
        <f>20234-14894-1</f>
        <v>5339</v>
      </c>
      <c r="D710" s="79">
        <f>C710-E710-SUM(G710:I710)-SUM(M710:N710)-R710-S710</f>
        <v>1820.4590000000001</v>
      </c>
      <c r="E710" s="79">
        <v>69</v>
      </c>
      <c r="F710" s="79">
        <f>D710+E710</f>
        <v>1889.4590000000001</v>
      </c>
      <c r="G710" s="79">
        <v>100</v>
      </c>
      <c r="H710" s="79">
        <v>916</v>
      </c>
      <c r="I710" s="79">
        <v>613</v>
      </c>
      <c r="J710" s="79">
        <v>332</v>
      </c>
      <c r="K710" s="79">
        <v>15</v>
      </c>
      <c r="L710" s="79">
        <v>13</v>
      </c>
      <c r="M710" s="79">
        <f>SUM(J710:L710)</f>
        <v>360</v>
      </c>
      <c r="N710" s="79">
        <v>54</v>
      </c>
      <c r="O710" s="79">
        <f>SUM(F710:I710)+SUM(M710:N710)</f>
        <v>3932.4589999999998</v>
      </c>
      <c r="P710" s="79">
        <v>116</v>
      </c>
      <c r="Q710" s="79">
        <v>13</v>
      </c>
      <c r="R710" s="78">
        <f>P710+Q710</f>
        <v>129</v>
      </c>
      <c r="S710" s="78">
        <v>1277.5409999999999</v>
      </c>
      <c r="U710" s="80">
        <f>O710+R710+S710-C710</f>
        <v>0</v>
      </c>
      <c r="W710" s="81">
        <f t="shared" si="336"/>
        <v>0.96823800000000004</v>
      </c>
      <c r="X710" s="81">
        <f t="shared" si="337"/>
        <v>0.73655349999999997</v>
      </c>
      <c r="Y710" s="81">
        <f t="shared" si="338"/>
        <v>0.23928469999999999</v>
      </c>
      <c r="Z710" s="79"/>
      <c r="AF710" s="79"/>
      <c r="AJ710" s="66"/>
      <c r="AK710" s="70"/>
    </row>
    <row r="711" spans="1:37" hidden="1">
      <c r="A711" s="65">
        <f>A710+1</f>
        <v>7</v>
      </c>
      <c r="B711" s="66" t="s">
        <v>363</v>
      </c>
      <c r="C711" s="79">
        <f>O711+R711+S711</f>
        <v>6529</v>
      </c>
      <c r="D711" s="79">
        <f>D709+D710</f>
        <v>2341.7190000000001</v>
      </c>
      <c r="E711" s="79">
        <f>E709+E710</f>
        <v>82</v>
      </c>
      <c r="F711" s="79">
        <f>D711+E711</f>
        <v>2423.7190000000001</v>
      </c>
      <c r="G711" s="79">
        <f t="shared" ref="G711:L711" si="340">G709+G710</f>
        <v>126</v>
      </c>
      <c r="H711" s="79">
        <f t="shared" si="340"/>
        <v>1127</v>
      </c>
      <c r="I711" s="79">
        <f t="shared" si="340"/>
        <v>735</v>
      </c>
      <c r="J711" s="79">
        <f t="shared" si="340"/>
        <v>385</v>
      </c>
      <c r="K711" s="79">
        <f t="shared" si="340"/>
        <v>19</v>
      </c>
      <c r="L711" s="79">
        <f t="shared" si="340"/>
        <v>15</v>
      </c>
      <c r="M711" s="79">
        <f>SUM(J711:L711)</f>
        <v>419</v>
      </c>
      <c r="N711" s="79">
        <f>N709+N710</f>
        <v>58</v>
      </c>
      <c r="O711" s="79">
        <f>SUM(F711:I711)+SUM(M711:N711)</f>
        <v>4888.7190000000001</v>
      </c>
      <c r="P711" s="79">
        <f>P709+P710</f>
        <v>146</v>
      </c>
      <c r="Q711" s="79">
        <f>Q709+Q710</f>
        <v>16</v>
      </c>
      <c r="R711" s="78">
        <f>P711+Q711</f>
        <v>162</v>
      </c>
      <c r="S711" s="79">
        <f>S709+S710</f>
        <v>1478.2809999999999</v>
      </c>
      <c r="U711" s="80">
        <f>O711+R711+S711-C711</f>
        <v>0</v>
      </c>
      <c r="W711" s="81">
        <f t="shared" si="336"/>
        <v>0.96792540000000005</v>
      </c>
      <c r="X711" s="81">
        <f t="shared" si="337"/>
        <v>0.74876989999999999</v>
      </c>
      <c r="Y711" s="81">
        <f t="shared" si="338"/>
        <v>0.2264177</v>
      </c>
      <c r="Z711" s="79"/>
      <c r="AF711" s="79"/>
      <c r="AJ711" s="66"/>
      <c r="AK711" s="65"/>
    </row>
    <row r="712" spans="1:37" hidden="1"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U712" s="80"/>
      <c r="W712" s="81" t="str">
        <f t="shared" si="336"/>
        <v xml:space="preserve"> </v>
      </c>
      <c r="X712" s="81" t="str">
        <f t="shared" si="337"/>
        <v xml:space="preserve"> </v>
      </c>
      <c r="Y712" s="81" t="str">
        <f t="shared" si="338"/>
        <v xml:space="preserve"> </v>
      </c>
      <c r="Z712" s="79"/>
      <c r="AF712" s="79"/>
      <c r="AJ712" s="66"/>
      <c r="AK712" s="65"/>
    </row>
    <row r="713" spans="1:37" hidden="1">
      <c r="B713" s="66" t="s">
        <v>364</v>
      </c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U713" s="80"/>
      <c r="W713" s="81" t="str">
        <f t="shared" si="336"/>
        <v xml:space="preserve"> </v>
      </c>
      <c r="X713" s="81" t="str">
        <f t="shared" si="337"/>
        <v xml:space="preserve"> </v>
      </c>
      <c r="Y713" s="81" t="str">
        <f t="shared" si="338"/>
        <v xml:space="preserve"> </v>
      </c>
      <c r="Z713" s="79"/>
      <c r="AF713" s="79"/>
      <c r="AJ713" s="66"/>
      <c r="AK713" s="65"/>
    </row>
    <row r="714" spans="1:37" hidden="1">
      <c r="A714" s="65">
        <f>A711+1</f>
        <v>8</v>
      </c>
      <c r="B714" s="66" t="s">
        <v>361</v>
      </c>
      <c r="C714" s="78">
        <v>3724</v>
      </c>
      <c r="D714" s="79">
        <f>C714-E714-SUM(G714:I714)-SUM(M714:N714)-R714-S714</f>
        <v>1905.664</v>
      </c>
      <c r="E714" s="79">
        <v>49</v>
      </c>
      <c r="F714" s="79">
        <f>D714+E714</f>
        <v>1954.664</v>
      </c>
      <c r="G714" s="79">
        <v>95</v>
      </c>
      <c r="H714" s="79">
        <v>771</v>
      </c>
      <c r="I714" s="79">
        <v>448</v>
      </c>
      <c r="J714" s="79">
        <v>193</v>
      </c>
      <c r="K714" s="79">
        <v>14</v>
      </c>
      <c r="L714" s="79">
        <v>8</v>
      </c>
      <c r="M714" s="79">
        <f>SUM(J714:L714)</f>
        <v>215</v>
      </c>
      <c r="N714" s="79">
        <v>15</v>
      </c>
      <c r="O714" s="79">
        <f>SUM(F714:I714)+SUM(M714:N714)</f>
        <v>3498.6639999999998</v>
      </c>
      <c r="P714" s="79">
        <v>110</v>
      </c>
      <c r="Q714" s="79">
        <v>13</v>
      </c>
      <c r="R714" s="78">
        <f>P714+Q714</f>
        <v>123</v>
      </c>
      <c r="S714" s="78">
        <v>102.336</v>
      </c>
      <c r="U714" s="80">
        <f>O714+R714+S714-C714</f>
        <v>0</v>
      </c>
      <c r="W714" s="81">
        <f t="shared" si="336"/>
        <v>0.9660377</v>
      </c>
      <c r="X714" s="81">
        <f t="shared" si="337"/>
        <v>0.93949090000000002</v>
      </c>
      <c r="Y714" s="81">
        <f t="shared" si="338"/>
        <v>2.74801E-2</v>
      </c>
      <c r="Z714" s="79"/>
      <c r="AF714" s="79"/>
      <c r="AJ714" s="66"/>
      <c r="AK714" s="70"/>
    </row>
    <row r="715" spans="1:37" hidden="1">
      <c r="A715" s="65">
        <f>A714+1</f>
        <v>9</v>
      </c>
      <c r="B715" s="66" t="s">
        <v>362</v>
      </c>
      <c r="C715" s="78">
        <v>1006</v>
      </c>
      <c r="D715" s="79">
        <f>C715-E715-SUM(G715:I715)-SUM(M715:N715)-R715-S715</f>
        <v>448.25099999999998</v>
      </c>
      <c r="E715" s="79">
        <v>17</v>
      </c>
      <c r="F715" s="79">
        <f>D715+E715</f>
        <v>465.25099999999998</v>
      </c>
      <c r="G715" s="79">
        <v>24</v>
      </c>
      <c r="H715" s="79">
        <v>224</v>
      </c>
      <c r="I715" s="79">
        <v>150</v>
      </c>
      <c r="J715" s="79">
        <v>81</v>
      </c>
      <c r="K715" s="79">
        <v>4</v>
      </c>
      <c r="L715" s="79">
        <v>3</v>
      </c>
      <c r="M715" s="79">
        <f>SUM(J715:L715)</f>
        <v>88</v>
      </c>
      <c r="N715" s="79">
        <v>13</v>
      </c>
      <c r="O715" s="79">
        <f>SUM(F715:I715)+SUM(M715:N715)</f>
        <v>964.25099999999998</v>
      </c>
      <c r="P715" s="79">
        <v>28</v>
      </c>
      <c r="Q715" s="79">
        <v>3</v>
      </c>
      <c r="R715" s="78">
        <f>P715+Q715</f>
        <v>31</v>
      </c>
      <c r="S715" s="78">
        <v>10.749000000000001</v>
      </c>
      <c r="U715" s="80">
        <f>O715+R715+S715-C715</f>
        <v>0</v>
      </c>
      <c r="W715" s="81">
        <f t="shared" si="336"/>
        <v>0.96885209999999999</v>
      </c>
      <c r="X715" s="81">
        <f t="shared" si="337"/>
        <v>0.95850000000000002</v>
      </c>
      <c r="Y715" s="81">
        <f t="shared" si="338"/>
        <v>1.0684900000000001E-2</v>
      </c>
      <c r="Z715" s="79"/>
      <c r="AF715" s="79"/>
      <c r="AJ715" s="66"/>
      <c r="AK715" s="70"/>
    </row>
    <row r="716" spans="1:37" hidden="1">
      <c r="A716" s="65">
        <f>A715+1</f>
        <v>10</v>
      </c>
      <c r="B716" s="66" t="s">
        <v>365</v>
      </c>
      <c r="C716" s="79">
        <f>O716+R716+S716</f>
        <v>4730</v>
      </c>
      <c r="D716" s="79">
        <f>D714+D715</f>
        <v>2353.915</v>
      </c>
      <c r="E716" s="79">
        <f>E714+E715</f>
        <v>66</v>
      </c>
      <c r="F716" s="79">
        <f>D716+E716</f>
        <v>2419.915</v>
      </c>
      <c r="G716" s="79">
        <f t="shared" ref="G716:L716" si="341">G714+G715</f>
        <v>119</v>
      </c>
      <c r="H716" s="79">
        <f t="shared" si="341"/>
        <v>995</v>
      </c>
      <c r="I716" s="79">
        <f t="shared" si="341"/>
        <v>598</v>
      </c>
      <c r="J716" s="79">
        <f t="shared" si="341"/>
        <v>274</v>
      </c>
      <c r="K716" s="79">
        <f t="shared" si="341"/>
        <v>18</v>
      </c>
      <c r="L716" s="79">
        <f t="shared" si="341"/>
        <v>11</v>
      </c>
      <c r="M716" s="79">
        <f>SUM(J716:L716)</f>
        <v>303</v>
      </c>
      <c r="N716" s="79">
        <f>N714+N715</f>
        <v>28</v>
      </c>
      <c r="O716" s="79">
        <f>SUM(F716:I716)+SUM(M716:N716)</f>
        <v>4462.915</v>
      </c>
      <c r="P716" s="79">
        <f>P714+P715</f>
        <v>138</v>
      </c>
      <c r="Q716" s="79">
        <f>Q714+Q715</f>
        <v>16</v>
      </c>
      <c r="R716" s="78">
        <f>P716+Q716</f>
        <v>154</v>
      </c>
      <c r="S716" s="79">
        <f>S714+S715</f>
        <v>113.08499999999999</v>
      </c>
      <c r="U716" s="80">
        <f>O716+R716+S716-C716</f>
        <v>0</v>
      </c>
      <c r="W716" s="81">
        <f t="shared" si="336"/>
        <v>0.96664439999999996</v>
      </c>
      <c r="X716" s="81">
        <f t="shared" si="337"/>
        <v>0.94353379999999998</v>
      </c>
      <c r="Y716" s="81">
        <f t="shared" si="338"/>
        <v>2.3907999999999999E-2</v>
      </c>
      <c r="Z716" s="79"/>
      <c r="AF716" s="79"/>
      <c r="AJ716" s="66"/>
      <c r="AK716" s="65"/>
    </row>
    <row r="717" spans="1:37" hidden="1"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U717" s="80"/>
      <c r="W717" s="81" t="str">
        <f t="shared" si="336"/>
        <v xml:space="preserve"> </v>
      </c>
      <c r="X717" s="81" t="str">
        <f t="shared" si="337"/>
        <v xml:space="preserve"> </v>
      </c>
      <c r="Y717" s="81" t="str">
        <f t="shared" si="338"/>
        <v xml:space="preserve"> </v>
      </c>
      <c r="Z717" s="79"/>
      <c r="AF717" s="79"/>
      <c r="AJ717" s="66"/>
      <c r="AK717" s="65"/>
    </row>
    <row r="718" spans="1:37" hidden="1">
      <c r="B718" s="66" t="s">
        <v>366</v>
      </c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U718" s="80"/>
      <c r="W718" s="81" t="str">
        <f t="shared" si="336"/>
        <v xml:space="preserve"> </v>
      </c>
      <c r="X718" s="81" t="str">
        <f t="shared" si="337"/>
        <v xml:space="preserve"> </v>
      </c>
      <c r="Y718" s="81" t="str">
        <f t="shared" si="338"/>
        <v xml:space="preserve"> </v>
      </c>
      <c r="Z718" s="79"/>
      <c r="AF718" s="79"/>
      <c r="AJ718" s="66"/>
      <c r="AK718" s="65"/>
    </row>
    <row r="719" spans="1:37" hidden="1">
      <c r="A719" s="65">
        <f>A716+1</f>
        <v>11</v>
      </c>
      <c r="B719" s="66" t="s">
        <v>361</v>
      </c>
      <c r="C719" s="78">
        <f>18766-2629</f>
        <v>16137</v>
      </c>
      <c r="D719" s="79">
        <f>C719-E719-SUM(G719:I719)-SUM(M719:N719)-R719-S719</f>
        <v>7896.2650000000003</v>
      </c>
      <c r="E719" s="79">
        <v>202</v>
      </c>
      <c r="F719" s="79">
        <f t="shared" ref="F719:F727" si="342">D719+E719</f>
        <v>8098.2650000000003</v>
      </c>
      <c r="G719" s="79">
        <v>395</v>
      </c>
      <c r="H719" s="79">
        <v>3196</v>
      </c>
      <c r="I719" s="79">
        <v>1857</v>
      </c>
      <c r="J719" s="79">
        <v>798</v>
      </c>
      <c r="K719" s="79">
        <v>58</v>
      </c>
      <c r="L719" s="79">
        <v>33</v>
      </c>
      <c r="M719" s="79">
        <f t="shared" ref="M719:M727" si="343">SUM(J719:L719)</f>
        <v>889</v>
      </c>
      <c r="N719" s="79">
        <v>62</v>
      </c>
      <c r="O719" s="79">
        <f t="shared" ref="O719:O727" si="344">SUM(F719:I719)+SUM(M719:N719)</f>
        <v>14497.264999999999</v>
      </c>
      <c r="P719" s="79">
        <v>455</v>
      </c>
      <c r="Q719" s="79">
        <v>52</v>
      </c>
      <c r="R719" s="78">
        <f>P719+Q719</f>
        <v>507</v>
      </c>
      <c r="S719" s="78">
        <v>1132.7349999999999</v>
      </c>
      <c r="U719" s="80">
        <f t="shared" ref="U719:U727" si="345">O719+R719+S719-C719</f>
        <v>0</v>
      </c>
      <c r="W719" s="81">
        <f t="shared" si="336"/>
        <v>0.9662096</v>
      </c>
      <c r="X719" s="81">
        <f t="shared" si="337"/>
        <v>0.89838660000000004</v>
      </c>
      <c r="Y719" s="81">
        <f t="shared" si="338"/>
        <v>7.0194900000000005E-2</v>
      </c>
      <c r="Z719" s="79"/>
      <c r="AF719" s="79"/>
      <c r="AJ719" s="66"/>
      <c r="AK719" s="65"/>
    </row>
    <row r="720" spans="1:37" hidden="1">
      <c r="A720" s="65">
        <f>A719+1</f>
        <v>12</v>
      </c>
      <c r="B720" s="66" t="s">
        <v>362</v>
      </c>
      <c r="C720" s="78">
        <v>0</v>
      </c>
      <c r="D720" s="79">
        <f>C720-E720-SUM(G720:I720)-SUM(M720:N720)-R720-S720</f>
        <v>0</v>
      </c>
      <c r="E720" s="79">
        <v>0</v>
      </c>
      <c r="F720" s="79">
        <f t="shared" si="342"/>
        <v>0</v>
      </c>
      <c r="G720" s="79">
        <v>0</v>
      </c>
      <c r="H720" s="79">
        <v>0</v>
      </c>
      <c r="I720" s="79">
        <v>0</v>
      </c>
      <c r="J720" s="79">
        <v>0</v>
      </c>
      <c r="K720" s="79">
        <v>0</v>
      </c>
      <c r="L720" s="79">
        <v>0</v>
      </c>
      <c r="M720" s="79">
        <f t="shared" si="343"/>
        <v>0</v>
      </c>
      <c r="N720" s="79">
        <v>0</v>
      </c>
      <c r="O720" s="79">
        <f t="shared" si="344"/>
        <v>0</v>
      </c>
      <c r="P720" s="79">
        <v>0</v>
      </c>
      <c r="Q720" s="79">
        <v>0</v>
      </c>
      <c r="R720" s="78">
        <f>P720+Q720</f>
        <v>0</v>
      </c>
      <c r="S720" s="78">
        <v>0</v>
      </c>
      <c r="U720" s="80">
        <f t="shared" si="345"/>
        <v>0</v>
      </c>
      <c r="W720" s="81" t="str">
        <f t="shared" si="336"/>
        <v xml:space="preserve"> </v>
      </c>
      <c r="X720" s="81" t="str">
        <f t="shared" si="337"/>
        <v xml:space="preserve"> </v>
      </c>
      <c r="Y720" s="81" t="str">
        <f t="shared" si="338"/>
        <v xml:space="preserve"> </v>
      </c>
      <c r="Z720" s="79"/>
      <c r="AF720" s="79"/>
      <c r="AJ720" s="66"/>
      <c r="AK720" s="65"/>
    </row>
    <row r="721" spans="1:37" hidden="1">
      <c r="A721" s="65">
        <f>A720+1</f>
        <v>13</v>
      </c>
      <c r="B721" s="66" t="s">
        <v>367</v>
      </c>
      <c r="C721" s="79">
        <f>O721+R721+S721</f>
        <v>16137</v>
      </c>
      <c r="D721" s="79">
        <f>D719+D720</f>
        <v>7896.2650000000003</v>
      </c>
      <c r="E721" s="79">
        <f>E719+E720</f>
        <v>202</v>
      </c>
      <c r="F721" s="79">
        <f t="shared" si="342"/>
        <v>8098.2650000000003</v>
      </c>
      <c r="G721" s="79">
        <f t="shared" ref="G721:L721" si="346">G719+G720</f>
        <v>395</v>
      </c>
      <c r="H721" s="79">
        <f t="shared" si="346"/>
        <v>3196</v>
      </c>
      <c r="I721" s="79">
        <f t="shared" si="346"/>
        <v>1857</v>
      </c>
      <c r="J721" s="79">
        <f t="shared" si="346"/>
        <v>798</v>
      </c>
      <c r="K721" s="79">
        <f t="shared" si="346"/>
        <v>58</v>
      </c>
      <c r="L721" s="79">
        <f t="shared" si="346"/>
        <v>33</v>
      </c>
      <c r="M721" s="79">
        <f t="shared" si="343"/>
        <v>889</v>
      </c>
      <c r="N721" s="79">
        <f>N719+N720</f>
        <v>62</v>
      </c>
      <c r="O721" s="79">
        <f t="shared" si="344"/>
        <v>14497.264999999999</v>
      </c>
      <c r="P721" s="79">
        <f>P719+P720</f>
        <v>455</v>
      </c>
      <c r="Q721" s="79">
        <f>Q719+Q720</f>
        <v>52</v>
      </c>
      <c r="R721" s="78">
        <f>P721+Q721</f>
        <v>507</v>
      </c>
      <c r="S721" s="79">
        <f>S719+S720</f>
        <v>1132.7349999999999</v>
      </c>
      <c r="U721" s="80">
        <f t="shared" si="345"/>
        <v>0</v>
      </c>
      <c r="W721" s="81">
        <f t="shared" si="336"/>
        <v>0.9662096</v>
      </c>
      <c r="X721" s="81">
        <f t="shared" si="337"/>
        <v>0.89838660000000004</v>
      </c>
      <c r="Y721" s="81">
        <f t="shared" si="338"/>
        <v>7.0194900000000005E-2</v>
      </c>
      <c r="Z721" s="79"/>
      <c r="AF721" s="79"/>
      <c r="AJ721" s="66"/>
      <c r="AK721" s="70"/>
    </row>
    <row r="722" spans="1:37" hidden="1">
      <c r="W722" s="81" t="str">
        <f t="shared" si="336"/>
        <v xml:space="preserve"> </v>
      </c>
      <c r="X722" s="81" t="str">
        <f t="shared" si="337"/>
        <v xml:space="preserve"> </v>
      </c>
      <c r="Y722" s="81" t="str">
        <f t="shared" si="338"/>
        <v xml:space="preserve"> </v>
      </c>
      <c r="AJ722" s="66"/>
      <c r="AK722" s="65"/>
    </row>
    <row r="723" spans="1:37" hidden="1">
      <c r="A723" s="65">
        <f>A721+1</f>
        <v>14</v>
      </c>
      <c r="B723" s="66" t="s">
        <v>368</v>
      </c>
      <c r="C723" s="78">
        <v>0</v>
      </c>
      <c r="D723" s="79">
        <f>C723-E723-SUM(G723:I723)-SUM(M723:N723)-R723-S723</f>
        <v>0</v>
      </c>
      <c r="E723" s="79">
        <v>0</v>
      </c>
      <c r="F723" s="79">
        <f t="shared" si="342"/>
        <v>0</v>
      </c>
      <c r="G723" s="79">
        <v>0</v>
      </c>
      <c r="H723" s="79">
        <v>0</v>
      </c>
      <c r="I723" s="79">
        <v>0</v>
      </c>
      <c r="J723" s="79">
        <v>0</v>
      </c>
      <c r="K723" s="79">
        <v>0</v>
      </c>
      <c r="L723" s="79">
        <v>0</v>
      </c>
      <c r="M723" s="79">
        <f t="shared" si="343"/>
        <v>0</v>
      </c>
      <c r="N723" s="79">
        <v>0</v>
      </c>
      <c r="O723" s="79">
        <f t="shared" si="344"/>
        <v>0</v>
      </c>
      <c r="P723" s="79">
        <v>0</v>
      </c>
      <c r="Q723" s="79">
        <v>0</v>
      </c>
      <c r="R723" s="78">
        <f>P723+Q723</f>
        <v>0</v>
      </c>
      <c r="S723" s="78">
        <v>0</v>
      </c>
      <c r="U723" s="80">
        <f t="shared" si="345"/>
        <v>0</v>
      </c>
      <c r="W723" s="81" t="str">
        <f t="shared" si="336"/>
        <v xml:space="preserve"> </v>
      </c>
      <c r="X723" s="81" t="str">
        <f t="shared" si="337"/>
        <v xml:space="preserve"> </v>
      </c>
      <c r="Y723" s="81" t="str">
        <f t="shared" si="338"/>
        <v xml:space="preserve"> </v>
      </c>
      <c r="Z723" s="79"/>
      <c r="AF723" s="79"/>
      <c r="AJ723" s="66"/>
      <c r="AK723" s="70"/>
    </row>
    <row r="724" spans="1:37" hidden="1">
      <c r="C724" s="78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8"/>
      <c r="S724" s="78"/>
      <c r="U724" s="80"/>
      <c r="W724" s="81" t="str">
        <f t="shared" si="336"/>
        <v xml:space="preserve"> </v>
      </c>
      <c r="X724" s="81" t="str">
        <f t="shared" si="337"/>
        <v xml:space="preserve"> </v>
      </c>
      <c r="Y724" s="81" t="str">
        <f t="shared" si="338"/>
        <v xml:space="preserve"> </v>
      </c>
      <c r="Z724" s="79"/>
      <c r="AF724" s="79"/>
      <c r="AJ724" s="66"/>
      <c r="AK724" s="70"/>
    </row>
    <row r="725" spans="1:37" hidden="1">
      <c r="A725" s="65">
        <f>A723+1</f>
        <v>15</v>
      </c>
      <c r="B725" s="71" t="s">
        <v>369</v>
      </c>
      <c r="C725" s="78">
        <f>2748-2748</f>
        <v>0</v>
      </c>
      <c r="D725" s="79">
        <f>C725-E725-SUM(G725:I725)-SUM(M725:N725)-R725-S725</f>
        <v>0</v>
      </c>
      <c r="E725" s="79">
        <v>0</v>
      </c>
      <c r="F725" s="79">
        <f>D725+E725</f>
        <v>0</v>
      </c>
      <c r="G725" s="79">
        <v>0</v>
      </c>
      <c r="H725" s="79">
        <v>0</v>
      </c>
      <c r="I725" s="79">
        <v>0</v>
      </c>
      <c r="J725" s="79">
        <v>0</v>
      </c>
      <c r="K725" s="79">
        <v>0</v>
      </c>
      <c r="L725" s="79">
        <v>0</v>
      </c>
      <c r="M725" s="79">
        <f>SUM(J725:L725)</f>
        <v>0</v>
      </c>
      <c r="N725" s="79">
        <v>0</v>
      </c>
      <c r="O725" s="79">
        <f>SUM(F725:I725)+SUM(M725:N725)</f>
        <v>0</v>
      </c>
      <c r="P725" s="79">
        <v>0</v>
      </c>
      <c r="Q725" s="79">
        <v>0</v>
      </c>
      <c r="R725" s="78">
        <f>P725+Q725</f>
        <v>0</v>
      </c>
      <c r="S725" s="78">
        <v>0</v>
      </c>
      <c r="U725" s="80">
        <f>O725+R725+S725-C725</f>
        <v>0</v>
      </c>
      <c r="W725" s="81" t="str">
        <f t="shared" si="336"/>
        <v xml:space="preserve"> </v>
      </c>
      <c r="X725" s="81" t="str">
        <f t="shared" si="337"/>
        <v xml:space="preserve"> </v>
      </c>
      <c r="Y725" s="81" t="str">
        <f t="shared" si="338"/>
        <v xml:space="preserve"> </v>
      </c>
      <c r="Z725" s="79"/>
      <c r="AF725" s="79"/>
      <c r="AJ725" s="66"/>
      <c r="AK725" s="70"/>
    </row>
    <row r="726" spans="1:37" hidden="1"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U726" s="80"/>
      <c r="W726" s="81" t="str">
        <f t="shared" si="336"/>
        <v xml:space="preserve"> </v>
      </c>
      <c r="X726" s="81" t="str">
        <f t="shared" si="337"/>
        <v xml:space="preserve"> </v>
      </c>
      <c r="Y726" s="81" t="str">
        <f t="shared" si="338"/>
        <v xml:space="preserve"> </v>
      </c>
      <c r="Z726" s="79"/>
      <c r="AF726" s="79"/>
      <c r="AJ726" s="66"/>
      <c r="AK726" s="65"/>
    </row>
    <row r="727" spans="1:37" hidden="1">
      <c r="A727" s="65">
        <f>A725+1</f>
        <v>16</v>
      </c>
      <c r="B727" s="66" t="s">
        <v>370</v>
      </c>
      <c r="C727" s="79">
        <f>O727+R727+S727</f>
        <v>45534</v>
      </c>
      <c r="D727" s="79">
        <f>D702+D706+D711+D716+D721+D723</f>
        <v>21340.141</v>
      </c>
      <c r="E727" s="79">
        <f>E702+E706+E711+E716+E721+E723</f>
        <v>611</v>
      </c>
      <c r="F727" s="79">
        <f t="shared" si="342"/>
        <v>21951.141</v>
      </c>
      <c r="G727" s="79">
        <f t="shared" ref="G727:L727" si="347">G702+G706+G711+G716+G721+G723</f>
        <v>1093</v>
      </c>
      <c r="H727" s="79">
        <f t="shared" si="347"/>
        <v>9163</v>
      </c>
      <c r="I727" s="79">
        <f t="shared" si="347"/>
        <v>5563</v>
      </c>
      <c r="J727" s="79">
        <f t="shared" si="347"/>
        <v>2594</v>
      </c>
      <c r="K727" s="79">
        <f t="shared" si="347"/>
        <v>162</v>
      </c>
      <c r="L727" s="79">
        <f t="shared" si="347"/>
        <v>105</v>
      </c>
      <c r="M727" s="79">
        <f t="shared" si="343"/>
        <v>2861</v>
      </c>
      <c r="N727" s="79">
        <f>N702+N706+N711+N716+N721+N723</f>
        <v>284</v>
      </c>
      <c r="O727" s="79">
        <f t="shared" si="344"/>
        <v>40915.141000000003</v>
      </c>
      <c r="P727" s="79">
        <f>P702+P706+P711+P716+P721+P723</f>
        <v>1261</v>
      </c>
      <c r="Q727" s="79">
        <f>Q702+Q706+Q711+Q716+Q721+Q723</f>
        <v>144</v>
      </c>
      <c r="R727" s="78">
        <f>P727+Q727</f>
        <v>1405</v>
      </c>
      <c r="S727" s="79">
        <f>S702+S706+S711+S716+S721+S723</f>
        <v>3213.8589999999995</v>
      </c>
      <c r="U727" s="80">
        <f t="shared" si="345"/>
        <v>0</v>
      </c>
      <c r="W727" s="81">
        <f t="shared" si="336"/>
        <v>0.96680069999999996</v>
      </c>
      <c r="X727" s="81">
        <f t="shared" si="337"/>
        <v>0.89856239999999998</v>
      </c>
      <c r="Y727" s="81">
        <f t="shared" si="338"/>
        <v>7.0581500000000005E-2</v>
      </c>
      <c r="Z727" s="79"/>
      <c r="AF727" s="79"/>
      <c r="AJ727" s="66"/>
      <c r="AK727" s="65"/>
    </row>
    <row r="728" spans="1:37" hidden="1">
      <c r="W728" s="81" t="str">
        <f t="shared" si="336"/>
        <v xml:space="preserve"> </v>
      </c>
      <c r="X728" s="81" t="str">
        <f t="shared" si="337"/>
        <v xml:space="preserve"> </v>
      </c>
      <c r="Y728" s="81" t="str">
        <f t="shared" si="338"/>
        <v xml:space="preserve"> </v>
      </c>
      <c r="AJ728" s="66"/>
      <c r="AK728" s="65"/>
    </row>
    <row r="729" spans="1:37" hidden="1">
      <c r="B729" s="66" t="s">
        <v>371</v>
      </c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U729" s="80"/>
      <c r="W729" s="81" t="str">
        <f t="shared" si="336"/>
        <v xml:space="preserve"> </v>
      </c>
      <c r="X729" s="81" t="str">
        <f t="shared" si="337"/>
        <v xml:space="preserve"> </v>
      </c>
      <c r="Y729" s="81" t="str">
        <f t="shared" si="338"/>
        <v xml:space="preserve"> </v>
      </c>
      <c r="Z729" s="79"/>
      <c r="AF729" s="79"/>
      <c r="AJ729" s="66"/>
      <c r="AK729" s="65"/>
    </row>
    <row r="730" spans="1:37" hidden="1">
      <c r="A730" s="65">
        <f>A727+1</f>
        <v>17</v>
      </c>
      <c r="B730" s="66" t="s">
        <v>372</v>
      </c>
      <c r="C730" s="78">
        <v>9369</v>
      </c>
      <c r="D730" s="79">
        <f>C730-E730-SUM(G730:I730)-SUM(M730:N730)-R730-S730</f>
        <v>4632.9290000000001</v>
      </c>
      <c r="E730" s="79">
        <v>118</v>
      </c>
      <c r="F730" s="79">
        <f>D730+E730</f>
        <v>4750.9290000000001</v>
      </c>
      <c r="G730" s="79">
        <v>232</v>
      </c>
      <c r="H730" s="79">
        <v>1875</v>
      </c>
      <c r="I730" s="79">
        <v>1089</v>
      </c>
      <c r="J730" s="79">
        <v>468</v>
      </c>
      <c r="K730" s="79">
        <v>34</v>
      </c>
      <c r="L730" s="79">
        <v>19</v>
      </c>
      <c r="M730" s="79">
        <f>SUM(J730:L730)</f>
        <v>521</v>
      </c>
      <c r="N730" s="79">
        <v>37</v>
      </c>
      <c r="O730" s="79">
        <f>SUM(F730:I730)+SUM(M730:N730)</f>
        <v>8504.9290000000001</v>
      </c>
      <c r="P730" s="79">
        <v>267</v>
      </c>
      <c r="Q730" s="79">
        <v>31</v>
      </c>
      <c r="R730" s="78">
        <f>P730+Q730</f>
        <v>298</v>
      </c>
      <c r="S730" s="78">
        <v>566.07100000000003</v>
      </c>
      <c r="U730" s="80">
        <f>O730+R730+S730-C730</f>
        <v>0</v>
      </c>
      <c r="W730" s="81">
        <f t="shared" si="336"/>
        <v>0.9661476</v>
      </c>
      <c r="X730" s="81">
        <f t="shared" si="337"/>
        <v>0.90777339999999995</v>
      </c>
      <c r="Y730" s="81">
        <f t="shared" si="338"/>
        <v>6.0419599999999997E-2</v>
      </c>
      <c r="Z730" s="79"/>
      <c r="AF730" s="79"/>
      <c r="AJ730" s="66"/>
      <c r="AK730" s="70"/>
    </row>
    <row r="731" spans="1:37" hidden="1">
      <c r="W731" s="81" t="str">
        <f t="shared" si="336"/>
        <v xml:space="preserve"> </v>
      </c>
      <c r="X731" s="81" t="str">
        <f t="shared" si="337"/>
        <v xml:space="preserve"> </v>
      </c>
      <c r="Y731" s="81" t="str">
        <f t="shared" si="338"/>
        <v xml:space="preserve"> </v>
      </c>
      <c r="AJ731" s="66"/>
      <c r="AK731" s="65"/>
    </row>
    <row r="732" spans="1:37" hidden="1">
      <c r="A732" s="65">
        <f>A730+1</f>
        <v>18</v>
      </c>
      <c r="B732" s="66" t="s">
        <v>373</v>
      </c>
      <c r="C732" s="78">
        <f>5660-543</f>
        <v>5117</v>
      </c>
      <c r="D732" s="79">
        <f>C732-E732-SUM(G732:I732)-SUM(M732:N732)-R732-S732</f>
        <v>2481.085</v>
      </c>
      <c r="E732" s="79">
        <v>63</v>
      </c>
      <c r="F732" s="79">
        <f>D732+E732</f>
        <v>2544.085</v>
      </c>
      <c r="G732" s="79">
        <v>124</v>
      </c>
      <c r="H732" s="79">
        <v>1004</v>
      </c>
      <c r="I732" s="79">
        <v>583</v>
      </c>
      <c r="J732" s="79">
        <v>251</v>
      </c>
      <c r="K732" s="79">
        <v>18</v>
      </c>
      <c r="L732" s="79">
        <v>10</v>
      </c>
      <c r="M732" s="79">
        <f>SUM(J732:L732)</f>
        <v>279</v>
      </c>
      <c r="N732" s="79">
        <v>20</v>
      </c>
      <c r="O732" s="79">
        <f>SUM(F732:I732)+SUM(M732:N732)</f>
        <v>4554.085</v>
      </c>
      <c r="P732" s="79">
        <v>143</v>
      </c>
      <c r="Q732" s="79">
        <v>16</v>
      </c>
      <c r="R732" s="78">
        <f>P732+Q732</f>
        <v>159</v>
      </c>
      <c r="S732" s="78">
        <v>403.91500000000002</v>
      </c>
      <c r="U732" s="80">
        <f>O732+R732+S732-C732</f>
        <v>0</v>
      </c>
      <c r="W732" s="81">
        <f t="shared" si="336"/>
        <v>0.96626409999999996</v>
      </c>
      <c r="X732" s="81">
        <f t="shared" si="337"/>
        <v>0.88999119999999998</v>
      </c>
      <c r="Y732" s="81">
        <f t="shared" si="338"/>
        <v>7.8935900000000003E-2</v>
      </c>
      <c r="Z732" s="79"/>
      <c r="AF732" s="79"/>
      <c r="AJ732" s="66"/>
      <c r="AK732" s="70"/>
    </row>
    <row r="733" spans="1:37" hidden="1">
      <c r="W733" s="81" t="str">
        <f t="shared" si="336"/>
        <v xml:space="preserve"> </v>
      </c>
      <c r="X733" s="81" t="str">
        <f t="shared" si="337"/>
        <v xml:space="preserve"> </v>
      </c>
      <c r="Y733" s="81" t="str">
        <f t="shared" si="338"/>
        <v xml:space="preserve"> </v>
      </c>
      <c r="AJ733" s="66"/>
      <c r="AK733" s="65"/>
    </row>
    <row r="734" spans="1:37" hidden="1">
      <c r="B734" s="66" t="s">
        <v>374</v>
      </c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U734" s="80"/>
      <c r="W734" s="81" t="str">
        <f t="shared" si="336"/>
        <v xml:space="preserve"> </v>
      </c>
      <c r="X734" s="81" t="str">
        <f t="shared" si="337"/>
        <v xml:space="preserve"> </v>
      </c>
      <c r="Y734" s="81" t="str">
        <f t="shared" si="338"/>
        <v xml:space="preserve"> </v>
      </c>
      <c r="Z734" s="79"/>
      <c r="AF734" s="79"/>
      <c r="AJ734" s="66"/>
      <c r="AK734" s="65"/>
    </row>
    <row r="735" spans="1:37" hidden="1">
      <c r="A735" s="65">
        <f>A732+1</f>
        <v>19</v>
      </c>
      <c r="B735" s="66" t="s">
        <v>361</v>
      </c>
      <c r="C735" s="78">
        <f>5341-840</f>
        <v>4501</v>
      </c>
      <c r="D735" s="79">
        <f>C735-E735-SUM(G735:I735)-SUM(M735:N735)-R735-S735</f>
        <v>2080.1260000000002</v>
      </c>
      <c r="E735" s="79">
        <v>53</v>
      </c>
      <c r="F735" s="79">
        <f>D735+E735</f>
        <v>2133.1260000000002</v>
      </c>
      <c r="G735" s="79">
        <v>104</v>
      </c>
      <c r="H735" s="79">
        <v>842</v>
      </c>
      <c r="I735" s="79">
        <v>489</v>
      </c>
      <c r="J735" s="79">
        <v>210</v>
      </c>
      <c r="K735" s="79">
        <v>15</v>
      </c>
      <c r="L735" s="79">
        <v>9</v>
      </c>
      <c r="M735" s="79">
        <f>SUM(J735:L735)</f>
        <v>234</v>
      </c>
      <c r="N735" s="79">
        <v>16</v>
      </c>
      <c r="O735" s="79">
        <f>SUM(F735:I735)+SUM(M735:N735)</f>
        <v>3818.1260000000002</v>
      </c>
      <c r="P735" s="79">
        <v>120</v>
      </c>
      <c r="Q735" s="79">
        <v>14</v>
      </c>
      <c r="R735" s="78">
        <f>P735+Q735</f>
        <v>134</v>
      </c>
      <c r="S735" s="78">
        <v>548.87400000000002</v>
      </c>
      <c r="U735" s="80">
        <f>O735+R735+S735-C735</f>
        <v>0</v>
      </c>
      <c r="W735" s="81">
        <f t="shared" si="336"/>
        <v>0.96609420000000001</v>
      </c>
      <c r="X735" s="81">
        <f t="shared" si="337"/>
        <v>0.84828389999999998</v>
      </c>
      <c r="Y735" s="81">
        <f t="shared" si="338"/>
        <v>0.12194489999999999</v>
      </c>
      <c r="Z735" s="79"/>
      <c r="AF735" s="79"/>
      <c r="AJ735" s="66"/>
      <c r="AK735" s="65"/>
    </row>
    <row r="736" spans="1:37" hidden="1">
      <c r="A736" s="65">
        <f>A735+1</f>
        <v>20</v>
      </c>
      <c r="B736" s="66" t="s">
        <v>362</v>
      </c>
      <c r="C736" s="78">
        <f>31742-4994</f>
        <v>26748</v>
      </c>
      <c r="D736" s="79">
        <f>C736-E736-SUM(G736:I736)-SUM(M736:N736)-R736-S736</f>
        <v>10069.298999999999</v>
      </c>
      <c r="E736" s="79">
        <v>380</v>
      </c>
      <c r="F736" s="79">
        <f>D736+E736</f>
        <v>10449.298999999999</v>
      </c>
      <c r="G736" s="79">
        <v>553</v>
      </c>
      <c r="H736" s="79">
        <v>5063</v>
      </c>
      <c r="I736" s="79">
        <v>3393</v>
      </c>
      <c r="J736" s="79">
        <v>1837</v>
      </c>
      <c r="K736" s="79">
        <v>83</v>
      </c>
      <c r="L736" s="79">
        <v>71</v>
      </c>
      <c r="M736" s="79">
        <f>SUM(J736:L736)</f>
        <v>1991</v>
      </c>
      <c r="N736" s="79">
        <v>297</v>
      </c>
      <c r="O736" s="79">
        <f>SUM(F736:I736)+SUM(M736:N736)</f>
        <v>21746.298999999999</v>
      </c>
      <c r="P736" s="79">
        <v>642</v>
      </c>
      <c r="Q736" s="79">
        <v>73</v>
      </c>
      <c r="R736" s="78">
        <f>P736+Q736</f>
        <v>715</v>
      </c>
      <c r="S736" s="78">
        <f>4287.701-1</f>
        <v>4286.701</v>
      </c>
      <c r="U736" s="80">
        <f>O736+R736+S736-C736</f>
        <v>0</v>
      </c>
      <c r="W736" s="81">
        <f t="shared" si="336"/>
        <v>0.96816749999999996</v>
      </c>
      <c r="X736" s="81">
        <f t="shared" si="337"/>
        <v>0.81300649999999997</v>
      </c>
      <c r="Y736" s="81">
        <f t="shared" si="338"/>
        <v>0.1602625</v>
      </c>
      <c r="Z736" s="79"/>
      <c r="AF736" s="79"/>
      <c r="AJ736" s="66"/>
      <c r="AK736" s="65"/>
    </row>
    <row r="737" spans="1:37" hidden="1">
      <c r="A737" s="65">
        <f>A736+1</f>
        <v>21</v>
      </c>
      <c r="B737" s="66" t="s">
        <v>375</v>
      </c>
      <c r="C737" s="79">
        <f>O737+R737+S737</f>
        <v>31249</v>
      </c>
      <c r="D737" s="79">
        <f>D735+D736</f>
        <v>12149.424999999999</v>
      </c>
      <c r="E737" s="79">
        <f>E735+E736</f>
        <v>433</v>
      </c>
      <c r="F737" s="79">
        <f>D737+E737</f>
        <v>12582.424999999999</v>
      </c>
      <c r="G737" s="79">
        <f t="shared" ref="G737:L737" si="348">G735+G736</f>
        <v>657</v>
      </c>
      <c r="H737" s="79">
        <f t="shared" si="348"/>
        <v>5905</v>
      </c>
      <c r="I737" s="79">
        <f t="shared" si="348"/>
        <v>3882</v>
      </c>
      <c r="J737" s="79">
        <f t="shared" si="348"/>
        <v>2047</v>
      </c>
      <c r="K737" s="79">
        <f t="shared" si="348"/>
        <v>98</v>
      </c>
      <c r="L737" s="79">
        <f t="shared" si="348"/>
        <v>80</v>
      </c>
      <c r="M737" s="79">
        <f>SUM(J737:L737)</f>
        <v>2225</v>
      </c>
      <c r="N737" s="79">
        <f>N735+N736</f>
        <v>313</v>
      </c>
      <c r="O737" s="79">
        <f>SUM(F737:I737)+SUM(M737:N737)</f>
        <v>25564.424999999999</v>
      </c>
      <c r="P737" s="79">
        <f>P735+P736</f>
        <v>762</v>
      </c>
      <c r="Q737" s="79">
        <f>Q735+Q736</f>
        <v>87</v>
      </c>
      <c r="R737" s="78">
        <f>P737+Q737</f>
        <v>849</v>
      </c>
      <c r="S737" s="79">
        <f>S735+S736</f>
        <v>4835.5749999999998</v>
      </c>
      <c r="U737" s="80">
        <f>O737+R737+S737-C737</f>
        <v>0</v>
      </c>
      <c r="W737" s="81">
        <f t="shared" si="336"/>
        <v>0.96785730000000003</v>
      </c>
      <c r="X737" s="81">
        <f t="shared" si="337"/>
        <v>0.81808780000000003</v>
      </c>
      <c r="Y737" s="81">
        <f t="shared" si="338"/>
        <v>0.1547434</v>
      </c>
      <c r="Z737" s="79"/>
      <c r="AF737" s="79"/>
      <c r="AJ737" s="66"/>
      <c r="AK737" s="65"/>
    </row>
    <row r="738" spans="1:37" hidden="1">
      <c r="W738" s="81" t="str">
        <f t="shared" si="336"/>
        <v xml:space="preserve"> </v>
      </c>
      <c r="X738" s="81" t="str">
        <f t="shared" si="337"/>
        <v xml:space="preserve"> </v>
      </c>
      <c r="Y738" s="81" t="str">
        <f t="shared" si="338"/>
        <v xml:space="preserve"> </v>
      </c>
      <c r="AJ738" s="66"/>
      <c r="AK738" s="65"/>
    </row>
    <row r="739" spans="1:37" hidden="1">
      <c r="B739" s="66" t="s">
        <v>376</v>
      </c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U739" s="80"/>
      <c r="W739" s="81" t="str">
        <f t="shared" si="336"/>
        <v xml:space="preserve"> </v>
      </c>
      <c r="X739" s="81" t="str">
        <f t="shared" si="337"/>
        <v xml:space="preserve"> </v>
      </c>
      <c r="Y739" s="81" t="str">
        <f t="shared" si="338"/>
        <v xml:space="preserve"> </v>
      </c>
      <c r="Z739" s="79"/>
      <c r="AF739" s="79"/>
      <c r="AJ739" s="66"/>
      <c r="AK739" s="65"/>
    </row>
    <row r="740" spans="1:37" hidden="1">
      <c r="A740" s="65">
        <f>A737+1</f>
        <v>22</v>
      </c>
      <c r="B740" s="66" t="s">
        <v>361</v>
      </c>
      <c r="C740" s="78">
        <f>1858-14</f>
        <v>1844</v>
      </c>
      <c r="D740" s="79">
        <f>C740-E740-SUM(G740:I740)-SUM(M740:N740)-R740-S740</f>
        <v>926.08</v>
      </c>
      <c r="E740" s="79">
        <v>24</v>
      </c>
      <c r="F740" s="79">
        <f>D740+E740</f>
        <v>950.08</v>
      </c>
      <c r="G740" s="79">
        <v>46</v>
      </c>
      <c r="H740" s="79">
        <v>374</v>
      </c>
      <c r="I740" s="79">
        <v>217</v>
      </c>
      <c r="J740" s="79">
        <v>93</v>
      </c>
      <c r="K740" s="79">
        <v>7</v>
      </c>
      <c r="L740" s="79">
        <v>4</v>
      </c>
      <c r="M740" s="79">
        <f>SUM(J740:L740)</f>
        <v>104</v>
      </c>
      <c r="N740" s="79">
        <v>7</v>
      </c>
      <c r="O740" s="79">
        <f>SUM(F740:I740)+SUM(M740:N740)</f>
        <v>1698.08</v>
      </c>
      <c r="P740" s="79">
        <v>53</v>
      </c>
      <c r="Q740" s="79">
        <v>6</v>
      </c>
      <c r="R740" s="78">
        <f>P740+Q740</f>
        <v>59</v>
      </c>
      <c r="S740" s="78">
        <v>86.92</v>
      </c>
      <c r="U740" s="80">
        <f>O740+R740+S740-C740</f>
        <v>0</v>
      </c>
      <c r="W740" s="81">
        <f t="shared" si="336"/>
        <v>0.96642159999999999</v>
      </c>
      <c r="X740" s="81">
        <f t="shared" si="337"/>
        <v>0.92086769999999996</v>
      </c>
      <c r="Y740" s="81">
        <f t="shared" si="338"/>
        <v>4.7136699999999997E-2</v>
      </c>
      <c r="Z740" s="79"/>
      <c r="AF740" s="79"/>
      <c r="AJ740" s="66"/>
      <c r="AK740" s="65"/>
    </row>
    <row r="741" spans="1:37" hidden="1">
      <c r="A741" s="65">
        <f>A740+1</f>
        <v>23</v>
      </c>
      <c r="B741" s="66" t="s">
        <v>362</v>
      </c>
      <c r="C741" s="78">
        <f>13353-104</f>
        <v>13249</v>
      </c>
      <c r="D741" s="79">
        <f>C741-E741-SUM(G741:I741)-SUM(M741:N741)-R741-S741</f>
        <v>5561.893</v>
      </c>
      <c r="E741" s="79">
        <v>210</v>
      </c>
      <c r="F741" s="79">
        <f>D741+E741</f>
        <v>5771.893</v>
      </c>
      <c r="G741" s="79">
        <v>305</v>
      </c>
      <c r="H741" s="79">
        <v>2796</v>
      </c>
      <c r="I741" s="79">
        <v>1874</v>
      </c>
      <c r="J741" s="79">
        <v>1015</v>
      </c>
      <c r="K741" s="79">
        <v>46</v>
      </c>
      <c r="L741" s="79">
        <v>39</v>
      </c>
      <c r="M741" s="79">
        <f>SUM(J741:L741)</f>
        <v>1100</v>
      </c>
      <c r="N741" s="79">
        <v>164</v>
      </c>
      <c r="O741" s="79">
        <f>SUM(F741:I741)+SUM(M741:N741)</f>
        <v>12010.893</v>
      </c>
      <c r="P741" s="79">
        <v>354</v>
      </c>
      <c r="Q741" s="79">
        <v>40</v>
      </c>
      <c r="R741" s="78">
        <f>P741+Q741</f>
        <v>394</v>
      </c>
      <c r="S741" s="78">
        <v>844.10699999999997</v>
      </c>
      <c r="U741" s="80">
        <f>O741+R741+S741-C741</f>
        <v>0</v>
      </c>
      <c r="W741" s="81">
        <f t="shared" si="336"/>
        <v>0.9682383</v>
      </c>
      <c r="X741" s="81">
        <f t="shared" si="337"/>
        <v>0.90655090000000005</v>
      </c>
      <c r="Y741" s="81">
        <f t="shared" si="338"/>
        <v>6.3711000000000004E-2</v>
      </c>
      <c r="Z741" s="79"/>
      <c r="AF741" s="79"/>
      <c r="AJ741" s="66"/>
      <c r="AK741" s="65"/>
    </row>
    <row r="742" spans="1:37" hidden="1">
      <c r="A742" s="65">
        <f>A741+1</f>
        <v>24</v>
      </c>
      <c r="B742" s="66" t="s">
        <v>377</v>
      </c>
      <c r="C742" s="79">
        <f>O742+R742+S742</f>
        <v>15093</v>
      </c>
      <c r="D742" s="79">
        <f>D740+D741</f>
        <v>6487.973</v>
      </c>
      <c r="E742" s="79">
        <f>E740+E741</f>
        <v>234</v>
      </c>
      <c r="F742" s="79">
        <f>D742+E742</f>
        <v>6721.973</v>
      </c>
      <c r="G742" s="79">
        <f t="shared" ref="G742:L742" si="349">G740+G741</f>
        <v>351</v>
      </c>
      <c r="H742" s="79">
        <f t="shared" si="349"/>
        <v>3170</v>
      </c>
      <c r="I742" s="79">
        <f t="shared" si="349"/>
        <v>2091</v>
      </c>
      <c r="J742" s="79">
        <f t="shared" si="349"/>
        <v>1108</v>
      </c>
      <c r="K742" s="79">
        <f t="shared" si="349"/>
        <v>53</v>
      </c>
      <c r="L742" s="79">
        <f t="shared" si="349"/>
        <v>43</v>
      </c>
      <c r="M742" s="79">
        <f>SUM(J742:L742)</f>
        <v>1204</v>
      </c>
      <c r="N742" s="79">
        <f>N740+N741</f>
        <v>171</v>
      </c>
      <c r="O742" s="79">
        <f>SUM(F742:I742)+SUM(M742:N742)</f>
        <v>13708.973</v>
      </c>
      <c r="P742" s="79">
        <f>P740+P741</f>
        <v>407</v>
      </c>
      <c r="Q742" s="79">
        <f>Q740+Q741</f>
        <v>46</v>
      </c>
      <c r="R742" s="78">
        <f>P742+Q742</f>
        <v>453</v>
      </c>
      <c r="S742" s="79">
        <f>S740+S741</f>
        <v>931.02699999999993</v>
      </c>
      <c r="U742" s="80">
        <f>O742+R742+S742-C742</f>
        <v>0</v>
      </c>
      <c r="W742" s="81">
        <f t="shared" si="336"/>
        <v>0.96801289999999995</v>
      </c>
      <c r="X742" s="81">
        <f t="shared" si="337"/>
        <v>0.90830010000000005</v>
      </c>
      <c r="Y742" s="81">
        <f t="shared" si="338"/>
        <v>6.1685999999999998E-2</v>
      </c>
      <c r="Z742" s="79"/>
      <c r="AF742" s="79"/>
      <c r="AJ742" s="66"/>
      <c r="AK742" s="65"/>
    </row>
    <row r="743" spans="1:37" hidden="1">
      <c r="B743" s="72"/>
      <c r="C743" s="79"/>
      <c r="H743" s="65" t="s">
        <v>80</v>
      </c>
      <c r="I743" s="79"/>
      <c r="J743" s="79"/>
      <c r="K743" s="79"/>
      <c r="L743" s="79"/>
      <c r="M743" s="79"/>
      <c r="Q743" s="65" t="s">
        <v>80</v>
      </c>
      <c r="R743" s="79"/>
      <c r="S743" s="65"/>
      <c r="W743" s="81"/>
      <c r="X743" s="81"/>
      <c r="Y743" s="81"/>
      <c r="Z743" s="65"/>
      <c r="AJ743" s="66"/>
      <c r="AK743" s="65"/>
    </row>
    <row r="744" spans="1:37" hidden="1">
      <c r="C744" s="79"/>
      <c r="H744" s="70" t="str">
        <f>$H$24</f>
        <v>12 MONTHS ENDING DECEMBER 31, 2012</v>
      </c>
      <c r="I744" s="79"/>
      <c r="J744" s="79"/>
      <c r="K744" s="79"/>
      <c r="L744" s="79"/>
      <c r="M744" s="79"/>
      <c r="Q744" s="70" t="str">
        <f>$H$24</f>
        <v>12 MONTHS ENDING DECEMBER 31, 2012</v>
      </c>
      <c r="R744" s="79"/>
      <c r="S744" s="79"/>
      <c r="U744" s="80"/>
      <c r="W744" s="81"/>
      <c r="X744" s="81"/>
      <c r="Y744" s="81"/>
      <c r="Z744" s="70"/>
      <c r="AJ744" s="66"/>
      <c r="AK744" s="65"/>
    </row>
    <row r="745" spans="1:37" hidden="1">
      <c r="C745" s="79"/>
      <c r="H745" s="70" t="str">
        <f>$H$25</f>
        <v>12/13 DEMAND ALLOCATION WITH MDS METHODOLOGY</v>
      </c>
      <c r="Q745" s="70" t="str">
        <f>$H$25</f>
        <v>12/13 DEMAND ALLOCATION WITH MDS METHODOLOGY</v>
      </c>
      <c r="S745" s="79"/>
      <c r="X745" s="81"/>
      <c r="Y745" s="81"/>
      <c r="Z745" s="70"/>
      <c r="AF745" s="79"/>
      <c r="AJ745" s="66"/>
      <c r="AK745" s="65"/>
    </row>
    <row r="746" spans="1:37" hidden="1">
      <c r="C746" s="79"/>
      <c r="H746" s="87" t="s">
        <v>104</v>
      </c>
      <c r="I746" s="79"/>
      <c r="J746" s="79"/>
      <c r="K746" s="79"/>
      <c r="L746" s="79"/>
      <c r="M746" s="79"/>
      <c r="N746" s="79"/>
      <c r="Q746" s="87" t="s">
        <v>104</v>
      </c>
      <c r="S746" s="79"/>
      <c r="U746" s="80"/>
      <c r="X746" s="81"/>
      <c r="Y746" s="81"/>
      <c r="Z746" s="87"/>
      <c r="AF746" s="79"/>
      <c r="AJ746" s="66"/>
      <c r="AK746" s="65"/>
    </row>
    <row r="747" spans="1:37" hidden="1">
      <c r="C747" s="79"/>
      <c r="H747" s="87" t="s">
        <v>114</v>
      </c>
      <c r="J747" s="79"/>
      <c r="K747" s="79"/>
      <c r="L747" s="79"/>
      <c r="M747" s="79"/>
      <c r="N747" s="79"/>
      <c r="Q747" s="87" t="s">
        <v>114</v>
      </c>
      <c r="S747" s="79"/>
      <c r="U747" s="80"/>
      <c r="X747" s="81"/>
      <c r="Y747" s="81"/>
      <c r="Z747" s="87"/>
      <c r="AF747" s="79"/>
      <c r="AJ747" s="66"/>
      <c r="AK747" s="65"/>
    </row>
    <row r="748" spans="1:37" hidden="1">
      <c r="C748" s="65" t="s">
        <v>59</v>
      </c>
      <c r="K748" s="65"/>
      <c r="L748" s="65"/>
      <c r="M748" s="65"/>
      <c r="O748" s="65" t="s">
        <v>59</v>
      </c>
      <c r="P748" s="65"/>
      <c r="Q748" s="65"/>
      <c r="R748" s="65"/>
      <c r="S748" s="65" t="s">
        <v>115</v>
      </c>
      <c r="W748" s="76" t="s">
        <v>116</v>
      </c>
      <c r="X748" s="76" t="s">
        <v>116</v>
      </c>
      <c r="Y748" s="76" t="s">
        <v>117</v>
      </c>
      <c r="AF748" s="65"/>
      <c r="AJ748" s="66"/>
      <c r="AK748" s="65"/>
    </row>
    <row r="749" spans="1:37" hidden="1">
      <c r="A749" s="65" t="s">
        <v>118</v>
      </c>
      <c r="C749" s="65" t="s">
        <v>58</v>
      </c>
      <c r="D749" s="70" t="s">
        <v>119</v>
      </c>
      <c r="E749" s="70" t="s">
        <v>119</v>
      </c>
      <c r="F749" s="70" t="s">
        <v>119</v>
      </c>
      <c r="G749" s="70" t="s">
        <v>119</v>
      </c>
      <c r="H749" s="70" t="s">
        <v>119</v>
      </c>
      <c r="I749" s="70" t="s">
        <v>119</v>
      </c>
      <c r="J749" s="70" t="s">
        <v>119</v>
      </c>
      <c r="K749" s="70" t="s">
        <v>119</v>
      </c>
      <c r="L749" s="70" t="s">
        <v>119</v>
      </c>
      <c r="M749" s="70" t="s">
        <v>119</v>
      </c>
      <c r="N749" s="70" t="s">
        <v>119</v>
      </c>
      <c r="O749" s="65" t="s">
        <v>116</v>
      </c>
      <c r="P749" s="65"/>
      <c r="Q749" s="70" t="s">
        <v>120</v>
      </c>
      <c r="R749" s="65"/>
      <c r="S749" s="65" t="s">
        <v>121</v>
      </c>
      <c r="W749" s="76" t="s">
        <v>122</v>
      </c>
      <c r="X749" s="76" t="s">
        <v>123</v>
      </c>
      <c r="Y749" s="76" t="s">
        <v>124</v>
      </c>
      <c r="Z749" s="65"/>
      <c r="AF749" s="70"/>
      <c r="AJ749" s="66"/>
      <c r="AK749" s="65"/>
    </row>
    <row r="750" spans="1:37" hidden="1">
      <c r="A750" s="65" t="s">
        <v>125</v>
      </c>
      <c r="B750" s="65" t="s">
        <v>126</v>
      </c>
      <c r="C750" s="65" t="s">
        <v>57</v>
      </c>
      <c r="D750" s="70" t="s">
        <v>127</v>
      </c>
      <c r="E750" s="70" t="s">
        <v>128</v>
      </c>
      <c r="F750" s="70" t="s">
        <v>129</v>
      </c>
      <c r="G750" s="70" t="s">
        <v>130</v>
      </c>
      <c r="H750" s="70" t="s">
        <v>131</v>
      </c>
      <c r="I750" s="65" t="s">
        <v>132</v>
      </c>
      <c r="J750" s="70" t="s">
        <v>133</v>
      </c>
      <c r="K750" s="70" t="s">
        <v>134</v>
      </c>
      <c r="L750" s="70" t="s">
        <v>135</v>
      </c>
      <c r="M750" s="70" t="s">
        <v>136</v>
      </c>
      <c r="N750" s="70" t="s">
        <v>137</v>
      </c>
      <c r="O750" s="65" t="s">
        <v>138</v>
      </c>
      <c r="P750" s="70" t="s">
        <v>139</v>
      </c>
      <c r="Q750" s="70" t="s">
        <v>140</v>
      </c>
      <c r="R750" s="65" t="s">
        <v>122</v>
      </c>
      <c r="S750" s="65" t="s">
        <v>141</v>
      </c>
      <c r="U750" s="65" t="s">
        <v>162</v>
      </c>
      <c r="W750" s="76" t="s">
        <v>142</v>
      </c>
      <c r="X750" s="76" t="s">
        <v>142</v>
      </c>
      <c r="Y750" s="76" t="s">
        <v>142</v>
      </c>
      <c r="Z750" s="65"/>
      <c r="AF750" s="70"/>
      <c r="AJ750" s="66"/>
      <c r="AK750" s="65"/>
    </row>
    <row r="751" spans="1:37" hidden="1">
      <c r="A751" s="65" t="s">
        <v>143</v>
      </c>
      <c r="B751" s="65" t="s">
        <v>144</v>
      </c>
      <c r="C751" s="65" t="s">
        <v>145</v>
      </c>
      <c r="D751" s="70" t="s">
        <v>146</v>
      </c>
      <c r="E751" s="70" t="s">
        <v>147</v>
      </c>
      <c r="F751" s="70" t="s">
        <v>148</v>
      </c>
      <c r="G751" s="65" t="s">
        <v>149</v>
      </c>
      <c r="H751" s="65" t="s">
        <v>150</v>
      </c>
      <c r="I751" s="65" t="s">
        <v>151</v>
      </c>
      <c r="J751" s="70" t="s">
        <v>152</v>
      </c>
      <c r="K751" s="70" t="s">
        <v>153</v>
      </c>
      <c r="L751" s="70" t="s">
        <v>154</v>
      </c>
      <c r="M751" s="70" t="s">
        <v>155</v>
      </c>
      <c r="N751" s="70" t="s">
        <v>156</v>
      </c>
      <c r="O751" s="70" t="s">
        <v>157</v>
      </c>
      <c r="P751" s="70" t="s">
        <v>158</v>
      </c>
      <c r="Q751" s="70" t="s">
        <v>159</v>
      </c>
      <c r="R751" s="70" t="s">
        <v>160</v>
      </c>
      <c r="S751" s="70" t="s">
        <v>161</v>
      </c>
      <c r="W751" s="77" t="s">
        <v>163</v>
      </c>
      <c r="X751" s="77" t="s">
        <v>164</v>
      </c>
      <c r="Y751" s="76" t="s">
        <v>165</v>
      </c>
      <c r="Z751" s="70"/>
      <c r="AF751" s="76"/>
      <c r="AJ751" s="66"/>
      <c r="AK751" s="70"/>
    </row>
    <row r="752" spans="1:37" hidden="1">
      <c r="W752" s="81"/>
      <c r="X752" s="81"/>
      <c r="Y752" s="81"/>
      <c r="AJ752" s="66"/>
      <c r="AK752" s="65"/>
    </row>
    <row r="753" spans="1:37" hidden="1">
      <c r="A753" s="66"/>
      <c r="U753" s="66"/>
      <c r="V753" s="66"/>
      <c r="AJ753" s="66"/>
      <c r="AK753" s="65"/>
    </row>
    <row r="754" spans="1:37" hidden="1">
      <c r="B754" s="66" t="s">
        <v>378</v>
      </c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U754" s="80"/>
      <c r="W754" s="81" t="str">
        <f>IF((P754+Q754)=0," ",ROUND((P754/(P754+Q754)),74))</f>
        <v xml:space="preserve"> </v>
      </c>
      <c r="X754" s="81" t="str">
        <f>IF((C754)=0," ",ROUND((P754/(C754)),74))</f>
        <v xml:space="preserve"> </v>
      </c>
      <c r="Y754" s="81" t="str">
        <f>IF((C754)=0," ",ROUND((R754/(C754)),7))</f>
        <v xml:space="preserve"> </v>
      </c>
      <c r="Z754" s="79"/>
      <c r="AF754" s="79"/>
      <c r="AJ754" s="66"/>
      <c r="AK754" s="70"/>
    </row>
    <row r="755" spans="1:37" hidden="1">
      <c r="A755" s="65">
        <f>A742+1</f>
        <v>25</v>
      </c>
      <c r="B755" s="66" t="s">
        <v>361</v>
      </c>
      <c r="C755" s="78">
        <f>2663-322</f>
        <v>2341</v>
      </c>
      <c r="D755" s="79">
        <f>C755-E755-SUM(G755:I755)-SUM(M755:N755)-R755-S755</f>
        <v>1136.3499999999999</v>
      </c>
      <c r="E755" s="79">
        <v>29</v>
      </c>
      <c r="F755" s="79">
        <f>D755+E755</f>
        <v>1165.3499999999999</v>
      </c>
      <c r="G755" s="79">
        <v>57</v>
      </c>
      <c r="H755" s="79">
        <v>461</v>
      </c>
      <c r="I755" s="79">
        <v>268</v>
      </c>
      <c r="J755" s="79">
        <v>115</v>
      </c>
      <c r="K755" s="79">
        <v>8</v>
      </c>
      <c r="L755" s="79">
        <v>5</v>
      </c>
      <c r="M755" s="79">
        <f>SUM(J755:L755)</f>
        <v>128</v>
      </c>
      <c r="N755" s="79">
        <v>9</v>
      </c>
      <c r="O755" s="79">
        <f>SUM(F755:I755)+SUM(M755:N755)</f>
        <v>2088.35</v>
      </c>
      <c r="P755" s="79">
        <v>66</v>
      </c>
      <c r="Q755" s="79">
        <v>8</v>
      </c>
      <c r="R755" s="78">
        <f>P755+Q755</f>
        <v>74</v>
      </c>
      <c r="S755" s="78">
        <v>178.65</v>
      </c>
      <c r="U755" s="80">
        <f>O755+R755+S755-C755</f>
        <v>0</v>
      </c>
      <c r="W755" s="81">
        <f t="shared" ref="W755:W794" si="350">IF((O755+R755)=0," ",ROUND((O755/(O755+R755)),7))</f>
        <v>0.96577800000000003</v>
      </c>
      <c r="X755" s="81">
        <f t="shared" ref="X755:X794" si="351">IF((C755)=0," ",ROUND((O755/(C755)),7))</f>
        <v>0.89207599999999998</v>
      </c>
      <c r="Y755" s="81">
        <f t="shared" ref="Y755:Y794" si="352">IF((C755)=0," ",ROUND((S755/(C755)),7))</f>
        <v>7.6313500000000006E-2</v>
      </c>
      <c r="Z755" s="79"/>
      <c r="AF755" s="79"/>
      <c r="AJ755" s="66"/>
      <c r="AK755" s="70"/>
    </row>
    <row r="756" spans="1:37" hidden="1">
      <c r="A756" s="65">
        <f>A755+1</f>
        <v>26</v>
      </c>
      <c r="B756" s="66" t="s">
        <v>362</v>
      </c>
      <c r="C756" s="78">
        <v>0</v>
      </c>
      <c r="D756" s="79">
        <f>C756-E756-SUM(G756:I756)-SUM(M756:N756)-R756-S756</f>
        <v>0</v>
      </c>
      <c r="E756" s="79">
        <v>0</v>
      </c>
      <c r="F756" s="79">
        <f>D756+E756</f>
        <v>0</v>
      </c>
      <c r="G756" s="79">
        <v>0</v>
      </c>
      <c r="H756" s="79">
        <v>0</v>
      </c>
      <c r="I756" s="79">
        <v>0</v>
      </c>
      <c r="J756" s="79">
        <v>0</v>
      </c>
      <c r="K756" s="79">
        <v>0</v>
      </c>
      <c r="L756" s="79">
        <v>0</v>
      </c>
      <c r="M756" s="79">
        <f>SUM(J756:L756)</f>
        <v>0</v>
      </c>
      <c r="N756" s="79">
        <v>0</v>
      </c>
      <c r="O756" s="79">
        <f>SUM(F756:I756)+SUM(M756:N756)</f>
        <v>0</v>
      </c>
      <c r="P756" s="79">
        <v>0</v>
      </c>
      <c r="Q756" s="79">
        <v>0</v>
      </c>
      <c r="R756" s="78">
        <f>P756+Q756</f>
        <v>0</v>
      </c>
      <c r="S756" s="78">
        <f>0</f>
        <v>0</v>
      </c>
      <c r="U756" s="80">
        <f>O756+R756+S756-C756</f>
        <v>0</v>
      </c>
      <c r="W756" s="81" t="str">
        <f t="shared" si="350"/>
        <v xml:space="preserve"> </v>
      </c>
      <c r="X756" s="81" t="str">
        <f t="shared" si="351"/>
        <v xml:space="preserve"> </v>
      </c>
      <c r="Y756" s="81" t="str">
        <f t="shared" si="352"/>
        <v xml:space="preserve"> </v>
      </c>
      <c r="Z756" s="79"/>
      <c r="AF756" s="79"/>
      <c r="AJ756" s="66"/>
      <c r="AK756" s="65"/>
    </row>
    <row r="757" spans="1:37" hidden="1">
      <c r="A757" s="65">
        <f>A756+1</f>
        <v>27</v>
      </c>
      <c r="B757" s="66" t="s">
        <v>379</v>
      </c>
      <c r="C757" s="79">
        <f>O757+R757+S757</f>
        <v>2341</v>
      </c>
      <c r="D757" s="79">
        <f>D755+D756</f>
        <v>1136.3499999999999</v>
      </c>
      <c r="E757" s="79">
        <f>E755+E756</f>
        <v>29</v>
      </c>
      <c r="F757" s="79">
        <f>D757+E757</f>
        <v>1165.3499999999999</v>
      </c>
      <c r="G757" s="79">
        <f t="shared" ref="G757:L757" si="353">G755+G756</f>
        <v>57</v>
      </c>
      <c r="H757" s="79">
        <f t="shared" si="353"/>
        <v>461</v>
      </c>
      <c r="I757" s="79">
        <f t="shared" si="353"/>
        <v>268</v>
      </c>
      <c r="J757" s="79">
        <f t="shared" si="353"/>
        <v>115</v>
      </c>
      <c r="K757" s="79">
        <f t="shared" si="353"/>
        <v>8</v>
      </c>
      <c r="L757" s="79">
        <f t="shared" si="353"/>
        <v>5</v>
      </c>
      <c r="M757" s="79">
        <f>SUM(J757:L757)</f>
        <v>128</v>
      </c>
      <c r="N757" s="79">
        <f>N755+N756</f>
        <v>9</v>
      </c>
      <c r="O757" s="79">
        <f>SUM(F757:I757)+SUM(M757:N757)</f>
        <v>2088.35</v>
      </c>
      <c r="P757" s="79">
        <f>P755+P756</f>
        <v>66</v>
      </c>
      <c r="Q757" s="79">
        <f>Q755+Q756</f>
        <v>8</v>
      </c>
      <c r="R757" s="78">
        <f>P757+Q757</f>
        <v>74</v>
      </c>
      <c r="S757" s="79">
        <f>S755+S756</f>
        <v>178.65</v>
      </c>
      <c r="U757" s="80">
        <f>O757+R757+S757-C757</f>
        <v>0</v>
      </c>
      <c r="W757" s="81">
        <f t="shared" si="350"/>
        <v>0.96577800000000003</v>
      </c>
      <c r="X757" s="81">
        <f t="shared" si="351"/>
        <v>0.89207599999999998</v>
      </c>
      <c r="Y757" s="81">
        <f t="shared" si="352"/>
        <v>7.6313500000000006E-2</v>
      </c>
      <c r="Z757" s="79"/>
      <c r="AF757" s="79"/>
      <c r="AJ757" s="66"/>
    </row>
    <row r="758" spans="1:37" hidden="1">
      <c r="W758" s="81" t="str">
        <f t="shared" si="350"/>
        <v xml:space="preserve"> </v>
      </c>
      <c r="X758" s="81" t="str">
        <f t="shared" si="351"/>
        <v xml:space="preserve"> </v>
      </c>
      <c r="Y758" s="81" t="str">
        <f t="shared" si="352"/>
        <v xml:space="preserve"> </v>
      </c>
      <c r="AJ758" s="66"/>
      <c r="AK758" s="65"/>
    </row>
    <row r="759" spans="1:37" hidden="1">
      <c r="A759" s="65">
        <f>A757+1</f>
        <v>28</v>
      </c>
      <c r="B759" s="66" t="s">
        <v>380</v>
      </c>
      <c r="C759" s="79">
        <f>O759+R759+S759</f>
        <v>63168.999999999993</v>
      </c>
      <c r="D759" s="79">
        <f>D730+D732+D737+D742+D757</f>
        <v>26887.761999999995</v>
      </c>
      <c r="E759" s="79">
        <f>E730+E732+E737+E742+E757</f>
        <v>877</v>
      </c>
      <c r="F759" s="79">
        <f>D759+E759</f>
        <v>27764.761999999995</v>
      </c>
      <c r="G759" s="79">
        <f t="shared" ref="G759:L759" si="354">G730+G732+G737+G742+G757</f>
        <v>1421</v>
      </c>
      <c r="H759" s="79">
        <f t="shared" si="354"/>
        <v>12415</v>
      </c>
      <c r="I759" s="79">
        <f t="shared" si="354"/>
        <v>7913</v>
      </c>
      <c r="J759" s="79">
        <f t="shared" si="354"/>
        <v>3989</v>
      </c>
      <c r="K759" s="79">
        <f t="shared" si="354"/>
        <v>211</v>
      </c>
      <c r="L759" s="79">
        <f t="shared" si="354"/>
        <v>157</v>
      </c>
      <c r="M759" s="79">
        <f>SUM(J759:L759)</f>
        <v>4357</v>
      </c>
      <c r="N759" s="79">
        <f>N730+N732+N737+N742+N757</f>
        <v>550</v>
      </c>
      <c r="O759" s="79">
        <f>SUM(F759:I759)+SUM(M759:N759)</f>
        <v>54420.761999999995</v>
      </c>
      <c r="P759" s="79">
        <f>P730+P732+P737+P742+P757</f>
        <v>1645</v>
      </c>
      <c r="Q759" s="79">
        <f>Q730+Q732+Q737+Q742+Q757</f>
        <v>188</v>
      </c>
      <c r="R759" s="78">
        <f>P759+Q759</f>
        <v>1833</v>
      </c>
      <c r="S759" s="79">
        <f>S730+S732+S737+S742+S757</f>
        <v>6915.2379999999994</v>
      </c>
      <c r="U759" s="80">
        <f>O759+R759+S759-C759</f>
        <v>0</v>
      </c>
      <c r="W759" s="81">
        <f t="shared" si="350"/>
        <v>0.96741549999999998</v>
      </c>
      <c r="X759" s="81">
        <f t="shared" si="351"/>
        <v>0.86151060000000002</v>
      </c>
      <c r="Y759" s="81">
        <f t="shared" si="352"/>
        <v>0.109472</v>
      </c>
      <c r="Z759" s="79"/>
      <c r="AF759" s="79"/>
      <c r="AJ759" s="66"/>
      <c r="AK759" s="70"/>
    </row>
    <row r="760" spans="1:37" hidden="1"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U760" s="80"/>
      <c r="W760" s="81" t="str">
        <f t="shared" si="350"/>
        <v xml:space="preserve"> </v>
      </c>
      <c r="X760" s="81" t="str">
        <f t="shared" si="351"/>
        <v xml:space="preserve"> </v>
      </c>
      <c r="Y760" s="81" t="str">
        <f t="shared" si="352"/>
        <v xml:space="preserve"> </v>
      </c>
      <c r="Z760" s="79"/>
      <c r="AF760" s="79"/>
      <c r="AJ760" s="66"/>
      <c r="AK760" s="70"/>
    </row>
    <row r="761" spans="1:37" hidden="1"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U761" s="80"/>
      <c r="W761" s="81" t="str">
        <f t="shared" si="350"/>
        <v xml:space="preserve"> </v>
      </c>
      <c r="X761" s="81" t="str">
        <f t="shared" si="351"/>
        <v xml:space="preserve"> </v>
      </c>
      <c r="Y761" s="81" t="str">
        <f t="shared" si="352"/>
        <v xml:space="preserve"> </v>
      </c>
      <c r="Z761" s="79"/>
      <c r="AF761" s="79"/>
      <c r="AJ761" s="66"/>
      <c r="AK761" s="65"/>
    </row>
    <row r="762" spans="1:37" hidden="1">
      <c r="A762" s="65">
        <f>A759+1</f>
        <v>29</v>
      </c>
      <c r="B762" s="66" t="s">
        <v>381</v>
      </c>
      <c r="C762" s="79">
        <f>O762+R762+S762</f>
        <v>108702.99999999999</v>
      </c>
      <c r="D762" s="79">
        <f>D727+D759</f>
        <v>48227.902999999991</v>
      </c>
      <c r="E762" s="79">
        <f>E727+E759</f>
        <v>1488</v>
      </c>
      <c r="F762" s="79">
        <f>D762+E762</f>
        <v>49715.902999999991</v>
      </c>
      <c r="G762" s="79">
        <f t="shared" ref="G762:L762" si="355">G727+G759</f>
        <v>2514</v>
      </c>
      <c r="H762" s="79">
        <f t="shared" si="355"/>
        <v>21578</v>
      </c>
      <c r="I762" s="79">
        <f t="shared" si="355"/>
        <v>13476</v>
      </c>
      <c r="J762" s="79">
        <f t="shared" si="355"/>
        <v>6583</v>
      </c>
      <c r="K762" s="79">
        <f t="shared" si="355"/>
        <v>373</v>
      </c>
      <c r="L762" s="79">
        <f t="shared" si="355"/>
        <v>262</v>
      </c>
      <c r="M762" s="79">
        <f>SUM(J762:L762)</f>
        <v>7218</v>
      </c>
      <c r="N762" s="79">
        <f>N727+N759</f>
        <v>834</v>
      </c>
      <c r="O762" s="79">
        <f>SUM(F762:I762)+SUM(M762:N762)</f>
        <v>95335.902999999991</v>
      </c>
      <c r="P762" s="79">
        <f>P727+P759</f>
        <v>2906</v>
      </c>
      <c r="Q762" s="79">
        <f>Q727+Q759</f>
        <v>332</v>
      </c>
      <c r="R762" s="78">
        <f>P762+Q762</f>
        <v>3238</v>
      </c>
      <c r="S762" s="79">
        <f>S727+S759</f>
        <v>10129.096999999998</v>
      </c>
      <c r="U762" s="80">
        <f>O762+R762+S762-C762</f>
        <v>0</v>
      </c>
      <c r="W762" s="81">
        <f t="shared" si="350"/>
        <v>0.96715150000000005</v>
      </c>
      <c r="X762" s="81">
        <f t="shared" si="351"/>
        <v>0.87703100000000001</v>
      </c>
      <c r="Y762" s="81">
        <f t="shared" si="352"/>
        <v>9.3181399999999998E-2</v>
      </c>
      <c r="Z762" s="79"/>
      <c r="AF762" s="79"/>
      <c r="AJ762" s="66"/>
      <c r="AK762" s="65"/>
    </row>
    <row r="763" spans="1:37" hidden="1"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U763" s="80"/>
      <c r="W763" s="81" t="str">
        <f t="shared" si="350"/>
        <v xml:space="preserve"> </v>
      </c>
      <c r="X763" s="81" t="str">
        <f t="shared" si="351"/>
        <v xml:space="preserve"> </v>
      </c>
      <c r="Y763" s="81" t="str">
        <f t="shared" si="352"/>
        <v xml:space="preserve"> </v>
      </c>
      <c r="Z763" s="79"/>
      <c r="AF763" s="79"/>
      <c r="AJ763" s="66"/>
      <c r="AK763" s="65"/>
    </row>
    <row r="764" spans="1:37" hidden="1">
      <c r="A764" s="85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U764" s="80"/>
      <c r="V764" s="85"/>
      <c r="W764" s="81" t="str">
        <f t="shared" si="350"/>
        <v xml:space="preserve"> </v>
      </c>
      <c r="X764" s="81" t="str">
        <f t="shared" si="351"/>
        <v xml:space="preserve"> </v>
      </c>
      <c r="Y764" s="81" t="str">
        <f t="shared" si="352"/>
        <v xml:space="preserve"> </v>
      </c>
      <c r="Z764" s="79"/>
      <c r="AF764" s="79"/>
      <c r="AJ764" s="66"/>
      <c r="AK764" s="70"/>
    </row>
    <row r="765" spans="1:37" hidden="1">
      <c r="B765" s="65" t="s">
        <v>382</v>
      </c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U765" s="80"/>
      <c r="W765" s="81" t="str">
        <f t="shared" si="350"/>
        <v xml:space="preserve"> </v>
      </c>
      <c r="X765" s="81" t="str">
        <f t="shared" si="351"/>
        <v xml:space="preserve"> </v>
      </c>
      <c r="Y765" s="81" t="str">
        <f t="shared" si="352"/>
        <v xml:space="preserve"> </v>
      </c>
      <c r="Z765" s="79"/>
      <c r="AF765" s="79"/>
      <c r="AJ765" s="66"/>
      <c r="AK765" s="70"/>
    </row>
    <row r="766" spans="1:37" hidden="1">
      <c r="B766" s="83" t="s">
        <v>170</v>
      </c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U766" s="80"/>
      <c r="W766" s="81" t="str">
        <f t="shared" si="350"/>
        <v xml:space="preserve"> </v>
      </c>
      <c r="X766" s="81" t="str">
        <f t="shared" si="351"/>
        <v xml:space="preserve"> </v>
      </c>
      <c r="Y766" s="81" t="str">
        <f t="shared" si="352"/>
        <v xml:space="preserve"> </v>
      </c>
      <c r="Z766" s="79"/>
      <c r="AF766" s="79"/>
      <c r="AJ766" s="66"/>
      <c r="AK766" s="65"/>
    </row>
    <row r="767" spans="1:37" hidden="1"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U767" s="80"/>
      <c r="W767" s="81" t="str">
        <f t="shared" si="350"/>
        <v xml:space="preserve"> </v>
      </c>
      <c r="X767" s="81" t="str">
        <f t="shared" si="351"/>
        <v xml:space="preserve"> </v>
      </c>
      <c r="Y767" s="81" t="str">
        <f t="shared" si="352"/>
        <v xml:space="preserve"> </v>
      </c>
      <c r="Z767" s="79"/>
      <c r="AF767" s="79"/>
      <c r="AJ767" s="66"/>
      <c r="AK767" s="65"/>
    </row>
    <row r="768" spans="1:37" hidden="1">
      <c r="B768" s="66" t="s">
        <v>383</v>
      </c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U768" s="80"/>
      <c r="W768" s="81" t="str">
        <f t="shared" si="350"/>
        <v xml:space="preserve"> </v>
      </c>
      <c r="X768" s="81" t="str">
        <f t="shared" si="351"/>
        <v xml:space="preserve"> </v>
      </c>
      <c r="Y768" s="81" t="str">
        <f t="shared" si="352"/>
        <v xml:space="preserve"> </v>
      </c>
      <c r="Z768" s="79"/>
      <c r="AF768" s="79"/>
      <c r="AJ768" s="66"/>
      <c r="AK768" s="65"/>
    </row>
    <row r="769" spans="1:37" hidden="1">
      <c r="A769" s="65">
        <f>A762+1</f>
        <v>30</v>
      </c>
      <c r="B769" s="71" t="s">
        <v>384</v>
      </c>
      <c r="C769" s="78">
        <v>412</v>
      </c>
      <c r="D769" s="79">
        <f t="shared" ref="D769:D774" si="356">C769-E769-SUM(G769:I769)-SUM(M769:N769)-R769-S769</f>
        <v>216</v>
      </c>
      <c r="E769" s="79">
        <v>6</v>
      </c>
      <c r="F769" s="79">
        <f t="shared" ref="F769:F774" si="357">D769+E769</f>
        <v>222</v>
      </c>
      <c r="G769" s="79">
        <v>11</v>
      </c>
      <c r="H769" s="79">
        <v>88</v>
      </c>
      <c r="I769" s="79">
        <v>51</v>
      </c>
      <c r="J769" s="79">
        <v>22</v>
      </c>
      <c r="K769" s="79">
        <v>2</v>
      </c>
      <c r="L769" s="79">
        <v>1</v>
      </c>
      <c r="M769" s="79">
        <f t="shared" ref="M769:M774" si="358">SUM(J769:L769)</f>
        <v>25</v>
      </c>
      <c r="N769" s="79">
        <v>2</v>
      </c>
      <c r="O769" s="79">
        <f t="shared" ref="O769:O774" si="359">SUM(F769:I769)+SUM(M769:N769)</f>
        <v>399</v>
      </c>
      <c r="P769" s="79">
        <v>12</v>
      </c>
      <c r="Q769" s="79">
        <v>1</v>
      </c>
      <c r="R769" s="78">
        <f>P769+Q769</f>
        <v>13</v>
      </c>
      <c r="S769" s="79">
        <v>0</v>
      </c>
      <c r="U769" s="80">
        <f t="shared" ref="U769:U774" si="360">O769+R769+S769-C769</f>
        <v>0</v>
      </c>
      <c r="W769" s="81">
        <f t="shared" si="350"/>
        <v>0.96844660000000005</v>
      </c>
      <c r="X769" s="81">
        <f t="shared" si="351"/>
        <v>0.96844660000000005</v>
      </c>
      <c r="Y769" s="81">
        <f t="shared" si="352"/>
        <v>0</v>
      </c>
      <c r="Z769" s="79"/>
      <c r="AF769" s="79"/>
      <c r="AJ769" s="66"/>
      <c r="AK769" s="65"/>
    </row>
    <row r="770" spans="1:37" hidden="1">
      <c r="B770" s="71"/>
      <c r="C770" s="78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8"/>
      <c r="S770" s="79"/>
      <c r="U770" s="80"/>
      <c r="W770" s="81" t="str">
        <f t="shared" si="350"/>
        <v xml:space="preserve"> </v>
      </c>
      <c r="X770" s="81" t="str">
        <f t="shared" si="351"/>
        <v xml:space="preserve"> </v>
      </c>
      <c r="Y770" s="81" t="str">
        <f t="shared" si="352"/>
        <v xml:space="preserve"> </v>
      </c>
      <c r="Z770" s="79"/>
      <c r="AF770" s="79"/>
      <c r="AJ770" s="66"/>
      <c r="AK770" s="65"/>
    </row>
    <row r="771" spans="1:37" hidden="1">
      <c r="A771" s="65">
        <f>A769+1</f>
        <v>31</v>
      </c>
      <c r="B771" s="71" t="s">
        <v>385</v>
      </c>
      <c r="C771" s="78">
        <v>593</v>
      </c>
      <c r="D771" s="79">
        <f>C771-E771-SUM(G771:I771)-SUM(M771:N771)-R771-S771</f>
        <v>265</v>
      </c>
      <c r="E771" s="79">
        <v>10</v>
      </c>
      <c r="F771" s="79">
        <f>D771+E771</f>
        <v>275</v>
      </c>
      <c r="G771" s="79">
        <v>15</v>
      </c>
      <c r="H771" s="79">
        <v>134</v>
      </c>
      <c r="I771" s="79">
        <v>90</v>
      </c>
      <c r="J771" s="79">
        <v>48</v>
      </c>
      <c r="K771" s="79">
        <v>2</v>
      </c>
      <c r="L771" s="79">
        <v>2</v>
      </c>
      <c r="M771" s="79">
        <f>SUM(J771:L771)</f>
        <v>52</v>
      </c>
      <c r="N771" s="79">
        <v>8</v>
      </c>
      <c r="O771" s="79">
        <f>SUM(F771:I771)+SUM(M771:N771)</f>
        <v>574</v>
      </c>
      <c r="P771" s="79">
        <v>17</v>
      </c>
      <c r="Q771" s="79">
        <v>2</v>
      </c>
      <c r="R771" s="78">
        <f>P771+Q771</f>
        <v>19</v>
      </c>
      <c r="S771" s="79">
        <v>0</v>
      </c>
      <c r="U771" s="80">
        <f>O771+R771+S771-C771</f>
        <v>0</v>
      </c>
      <c r="W771" s="81">
        <f t="shared" si="350"/>
        <v>0.96795949999999997</v>
      </c>
      <c r="X771" s="81">
        <f t="shared" si="351"/>
        <v>0.96795949999999997</v>
      </c>
      <c r="Y771" s="81">
        <f t="shared" si="352"/>
        <v>0</v>
      </c>
      <c r="AJ771" s="66"/>
      <c r="AK771" s="65"/>
    </row>
    <row r="772" spans="1:37" hidden="1">
      <c r="A772" s="65">
        <f>A771+1</f>
        <v>32</v>
      </c>
      <c r="B772" s="66" t="s">
        <v>386</v>
      </c>
      <c r="C772" s="78">
        <v>160161</v>
      </c>
      <c r="D772" s="79">
        <f t="shared" si="356"/>
        <v>71802</v>
      </c>
      <c r="E772" s="79">
        <v>2713</v>
      </c>
      <c r="F772" s="79">
        <f t="shared" si="357"/>
        <v>74515</v>
      </c>
      <c r="G772" s="79">
        <v>3940</v>
      </c>
      <c r="H772" s="79">
        <v>36103</v>
      </c>
      <c r="I772" s="79">
        <v>24192</v>
      </c>
      <c r="J772" s="79">
        <v>13099</v>
      </c>
      <c r="K772" s="79">
        <v>595</v>
      </c>
      <c r="L772" s="79">
        <v>504</v>
      </c>
      <c r="M772" s="79">
        <f t="shared" si="358"/>
        <v>14198</v>
      </c>
      <c r="N772" s="79">
        <v>2116</v>
      </c>
      <c r="O772" s="79">
        <f t="shared" si="359"/>
        <v>155064</v>
      </c>
      <c r="P772" s="79">
        <v>4575</v>
      </c>
      <c r="Q772" s="79">
        <v>522</v>
      </c>
      <c r="R772" s="78">
        <f>P772+Q772</f>
        <v>5097</v>
      </c>
      <c r="S772" s="79">
        <v>0</v>
      </c>
      <c r="U772" s="80">
        <f t="shared" si="360"/>
        <v>0</v>
      </c>
      <c r="W772" s="81">
        <f t="shared" si="350"/>
        <v>0.96817580000000003</v>
      </c>
      <c r="X772" s="81">
        <f t="shared" si="351"/>
        <v>0.96817580000000003</v>
      </c>
      <c r="Y772" s="81">
        <f t="shared" si="352"/>
        <v>0</v>
      </c>
      <c r="Z772" s="79"/>
      <c r="AF772" s="79"/>
      <c r="AJ772" s="66"/>
      <c r="AK772" s="65"/>
    </row>
    <row r="773" spans="1:37" hidden="1">
      <c r="A773" s="65">
        <f>A772+1</f>
        <v>33</v>
      </c>
      <c r="B773" s="66" t="s">
        <v>387</v>
      </c>
      <c r="C773" s="78">
        <v>-160161</v>
      </c>
      <c r="D773" s="79">
        <f t="shared" si="356"/>
        <v>-71802</v>
      </c>
      <c r="E773" s="79">
        <v>-2713</v>
      </c>
      <c r="F773" s="79">
        <f t="shared" si="357"/>
        <v>-74515</v>
      </c>
      <c r="G773" s="79">
        <v>-3940</v>
      </c>
      <c r="H773" s="79">
        <v>-36103</v>
      </c>
      <c r="I773" s="79">
        <v>-24192</v>
      </c>
      <c r="J773" s="79">
        <v>-13099</v>
      </c>
      <c r="K773" s="79">
        <v>-595</v>
      </c>
      <c r="L773" s="79">
        <v>-504</v>
      </c>
      <c r="M773" s="79">
        <f t="shared" si="358"/>
        <v>-14198</v>
      </c>
      <c r="N773" s="79">
        <v>-2116</v>
      </c>
      <c r="O773" s="79">
        <f t="shared" si="359"/>
        <v>-155064</v>
      </c>
      <c r="P773" s="79">
        <v>-4575</v>
      </c>
      <c r="Q773" s="79">
        <v>-522</v>
      </c>
      <c r="R773" s="78">
        <f>P773+Q773</f>
        <v>-5097</v>
      </c>
      <c r="S773" s="79">
        <v>0</v>
      </c>
      <c r="U773" s="80">
        <f t="shared" si="360"/>
        <v>0</v>
      </c>
      <c r="W773" s="81">
        <f t="shared" si="350"/>
        <v>0.96817580000000003</v>
      </c>
      <c r="X773" s="81">
        <f t="shared" si="351"/>
        <v>0.96817580000000003</v>
      </c>
      <c r="Y773" s="81">
        <f t="shared" si="352"/>
        <v>0</v>
      </c>
      <c r="Z773" s="79"/>
      <c r="AF773" s="79"/>
      <c r="AJ773" s="66"/>
      <c r="AK773" s="65"/>
    </row>
    <row r="774" spans="1:37" hidden="1">
      <c r="A774" s="65">
        <f>A773+1</f>
        <v>34</v>
      </c>
      <c r="B774" s="66" t="s">
        <v>388</v>
      </c>
      <c r="C774" s="79">
        <f>C772+C773</f>
        <v>0</v>
      </c>
      <c r="D774" s="79">
        <f t="shared" si="356"/>
        <v>0</v>
      </c>
      <c r="E774" s="79">
        <f>E772+E773</f>
        <v>0</v>
      </c>
      <c r="F774" s="79">
        <f t="shared" si="357"/>
        <v>0</v>
      </c>
      <c r="G774" s="79">
        <f t="shared" ref="G774:L774" si="361">G772+G773</f>
        <v>0</v>
      </c>
      <c r="H774" s="79">
        <f t="shared" si="361"/>
        <v>0</v>
      </c>
      <c r="I774" s="79">
        <f t="shared" si="361"/>
        <v>0</v>
      </c>
      <c r="J774" s="79">
        <f t="shared" si="361"/>
        <v>0</v>
      </c>
      <c r="K774" s="79">
        <f t="shared" si="361"/>
        <v>0</v>
      </c>
      <c r="L774" s="79">
        <f t="shared" si="361"/>
        <v>0</v>
      </c>
      <c r="M774" s="79">
        <f t="shared" si="358"/>
        <v>0</v>
      </c>
      <c r="N774" s="79">
        <f>N772+N773</f>
        <v>0</v>
      </c>
      <c r="O774" s="79">
        <f t="shared" si="359"/>
        <v>0</v>
      </c>
      <c r="P774" s="79">
        <f>P772+P773</f>
        <v>0</v>
      </c>
      <c r="Q774" s="79">
        <f>Q772+Q773</f>
        <v>0</v>
      </c>
      <c r="R774" s="78">
        <f>P774+Q774</f>
        <v>0</v>
      </c>
      <c r="S774" s="79">
        <f>S772+S773</f>
        <v>0</v>
      </c>
      <c r="U774" s="80">
        <f t="shared" si="360"/>
        <v>0</v>
      </c>
      <c r="W774" s="81" t="str">
        <f t="shared" si="350"/>
        <v xml:space="preserve"> </v>
      </c>
      <c r="X774" s="81" t="str">
        <f t="shared" si="351"/>
        <v xml:space="preserve"> </v>
      </c>
      <c r="Y774" s="81" t="str">
        <f t="shared" si="352"/>
        <v xml:space="preserve"> </v>
      </c>
      <c r="Z774" s="79"/>
      <c r="AF774" s="79"/>
      <c r="AJ774" s="66"/>
      <c r="AK774" s="65"/>
    </row>
    <row r="775" spans="1:37" hidden="1">
      <c r="W775" s="81" t="str">
        <f t="shared" si="350"/>
        <v xml:space="preserve"> </v>
      </c>
      <c r="X775" s="81" t="str">
        <f t="shared" si="351"/>
        <v xml:space="preserve"> </v>
      </c>
      <c r="Y775" s="81" t="str">
        <f t="shared" si="352"/>
        <v xml:space="preserve"> </v>
      </c>
      <c r="AJ775" s="66"/>
      <c r="AK775" s="65"/>
    </row>
    <row r="776" spans="1:37" hidden="1">
      <c r="B776" s="66" t="s">
        <v>389</v>
      </c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U776" s="80"/>
      <c r="W776" s="81" t="str">
        <f t="shared" si="350"/>
        <v xml:space="preserve"> </v>
      </c>
      <c r="X776" s="81" t="str">
        <f t="shared" si="351"/>
        <v xml:space="preserve"> </v>
      </c>
      <c r="Y776" s="81" t="str">
        <f t="shared" si="352"/>
        <v xml:space="preserve"> </v>
      </c>
      <c r="Z776" s="79"/>
      <c r="AF776" s="79"/>
      <c r="AJ776" s="66"/>
      <c r="AK776" s="65"/>
    </row>
    <row r="777" spans="1:37" hidden="1">
      <c r="A777" s="65">
        <f>A774+1</f>
        <v>35</v>
      </c>
      <c r="B777" s="66" t="s">
        <v>390</v>
      </c>
      <c r="C777" s="78">
        <v>696</v>
      </c>
      <c r="D777" s="79">
        <f>C777-E777-SUM(G777:I777)-SUM(M777:N777)-R777-S777</f>
        <v>367</v>
      </c>
      <c r="E777" s="79">
        <v>9</v>
      </c>
      <c r="F777" s="79">
        <f>D777+E777</f>
        <v>376</v>
      </c>
      <c r="G777" s="79">
        <v>18</v>
      </c>
      <c r="H777" s="79">
        <v>148</v>
      </c>
      <c r="I777" s="79">
        <v>86</v>
      </c>
      <c r="J777" s="79">
        <v>37</v>
      </c>
      <c r="K777" s="79">
        <v>3</v>
      </c>
      <c r="L777" s="79">
        <v>2</v>
      </c>
      <c r="M777" s="79">
        <f>SUM(J777:L777)</f>
        <v>42</v>
      </c>
      <c r="N777" s="79">
        <v>3</v>
      </c>
      <c r="O777" s="79">
        <f>SUM(F777:I777)+SUM(M777:N777)</f>
        <v>673</v>
      </c>
      <c r="P777" s="79">
        <v>21</v>
      </c>
      <c r="Q777" s="79">
        <v>2</v>
      </c>
      <c r="R777" s="78">
        <f>P777+Q777</f>
        <v>23</v>
      </c>
      <c r="S777" s="79">
        <v>0</v>
      </c>
      <c r="U777" s="80">
        <f>O777+R777+S777-C777</f>
        <v>0</v>
      </c>
      <c r="W777" s="81">
        <f t="shared" si="350"/>
        <v>0.96695399999999998</v>
      </c>
      <c r="X777" s="81">
        <f t="shared" si="351"/>
        <v>0.96695399999999998</v>
      </c>
      <c r="Y777" s="81">
        <f t="shared" si="352"/>
        <v>0</v>
      </c>
      <c r="Z777" s="79"/>
      <c r="AF777" s="79"/>
      <c r="AJ777" s="66"/>
      <c r="AK777" s="65"/>
    </row>
    <row r="778" spans="1:37" hidden="1">
      <c r="A778" s="65">
        <f>A777+1</f>
        <v>36</v>
      </c>
      <c r="B778" s="66" t="s">
        <v>391</v>
      </c>
      <c r="C778" s="78">
        <f>0</f>
        <v>0</v>
      </c>
      <c r="D778" s="79">
        <f>C778-E778-SUM(G778:I778)-SUM(M778:N778)-R778-S778</f>
        <v>0</v>
      </c>
      <c r="E778" s="79">
        <v>0</v>
      </c>
      <c r="F778" s="79">
        <f>D778+E778</f>
        <v>0</v>
      </c>
      <c r="G778" s="79">
        <v>0</v>
      </c>
      <c r="H778" s="79">
        <v>0</v>
      </c>
      <c r="I778" s="79">
        <v>0</v>
      </c>
      <c r="J778" s="79">
        <v>0</v>
      </c>
      <c r="K778" s="79">
        <v>0</v>
      </c>
      <c r="L778" s="79">
        <v>0</v>
      </c>
      <c r="M778" s="79">
        <f>SUM(J778:L778)</f>
        <v>0</v>
      </c>
      <c r="N778" s="79">
        <v>0</v>
      </c>
      <c r="O778" s="79">
        <f>SUM(F778:I778)+SUM(M778:N778)</f>
        <v>0</v>
      </c>
      <c r="P778" s="79">
        <v>0</v>
      </c>
      <c r="Q778" s="79">
        <v>0</v>
      </c>
      <c r="R778" s="78">
        <f>P778+Q778</f>
        <v>0</v>
      </c>
      <c r="S778" s="79">
        <v>0</v>
      </c>
      <c r="U778" s="80">
        <f>O778+R778+S778-C778</f>
        <v>0</v>
      </c>
      <c r="W778" s="81" t="str">
        <f t="shared" si="350"/>
        <v xml:space="preserve"> </v>
      </c>
      <c r="X778" s="81" t="str">
        <f t="shared" si="351"/>
        <v xml:space="preserve"> </v>
      </c>
      <c r="Y778" s="81" t="str">
        <f t="shared" si="352"/>
        <v xml:space="preserve"> </v>
      </c>
      <c r="Z778" s="79"/>
      <c r="AF778" s="79"/>
      <c r="AJ778" s="66"/>
      <c r="AK778" s="70"/>
    </row>
    <row r="779" spans="1:37" hidden="1">
      <c r="A779" s="65">
        <f>A778+1</f>
        <v>37</v>
      </c>
      <c r="B779" s="66" t="s">
        <v>392</v>
      </c>
      <c r="C779" s="79">
        <f>O779+R779+S779</f>
        <v>696</v>
      </c>
      <c r="D779" s="79">
        <f>D777+D778</f>
        <v>367</v>
      </c>
      <c r="E779" s="79">
        <f>E777+E778</f>
        <v>9</v>
      </c>
      <c r="F779" s="79">
        <f>D779+E779</f>
        <v>376</v>
      </c>
      <c r="G779" s="79">
        <f t="shared" ref="G779:L779" si="362">G777+G778</f>
        <v>18</v>
      </c>
      <c r="H779" s="79">
        <f t="shared" si="362"/>
        <v>148</v>
      </c>
      <c r="I779" s="79">
        <f t="shared" si="362"/>
        <v>86</v>
      </c>
      <c r="J779" s="79">
        <f t="shared" si="362"/>
        <v>37</v>
      </c>
      <c r="K779" s="79">
        <f t="shared" si="362"/>
        <v>3</v>
      </c>
      <c r="L779" s="79">
        <f t="shared" si="362"/>
        <v>2</v>
      </c>
      <c r="M779" s="79">
        <f>SUM(J779:L779)</f>
        <v>42</v>
      </c>
      <c r="N779" s="79">
        <f>N777+N778</f>
        <v>3</v>
      </c>
      <c r="O779" s="79">
        <f>SUM(F779:I779)+SUM(M779:N779)</f>
        <v>673</v>
      </c>
      <c r="P779" s="79">
        <f>P777+P778</f>
        <v>21</v>
      </c>
      <c r="Q779" s="79">
        <f>Q777+Q778</f>
        <v>2</v>
      </c>
      <c r="R779" s="78">
        <f>P779+Q779</f>
        <v>23</v>
      </c>
      <c r="S779" s="79">
        <f>S777+S778</f>
        <v>0</v>
      </c>
      <c r="U779" s="80">
        <f>O779+R779+S779-C779</f>
        <v>0</v>
      </c>
      <c r="W779" s="81">
        <f t="shared" si="350"/>
        <v>0.96695399999999998</v>
      </c>
      <c r="X779" s="81">
        <f t="shared" si="351"/>
        <v>0.96695399999999998</v>
      </c>
      <c r="Y779" s="81">
        <f t="shared" si="352"/>
        <v>0</v>
      </c>
      <c r="Z779" s="79"/>
      <c r="AF779" s="79"/>
      <c r="AJ779" s="66"/>
      <c r="AK779" s="70"/>
    </row>
    <row r="780" spans="1:37" hidden="1">
      <c r="W780" s="81" t="str">
        <f t="shared" si="350"/>
        <v xml:space="preserve"> </v>
      </c>
      <c r="X780" s="81" t="str">
        <f t="shared" si="351"/>
        <v xml:space="preserve"> </v>
      </c>
      <c r="Y780" s="81" t="str">
        <f t="shared" si="352"/>
        <v xml:space="preserve"> </v>
      </c>
      <c r="AJ780" s="66"/>
      <c r="AK780" s="65"/>
    </row>
    <row r="781" spans="1:37" hidden="1">
      <c r="B781" s="71" t="s">
        <v>393</v>
      </c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U781" s="80"/>
      <c r="W781" s="81" t="str">
        <f t="shared" si="350"/>
        <v xml:space="preserve"> </v>
      </c>
      <c r="X781" s="81" t="str">
        <f t="shared" si="351"/>
        <v xml:space="preserve"> </v>
      </c>
      <c r="Y781" s="81" t="str">
        <f t="shared" si="352"/>
        <v xml:space="preserve"> </v>
      </c>
      <c r="Z781" s="79"/>
      <c r="AF781" s="79"/>
      <c r="AJ781" s="66"/>
      <c r="AK781" s="70"/>
    </row>
    <row r="782" spans="1:37" hidden="1">
      <c r="A782" s="65">
        <f>A779+1</f>
        <v>38</v>
      </c>
      <c r="B782" s="66" t="s">
        <v>390</v>
      </c>
      <c r="C782" s="78">
        <f>802-9</f>
        <v>793</v>
      </c>
      <c r="D782" s="79">
        <f>C782-E782-SUM(G782:I782)-SUM(M782:N782)-R782-S782</f>
        <v>417</v>
      </c>
      <c r="E782" s="79">
        <v>11</v>
      </c>
      <c r="F782" s="79">
        <f>D782+E782</f>
        <v>428</v>
      </c>
      <c r="G782" s="79">
        <v>21</v>
      </c>
      <c r="H782" s="79">
        <v>169</v>
      </c>
      <c r="I782" s="79">
        <v>98</v>
      </c>
      <c r="J782" s="79">
        <v>42</v>
      </c>
      <c r="K782" s="79">
        <v>3</v>
      </c>
      <c r="L782" s="79">
        <v>2</v>
      </c>
      <c r="M782" s="79">
        <f>SUM(J782:L782)</f>
        <v>47</v>
      </c>
      <c r="N782" s="79">
        <v>3</v>
      </c>
      <c r="O782" s="79">
        <f>SUM(F782:I782)+SUM(M782:N782)</f>
        <v>766</v>
      </c>
      <c r="P782" s="79">
        <v>24</v>
      </c>
      <c r="Q782" s="79">
        <v>3</v>
      </c>
      <c r="R782" s="78">
        <f>P782+Q782</f>
        <v>27</v>
      </c>
      <c r="S782" s="79">
        <v>0</v>
      </c>
      <c r="U782" s="80">
        <f>O782+R782+S782-C782</f>
        <v>0</v>
      </c>
      <c r="W782" s="81">
        <f t="shared" si="350"/>
        <v>0.96595209999999998</v>
      </c>
      <c r="X782" s="81">
        <f t="shared" si="351"/>
        <v>0.96595209999999998</v>
      </c>
      <c r="Y782" s="81">
        <f t="shared" si="352"/>
        <v>0</v>
      </c>
      <c r="Z782" s="79"/>
      <c r="AF782" s="79"/>
      <c r="AJ782" s="66"/>
      <c r="AK782" s="70"/>
    </row>
    <row r="783" spans="1:37" hidden="1">
      <c r="A783" s="65">
        <f>A782+1</f>
        <v>39</v>
      </c>
      <c r="B783" s="66" t="s">
        <v>391</v>
      </c>
      <c r="C783" s="78">
        <f>0</f>
        <v>0</v>
      </c>
      <c r="D783" s="79">
        <f>C783-E783-SUM(G783:I783)-SUM(M783:N783)-R783-S783</f>
        <v>0</v>
      </c>
      <c r="E783" s="79">
        <v>0</v>
      </c>
      <c r="F783" s="79">
        <f>D783+E783</f>
        <v>0</v>
      </c>
      <c r="G783" s="79">
        <v>0</v>
      </c>
      <c r="H783" s="79">
        <v>0</v>
      </c>
      <c r="I783" s="79">
        <v>0</v>
      </c>
      <c r="J783" s="79">
        <v>0</v>
      </c>
      <c r="K783" s="79">
        <v>0</v>
      </c>
      <c r="L783" s="79">
        <v>0</v>
      </c>
      <c r="M783" s="79">
        <f>SUM(J783:L783)</f>
        <v>0</v>
      </c>
      <c r="N783" s="79">
        <v>0</v>
      </c>
      <c r="O783" s="79">
        <f>SUM(F783:I783)+SUM(M783:N783)</f>
        <v>0</v>
      </c>
      <c r="P783" s="79">
        <v>0</v>
      </c>
      <c r="Q783" s="79">
        <v>0</v>
      </c>
      <c r="R783" s="78">
        <f>P783+Q783</f>
        <v>0</v>
      </c>
      <c r="S783" s="79">
        <v>0</v>
      </c>
      <c r="U783" s="80">
        <f>O783+R783+S783-C783</f>
        <v>0</v>
      </c>
      <c r="W783" s="81" t="str">
        <f t="shared" si="350"/>
        <v xml:space="preserve"> </v>
      </c>
      <c r="X783" s="81" t="str">
        <f t="shared" si="351"/>
        <v xml:space="preserve"> </v>
      </c>
      <c r="Y783" s="81" t="str">
        <f t="shared" si="352"/>
        <v xml:space="preserve"> </v>
      </c>
      <c r="Z783" s="79"/>
      <c r="AF783" s="79"/>
      <c r="AJ783" s="66"/>
      <c r="AK783" s="65"/>
    </row>
    <row r="784" spans="1:37" hidden="1">
      <c r="A784" s="65">
        <f>A783+1</f>
        <v>40</v>
      </c>
      <c r="B784" s="71" t="s">
        <v>394</v>
      </c>
      <c r="C784" s="79">
        <f>O784+R784+S784</f>
        <v>793</v>
      </c>
      <c r="D784" s="79">
        <f>D782+D783</f>
        <v>417</v>
      </c>
      <c r="E784" s="79">
        <f>E782+E783</f>
        <v>11</v>
      </c>
      <c r="F784" s="79">
        <f>D784+E784</f>
        <v>428</v>
      </c>
      <c r="G784" s="79">
        <f t="shared" ref="G784:L784" si="363">G782+G783</f>
        <v>21</v>
      </c>
      <c r="H784" s="79">
        <f t="shared" si="363"/>
        <v>169</v>
      </c>
      <c r="I784" s="79">
        <f t="shared" si="363"/>
        <v>98</v>
      </c>
      <c r="J784" s="79">
        <f t="shared" si="363"/>
        <v>42</v>
      </c>
      <c r="K784" s="79">
        <f t="shared" si="363"/>
        <v>3</v>
      </c>
      <c r="L784" s="79">
        <f t="shared" si="363"/>
        <v>2</v>
      </c>
      <c r="M784" s="79">
        <f>SUM(J784:L784)</f>
        <v>47</v>
      </c>
      <c r="N784" s="79">
        <f>N782+N783</f>
        <v>3</v>
      </c>
      <c r="O784" s="79">
        <f>SUM(F784:I784)+SUM(M784:N784)</f>
        <v>766</v>
      </c>
      <c r="P784" s="79">
        <f>P782+P783</f>
        <v>24</v>
      </c>
      <c r="Q784" s="79">
        <f>Q782+Q783</f>
        <v>3</v>
      </c>
      <c r="R784" s="78">
        <f>P784+Q784</f>
        <v>27</v>
      </c>
      <c r="S784" s="79">
        <f>S782+S783</f>
        <v>0</v>
      </c>
      <c r="U784" s="80">
        <f>O784+R784+S784-C784</f>
        <v>0</v>
      </c>
      <c r="W784" s="81">
        <f t="shared" si="350"/>
        <v>0.96595209999999998</v>
      </c>
      <c r="X784" s="81">
        <f t="shared" si="351"/>
        <v>0.96595209999999998</v>
      </c>
      <c r="Y784" s="81">
        <f t="shared" si="352"/>
        <v>0</v>
      </c>
      <c r="Z784" s="79"/>
      <c r="AF784" s="79"/>
      <c r="AJ784" s="66"/>
      <c r="AK784" s="65"/>
    </row>
    <row r="785" spans="1:37" hidden="1">
      <c r="A785" s="66"/>
      <c r="U785" s="66"/>
      <c r="V785" s="66"/>
      <c r="W785" s="81" t="str">
        <f t="shared" si="350"/>
        <v xml:space="preserve"> </v>
      </c>
      <c r="X785" s="81" t="str">
        <f t="shared" si="351"/>
        <v xml:space="preserve"> </v>
      </c>
      <c r="Y785" s="81" t="str">
        <f t="shared" si="352"/>
        <v xml:space="preserve"> </v>
      </c>
      <c r="AJ785" s="66"/>
      <c r="AK785" s="65"/>
    </row>
    <row r="786" spans="1:37" hidden="1">
      <c r="A786" s="65">
        <f>A784+1</f>
        <v>41</v>
      </c>
      <c r="B786" s="66" t="s">
        <v>395</v>
      </c>
      <c r="C786" s="79">
        <f>O786+R786+S786</f>
        <v>2494</v>
      </c>
      <c r="D786" s="79">
        <f>D774+D771+D779+D769+D784</f>
        <v>1265</v>
      </c>
      <c r="E786" s="79">
        <f>E774+E771+E779+E769+E784</f>
        <v>36</v>
      </c>
      <c r="F786" s="79">
        <f>D786+E786</f>
        <v>1301</v>
      </c>
      <c r="G786" s="79">
        <f t="shared" ref="G786:N786" si="364">G774+G771+G779+G769+G784</f>
        <v>65</v>
      </c>
      <c r="H786" s="79">
        <f t="shared" si="364"/>
        <v>539</v>
      </c>
      <c r="I786" s="79">
        <f t="shared" si="364"/>
        <v>325</v>
      </c>
      <c r="J786" s="79">
        <f t="shared" si="364"/>
        <v>149</v>
      </c>
      <c r="K786" s="79">
        <f t="shared" si="364"/>
        <v>10</v>
      </c>
      <c r="L786" s="79">
        <f t="shared" si="364"/>
        <v>7</v>
      </c>
      <c r="M786" s="79">
        <f t="shared" si="364"/>
        <v>166</v>
      </c>
      <c r="N786" s="79">
        <f t="shared" si="364"/>
        <v>16</v>
      </c>
      <c r="O786" s="79">
        <f>SUM(F786:I786)+SUM(M786:N786)</f>
        <v>2412</v>
      </c>
      <c r="P786" s="79">
        <f>P774+P771+P779+P769+P784</f>
        <v>74</v>
      </c>
      <c r="Q786" s="79">
        <f>Q774+Q771+Q779+Q769+Q784</f>
        <v>8</v>
      </c>
      <c r="R786" s="78">
        <f>P786+Q786</f>
        <v>82</v>
      </c>
      <c r="S786" s="79">
        <f>S774+S771+S779+S769+S784</f>
        <v>0</v>
      </c>
      <c r="U786" s="80">
        <f>O786+R786+S786-C786</f>
        <v>0</v>
      </c>
      <c r="W786" s="81">
        <f t="shared" si="350"/>
        <v>0.96712109999999996</v>
      </c>
      <c r="X786" s="81">
        <f t="shared" si="351"/>
        <v>0.96712109999999996</v>
      </c>
      <c r="Y786" s="81">
        <f t="shared" si="352"/>
        <v>0</v>
      </c>
      <c r="Z786" s="79"/>
      <c r="AJ786" s="66"/>
      <c r="AK786" s="70"/>
    </row>
    <row r="787" spans="1:37" hidden="1">
      <c r="C787" s="79"/>
      <c r="D787" s="79">
        <f t="shared" ref="D787:S787" si="365">D769+D771+D779+D784</f>
        <v>1265</v>
      </c>
      <c r="E787" s="79">
        <f t="shared" si="365"/>
        <v>36</v>
      </c>
      <c r="F787" s="79">
        <f t="shared" si="365"/>
        <v>1301</v>
      </c>
      <c r="G787" s="79">
        <f t="shared" si="365"/>
        <v>65</v>
      </c>
      <c r="H787" s="79">
        <f t="shared" si="365"/>
        <v>539</v>
      </c>
      <c r="I787" s="79">
        <f t="shared" si="365"/>
        <v>325</v>
      </c>
      <c r="J787" s="79">
        <f t="shared" si="365"/>
        <v>149</v>
      </c>
      <c r="K787" s="79">
        <f t="shared" si="365"/>
        <v>10</v>
      </c>
      <c r="L787" s="79">
        <f t="shared" si="365"/>
        <v>7</v>
      </c>
      <c r="M787" s="79">
        <f t="shared" si="365"/>
        <v>166</v>
      </c>
      <c r="N787" s="79">
        <f t="shared" si="365"/>
        <v>16</v>
      </c>
      <c r="O787" s="79">
        <f t="shared" si="365"/>
        <v>2412</v>
      </c>
      <c r="P787" s="79">
        <f t="shared" si="365"/>
        <v>74</v>
      </c>
      <c r="Q787" s="79">
        <f t="shared" si="365"/>
        <v>8</v>
      </c>
      <c r="R787" s="79">
        <f t="shared" si="365"/>
        <v>82</v>
      </c>
      <c r="S787" s="79">
        <f t="shared" si="365"/>
        <v>0</v>
      </c>
      <c r="U787" s="80"/>
      <c r="W787" s="81">
        <f t="shared" si="350"/>
        <v>0.96712109999999996</v>
      </c>
      <c r="X787" s="81" t="str">
        <f t="shared" si="351"/>
        <v xml:space="preserve"> </v>
      </c>
      <c r="Y787" s="81" t="str">
        <f t="shared" si="352"/>
        <v xml:space="preserve"> </v>
      </c>
      <c r="Z787" s="79"/>
      <c r="AJ787" s="66"/>
      <c r="AK787" s="70"/>
    </row>
    <row r="788" spans="1:37" hidden="1">
      <c r="B788" s="66" t="s">
        <v>371</v>
      </c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U788" s="80"/>
      <c r="W788" s="81" t="str">
        <f t="shared" si="350"/>
        <v xml:space="preserve"> </v>
      </c>
      <c r="X788" s="81" t="str">
        <f t="shared" si="351"/>
        <v xml:space="preserve"> </v>
      </c>
      <c r="Y788" s="81" t="str">
        <f t="shared" si="352"/>
        <v xml:space="preserve"> </v>
      </c>
      <c r="Z788" s="79"/>
      <c r="AJ788" s="66"/>
      <c r="AK788" s="65"/>
    </row>
    <row r="789" spans="1:37" hidden="1">
      <c r="A789" s="65">
        <f>A786+1</f>
        <v>42</v>
      </c>
      <c r="B789" s="66" t="s">
        <v>396</v>
      </c>
      <c r="C789" s="78">
        <v>774</v>
      </c>
      <c r="D789" s="79">
        <f>C789-E789-SUM(G789:I789)-SUM(M789:N789)-R789-S789</f>
        <v>408</v>
      </c>
      <c r="E789" s="79">
        <v>10</v>
      </c>
      <c r="F789" s="79">
        <f>D789+E789</f>
        <v>418</v>
      </c>
      <c r="G789" s="79">
        <v>20</v>
      </c>
      <c r="H789" s="79">
        <v>165</v>
      </c>
      <c r="I789" s="79">
        <v>96</v>
      </c>
      <c r="J789" s="79">
        <v>41</v>
      </c>
      <c r="K789" s="79">
        <v>3</v>
      </c>
      <c r="L789" s="79">
        <v>2</v>
      </c>
      <c r="M789" s="79">
        <f>SUM(J789:L789)</f>
        <v>46</v>
      </c>
      <c r="N789" s="79">
        <v>3</v>
      </c>
      <c r="O789" s="79">
        <f>SUM(F789:I789)+SUM(M789:N789)</f>
        <v>748</v>
      </c>
      <c r="P789" s="79">
        <v>23</v>
      </c>
      <c r="Q789" s="79">
        <v>3</v>
      </c>
      <c r="R789" s="78">
        <f>P789+Q789</f>
        <v>26</v>
      </c>
      <c r="S789" s="79">
        <v>0</v>
      </c>
      <c r="U789" s="80">
        <f>O789+R789+S789-C789</f>
        <v>0</v>
      </c>
      <c r="W789" s="81">
        <f t="shared" si="350"/>
        <v>0.9664083</v>
      </c>
      <c r="X789" s="81">
        <f t="shared" si="351"/>
        <v>0.9664083</v>
      </c>
      <c r="Y789" s="81">
        <f t="shared" si="352"/>
        <v>0</v>
      </c>
      <c r="Z789" s="79"/>
      <c r="AJ789" s="66"/>
      <c r="AK789" s="65"/>
    </row>
    <row r="790" spans="1:37" hidden="1">
      <c r="A790" s="66"/>
      <c r="U790" s="66"/>
      <c r="V790" s="66"/>
      <c r="W790" s="81" t="str">
        <f t="shared" si="350"/>
        <v xml:space="preserve"> </v>
      </c>
      <c r="X790" s="81" t="str">
        <f t="shared" si="351"/>
        <v xml:space="preserve"> </v>
      </c>
      <c r="Y790" s="81" t="str">
        <f t="shared" si="352"/>
        <v xml:space="preserve"> </v>
      </c>
      <c r="AJ790" s="66"/>
      <c r="AK790" s="65"/>
    </row>
    <row r="791" spans="1:37" hidden="1">
      <c r="B791" s="66" t="s">
        <v>397</v>
      </c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U791" s="80"/>
      <c r="W791" s="81" t="str">
        <f t="shared" si="350"/>
        <v xml:space="preserve"> </v>
      </c>
      <c r="X791" s="81" t="str">
        <f t="shared" si="351"/>
        <v xml:space="preserve"> </v>
      </c>
      <c r="Y791" s="81" t="str">
        <f t="shared" si="352"/>
        <v xml:space="preserve"> </v>
      </c>
      <c r="Z791" s="79"/>
      <c r="AF791" s="79"/>
      <c r="AJ791" s="66"/>
      <c r="AK791" s="70"/>
    </row>
    <row r="792" spans="1:37" hidden="1">
      <c r="A792" s="65">
        <f>A789+1</f>
        <v>43</v>
      </c>
      <c r="B792" s="66" t="s">
        <v>390</v>
      </c>
      <c r="C792" s="78">
        <v>3</v>
      </c>
      <c r="D792" s="79">
        <f>C792-E792-SUM(G792:I792)-SUM(M792:N792)-R792-S792</f>
        <v>2</v>
      </c>
      <c r="E792" s="79">
        <v>0</v>
      </c>
      <c r="F792" s="79">
        <f>D792+E792</f>
        <v>2</v>
      </c>
      <c r="G792" s="79">
        <v>0</v>
      </c>
      <c r="H792" s="79">
        <v>1</v>
      </c>
      <c r="I792" s="79">
        <v>0</v>
      </c>
      <c r="J792" s="79">
        <v>0</v>
      </c>
      <c r="K792" s="79">
        <v>0</v>
      </c>
      <c r="L792" s="79">
        <v>0</v>
      </c>
      <c r="M792" s="79">
        <f>SUM(J792:L792)</f>
        <v>0</v>
      </c>
      <c r="N792" s="79">
        <v>0</v>
      </c>
      <c r="O792" s="79">
        <f>SUM(F792:I792)+SUM(M792:N792)</f>
        <v>3</v>
      </c>
      <c r="P792" s="79">
        <v>0</v>
      </c>
      <c r="Q792" s="79">
        <v>0</v>
      </c>
      <c r="R792" s="78">
        <f>P792+Q792</f>
        <v>0</v>
      </c>
      <c r="S792" s="79">
        <v>0</v>
      </c>
      <c r="U792" s="80">
        <f>O792+R792+S792-C792</f>
        <v>0</v>
      </c>
      <c r="W792" s="81">
        <f t="shared" si="350"/>
        <v>1</v>
      </c>
      <c r="X792" s="81">
        <f t="shared" si="351"/>
        <v>1</v>
      </c>
      <c r="Y792" s="81">
        <f t="shared" si="352"/>
        <v>0</v>
      </c>
      <c r="Z792" s="79"/>
      <c r="AF792" s="79"/>
      <c r="AJ792" s="66"/>
      <c r="AK792" s="70"/>
    </row>
    <row r="793" spans="1:37" hidden="1">
      <c r="A793" s="65">
        <f>A792+1</f>
        <v>44</v>
      </c>
      <c r="B793" s="66" t="s">
        <v>391</v>
      </c>
      <c r="C793" s="78">
        <f>0</f>
        <v>0</v>
      </c>
      <c r="D793" s="79">
        <f>C793-E793-SUM(G793:I793)-SUM(M793:N793)-R793-S793</f>
        <v>0</v>
      </c>
      <c r="E793" s="79">
        <v>0</v>
      </c>
      <c r="F793" s="79">
        <f>D793+E793</f>
        <v>0</v>
      </c>
      <c r="G793" s="79">
        <v>0</v>
      </c>
      <c r="H793" s="79">
        <v>0</v>
      </c>
      <c r="I793" s="79">
        <v>0</v>
      </c>
      <c r="J793" s="79">
        <v>0</v>
      </c>
      <c r="K793" s="79">
        <v>0</v>
      </c>
      <c r="L793" s="79">
        <v>0</v>
      </c>
      <c r="M793" s="79">
        <f>SUM(J793:L793)</f>
        <v>0</v>
      </c>
      <c r="N793" s="79">
        <v>0</v>
      </c>
      <c r="O793" s="79">
        <f>SUM(F793:I793)+SUM(M793:N793)</f>
        <v>0</v>
      </c>
      <c r="P793" s="79">
        <v>0</v>
      </c>
      <c r="Q793" s="79">
        <v>0</v>
      </c>
      <c r="R793" s="78">
        <f>P793+Q793</f>
        <v>0</v>
      </c>
      <c r="S793" s="79">
        <v>0</v>
      </c>
      <c r="U793" s="80">
        <f>O793+R793+S793-C793</f>
        <v>0</v>
      </c>
      <c r="W793" s="81" t="str">
        <f t="shared" si="350"/>
        <v xml:space="preserve"> </v>
      </c>
      <c r="X793" s="81" t="str">
        <f t="shared" si="351"/>
        <v xml:space="preserve"> </v>
      </c>
      <c r="Y793" s="81" t="str">
        <f t="shared" si="352"/>
        <v xml:space="preserve"> </v>
      </c>
      <c r="Z793" s="79"/>
      <c r="AF793" s="79"/>
      <c r="AJ793" s="66"/>
      <c r="AK793" s="65"/>
    </row>
    <row r="794" spans="1:37" hidden="1">
      <c r="A794" s="65">
        <f>A793+1</f>
        <v>45</v>
      </c>
      <c r="B794" s="66" t="s">
        <v>398</v>
      </c>
      <c r="C794" s="79">
        <f>O794+R794+S794</f>
        <v>3</v>
      </c>
      <c r="D794" s="79">
        <f>D792+D793</f>
        <v>2</v>
      </c>
      <c r="E794" s="79">
        <f>E792+E793</f>
        <v>0</v>
      </c>
      <c r="F794" s="79">
        <f>D794+E794</f>
        <v>2</v>
      </c>
      <c r="G794" s="79">
        <f t="shared" ref="G794:L794" si="366">G792+G793</f>
        <v>0</v>
      </c>
      <c r="H794" s="79">
        <f t="shared" si="366"/>
        <v>1</v>
      </c>
      <c r="I794" s="79">
        <f t="shared" si="366"/>
        <v>0</v>
      </c>
      <c r="J794" s="79">
        <f t="shared" si="366"/>
        <v>0</v>
      </c>
      <c r="K794" s="79">
        <f t="shared" si="366"/>
        <v>0</v>
      </c>
      <c r="L794" s="79">
        <f t="shared" si="366"/>
        <v>0</v>
      </c>
      <c r="M794" s="79">
        <f>SUM(J794:L794)</f>
        <v>0</v>
      </c>
      <c r="N794" s="79">
        <f>N792+N793</f>
        <v>0</v>
      </c>
      <c r="O794" s="79">
        <f>SUM(F794:I794)+SUM(M794:N794)</f>
        <v>3</v>
      </c>
      <c r="P794" s="79">
        <f>P792+P793</f>
        <v>0</v>
      </c>
      <c r="Q794" s="79">
        <f>Q792+Q793</f>
        <v>0</v>
      </c>
      <c r="R794" s="78">
        <f>P794+Q794</f>
        <v>0</v>
      </c>
      <c r="S794" s="79">
        <f>S792+S793</f>
        <v>0</v>
      </c>
      <c r="U794" s="80">
        <f>O794+R794+S794-C794</f>
        <v>0</v>
      </c>
      <c r="W794" s="81">
        <f t="shared" si="350"/>
        <v>1</v>
      </c>
      <c r="X794" s="81">
        <f t="shared" si="351"/>
        <v>1</v>
      </c>
      <c r="Y794" s="81">
        <f t="shared" si="352"/>
        <v>0</v>
      </c>
      <c r="Z794" s="79"/>
      <c r="AF794" s="79"/>
      <c r="AJ794" s="66"/>
      <c r="AK794" s="65"/>
    </row>
    <row r="795" spans="1:37" hidden="1">
      <c r="B795" s="72"/>
      <c r="C795" s="79"/>
      <c r="H795" s="65" t="s">
        <v>80</v>
      </c>
      <c r="I795" s="79"/>
      <c r="J795" s="79"/>
      <c r="K795" s="79"/>
      <c r="L795" s="79"/>
      <c r="M795" s="79"/>
      <c r="Q795" s="65" t="s">
        <v>80</v>
      </c>
      <c r="R795" s="79"/>
      <c r="S795" s="65"/>
      <c r="W795" s="81"/>
      <c r="X795" s="81"/>
      <c r="Y795" s="81"/>
      <c r="Z795" s="65"/>
      <c r="AJ795" s="66"/>
      <c r="AK795" s="65"/>
    </row>
    <row r="796" spans="1:37" hidden="1">
      <c r="C796" s="79"/>
      <c r="H796" s="70" t="str">
        <f>$H$24</f>
        <v>12 MONTHS ENDING DECEMBER 31, 2012</v>
      </c>
      <c r="I796" s="79"/>
      <c r="J796" s="79"/>
      <c r="K796" s="79"/>
      <c r="L796" s="79"/>
      <c r="M796" s="79"/>
      <c r="N796" s="79"/>
      <c r="Q796" s="70" t="str">
        <f>$H$24</f>
        <v>12 MONTHS ENDING DECEMBER 31, 2012</v>
      </c>
      <c r="R796" s="79"/>
      <c r="S796" s="79"/>
      <c r="U796" s="80"/>
      <c r="W796" s="81"/>
      <c r="X796" s="81"/>
      <c r="Y796" s="81"/>
      <c r="Z796" s="70"/>
      <c r="AJ796" s="66"/>
      <c r="AK796" s="65"/>
    </row>
    <row r="797" spans="1:37" hidden="1">
      <c r="C797" s="79"/>
      <c r="H797" s="70" t="str">
        <f>$H$25</f>
        <v>12/13 DEMAND ALLOCATION WITH MDS METHODOLOGY</v>
      </c>
      <c r="Q797" s="70" t="str">
        <f>$H$25</f>
        <v>12/13 DEMAND ALLOCATION WITH MDS METHODOLOGY</v>
      </c>
      <c r="R797" s="79"/>
      <c r="S797" s="79"/>
      <c r="W797" s="81"/>
      <c r="X797" s="81"/>
      <c r="Y797" s="81"/>
      <c r="Z797" s="70"/>
      <c r="AJ797" s="66"/>
      <c r="AK797" s="65"/>
    </row>
    <row r="798" spans="1:37" hidden="1">
      <c r="C798" s="79"/>
      <c r="H798" s="87" t="s">
        <v>104</v>
      </c>
      <c r="I798" s="79"/>
      <c r="J798" s="79"/>
      <c r="K798" s="79"/>
      <c r="L798" s="79"/>
      <c r="M798" s="79"/>
      <c r="N798" s="79"/>
      <c r="Q798" s="87" t="s">
        <v>104</v>
      </c>
      <c r="S798" s="79"/>
      <c r="U798" s="80"/>
      <c r="X798" s="81"/>
      <c r="Y798" s="81"/>
      <c r="Z798" s="87"/>
      <c r="AF798" s="79"/>
      <c r="AJ798" s="66"/>
      <c r="AK798" s="65"/>
    </row>
    <row r="799" spans="1:37" hidden="1">
      <c r="C799" s="79"/>
      <c r="H799" s="87" t="s">
        <v>114</v>
      </c>
      <c r="J799" s="79"/>
      <c r="K799" s="79"/>
      <c r="L799" s="79"/>
      <c r="M799" s="79"/>
      <c r="N799" s="79"/>
      <c r="Q799" s="87" t="s">
        <v>114</v>
      </c>
      <c r="S799" s="79"/>
      <c r="U799" s="80"/>
      <c r="X799" s="81"/>
      <c r="Y799" s="81"/>
      <c r="Z799" s="87"/>
      <c r="AF799" s="79"/>
      <c r="AJ799" s="66"/>
      <c r="AK799" s="65"/>
    </row>
    <row r="800" spans="1:37" hidden="1">
      <c r="C800" s="65" t="s">
        <v>59</v>
      </c>
      <c r="K800" s="65"/>
      <c r="L800" s="65"/>
      <c r="M800" s="65"/>
      <c r="O800" s="65" t="s">
        <v>59</v>
      </c>
      <c r="P800" s="65"/>
      <c r="Q800" s="65"/>
      <c r="R800" s="65"/>
      <c r="S800" s="65" t="s">
        <v>115</v>
      </c>
      <c r="W800" s="76" t="s">
        <v>116</v>
      </c>
      <c r="X800" s="76" t="s">
        <v>116</v>
      </c>
      <c r="Y800" s="76" t="s">
        <v>117</v>
      </c>
      <c r="AF800" s="65"/>
      <c r="AJ800" s="66"/>
      <c r="AK800" s="65"/>
    </row>
    <row r="801" spans="1:37" hidden="1">
      <c r="A801" s="65" t="s">
        <v>118</v>
      </c>
      <c r="C801" s="65" t="s">
        <v>58</v>
      </c>
      <c r="D801" s="70" t="s">
        <v>119</v>
      </c>
      <c r="E801" s="70" t="s">
        <v>119</v>
      </c>
      <c r="F801" s="70" t="s">
        <v>119</v>
      </c>
      <c r="G801" s="70" t="s">
        <v>119</v>
      </c>
      <c r="H801" s="70" t="s">
        <v>119</v>
      </c>
      <c r="I801" s="70" t="s">
        <v>119</v>
      </c>
      <c r="J801" s="70" t="s">
        <v>119</v>
      </c>
      <c r="K801" s="70" t="s">
        <v>119</v>
      </c>
      <c r="L801" s="70" t="s">
        <v>119</v>
      </c>
      <c r="M801" s="70" t="s">
        <v>119</v>
      </c>
      <c r="N801" s="70" t="s">
        <v>119</v>
      </c>
      <c r="O801" s="65" t="s">
        <v>116</v>
      </c>
      <c r="P801" s="65"/>
      <c r="Q801" s="70" t="s">
        <v>120</v>
      </c>
      <c r="R801" s="65"/>
      <c r="S801" s="65" t="s">
        <v>121</v>
      </c>
      <c r="W801" s="76" t="s">
        <v>122</v>
      </c>
      <c r="X801" s="76" t="s">
        <v>123</v>
      </c>
      <c r="Y801" s="76" t="s">
        <v>124</v>
      </c>
      <c r="Z801" s="65"/>
      <c r="AF801" s="70"/>
      <c r="AJ801" s="66"/>
      <c r="AK801" s="65"/>
    </row>
    <row r="802" spans="1:37" hidden="1">
      <c r="A802" s="65" t="s">
        <v>125</v>
      </c>
      <c r="B802" s="65" t="s">
        <v>126</v>
      </c>
      <c r="C802" s="65" t="s">
        <v>57</v>
      </c>
      <c r="D802" s="70" t="s">
        <v>127</v>
      </c>
      <c r="E802" s="70" t="s">
        <v>128</v>
      </c>
      <c r="F802" s="70" t="s">
        <v>129</v>
      </c>
      <c r="G802" s="70" t="s">
        <v>130</v>
      </c>
      <c r="H802" s="70" t="s">
        <v>131</v>
      </c>
      <c r="I802" s="65" t="s">
        <v>132</v>
      </c>
      <c r="J802" s="70" t="s">
        <v>133</v>
      </c>
      <c r="K802" s="70" t="s">
        <v>134</v>
      </c>
      <c r="L802" s="70" t="s">
        <v>135</v>
      </c>
      <c r="M802" s="70" t="s">
        <v>136</v>
      </c>
      <c r="N802" s="70" t="s">
        <v>137</v>
      </c>
      <c r="O802" s="65" t="s">
        <v>138</v>
      </c>
      <c r="P802" s="70" t="s">
        <v>139</v>
      </c>
      <c r="Q802" s="70" t="s">
        <v>140</v>
      </c>
      <c r="R802" s="65" t="s">
        <v>122</v>
      </c>
      <c r="S802" s="65" t="s">
        <v>141</v>
      </c>
      <c r="U802" s="65" t="s">
        <v>162</v>
      </c>
      <c r="W802" s="76" t="s">
        <v>142</v>
      </c>
      <c r="X802" s="76" t="s">
        <v>142</v>
      </c>
      <c r="Y802" s="76" t="s">
        <v>142</v>
      </c>
      <c r="Z802" s="65"/>
      <c r="AF802" s="70"/>
      <c r="AJ802" s="66"/>
      <c r="AK802" s="65"/>
    </row>
    <row r="803" spans="1:37" hidden="1">
      <c r="A803" s="65" t="s">
        <v>143</v>
      </c>
      <c r="B803" s="65" t="s">
        <v>144</v>
      </c>
      <c r="C803" s="65" t="s">
        <v>145</v>
      </c>
      <c r="D803" s="70" t="s">
        <v>146</v>
      </c>
      <c r="E803" s="70" t="s">
        <v>147</v>
      </c>
      <c r="F803" s="70" t="s">
        <v>148</v>
      </c>
      <c r="G803" s="65" t="s">
        <v>149</v>
      </c>
      <c r="H803" s="65" t="s">
        <v>150</v>
      </c>
      <c r="I803" s="65" t="s">
        <v>151</v>
      </c>
      <c r="J803" s="70" t="s">
        <v>152</v>
      </c>
      <c r="K803" s="70" t="s">
        <v>153</v>
      </c>
      <c r="L803" s="70" t="s">
        <v>154</v>
      </c>
      <c r="M803" s="70" t="s">
        <v>155</v>
      </c>
      <c r="N803" s="70" t="s">
        <v>156</v>
      </c>
      <c r="O803" s="70" t="s">
        <v>157</v>
      </c>
      <c r="P803" s="70" t="s">
        <v>158</v>
      </c>
      <c r="Q803" s="70" t="s">
        <v>159</v>
      </c>
      <c r="R803" s="70" t="s">
        <v>160</v>
      </c>
      <c r="S803" s="70" t="s">
        <v>161</v>
      </c>
      <c r="W803" s="77" t="s">
        <v>163</v>
      </c>
      <c r="X803" s="77" t="s">
        <v>164</v>
      </c>
      <c r="Y803" s="76" t="s">
        <v>165</v>
      </c>
      <c r="Z803" s="70"/>
      <c r="AF803" s="76"/>
      <c r="AJ803" s="66"/>
      <c r="AK803" s="70"/>
    </row>
    <row r="804" spans="1:37" hidden="1">
      <c r="W804" s="81"/>
      <c r="X804" s="81"/>
      <c r="Y804" s="81"/>
      <c r="AJ804" s="66"/>
      <c r="AK804" s="65"/>
    </row>
    <row r="805" spans="1:37" hidden="1">
      <c r="A805" s="66"/>
      <c r="U805" s="66"/>
      <c r="V805" s="66"/>
      <c r="AF805" s="79"/>
      <c r="AJ805" s="66"/>
      <c r="AK805" s="65"/>
    </row>
    <row r="806" spans="1:37" hidden="1">
      <c r="B806" s="66" t="s">
        <v>399</v>
      </c>
      <c r="Y806" s="65"/>
      <c r="AJ806" s="66"/>
      <c r="AK806" s="65"/>
    </row>
    <row r="807" spans="1:37" hidden="1">
      <c r="A807" s="65">
        <f>A794+1</f>
        <v>46</v>
      </c>
      <c r="B807" s="66" t="s">
        <v>390</v>
      </c>
      <c r="C807" s="78">
        <v>524</v>
      </c>
      <c r="D807" s="79">
        <f>C807-E807-SUM(G807:I807)-SUM(M807:N807)-R807-S807</f>
        <v>275</v>
      </c>
      <c r="E807" s="79">
        <v>7</v>
      </c>
      <c r="F807" s="79">
        <f>D807+E807</f>
        <v>282</v>
      </c>
      <c r="G807" s="79">
        <v>14</v>
      </c>
      <c r="H807" s="79">
        <v>112</v>
      </c>
      <c r="I807" s="79">
        <v>65</v>
      </c>
      <c r="J807" s="79">
        <v>28</v>
      </c>
      <c r="K807" s="79">
        <v>2</v>
      </c>
      <c r="L807" s="79">
        <v>1</v>
      </c>
      <c r="M807" s="79">
        <f>SUM(J807:L807)</f>
        <v>31</v>
      </c>
      <c r="N807" s="79">
        <v>2</v>
      </c>
      <c r="O807" s="79">
        <f>SUM(F807:I807)+SUM(M807:N807)</f>
        <v>506</v>
      </c>
      <c r="P807" s="79">
        <v>16</v>
      </c>
      <c r="Q807" s="79">
        <v>2</v>
      </c>
      <c r="R807" s="78">
        <f>P807+Q807</f>
        <v>18</v>
      </c>
      <c r="S807" s="78">
        <v>0</v>
      </c>
      <c r="U807" s="80">
        <f>O807+R807+S807-C807</f>
        <v>0</v>
      </c>
      <c r="W807" s="81">
        <f t="shared" ref="W807:W851" si="367">IF((O807+R807)=0," ",ROUND((O807/(O807+R807)),7))</f>
        <v>0.96564890000000003</v>
      </c>
      <c r="X807" s="81">
        <f t="shared" ref="X807:X851" si="368">IF((C807)=0," ",ROUND((O807/(C807)),7))</f>
        <v>0.96564890000000003</v>
      </c>
      <c r="Y807" s="81">
        <f t="shared" ref="Y807:Y851" si="369">IF((C807)=0," ",ROUND((S807/(C807)),7))</f>
        <v>0</v>
      </c>
      <c r="Z807" s="79"/>
      <c r="AF807" s="79"/>
      <c r="AJ807" s="66"/>
      <c r="AK807" s="65"/>
    </row>
    <row r="808" spans="1:37" hidden="1">
      <c r="A808" s="65">
        <f>A807+1</f>
        <v>47</v>
      </c>
      <c r="B808" s="66" t="s">
        <v>391</v>
      </c>
      <c r="C808" s="78">
        <v>3597</v>
      </c>
      <c r="D808" s="79">
        <f>C808-E808-SUM(G808:I808)-SUM(M808:N808)-R808-S808</f>
        <v>1613</v>
      </c>
      <c r="E808" s="79">
        <v>61</v>
      </c>
      <c r="F808" s="79">
        <f>D808+E808</f>
        <v>1674</v>
      </c>
      <c r="G808" s="79">
        <v>88</v>
      </c>
      <c r="H808" s="79">
        <v>811</v>
      </c>
      <c r="I808" s="79">
        <v>543</v>
      </c>
      <c r="J808" s="79">
        <v>294</v>
      </c>
      <c r="K808" s="79">
        <v>13</v>
      </c>
      <c r="L808" s="79">
        <v>11</v>
      </c>
      <c r="M808" s="79">
        <f>SUM(J808:L808)</f>
        <v>318</v>
      </c>
      <c r="N808" s="79">
        <v>48</v>
      </c>
      <c r="O808" s="79">
        <f>SUM(F808:I808)+SUM(M808:N808)</f>
        <v>3482</v>
      </c>
      <c r="P808" s="79">
        <v>103</v>
      </c>
      <c r="Q808" s="79">
        <v>12</v>
      </c>
      <c r="R808" s="78">
        <f>P808+Q808</f>
        <v>115</v>
      </c>
      <c r="S808" s="79">
        <v>0</v>
      </c>
      <c r="U808" s="80">
        <f>O808+R808+S808-C808</f>
        <v>0</v>
      </c>
      <c r="W808" s="81">
        <f t="shared" si="367"/>
        <v>0.96802889999999997</v>
      </c>
      <c r="X808" s="81">
        <f t="shared" si="368"/>
        <v>0.96802889999999997</v>
      </c>
      <c r="Y808" s="81">
        <f t="shared" si="369"/>
        <v>0</v>
      </c>
      <c r="Z808" s="79"/>
      <c r="AF808" s="79"/>
      <c r="AJ808" s="66"/>
      <c r="AK808" s="70"/>
    </row>
    <row r="809" spans="1:37" hidden="1">
      <c r="A809" s="65">
        <f>A808+1</f>
        <v>48</v>
      </c>
      <c r="B809" s="66" t="s">
        <v>400</v>
      </c>
      <c r="C809" s="79">
        <f>O809+R809+S809</f>
        <v>4121</v>
      </c>
      <c r="D809" s="79">
        <f>D807+D808</f>
        <v>1888</v>
      </c>
      <c r="E809" s="79">
        <f>E807+E808</f>
        <v>68</v>
      </c>
      <c r="F809" s="79">
        <f>D809+E809</f>
        <v>1956</v>
      </c>
      <c r="G809" s="79">
        <f t="shared" ref="G809:L809" si="370">G807+G808</f>
        <v>102</v>
      </c>
      <c r="H809" s="79">
        <f t="shared" si="370"/>
        <v>923</v>
      </c>
      <c r="I809" s="79">
        <f t="shared" si="370"/>
        <v>608</v>
      </c>
      <c r="J809" s="79">
        <f t="shared" si="370"/>
        <v>322</v>
      </c>
      <c r="K809" s="79">
        <f t="shared" si="370"/>
        <v>15</v>
      </c>
      <c r="L809" s="79">
        <f t="shared" si="370"/>
        <v>12</v>
      </c>
      <c r="M809" s="79">
        <f>SUM(J809:L809)</f>
        <v>349</v>
      </c>
      <c r="N809" s="79">
        <f>N807+N808</f>
        <v>50</v>
      </c>
      <c r="O809" s="79">
        <f>SUM(F809:I809)+SUM(M809:N809)</f>
        <v>3988</v>
      </c>
      <c r="P809" s="79">
        <f>P807+P808</f>
        <v>119</v>
      </c>
      <c r="Q809" s="79">
        <f>Q807+Q808</f>
        <v>14</v>
      </c>
      <c r="R809" s="78">
        <f>P809+Q809</f>
        <v>133</v>
      </c>
      <c r="S809" s="79">
        <f>S807+S808</f>
        <v>0</v>
      </c>
      <c r="U809" s="80">
        <f>O809+R809+S809-C809</f>
        <v>0</v>
      </c>
      <c r="W809" s="81">
        <f t="shared" si="367"/>
        <v>0.96772630000000004</v>
      </c>
      <c r="X809" s="81">
        <f t="shared" si="368"/>
        <v>0.96772630000000004</v>
      </c>
      <c r="Y809" s="81">
        <f t="shared" si="369"/>
        <v>0</v>
      </c>
      <c r="Z809" s="79"/>
      <c r="AF809" s="79"/>
      <c r="AJ809" s="66"/>
      <c r="AK809" s="65"/>
    </row>
    <row r="810" spans="1:37" hidden="1">
      <c r="W810" s="81" t="str">
        <f t="shared" si="367"/>
        <v xml:space="preserve"> </v>
      </c>
      <c r="X810" s="81" t="str">
        <f t="shared" si="368"/>
        <v xml:space="preserve"> </v>
      </c>
      <c r="Y810" s="81" t="str">
        <f t="shared" si="369"/>
        <v xml:space="preserve"> </v>
      </c>
      <c r="AJ810" s="66"/>
      <c r="AK810" s="65"/>
    </row>
    <row r="811" spans="1:37" hidden="1">
      <c r="B811" s="66" t="s">
        <v>401</v>
      </c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U811" s="80"/>
      <c r="W811" s="81" t="str">
        <f t="shared" si="367"/>
        <v xml:space="preserve"> </v>
      </c>
      <c r="X811" s="81" t="str">
        <f t="shared" si="368"/>
        <v xml:space="preserve"> </v>
      </c>
      <c r="Y811" s="81" t="str">
        <f t="shared" si="369"/>
        <v xml:space="preserve"> </v>
      </c>
      <c r="Z811" s="79"/>
      <c r="AF811" s="79"/>
      <c r="AJ811" s="66"/>
      <c r="AK811" s="70"/>
    </row>
    <row r="812" spans="1:37" hidden="1">
      <c r="A812" s="65">
        <f>A809+1</f>
        <v>49</v>
      </c>
      <c r="B812" s="66" t="s">
        <v>390</v>
      </c>
      <c r="C812" s="78">
        <f>433-24</f>
        <v>409</v>
      </c>
      <c r="D812" s="79">
        <f>C812-E812-SUM(G812:I812)-SUM(M812:N812)-R812-S812</f>
        <v>214</v>
      </c>
      <c r="E812" s="79">
        <v>6</v>
      </c>
      <c r="F812" s="79">
        <f>D812+E812</f>
        <v>220</v>
      </c>
      <c r="G812" s="79">
        <v>11</v>
      </c>
      <c r="H812" s="79">
        <v>87</v>
      </c>
      <c r="I812" s="79">
        <v>51</v>
      </c>
      <c r="J812" s="79">
        <v>22</v>
      </c>
      <c r="K812" s="79">
        <v>2</v>
      </c>
      <c r="L812" s="79">
        <v>1</v>
      </c>
      <c r="M812" s="79">
        <f>SUM(J812:L812)</f>
        <v>25</v>
      </c>
      <c r="N812" s="79">
        <v>2</v>
      </c>
      <c r="O812" s="79">
        <f>SUM(F812:I812)+SUM(M812:N812)</f>
        <v>396</v>
      </c>
      <c r="P812" s="79">
        <v>12</v>
      </c>
      <c r="Q812" s="79">
        <v>1</v>
      </c>
      <c r="R812" s="78">
        <f>P812+Q812</f>
        <v>13</v>
      </c>
      <c r="S812" s="79">
        <v>0</v>
      </c>
      <c r="U812" s="80">
        <f t="shared" ref="U812:U818" si="371">O812+R812+S812-C812</f>
        <v>0</v>
      </c>
      <c r="W812" s="81">
        <f t="shared" si="367"/>
        <v>0.96821520000000005</v>
      </c>
      <c r="X812" s="81">
        <f t="shared" si="368"/>
        <v>0.96821520000000005</v>
      </c>
      <c r="Y812" s="81">
        <f t="shared" si="369"/>
        <v>0</v>
      </c>
      <c r="Z812" s="79"/>
      <c r="AF812" s="79"/>
      <c r="AJ812" s="66"/>
      <c r="AK812" s="70"/>
    </row>
    <row r="813" spans="1:37" hidden="1">
      <c r="A813" s="65">
        <f>A812+1</f>
        <v>50</v>
      </c>
      <c r="B813" s="66" t="s">
        <v>391</v>
      </c>
      <c r="C813" s="78">
        <f>0</f>
        <v>0</v>
      </c>
      <c r="D813" s="79">
        <f>C813-E813-SUM(G813:I813)-SUM(M813:N813)-R813-S813</f>
        <v>0</v>
      </c>
      <c r="E813" s="79">
        <v>0</v>
      </c>
      <c r="F813" s="79">
        <f>D813+E813</f>
        <v>0</v>
      </c>
      <c r="G813" s="79">
        <v>0</v>
      </c>
      <c r="H813" s="79">
        <v>0</v>
      </c>
      <c r="I813" s="79">
        <v>0</v>
      </c>
      <c r="J813" s="79">
        <v>0</v>
      </c>
      <c r="K813" s="79">
        <v>0</v>
      </c>
      <c r="L813" s="79">
        <v>0</v>
      </c>
      <c r="M813" s="79">
        <f>SUM(J813:L813)</f>
        <v>0</v>
      </c>
      <c r="N813" s="79">
        <v>0</v>
      </c>
      <c r="O813" s="79">
        <f>SUM(F813:I813)+SUM(M813:N813)</f>
        <v>0</v>
      </c>
      <c r="P813" s="79">
        <v>0</v>
      </c>
      <c r="Q813" s="79">
        <v>0</v>
      </c>
      <c r="R813" s="78">
        <f>P813+Q813</f>
        <v>0</v>
      </c>
      <c r="S813" s="79">
        <v>0</v>
      </c>
      <c r="U813" s="80">
        <f t="shared" si="371"/>
        <v>0</v>
      </c>
      <c r="W813" s="81" t="str">
        <f t="shared" si="367"/>
        <v xml:space="preserve"> </v>
      </c>
      <c r="X813" s="81" t="str">
        <f t="shared" si="368"/>
        <v xml:space="preserve"> </v>
      </c>
      <c r="Y813" s="81" t="str">
        <f t="shared" si="369"/>
        <v xml:space="preserve"> </v>
      </c>
      <c r="Z813" s="79"/>
      <c r="AF813" s="79"/>
      <c r="AJ813" s="66"/>
      <c r="AK813" s="65"/>
    </row>
    <row r="814" spans="1:37" hidden="1">
      <c r="A814" s="65">
        <f>A813+1</f>
        <v>51</v>
      </c>
      <c r="B814" s="66" t="s">
        <v>402</v>
      </c>
      <c r="C814" s="79">
        <f>O814+R814+S814</f>
        <v>409</v>
      </c>
      <c r="D814" s="79">
        <f>D812+D813</f>
        <v>214</v>
      </c>
      <c r="E814" s="79">
        <f>E812+E813</f>
        <v>6</v>
      </c>
      <c r="F814" s="79">
        <f>D814+E814</f>
        <v>220</v>
      </c>
      <c r="G814" s="79">
        <f t="shared" ref="G814:L814" si="372">G812+G813</f>
        <v>11</v>
      </c>
      <c r="H814" s="79">
        <f t="shared" si="372"/>
        <v>87</v>
      </c>
      <c r="I814" s="79">
        <f t="shared" si="372"/>
        <v>51</v>
      </c>
      <c r="J814" s="79">
        <f t="shared" si="372"/>
        <v>22</v>
      </c>
      <c r="K814" s="79">
        <f t="shared" si="372"/>
        <v>2</v>
      </c>
      <c r="L814" s="79">
        <f t="shared" si="372"/>
        <v>1</v>
      </c>
      <c r="M814" s="79">
        <f>SUM(J814:L814)</f>
        <v>25</v>
      </c>
      <c r="N814" s="79">
        <f>N812+N813</f>
        <v>2</v>
      </c>
      <c r="O814" s="79">
        <f>SUM(F814:I814)+SUM(M814:N814)</f>
        <v>396</v>
      </c>
      <c r="P814" s="79">
        <f>P812+P813</f>
        <v>12</v>
      </c>
      <c r="Q814" s="79">
        <f>Q812+Q813</f>
        <v>1</v>
      </c>
      <c r="R814" s="78">
        <f>P814+Q814</f>
        <v>13</v>
      </c>
      <c r="S814" s="79">
        <f>S812+S813</f>
        <v>0</v>
      </c>
      <c r="U814" s="80">
        <f t="shared" si="371"/>
        <v>0</v>
      </c>
      <c r="W814" s="81">
        <f t="shared" si="367"/>
        <v>0.96821520000000005</v>
      </c>
      <c r="X814" s="81">
        <f t="shared" si="368"/>
        <v>0.96821520000000005</v>
      </c>
      <c r="Y814" s="81">
        <f t="shared" si="369"/>
        <v>0</v>
      </c>
      <c r="Z814" s="79"/>
      <c r="AF814" s="79"/>
      <c r="AJ814" s="66"/>
    </row>
    <row r="815" spans="1:37" hidden="1">
      <c r="W815" s="81" t="str">
        <f t="shared" si="367"/>
        <v xml:space="preserve"> </v>
      </c>
      <c r="X815" s="81" t="str">
        <f t="shared" si="368"/>
        <v xml:space="preserve"> </v>
      </c>
      <c r="Y815" s="81" t="str">
        <f t="shared" si="369"/>
        <v xml:space="preserve"> </v>
      </c>
      <c r="AJ815" s="66"/>
    </row>
    <row r="816" spans="1:37" hidden="1">
      <c r="A816" s="65">
        <f>A814+1</f>
        <v>52</v>
      </c>
      <c r="B816" s="66" t="s">
        <v>380</v>
      </c>
      <c r="C816" s="79">
        <f>O816+R816+S816</f>
        <v>5307</v>
      </c>
      <c r="D816" s="79">
        <f>D809+D814+D789+D794</f>
        <v>2512</v>
      </c>
      <c r="E816" s="79">
        <f>E809+E814+E789+E794</f>
        <v>84</v>
      </c>
      <c r="F816" s="79">
        <f>D816+E816</f>
        <v>2596</v>
      </c>
      <c r="G816" s="79">
        <f t="shared" ref="G816:L816" si="373">G809+G814+G789+G794</f>
        <v>133</v>
      </c>
      <c r="H816" s="79">
        <f t="shared" si="373"/>
        <v>1176</v>
      </c>
      <c r="I816" s="79">
        <f t="shared" si="373"/>
        <v>755</v>
      </c>
      <c r="J816" s="79">
        <f t="shared" si="373"/>
        <v>385</v>
      </c>
      <c r="K816" s="79">
        <f t="shared" si="373"/>
        <v>20</v>
      </c>
      <c r="L816" s="79">
        <f t="shared" si="373"/>
        <v>15</v>
      </c>
      <c r="M816" s="79">
        <f>SUM(J816:L816)</f>
        <v>420</v>
      </c>
      <c r="N816" s="79">
        <f>N809+N814+N789+N794</f>
        <v>55</v>
      </c>
      <c r="O816" s="79">
        <f>SUM(F816:I816)+SUM(M816:N816)</f>
        <v>5135</v>
      </c>
      <c r="P816" s="79">
        <f>P809+P814+P789+P794</f>
        <v>154</v>
      </c>
      <c r="Q816" s="79">
        <f>Q809+Q814+Q789+Q794</f>
        <v>18</v>
      </c>
      <c r="R816" s="78">
        <f>P816+Q816</f>
        <v>172</v>
      </c>
      <c r="S816" s="79">
        <f>S809+S814+S789+S794</f>
        <v>0</v>
      </c>
      <c r="U816" s="80">
        <f t="shared" si="371"/>
        <v>0</v>
      </c>
      <c r="W816" s="81">
        <f t="shared" si="367"/>
        <v>0.96758999999999995</v>
      </c>
      <c r="X816" s="81">
        <f t="shared" si="368"/>
        <v>0.96758999999999995</v>
      </c>
      <c r="Y816" s="81">
        <f t="shared" si="369"/>
        <v>0</v>
      </c>
      <c r="Z816" s="79"/>
      <c r="AF816" s="79"/>
      <c r="AJ816" s="66"/>
      <c r="AK816" s="70"/>
    </row>
    <row r="817" spans="1:37" hidden="1"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U817" s="80"/>
      <c r="W817" s="81" t="str">
        <f t="shared" si="367"/>
        <v xml:space="preserve"> </v>
      </c>
      <c r="X817" s="81" t="str">
        <f t="shared" si="368"/>
        <v xml:space="preserve"> </v>
      </c>
      <c r="Y817" s="81" t="str">
        <f t="shared" si="369"/>
        <v xml:space="preserve"> </v>
      </c>
      <c r="Z817" s="79"/>
      <c r="AF817" s="79"/>
      <c r="AJ817" s="66"/>
      <c r="AK817" s="65"/>
    </row>
    <row r="818" spans="1:37" hidden="1">
      <c r="A818" s="65">
        <f>A816+1</f>
        <v>53</v>
      </c>
      <c r="B818" s="66" t="s">
        <v>403</v>
      </c>
      <c r="C818" s="79">
        <f>O818+R818+S818</f>
        <v>7801</v>
      </c>
      <c r="D818" s="79">
        <f>D786+D816</f>
        <v>3777</v>
      </c>
      <c r="E818" s="79">
        <f>E786+E816</f>
        <v>120</v>
      </c>
      <c r="F818" s="79">
        <f>D818+E818</f>
        <v>3897</v>
      </c>
      <c r="G818" s="79">
        <f t="shared" ref="G818:L818" si="374">G786+G816</f>
        <v>198</v>
      </c>
      <c r="H818" s="79">
        <f t="shared" si="374"/>
        <v>1715</v>
      </c>
      <c r="I818" s="79">
        <f t="shared" si="374"/>
        <v>1080</v>
      </c>
      <c r="J818" s="79">
        <f t="shared" si="374"/>
        <v>534</v>
      </c>
      <c r="K818" s="79">
        <f t="shared" si="374"/>
        <v>30</v>
      </c>
      <c r="L818" s="79">
        <f t="shared" si="374"/>
        <v>22</v>
      </c>
      <c r="M818" s="79">
        <f>SUM(J818:L818)</f>
        <v>586</v>
      </c>
      <c r="N818" s="79">
        <f>N786+N816</f>
        <v>71</v>
      </c>
      <c r="O818" s="79">
        <f>SUM(F818:I818)+SUM(M818:N818)</f>
        <v>7547</v>
      </c>
      <c r="P818" s="79">
        <f>P786+P816</f>
        <v>228</v>
      </c>
      <c r="Q818" s="79">
        <f>Q786+Q816</f>
        <v>26</v>
      </c>
      <c r="R818" s="78">
        <f>P818+Q818</f>
        <v>254</v>
      </c>
      <c r="S818" s="79">
        <f>S786+S816</f>
        <v>0</v>
      </c>
      <c r="U818" s="80">
        <f t="shared" si="371"/>
        <v>0</v>
      </c>
      <c r="W818" s="81">
        <f t="shared" si="367"/>
        <v>0.96744010000000003</v>
      </c>
      <c r="X818" s="81">
        <f t="shared" si="368"/>
        <v>0.96744010000000003</v>
      </c>
      <c r="Y818" s="81">
        <f t="shared" si="369"/>
        <v>0</v>
      </c>
      <c r="Z818" s="79"/>
      <c r="AF818" s="79"/>
      <c r="AJ818" s="66"/>
    </row>
    <row r="819" spans="1:37" hidden="1"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U819" s="80"/>
      <c r="W819" s="81" t="str">
        <f t="shared" si="367"/>
        <v xml:space="preserve"> </v>
      </c>
      <c r="X819" s="81" t="str">
        <f t="shared" si="368"/>
        <v xml:space="preserve"> </v>
      </c>
      <c r="Y819" s="81" t="str">
        <f t="shared" si="369"/>
        <v xml:space="preserve"> </v>
      </c>
      <c r="Z819" s="79"/>
      <c r="AF819" s="79"/>
      <c r="AJ819" s="66"/>
      <c r="AK819" s="65"/>
    </row>
    <row r="820" spans="1:37" hidden="1"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U820" s="80"/>
      <c r="W820" s="81" t="str">
        <f t="shared" si="367"/>
        <v xml:space="preserve"> </v>
      </c>
      <c r="X820" s="81" t="str">
        <f t="shared" si="368"/>
        <v xml:space="preserve"> </v>
      </c>
      <c r="Y820" s="81" t="str">
        <f t="shared" si="369"/>
        <v xml:space="preserve"> </v>
      </c>
      <c r="Z820" s="79"/>
      <c r="AF820" s="79"/>
      <c r="AJ820" s="66"/>
      <c r="AK820" s="70"/>
    </row>
    <row r="821" spans="1:37" hidden="1">
      <c r="A821" s="65">
        <f>A818+1</f>
        <v>54</v>
      </c>
      <c r="B821" s="66" t="s">
        <v>404</v>
      </c>
      <c r="C821" s="79">
        <f>C762+C818</f>
        <v>116503.99999999999</v>
      </c>
      <c r="D821" s="79">
        <f>D762+D818</f>
        <v>52004.902999999991</v>
      </c>
      <c r="E821" s="79">
        <f>E762+E818</f>
        <v>1608</v>
      </c>
      <c r="F821" s="79">
        <f>D821+E821</f>
        <v>53612.902999999991</v>
      </c>
      <c r="G821" s="79">
        <f t="shared" ref="G821:N821" si="375">G762+G818</f>
        <v>2712</v>
      </c>
      <c r="H821" s="79">
        <f t="shared" si="375"/>
        <v>23293</v>
      </c>
      <c r="I821" s="79">
        <f t="shared" si="375"/>
        <v>14556</v>
      </c>
      <c r="J821" s="79">
        <f t="shared" si="375"/>
        <v>7117</v>
      </c>
      <c r="K821" s="79">
        <f t="shared" si="375"/>
        <v>403</v>
      </c>
      <c r="L821" s="79">
        <f t="shared" si="375"/>
        <v>284</v>
      </c>
      <c r="M821" s="79">
        <f t="shared" si="375"/>
        <v>7804</v>
      </c>
      <c r="N821" s="79">
        <f t="shared" si="375"/>
        <v>905</v>
      </c>
      <c r="O821" s="79">
        <f>SUM(F821:I821)+SUM(M821:N821)</f>
        <v>102882.90299999999</v>
      </c>
      <c r="P821" s="79">
        <f>P762+P818</f>
        <v>3134</v>
      </c>
      <c r="Q821" s="79">
        <f>Q762+Q818</f>
        <v>358</v>
      </c>
      <c r="R821" s="78">
        <f>P821+Q821</f>
        <v>3492</v>
      </c>
      <c r="S821" s="79">
        <f>S762+S818</f>
        <v>10129.096999999998</v>
      </c>
      <c r="U821" s="80">
        <f>O821+R821+S821-C821</f>
        <v>0</v>
      </c>
      <c r="W821" s="81">
        <f t="shared" si="367"/>
        <v>0.9671727</v>
      </c>
      <c r="X821" s="81">
        <f t="shared" si="368"/>
        <v>0.88308469999999994</v>
      </c>
      <c r="Y821" s="81">
        <f t="shared" si="369"/>
        <v>8.6942099999999994E-2</v>
      </c>
      <c r="Z821" s="79"/>
      <c r="AF821" s="79"/>
      <c r="AJ821" s="66"/>
      <c r="AK821" s="70"/>
    </row>
    <row r="822" spans="1:37" hidden="1">
      <c r="A822" s="65">
        <f>A821+1</f>
        <v>55</v>
      </c>
      <c r="B822" s="66" t="s">
        <v>229</v>
      </c>
      <c r="C822" s="79">
        <f>C702+C709+C714+C719+C723+C730+C732+C735+C740+C755+C769+C777+C782+C789+C792+C807+C812</f>
        <v>58831</v>
      </c>
      <c r="D822" s="79">
        <f>D702+D709+D714+D719+D723+D730+D732+D735+D740+D755+D769+D777+D782+D789+D792+D807+D812</f>
        <v>29125.001</v>
      </c>
      <c r="E822" s="79">
        <f>E702+E709+E714+E719+E723+E730+E732+E735+E740+E755+E769+E777+E782+E789+E792+E807+E812</f>
        <v>744</v>
      </c>
      <c r="F822" s="79">
        <f>D822+E822</f>
        <v>29869.001</v>
      </c>
      <c r="G822" s="79">
        <f t="shared" ref="G822:N822" si="376">G702+G709+G714+G719+G723+G730+G732+G735+G740+G755+G769+G777+G782+G789+G792+G807+G812</f>
        <v>1457</v>
      </c>
      <c r="H822" s="79">
        <f t="shared" si="376"/>
        <v>11789</v>
      </c>
      <c r="I822" s="79">
        <f t="shared" si="376"/>
        <v>6848</v>
      </c>
      <c r="J822" s="79">
        <f t="shared" si="376"/>
        <v>2944</v>
      </c>
      <c r="K822" s="79">
        <f t="shared" si="376"/>
        <v>214</v>
      </c>
      <c r="L822" s="79">
        <f t="shared" si="376"/>
        <v>123</v>
      </c>
      <c r="M822" s="79">
        <f t="shared" si="376"/>
        <v>3281</v>
      </c>
      <c r="N822" s="79">
        <f t="shared" si="376"/>
        <v>230</v>
      </c>
      <c r="O822" s="79">
        <f>SUM(F822:I822)+SUM(M822:N822)</f>
        <v>53474.001000000004</v>
      </c>
      <c r="P822" s="79">
        <f>P702+P709+P714+P719+P723+P730+P732+P735+P740+P755+P769+P777+P782+P789+P792+P807+P812</f>
        <v>1677</v>
      </c>
      <c r="Q822" s="79">
        <f>Q702+Q709+Q714+Q719+Q723+Q730+Q732+Q735+Q740+Q755+Q769+Q777+Q782+Q789+Q792+Q807+Q812</f>
        <v>192</v>
      </c>
      <c r="R822" s="78">
        <f>P822+Q822</f>
        <v>1869</v>
      </c>
      <c r="S822" s="79">
        <f>S702+S709+S714+S719+S723+S730+S732+S735+S740+S755+S769+S777+S782+S789+S792+S807+S812</f>
        <v>3487.9990000000003</v>
      </c>
      <c r="U822" s="80">
        <f>O822+R822+S822-C822</f>
        <v>0</v>
      </c>
      <c r="W822" s="81">
        <f t="shared" si="367"/>
        <v>0.9662288</v>
      </c>
      <c r="X822" s="81">
        <f t="shared" si="368"/>
        <v>0.90894260000000004</v>
      </c>
      <c r="Y822" s="81">
        <f t="shared" si="369"/>
        <v>5.9288500000000001E-2</v>
      </c>
      <c r="Z822" s="79"/>
      <c r="AF822" s="79"/>
      <c r="AJ822" s="66"/>
      <c r="AK822" s="65"/>
    </row>
    <row r="823" spans="1:37" hidden="1">
      <c r="A823" s="65">
        <f>A822+1</f>
        <v>56</v>
      </c>
      <c r="B823" s="66" t="s">
        <v>230</v>
      </c>
      <c r="C823" s="79">
        <f>C821-C822</f>
        <v>57672.999999999985</v>
      </c>
      <c r="D823" s="79">
        <f>D821-D822</f>
        <v>22879.901999999991</v>
      </c>
      <c r="E823" s="79">
        <f>E821-E822</f>
        <v>864</v>
      </c>
      <c r="F823" s="79">
        <f>D823+E823</f>
        <v>23743.901999999991</v>
      </c>
      <c r="G823" s="79">
        <f t="shared" ref="G823:N823" si="377">G821-G822</f>
        <v>1255</v>
      </c>
      <c r="H823" s="79">
        <f t="shared" si="377"/>
        <v>11504</v>
      </c>
      <c r="I823" s="79">
        <f t="shared" si="377"/>
        <v>7708</v>
      </c>
      <c r="J823" s="79">
        <f t="shared" si="377"/>
        <v>4173</v>
      </c>
      <c r="K823" s="79">
        <f t="shared" si="377"/>
        <v>189</v>
      </c>
      <c r="L823" s="79">
        <f t="shared" si="377"/>
        <v>161</v>
      </c>
      <c r="M823" s="79">
        <f t="shared" si="377"/>
        <v>4523</v>
      </c>
      <c r="N823" s="79">
        <f t="shared" si="377"/>
        <v>675</v>
      </c>
      <c r="O823" s="79">
        <f>SUM(F823:I823)+SUM(M823:N823)</f>
        <v>49408.901999999987</v>
      </c>
      <c r="P823" s="79">
        <f>P821-P822</f>
        <v>1457</v>
      </c>
      <c r="Q823" s="79">
        <f>Q821-Q822</f>
        <v>166</v>
      </c>
      <c r="R823" s="78">
        <f>P823+Q823</f>
        <v>1623</v>
      </c>
      <c r="S823" s="79">
        <f>S821-S822</f>
        <v>6641.0979999999981</v>
      </c>
      <c r="U823" s="80">
        <f>O823+R823+S823-C823</f>
        <v>0</v>
      </c>
      <c r="W823" s="81">
        <f t="shared" si="367"/>
        <v>0.96819639999999996</v>
      </c>
      <c r="X823" s="81">
        <f t="shared" si="368"/>
        <v>0.85670769999999996</v>
      </c>
      <c r="Y823" s="81">
        <f t="shared" si="369"/>
        <v>0.1151509</v>
      </c>
      <c r="Z823" s="79"/>
      <c r="AF823" s="79"/>
      <c r="AJ823" s="66"/>
      <c r="AK823" s="65"/>
    </row>
    <row r="824" spans="1:37" hidden="1"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U824" s="80"/>
      <c r="W824" s="81" t="str">
        <f t="shared" si="367"/>
        <v xml:space="preserve"> </v>
      </c>
      <c r="X824" s="81" t="str">
        <f t="shared" si="368"/>
        <v xml:space="preserve"> </v>
      </c>
      <c r="Y824" s="81" t="str">
        <f t="shared" si="369"/>
        <v xml:space="preserve"> </v>
      </c>
      <c r="Z824" s="79"/>
      <c r="AF824" s="79"/>
      <c r="AJ824" s="66"/>
      <c r="AK824" s="65"/>
    </row>
    <row r="825" spans="1:37" hidden="1">
      <c r="B825" s="65" t="s">
        <v>405</v>
      </c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U825" s="80"/>
      <c r="W825" s="81" t="str">
        <f t="shared" si="367"/>
        <v xml:space="preserve"> </v>
      </c>
      <c r="X825" s="81" t="str">
        <f t="shared" si="368"/>
        <v xml:space="preserve"> </v>
      </c>
      <c r="Y825" s="81" t="str">
        <f t="shared" si="369"/>
        <v xml:space="preserve"> </v>
      </c>
      <c r="Z825" s="79"/>
      <c r="AF825" s="79"/>
      <c r="AJ825" s="66"/>
      <c r="AK825" s="65"/>
    </row>
    <row r="826" spans="1:37" hidden="1">
      <c r="B826" s="83" t="s">
        <v>170</v>
      </c>
      <c r="W826" s="81" t="str">
        <f t="shared" si="367"/>
        <v xml:space="preserve"> </v>
      </c>
      <c r="X826" s="81" t="str">
        <f t="shared" si="368"/>
        <v xml:space="preserve"> </v>
      </c>
      <c r="Y826" s="81" t="str">
        <f t="shared" si="369"/>
        <v xml:space="preserve"> </v>
      </c>
      <c r="AJ826" s="66"/>
      <c r="AK826" s="65"/>
    </row>
    <row r="827" spans="1:37" hidden="1">
      <c r="W827" s="81" t="str">
        <f t="shared" si="367"/>
        <v xml:space="preserve"> </v>
      </c>
      <c r="X827" s="81" t="str">
        <f t="shared" si="368"/>
        <v xml:space="preserve"> </v>
      </c>
      <c r="Y827" s="81" t="str">
        <f t="shared" si="369"/>
        <v xml:space="preserve"> </v>
      </c>
      <c r="AJ827" s="66"/>
      <c r="AK827" s="65"/>
    </row>
    <row r="828" spans="1:37" hidden="1">
      <c r="A828" s="65">
        <f>A823+1</f>
        <v>57</v>
      </c>
      <c r="B828" s="66" t="s">
        <v>406</v>
      </c>
      <c r="C828" s="79">
        <f>C829+C830</f>
        <v>77246</v>
      </c>
      <c r="D828" s="79">
        <f>D829+D830</f>
        <v>30957.181</v>
      </c>
      <c r="E828" s="79">
        <f>E829+E830</f>
        <v>1170</v>
      </c>
      <c r="F828" s="79">
        <f t="shared" ref="F828:F833" si="378">D828+E828</f>
        <v>32127.181</v>
      </c>
      <c r="G828" s="79">
        <f t="shared" ref="G828:L828" si="379">G829+G830</f>
        <v>1699</v>
      </c>
      <c r="H828" s="79">
        <f t="shared" si="379"/>
        <v>15566</v>
      </c>
      <c r="I828" s="79">
        <f t="shared" si="379"/>
        <v>10430</v>
      </c>
      <c r="J828" s="79">
        <f t="shared" si="379"/>
        <v>5648</v>
      </c>
      <c r="K828" s="79">
        <f t="shared" si="379"/>
        <v>256</v>
      </c>
      <c r="L828" s="79">
        <f t="shared" si="379"/>
        <v>217</v>
      </c>
      <c r="M828" s="79">
        <f t="shared" ref="M828:M833" si="380">SUM(J828:L828)</f>
        <v>6121</v>
      </c>
      <c r="N828" s="79">
        <f>N829+N830</f>
        <v>912</v>
      </c>
      <c r="O828" s="79">
        <f t="shared" ref="O828:O833" si="381">SUM(F828:I828)+SUM(M828:N828)</f>
        <v>66855.180999999997</v>
      </c>
      <c r="P828" s="79">
        <f>P829+P830</f>
        <v>1973</v>
      </c>
      <c r="Q828" s="79">
        <f>Q829+Q830</f>
        <v>225</v>
      </c>
      <c r="R828" s="78">
        <f t="shared" ref="R828:R833" si="382">P828+Q828</f>
        <v>2198</v>
      </c>
      <c r="S828" s="79">
        <f>S829+S830</f>
        <v>8192.8189999999995</v>
      </c>
      <c r="U828" s="80">
        <f t="shared" ref="U828:U833" si="383">O828+R828+S828-C828</f>
        <v>0</v>
      </c>
      <c r="W828" s="81">
        <f t="shared" si="367"/>
        <v>0.96816950000000002</v>
      </c>
      <c r="X828" s="81">
        <f t="shared" si="368"/>
        <v>0.86548409999999998</v>
      </c>
      <c r="Y828" s="81">
        <f t="shared" si="369"/>
        <v>0.1060614</v>
      </c>
      <c r="Z828" s="79"/>
      <c r="AF828" s="79"/>
      <c r="AJ828" s="66"/>
      <c r="AK828" s="65"/>
    </row>
    <row r="829" spans="1:37" hidden="1">
      <c r="A829" s="65">
        <f>A828+1</f>
        <v>58</v>
      </c>
      <c r="B829" s="66" t="s">
        <v>407</v>
      </c>
      <c r="C829" s="78">
        <f>52037-52037</f>
        <v>0</v>
      </c>
      <c r="D829" s="79">
        <f>C829-E829-SUM(G829:I829)-SUM(M829:N829)-R829-S829</f>
        <v>0</v>
      </c>
      <c r="E829" s="79">
        <v>0</v>
      </c>
      <c r="F829" s="79">
        <f t="shared" si="378"/>
        <v>0</v>
      </c>
      <c r="G829" s="79">
        <v>0</v>
      </c>
      <c r="H829" s="79">
        <v>0</v>
      </c>
      <c r="I829" s="79">
        <v>0</v>
      </c>
      <c r="J829" s="79">
        <v>0</v>
      </c>
      <c r="K829" s="79">
        <v>0</v>
      </c>
      <c r="L829" s="79">
        <v>0</v>
      </c>
      <c r="M829" s="79">
        <f t="shared" si="380"/>
        <v>0</v>
      </c>
      <c r="N829" s="79">
        <v>0</v>
      </c>
      <c r="O829" s="79">
        <f t="shared" si="381"/>
        <v>0</v>
      </c>
      <c r="P829" s="79">
        <v>0</v>
      </c>
      <c r="Q829" s="79">
        <v>0</v>
      </c>
      <c r="R829" s="78">
        <f t="shared" si="382"/>
        <v>0</v>
      </c>
      <c r="S829" s="78">
        <v>0</v>
      </c>
      <c r="U829" s="80">
        <f t="shared" si="383"/>
        <v>0</v>
      </c>
      <c r="W829" s="81" t="str">
        <f t="shared" si="367"/>
        <v xml:space="preserve"> </v>
      </c>
      <c r="X829" s="81" t="str">
        <f t="shared" si="368"/>
        <v xml:space="preserve"> </v>
      </c>
      <c r="Y829" s="81" t="str">
        <f t="shared" si="369"/>
        <v xml:space="preserve"> </v>
      </c>
      <c r="Z829" s="79"/>
      <c r="AF829" s="79"/>
      <c r="AJ829" s="66"/>
      <c r="AK829" s="65"/>
    </row>
    <row r="830" spans="1:37" hidden="1">
      <c r="A830" s="65">
        <f>A829+1</f>
        <v>59</v>
      </c>
      <c r="B830" s="66" t="s">
        <v>408</v>
      </c>
      <c r="C830" s="78">
        <v>77246</v>
      </c>
      <c r="D830" s="79">
        <f>C830-E830-SUM(G830:I830)-SUM(M830:N830)-R830-S830</f>
        <v>30957.181</v>
      </c>
      <c r="E830" s="79">
        <v>1170</v>
      </c>
      <c r="F830" s="79">
        <f t="shared" si="378"/>
        <v>32127.181</v>
      </c>
      <c r="G830" s="79">
        <v>1699</v>
      </c>
      <c r="H830" s="79">
        <v>15566</v>
      </c>
      <c r="I830" s="79">
        <v>10430</v>
      </c>
      <c r="J830" s="79">
        <v>5648</v>
      </c>
      <c r="K830" s="79">
        <v>256</v>
      </c>
      <c r="L830" s="79">
        <v>217</v>
      </c>
      <c r="M830" s="79">
        <f t="shared" si="380"/>
        <v>6121</v>
      </c>
      <c r="N830" s="79">
        <v>912</v>
      </c>
      <c r="O830" s="79">
        <f t="shared" si="381"/>
        <v>66855.180999999997</v>
      </c>
      <c r="P830" s="79">
        <v>1973</v>
      </c>
      <c r="Q830" s="79">
        <v>225</v>
      </c>
      <c r="R830" s="78">
        <f t="shared" si="382"/>
        <v>2198</v>
      </c>
      <c r="S830" s="78">
        <v>8192.8189999999995</v>
      </c>
      <c r="U830" s="80">
        <f t="shared" si="383"/>
        <v>0</v>
      </c>
      <c r="W830" s="81">
        <f t="shared" si="367"/>
        <v>0.96816950000000002</v>
      </c>
      <c r="X830" s="81">
        <f t="shared" si="368"/>
        <v>0.86548409999999998</v>
      </c>
      <c r="Y830" s="81">
        <f t="shared" si="369"/>
        <v>0.1060614</v>
      </c>
      <c r="Z830" s="79"/>
      <c r="AF830" s="79"/>
      <c r="AJ830" s="66"/>
      <c r="AK830" s="65"/>
    </row>
    <row r="831" spans="1:37" hidden="1">
      <c r="A831" s="65">
        <f>A830+1</f>
        <v>60</v>
      </c>
      <c r="B831" s="66" t="s">
        <v>409</v>
      </c>
      <c r="C831" s="78">
        <v>-77246</v>
      </c>
      <c r="D831" s="79">
        <f>C831-E831-SUM(G831:I831)-SUM(M831:N831)-R831-S831</f>
        <v>-30957.181</v>
      </c>
      <c r="E831" s="79">
        <v>-1170</v>
      </c>
      <c r="F831" s="79">
        <f t="shared" si="378"/>
        <v>-32127.181</v>
      </c>
      <c r="G831" s="79">
        <v>-1699</v>
      </c>
      <c r="H831" s="79">
        <v>-15566</v>
      </c>
      <c r="I831" s="79">
        <v>-10430</v>
      </c>
      <c r="J831" s="79">
        <v>-5648</v>
      </c>
      <c r="K831" s="79">
        <v>-256</v>
      </c>
      <c r="L831" s="79">
        <v>-217</v>
      </c>
      <c r="M831" s="79">
        <f t="shared" si="380"/>
        <v>-6121</v>
      </c>
      <c r="N831" s="79">
        <v>-912</v>
      </c>
      <c r="O831" s="79">
        <f t="shared" si="381"/>
        <v>-66855.180999999997</v>
      </c>
      <c r="P831" s="79">
        <v>-1973</v>
      </c>
      <c r="Q831" s="79">
        <v>-225</v>
      </c>
      <c r="R831" s="78">
        <f t="shared" si="382"/>
        <v>-2198</v>
      </c>
      <c r="S831" s="78">
        <v>-8192.8189999999995</v>
      </c>
      <c r="U831" s="80">
        <f t="shared" si="383"/>
        <v>0</v>
      </c>
      <c r="W831" s="81">
        <f t="shared" si="367"/>
        <v>0.96816950000000002</v>
      </c>
      <c r="X831" s="81">
        <f t="shared" si="368"/>
        <v>0.86548409999999998</v>
      </c>
      <c r="Y831" s="81">
        <f t="shared" si="369"/>
        <v>0.1060614</v>
      </c>
      <c r="Z831" s="79"/>
      <c r="AF831" s="79"/>
      <c r="AJ831" s="66"/>
      <c r="AK831" s="65"/>
    </row>
    <row r="832" spans="1:37" hidden="1">
      <c r="A832" s="65">
        <f>A831+1</f>
        <v>61</v>
      </c>
      <c r="B832" s="66" t="s">
        <v>410</v>
      </c>
      <c r="C832" s="79">
        <f>C830+C831</f>
        <v>0</v>
      </c>
      <c r="D832" s="79">
        <f>C832-E832-SUM(G832:I832)-SUM(M832:N832)-R832-S832</f>
        <v>0</v>
      </c>
      <c r="E832" s="79">
        <f>E830+E831</f>
        <v>0</v>
      </c>
      <c r="F832" s="79">
        <f t="shared" si="378"/>
        <v>0</v>
      </c>
      <c r="G832" s="79">
        <f t="shared" ref="G832:L832" si="384">G830+G831</f>
        <v>0</v>
      </c>
      <c r="H832" s="79">
        <f t="shared" si="384"/>
        <v>0</v>
      </c>
      <c r="I832" s="79">
        <f t="shared" si="384"/>
        <v>0</v>
      </c>
      <c r="J832" s="79">
        <f t="shared" si="384"/>
        <v>0</v>
      </c>
      <c r="K832" s="79">
        <f t="shared" si="384"/>
        <v>0</v>
      </c>
      <c r="L832" s="79">
        <f t="shared" si="384"/>
        <v>0</v>
      </c>
      <c r="M832" s="79">
        <f t="shared" si="380"/>
        <v>0</v>
      </c>
      <c r="N832" s="79">
        <f>N830+N831</f>
        <v>0</v>
      </c>
      <c r="O832" s="79">
        <f t="shared" si="381"/>
        <v>0</v>
      </c>
      <c r="P832" s="79">
        <f>P830+P831</f>
        <v>0</v>
      </c>
      <c r="Q832" s="79">
        <f>Q830+Q831</f>
        <v>0</v>
      </c>
      <c r="R832" s="78">
        <f t="shared" si="382"/>
        <v>0</v>
      </c>
      <c r="S832" s="79">
        <f>S830+S831</f>
        <v>0</v>
      </c>
      <c r="U832" s="80">
        <f t="shared" si="383"/>
        <v>0</v>
      </c>
      <c r="W832" s="81" t="str">
        <f t="shared" si="367"/>
        <v xml:space="preserve"> </v>
      </c>
      <c r="X832" s="81" t="str">
        <f t="shared" si="368"/>
        <v xml:space="preserve"> </v>
      </c>
      <c r="Y832" s="81" t="str">
        <f t="shared" si="369"/>
        <v xml:space="preserve"> </v>
      </c>
      <c r="Z832" s="79"/>
      <c r="AF832" s="79"/>
      <c r="AJ832" s="66"/>
      <c r="AK832" s="65"/>
    </row>
    <row r="833" spans="1:37" hidden="1">
      <c r="A833" s="65">
        <f>A832+1</f>
        <v>62</v>
      </c>
      <c r="B833" s="66" t="s">
        <v>411</v>
      </c>
      <c r="C833" s="79">
        <f>O833+R833+S833</f>
        <v>0</v>
      </c>
      <c r="D833" s="79">
        <f t="shared" ref="D833:I833" si="385">D829+D832</f>
        <v>0</v>
      </c>
      <c r="E833" s="79">
        <f>E829+E832</f>
        <v>0</v>
      </c>
      <c r="F833" s="79">
        <f t="shared" si="378"/>
        <v>0</v>
      </c>
      <c r="G833" s="79">
        <f t="shared" si="385"/>
        <v>0</v>
      </c>
      <c r="H833" s="79">
        <f t="shared" si="385"/>
        <v>0</v>
      </c>
      <c r="I833" s="79">
        <f t="shared" si="385"/>
        <v>0</v>
      </c>
      <c r="J833" s="79">
        <f>J829+J832</f>
        <v>0</v>
      </c>
      <c r="K833" s="79">
        <f>K829+K832</f>
        <v>0</v>
      </c>
      <c r="L833" s="79">
        <f>L829+L832</f>
        <v>0</v>
      </c>
      <c r="M833" s="79">
        <f t="shared" si="380"/>
        <v>0</v>
      </c>
      <c r="N833" s="79">
        <f>N829+N832</f>
        <v>0</v>
      </c>
      <c r="O833" s="79">
        <f t="shared" si="381"/>
        <v>0</v>
      </c>
      <c r="P833" s="79">
        <f>P829+P832</f>
        <v>0</v>
      </c>
      <c r="Q833" s="79">
        <f>Q829+Q832</f>
        <v>0</v>
      </c>
      <c r="R833" s="78">
        <f t="shared" si="382"/>
        <v>0</v>
      </c>
      <c r="S833" s="79">
        <f>S829+S832</f>
        <v>0</v>
      </c>
      <c r="U833" s="80">
        <f t="shared" si="383"/>
        <v>0</v>
      </c>
      <c r="W833" s="81" t="str">
        <f t="shared" si="367"/>
        <v xml:space="preserve"> </v>
      </c>
      <c r="X833" s="81" t="str">
        <f t="shared" si="368"/>
        <v xml:space="preserve"> </v>
      </c>
      <c r="Y833" s="81" t="str">
        <f t="shared" si="369"/>
        <v xml:space="preserve"> </v>
      </c>
      <c r="Z833" s="79"/>
      <c r="AF833" s="79"/>
      <c r="AJ833" s="66"/>
      <c r="AK833" s="65"/>
    </row>
    <row r="834" spans="1:37" hidden="1"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U834" s="80"/>
      <c r="W834" s="81" t="str">
        <f t="shared" si="367"/>
        <v xml:space="preserve"> </v>
      </c>
      <c r="X834" s="81" t="str">
        <f t="shared" si="368"/>
        <v xml:space="preserve"> </v>
      </c>
      <c r="Y834" s="81" t="str">
        <f t="shared" si="369"/>
        <v xml:space="preserve"> </v>
      </c>
      <c r="Z834" s="79"/>
      <c r="AF834" s="79"/>
      <c r="AJ834" s="66"/>
      <c r="AK834" s="65"/>
    </row>
    <row r="835" spans="1:37" hidden="1">
      <c r="B835" s="66" t="s">
        <v>412</v>
      </c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U835" s="80"/>
      <c r="W835" s="81" t="str">
        <f t="shared" si="367"/>
        <v xml:space="preserve"> </v>
      </c>
      <c r="X835" s="81" t="str">
        <f t="shared" si="368"/>
        <v xml:space="preserve"> </v>
      </c>
      <c r="Y835" s="81" t="str">
        <f t="shared" si="369"/>
        <v xml:space="preserve"> </v>
      </c>
      <c r="Z835" s="79"/>
      <c r="AF835" s="79"/>
      <c r="AJ835" s="66"/>
      <c r="AK835" s="65"/>
    </row>
    <row r="836" spans="1:37" hidden="1">
      <c r="A836" s="65">
        <f>A833+1</f>
        <v>63</v>
      </c>
      <c r="B836" s="66" t="s">
        <v>39</v>
      </c>
      <c r="C836" s="79">
        <f>ROUND((((C$822+C$829-$S822-$S829)/(C$822+C$829-$S822-$S829))*C838),0)</f>
        <v>2019</v>
      </c>
      <c r="D836" s="79">
        <f>C836-E836-SUM(G836:I836)-SUM(M836:N836)-R836-S836</f>
        <v>1064</v>
      </c>
      <c r="E836" s="79">
        <f>ROUND((((E$822+E$829)/($C$822+$C$829-$S822-$S829))*$C836),0)</f>
        <v>27</v>
      </c>
      <c r="F836" s="79">
        <f>D836+E836</f>
        <v>1091</v>
      </c>
      <c r="G836" s="79">
        <f t="shared" ref="G836:L836" si="386">ROUND((((G$822+G$829)/($C$822+$C$829-$S822-$S829))*$C836),0)</f>
        <v>53</v>
      </c>
      <c r="H836" s="79">
        <f t="shared" si="386"/>
        <v>430</v>
      </c>
      <c r="I836" s="79">
        <f t="shared" si="386"/>
        <v>250</v>
      </c>
      <c r="J836" s="79">
        <f t="shared" si="386"/>
        <v>107</v>
      </c>
      <c r="K836" s="79">
        <f t="shared" si="386"/>
        <v>8</v>
      </c>
      <c r="L836" s="79">
        <f t="shared" si="386"/>
        <v>4</v>
      </c>
      <c r="M836" s="79">
        <f>SUM(J836:L836)</f>
        <v>119</v>
      </c>
      <c r="N836" s="79">
        <f>ROUND((((N$822+N$829)/($C$822+$C$829-$S822-$S829))*$C836),0)</f>
        <v>8</v>
      </c>
      <c r="O836" s="79">
        <f>SUM(F836:I836)+SUM(M836:N836)</f>
        <v>1951</v>
      </c>
      <c r="P836" s="79">
        <f>ROUND((((P$822+P$829)/($C$822+$C$829-$S822-$S829))*$C836),0)</f>
        <v>61</v>
      </c>
      <c r="Q836" s="79">
        <f>ROUND((((Q$822+Q$829)/($C$822+$C$829-$S822-$S829))*$C836),0)</f>
        <v>7</v>
      </c>
      <c r="R836" s="78">
        <f>P836+Q836</f>
        <v>68</v>
      </c>
      <c r="S836" s="79">
        <v>0</v>
      </c>
      <c r="U836" s="80">
        <f>O836+R836+S836-C836</f>
        <v>0</v>
      </c>
      <c r="W836" s="81">
        <f t="shared" si="367"/>
        <v>0.96631999999999996</v>
      </c>
      <c r="X836" s="81">
        <f t="shared" si="368"/>
        <v>0.96631999999999996</v>
      </c>
      <c r="Y836" s="81">
        <f t="shared" si="369"/>
        <v>0</v>
      </c>
      <c r="Z836" s="79"/>
      <c r="AF836" s="79"/>
      <c r="AJ836" s="66"/>
      <c r="AK836" s="65"/>
    </row>
    <row r="837" spans="1:37" hidden="1">
      <c r="A837" s="65">
        <f>A836+1</f>
        <v>64</v>
      </c>
      <c r="B837" s="66" t="s">
        <v>168</v>
      </c>
      <c r="C837" s="79">
        <f>C838-C836</f>
        <v>0</v>
      </c>
      <c r="D837" s="79">
        <f>C837-E837-SUM(G837:I837)-SUM(M837:N837)-R837-S837</f>
        <v>0</v>
      </c>
      <c r="E837" s="79">
        <v>0</v>
      </c>
      <c r="F837" s="79">
        <f>D837+E837</f>
        <v>0</v>
      </c>
      <c r="G837" s="79">
        <v>0</v>
      </c>
      <c r="H837" s="79">
        <v>0</v>
      </c>
      <c r="I837" s="79">
        <v>0</v>
      </c>
      <c r="J837" s="79">
        <v>0</v>
      </c>
      <c r="K837" s="79">
        <v>0</v>
      </c>
      <c r="L837" s="79">
        <v>0</v>
      </c>
      <c r="M837" s="79">
        <f>SUM(J837:L837)</f>
        <v>0</v>
      </c>
      <c r="N837" s="79">
        <v>0</v>
      </c>
      <c r="O837" s="79">
        <f>SUM(F837:I837)+SUM(M837:N837)</f>
        <v>0</v>
      </c>
      <c r="P837" s="79">
        <v>0</v>
      </c>
      <c r="Q837" s="79">
        <v>0</v>
      </c>
      <c r="R837" s="78">
        <f>P837+Q837</f>
        <v>0</v>
      </c>
      <c r="S837" s="79">
        <v>0</v>
      </c>
      <c r="U837" s="80">
        <f>O837+R837+S837-C837</f>
        <v>0</v>
      </c>
      <c r="W837" s="81" t="str">
        <f t="shared" si="367"/>
        <v xml:space="preserve"> </v>
      </c>
      <c r="X837" s="81" t="str">
        <f t="shared" si="368"/>
        <v xml:space="preserve"> </v>
      </c>
      <c r="Y837" s="81" t="str">
        <f t="shared" si="369"/>
        <v xml:space="preserve"> </v>
      </c>
      <c r="Z837" s="79"/>
      <c r="AF837" s="79"/>
      <c r="AJ837" s="66"/>
      <c r="AK837" s="65"/>
    </row>
    <row r="838" spans="1:37" hidden="1">
      <c r="A838" s="65">
        <f>A837+1</f>
        <v>65</v>
      </c>
      <c r="B838" s="66" t="s">
        <v>413</v>
      </c>
      <c r="C838" s="78">
        <v>2019</v>
      </c>
      <c r="D838" s="79">
        <f>D836+D837</f>
        <v>1064</v>
      </c>
      <c r="E838" s="79">
        <f>E836+E837</f>
        <v>27</v>
      </c>
      <c r="F838" s="79">
        <f>D838+E838</f>
        <v>1091</v>
      </c>
      <c r="G838" s="79">
        <f t="shared" ref="G838:L838" si="387">G836+G837</f>
        <v>53</v>
      </c>
      <c r="H838" s="79">
        <f t="shared" si="387"/>
        <v>430</v>
      </c>
      <c r="I838" s="79">
        <f t="shared" si="387"/>
        <v>250</v>
      </c>
      <c r="J838" s="79">
        <f t="shared" si="387"/>
        <v>107</v>
      </c>
      <c r="K838" s="79">
        <f t="shared" si="387"/>
        <v>8</v>
      </c>
      <c r="L838" s="79">
        <f t="shared" si="387"/>
        <v>4</v>
      </c>
      <c r="M838" s="79">
        <f>SUM(J838:L838)</f>
        <v>119</v>
      </c>
      <c r="N838" s="79">
        <f>N836+N837</f>
        <v>8</v>
      </c>
      <c r="O838" s="79">
        <f>SUM(F838:I838)+SUM(M838:N838)</f>
        <v>1951</v>
      </c>
      <c r="P838" s="79">
        <f>P836+P837</f>
        <v>61</v>
      </c>
      <c r="Q838" s="79">
        <f>Q836+Q837</f>
        <v>7</v>
      </c>
      <c r="R838" s="78">
        <f>P838+Q838</f>
        <v>68</v>
      </c>
      <c r="S838" s="79">
        <f>S836+S837</f>
        <v>0</v>
      </c>
      <c r="U838" s="80">
        <f>O838+R838+S838-C838</f>
        <v>0</v>
      </c>
      <c r="W838" s="81">
        <f t="shared" si="367"/>
        <v>0.96631999999999996</v>
      </c>
      <c r="X838" s="81">
        <f t="shared" si="368"/>
        <v>0.96631999999999996</v>
      </c>
      <c r="Y838" s="81">
        <f t="shared" si="369"/>
        <v>0</v>
      </c>
      <c r="Z838" s="79"/>
      <c r="AF838" s="79"/>
      <c r="AJ838" s="66"/>
      <c r="AK838" s="70"/>
    </row>
    <row r="839" spans="1:37" hidden="1"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U839" s="80"/>
      <c r="W839" s="81" t="str">
        <f t="shared" si="367"/>
        <v xml:space="preserve"> </v>
      </c>
      <c r="X839" s="81" t="str">
        <f t="shared" si="368"/>
        <v xml:space="preserve"> </v>
      </c>
      <c r="Y839" s="81" t="str">
        <f t="shared" si="369"/>
        <v xml:space="preserve"> </v>
      </c>
      <c r="Z839" s="79"/>
      <c r="AF839" s="79"/>
      <c r="AJ839" s="66"/>
      <c r="AK839" s="70"/>
    </row>
    <row r="840" spans="1:37" hidden="1">
      <c r="B840" s="66" t="s">
        <v>414</v>
      </c>
      <c r="C840" s="78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U840" s="80"/>
      <c r="W840" s="81" t="str">
        <f t="shared" si="367"/>
        <v xml:space="preserve"> </v>
      </c>
      <c r="X840" s="81" t="str">
        <f t="shared" si="368"/>
        <v xml:space="preserve"> </v>
      </c>
      <c r="Y840" s="81" t="str">
        <f t="shared" si="369"/>
        <v xml:space="preserve"> </v>
      </c>
      <c r="Z840" s="79"/>
      <c r="AF840" s="79"/>
      <c r="AJ840" s="66"/>
      <c r="AK840" s="70"/>
    </row>
    <row r="841" spans="1:37" hidden="1">
      <c r="A841" s="65">
        <f>A838+1</f>
        <v>66</v>
      </c>
      <c r="B841" s="66" t="s">
        <v>39</v>
      </c>
      <c r="C841" s="79">
        <f>C843</f>
        <v>2494</v>
      </c>
      <c r="D841" s="79">
        <f>C841-E841-SUM(G841:I841)-SUM(M841:N841)-R841-S841</f>
        <v>1311</v>
      </c>
      <c r="E841" s="79">
        <v>34</v>
      </c>
      <c r="F841" s="79">
        <f>D841+E841</f>
        <v>1345</v>
      </c>
      <c r="G841" s="79">
        <v>66</v>
      </c>
      <c r="H841" s="79">
        <v>531</v>
      </c>
      <c r="I841" s="79">
        <v>309</v>
      </c>
      <c r="J841" s="79">
        <v>133</v>
      </c>
      <c r="K841" s="79">
        <v>10</v>
      </c>
      <c r="L841" s="79">
        <v>5</v>
      </c>
      <c r="M841" s="79">
        <f>SUM(J841:L841)</f>
        <v>148</v>
      </c>
      <c r="N841" s="79">
        <v>10</v>
      </c>
      <c r="O841" s="79">
        <f>SUM(F841:I841)+SUM(M841:N841)</f>
        <v>2409</v>
      </c>
      <c r="P841" s="79">
        <v>76</v>
      </c>
      <c r="Q841" s="79">
        <v>9</v>
      </c>
      <c r="R841" s="78">
        <f>P841+Q841</f>
        <v>85</v>
      </c>
      <c r="S841" s="79">
        <v>0</v>
      </c>
      <c r="U841" s="80">
        <f>O841+R841+S841-C841</f>
        <v>0</v>
      </c>
      <c r="W841" s="81">
        <f t="shared" si="367"/>
        <v>0.96591819999999995</v>
      </c>
      <c r="X841" s="81">
        <f t="shared" si="368"/>
        <v>0.96591819999999995</v>
      </c>
      <c r="Y841" s="81">
        <f t="shared" si="369"/>
        <v>0</v>
      </c>
      <c r="Z841" s="79"/>
      <c r="AF841" s="79"/>
      <c r="AJ841" s="66"/>
      <c r="AK841" s="65"/>
    </row>
    <row r="842" spans="1:37" hidden="1">
      <c r="A842" s="65">
        <f>A841+1</f>
        <v>67</v>
      </c>
      <c r="B842" s="66" t="s">
        <v>168</v>
      </c>
      <c r="C842" s="79">
        <f>C843-C841</f>
        <v>0</v>
      </c>
      <c r="D842" s="79">
        <f>C842-E842-SUM(G842:I842)-SUM(M842:N842)-R842-S842</f>
        <v>0</v>
      </c>
      <c r="E842" s="79">
        <v>0</v>
      </c>
      <c r="F842" s="79">
        <f>D842+E842</f>
        <v>0</v>
      </c>
      <c r="G842" s="79">
        <v>0</v>
      </c>
      <c r="H842" s="79">
        <v>0</v>
      </c>
      <c r="I842" s="79">
        <v>0</v>
      </c>
      <c r="J842" s="79">
        <v>0</v>
      </c>
      <c r="K842" s="79">
        <v>0</v>
      </c>
      <c r="L842" s="79">
        <v>0</v>
      </c>
      <c r="M842" s="79">
        <f>SUM(J842:L842)</f>
        <v>0</v>
      </c>
      <c r="N842" s="79">
        <v>0</v>
      </c>
      <c r="O842" s="79">
        <f>SUM(F842:I842)+SUM(M842:N842)</f>
        <v>0</v>
      </c>
      <c r="P842" s="79">
        <v>0</v>
      </c>
      <c r="Q842" s="79">
        <v>0</v>
      </c>
      <c r="R842" s="78">
        <f>P842+Q842</f>
        <v>0</v>
      </c>
      <c r="S842" s="78">
        <v>0</v>
      </c>
      <c r="U842" s="80">
        <f>O842+R842+S842-C842</f>
        <v>0</v>
      </c>
      <c r="W842" s="81" t="str">
        <f t="shared" si="367"/>
        <v xml:space="preserve"> </v>
      </c>
      <c r="X842" s="81" t="str">
        <f t="shared" si="368"/>
        <v xml:space="preserve"> </v>
      </c>
      <c r="Y842" s="81" t="str">
        <f t="shared" si="369"/>
        <v xml:space="preserve"> </v>
      </c>
      <c r="Z842" s="79"/>
      <c r="AF842" s="79"/>
      <c r="AJ842" s="66"/>
      <c r="AK842" s="65"/>
    </row>
    <row r="843" spans="1:37" hidden="1">
      <c r="A843" s="65">
        <f>A842+1</f>
        <v>68</v>
      </c>
      <c r="B843" s="66" t="s">
        <v>415</v>
      </c>
      <c r="C843" s="78">
        <f>2705-211</f>
        <v>2494</v>
      </c>
      <c r="D843" s="79">
        <f>D841+D842</f>
        <v>1311</v>
      </c>
      <c r="E843" s="79">
        <f>E841+E842</f>
        <v>34</v>
      </c>
      <c r="F843" s="79">
        <f>D843+E843</f>
        <v>1345</v>
      </c>
      <c r="G843" s="79">
        <f t="shared" ref="G843:L843" si="388">G841+G842</f>
        <v>66</v>
      </c>
      <c r="H843" s="79">
        <f t="shared" si="388"/>
        <v>531</v>
      </c>
      <c r="I843" s="79">
        <f t="shared" si="388"/>
        <v>309</v>
      </c>
      <c r="J843" s="79">
        <f t="shared" si="388"/>
        <v>133</v>
      </c>
      <c r="K843" s="79">
        <f t="shared" si="388"/>
        <v>10</v>
      </c>
      <c r="L843" s="79">
        <f t="shared" si="388"/>
        <v>5</v>
      </c>
      <c r="M843" s="79">
        <f>SUM(J843:L843)</f>
        <v>148</v>
      </c>
      <c r="N843" s="79">
        <f>N841+N842</f>
        <v>10</v>
      </c>
      <c r="O843" s="79">
        <f>SUM(F843:I843)+SUM(M843:N843)</f>
        <v>2409</v>
      </c>
      <c r="P843" s="79">
        <f>P841+P842</f>
        <v>76</v>
      </c>
      <c r="Q843" s="79">
        <f>Q841+Q842</f>
        <v>9</v>
      </c>
      <c r="R843" s="78">
        <f>P843+Q843</f>
        <v>85</v>
      </c>
      <c r="S843" s="79">
        <f>S841+S842</f>
        <v>0</v>
      </c>
      <c r="U843" s="80">
        <f>O843+R843+S843-C843</f>
        <v>0</v>
      </c>
      <c r="W843" s="81">
        <f t="shared" si="367"/>
        <v>0.96591819999999995</v>
      </c>
      <c r="X843" s="81">
        <f t="shared" si="368"/>
        <v>0.96591819999999995</v>
      </c>
      <c r="Y843" s="81">
        <f t="shared" si="369"/>
        <v>0</v>
      </c>
      <c r="Z843" s="79"/>
      <c r="AF843" s="79"/>
      <c r="AJ843" s="66"/>
      <c r="AK843" s="65"/>
    </row>
    <row r="844" spans="1:37" hidden="1">
      <c r="W844" s="81" t="str">
        <f t="shared" si="367"/>
        <v xml:space="preserve"> </v>
      </c>
      <c r="X844" s="81" t="str">
        <f t="shared" si="368"/>
        <v xml:space="preserve"> </v>
      </c>
      <c r="Y844" s="81" t="str">
        <f t="shared" si="369"/>
        <v xml:space="preserve"> </v>
      </c>
      <c r="AJ844" s="66"/>
      <c r="AK844" s="65"/>
    </row>
    <row r="845" spans="1:37" hidden="1">
      <c r="A845" s="65">
        <f>A843+1</f>
        <v>69</v>
      </c>
      <c r="B845" s="66" t="s">
        <v>416</v>
      </c>
      <c r="C845" s="79">
        <f>O845+R845+S845</f>
        <v>4513</v>
      </c>
      <c r="D845" s="79">
        <f>D833+D838+D843</f>
        <v>2375</v>
      </c>
      <c r="E845" s="79">
        <f>E833+E838+E843</f>
        <v>61</v>
      </c>
      <c r="F845" s="79">
        <f>D845+E845</f>
        <v>2436</v>
      </c>
      <c r="G845" s="79">
        <f t="shared" ref="G845:L845" si="389">G833+G838+G843</f>
        <v>119</v>
      </c>
      <c r="H845" s="79">
        <f t="shared" si="389"/>
        <v>961</v>
      </c>
      <c r="I845" s="79">
        <f t="shared" si="389"/>
        <v>559</v>
      </c>
      <c r="J845" s="79">
        <f t="shared" si="389"/>
        <v>240</v>
      </c>
      <c r="K845" s="79">
        <f t="shared" si="389"/>
        <v>18</v>
      </c>
      <c r="L845" s="79">
        <f t="shared" si="389"/>
        <v>9</v>
      </c>
      <c r="M845" s="79">
        <f>SUM(J845:L845)</f>
        <v>267</v>
      </c>
      <c r="N845" s="79">
        <f>N833+N838+N843</f>
        <v>18</v>
      </c>
      <c r="O845" s="79">
        <f>SUM(F845:I845)+SUM(M845:N845)</f>
        <v>4360</v>
      </c>
      <c r="P845" s="79">
        <f>P833+P838+P843</f>
        <v>137</v>
      </c>
      <c r="Q845" s="79">
        <f>Q833+Q838+Q843</f>
        <v>16</v>
      </c>
      <c r="R845" s="78">
        <f>P845+Q845</f>
        <v>153</v>
      </c>
      <c r="S845" s="79">
        <f>S833+S838+S843</f>
        <v>0</v>
      </c>
      <c r="U845" s="80">
        <f>O845+R845+S845-C845</f>
        <v>0</v>
      </c>
      <c r="W845" s="81">
        <f t="shared" si="367"/>
        <v>0.96609789999999995</v>
      </c>
      <c r="X845" s="81">
        <f t="shared" si="368"/>
        <v>0.96609789999999995</v>
      </c>
      <c r="Y845" s="81">
        <f t="shared" si="369"/>
        <v>0</v>
      </c>
      <c r="Z845" s="79"/>
      <c r="AF845" s="79"/>
      <c r="AJ845" s="66"/>
      <c r="AK845" s="65"/>
    </row>
    <row r="846" spans="1:37" hidden="1">
      <c r="A846" s="65">
        <f>A845+1</f>
        <v>70</v>
      </c>
      <c r="B846" s="66" t="s">
        <v>229</v>
      </c>
      <c r="C846" s="79">
        <f>C829+C836+C841</f>
        <v>4513</v>
      </c>
      <c r="D846" s="79">
        <f>C846-E846-SUM(G846:I846)-SUM(M846:N846)-R846-S846</f>
        <v>2375</v>
      </c>
      <c r="E846" s="79">
        <f>E829+E836+E841</f>
        <v>61</v>
      </c>
      <c r="F846" s="79">
        <f>D846+E846</f>
        <v>2436</v>
      </c>
      <c r="G846" s="79">
        <f t="shared" ref="G846:L846" si="390">G829+G836+G841</f>
        <v>119</v>
      </c>
      <c r="H846" s="79">
        <f t="shared" si="390"/>
        <v>961</v>
      </c>
      <c r="I846" s="79">
        <f t="shared" si="390"/>
        <v>559</v>
      </c>
      <c r="J846" s="79">
        <f t="shared" si="390"/>
        <v>240</v>
      </c>
      <c r="K846" s="79">
        <f t="shared" si="390"/>
        <v>18</v>
      </c>
      <c r="L846" s="79">
        <f t="shared" si="390"/>
        <v>9</v>
      </c>
      <c r="M846" s="79">
        <f>SUM(J846:L846)</f>
        <v>267</v>
      </c>
      <c r="N846" s="79">
        <f>N829+N836+N841</f>
        <v>18</v>
      </c>
      <c r="O846" s="79">
        <f>SUM(F846:I846)+SUM(M846:N846)</f>
        <v>4360</v>
      </c>
      <c r="P846" s="79">
        <f>P829+P836+P841</f>
        <v>137</v>
      </c>
      <c r="Q846" s="79">
        <f>Q829+Q836+Q841</f>
        <v>16</v>
      </c>
      <c r="R846" s="78">
        <f>P846+Q846</f>
        <v>153</v>
      </c>
      <c r="S846" s="79">
        <f>S829+S836+S841</f>
        <v>0</v>
      </c>
      <c r="U846" s="80">
        <f>O846+R846+S846-C846</f>
        <v>0</v>
      </c>
      <c r="W846" s="81">
        <f t="shared" si="367"/>
        <v>0.96609789999999995</v>
      </c>
      <c r="X846" s="81">
        <f t="shared" si="368"/>
        <v>0.96609789999999995</v>
      </c>
      <c r="Y846" s="81">
        <f t="shared" si="369"/>
        <v>0</v>
      </c>
      <c r="Z846" s="79"/>
      <c r="AF846" s="79"/>
      <c r="AJ846" s="66"/>
      <c r="AK846" s="65"/>
    </row>
    <row r="847" spans="1:37" hidden="1">
      <c r="A847" s="65">
        <f>A846+1</f>
        <v>71</v>
      </c>
      <c r="B847" s="66" t="s">
        <v>230</v>
      </c>
      <c r="C847" s="79">
        <f>C845-C846</f>
        <v>0</v>
      </c>
      <c r="D847" s="79">
        <f>D845-D846</f>
        <v>0</v>
      </c>
      <c r="E847" s="79">
        <f>E845-E846</f>
        <v>0</v>
      </c>
      <c r="F847" s="79">
        <f>D847+E847</f>
        <v>0</v>
      </c>
      <c r="G847" s="79">
        <f t="shared" ref="G847:L847" si="391">G845-G846</f>
        <v>0</v>
      </c>
      <c r="H847" s="79">
        <f t="shared" si="391"/>
        <v>0</v>
      </c>
      <c r="I847" s="79">
        <f t="shared" si="391"/>
        <v>0</v>
      </c>
      <c r="J847" s="79">
        <f t="shared" si="391"/>
        <v>0</v>
      </c>
      <c r="K847" s="79">
        <f t="shared" si="391"/>
        <v>0</v>
      </c>
      <c r="L847" s="79">
        <f t="shared" si="391"/>
        <v>0</v>
      </c>
      <c r="M847" s="79">
        <f>SUM(J847:L847)</f>
        <v>0</v>
      </c>
      <c r="N847" s="79">
        <f>N845-N846</f>
        <v>0</v>
      </c>
      <c r="O847" s="79">
        <f>SUM(F847:I847)+SUM(M847:N847)</f>
        <v>0</v>
      </c>
      <c r="P847" s="79">
        <f>P845-P846</f>
        <v>0</v>
      </c>
      <c r="Q847" s="79">
        <f>Q845-Q846</f>
        <v>0</v>
      </c>
      <c r="R847" s="78">
        <f>P847+Q847</f>
        <v>0</v>
      </c>
      <c r="S847" s="79">
        <f>S845-S846</f>
        <v>0</v>
      </c>
      <c r="U847" s="80">
        <f>O847+R847+S847-C847</f>
        <v>0</v>
      </c>
      <c r="W847" s="81" t="str">
        <f t="shared" si="367"/>
        <v xml:space="preserve"> </v>
      </c>
      <c r="X847" s="81" t="str">
        <f t="shared" si="368"/>
        <v xml:space="preserve"> </v>
      </c>
      <c r="Y847" s="81" t="str">
        <f t="shared" si="369"/>
        <v xml:space="preserve"> </v>
      </c>
      <c r="Z847" s="79"/>
      <c r="AF847" s="79"/>
      <c r="AJ847" s="66"/>
      <c r="AK847" s="65"/>
    </row>
    <row r="848" spans="1:37" hidden="1">
      <c r="A848" s="66"/>
      <c r="U848" s="66"/>
      <c r="V848" s="66"/>
      <c r="W848" s="81" t="str">
        <f t="shared" si="367"/>
        <v xml:space="preserve"> </v>
      </c>
      <c r="X848" s="81" t="str">
        <f t="shared" si="368"/>
        <v xml:space="preserve"> </v>
      </c>
      <c r="Y848" s="81" t="str">
        <f t="shared" si="369"/>
        <v xml:space="preserve"> </v>
      </c>
      <c r="AJ848" s="66"/>
      <c r="AK848" s="65"/>
    </row>
    <row r="849" spans="1:37" hidden="1">
      <c r="A849" s="65">
        <f>A847+1</f>
        <v>72</v>
      </c>
      <c r="B849" s="66" t="s">
        <v>417</v>
      </c>
      <c r="C849" s="79">
        <f>C821+C845</f>
        <v>121016.99999999999</v>
      </c>
      <c r="D849" s="79">
        <f>C849-E849-SUM(G849:I849)-SUM(M849:N849)-R849-S849</f>
        <v>54379.902999999991</v>
      </c>
      <c r="E849" s="79">
        <f>E821+E845</f>
        <v>1669</v>
      </c>
      <c r="F849" s="79">
        <f>D849+E849</f>
        <v>56048.902999999991</v>
      </c>
      <c r="G849" s="79">
        <f t="shared" ref="G849:L850" si="392">G821+G845</f>
        <v>2831</v>
      </c>
      <c r="H849" s="79">
        <f t="shared" si="392"/>
        <v>24254</v>
      </c>
      <c r="I849" s="79">
        <f t="shared" si="392"/>
        <v>15115</v>
      </c>
      <c r="J849" s="79">
        <f t="shared" si="392"/>
        <v>7357</v>
      </c>
      <c r="K849" s="79">
        <f t="shared" si="392"/>
        <v>421</v>
      </c>
      <c r="L849" s="79">
        <f t="shared" si="392"/>
        <v>293</v>
      </c>
      <c r="M849" s="79">
        <f>SUM(J849:L849)</f>
        <v>8071</v>
      </c>
      <c r="N849" s="79">
        <f>N821+N845</f>
        <v>923</v>
      </c>
      <c r="O849" s="79">
        <f>SUM(F849:I849)+SUM(M849:N849)</f>
        <v>107242.90299999999</v>
      </c>
      <c r="P849" s="79">
        <f>P821+P845</f>
        <v>3271</v>
      </c>
      <c r="Q849" s="79">
        <f>Q821+Q845</f>
        <v>374</v>
      </c>
      <c r="R849" s="78">
        <f>P849+Q849</f>
        <v>3645</v>
      </c>
      <c r="S849" s="79">
        <f>S821+S845</f>
        <v>10129.096999999998</v>
      </c>
      <c r="U849" s="80">
        <f>O849+R849+S849-C849</f>
        <v>0</v>
      </c>
      <c r="W849" s="81">
        <f t="shared" si="367"/>
        <v>0.96712900000000002</v>
      </c>
      <c r="X849" s="81">
        <f t="shared" si="368"/>
        <v>0.88618050000000004</v>
      </c>
      <c r="Y849" s="81">
        <f t="shared" si="369"/>
        <v>8.3699800000000005E-2</v>
      </c>
      <c r="Z849" s="79"/>
      <c r="AF849" s="79"/>
      <c r="AJ849" s="66"/>
      <c r="AK849" s="65"/>
    </row>
    <row r="850" spans="1:37" hidden="1">
      <c r="A850" s="65">
        <f>A849+1</f>
        <v>73</v>
      </c>
      <c r="B850" s="66" t="s">
        <v>229</v>
      </c>
      <c r="C850" s="79">
        <f>C822+C846</f>
        <v>63344</v>
      </c>
      <c r="D850" s="79">
        <f>C850-E850-SUM(G850:I850)-SUM(M850:N850)-R850-S850</f>
        <v>31500.001</v>
      </c>
      <c r="E850" s="79">
        <f>E822+E846</f>
        <v>805</v>
      </c>
      <c r="F850" s="79">
        <f>D850+E850</f>
        <v>32305.001</v>
      </c>
      <c r="G850" s="79">
        <f t="shared" si="392"/>
        <v>1576</v>
      </c>
      <c r="H850" s="79">
        <f t="shared" si="392"/>
        <v>12750</v>
      </c>
      <c r="I850" s="79">
        <f t="shared" si="392"/>
        <v>7407</v>
      </c>
      <c r="J850" s="79">
        <f t="shared" si="392"/>
        <v>3184</v>
      </c>
      <c r="K850" s="79">
        <f t="shared" si="392"/>
        <v>232</v>
      </c>
      <c r="L850" s="79">
        <f t="shared" si="392"/>
        <v>132</v>
      </c>
      <c r="M850" s="79">
        <f>SUM(J850:L850)</f>
        <v>3548</v>
      </c>
      <c r="N850" s="79">
        <f>N822+N846</f>
        <v>248</v>
      </c>
      <c r="O850" s="79">
        <f>SUM(F850:I850)+SUM(M850:N850)</f>
        <v>57834.001000000004</v>
      </c>
      <c r="P850" s="79">
        <f>P822+P846</f>
        <v>1814</v>
      </c>
      <c r="Q850" s="79">
        <f>Q822+Q846</f>
        <v>208</v>
      </c>
      <c r="R850" s="78">
        <f>P850+Q850</f>
        <v>2022</v>
      </c>
      <c r="S850" s="79">
        <f>S822+S846</f>
        <v>3487.9990000000003</v>
      </c>
      <c r="U850" s="80">
        <f>O850+R850+S850-C850</f>
        <v>0</v>
      </c>
      <c r="W850" s="81">
        <f t="shared" si="367"/>
        <v>0.96621889999999999</v>
      </c>
      <c r="X850" s="81">
        <f t="shared" si="368"/>
        <v>0.91301469999999996</v>
      </c>
      <c r="Y850" s="81">
        <f t="shared" si="369"/>
        <v>5.5064399999999999E-2</v>
      </c>
      <c r="Z850" s="79"/>
      <c r="AF850" s="79"/>
      <c r="AJ850" s="66"/>
      <c r="AK850" s="65"/>
    </row>
    <row r="851" spans="1:37" hidden="1">
      <c r="A851" s="65">
        <f>A850+1</f>
        <v>74</v>
      </c>
      <c r="B851" s="66" t="s">
        <v>230</v>
      </c>
      <c r="C851" s="79">
        <f>C849-C850</f>
        <v>57672.999999999985</v>
      </c>
      <c r="D851" s="79">
        <f>D849-D850</f>
        <v>22879.901999999991</v>
      </c>
      <c r="E851" s="79">
        <f>E849-E850</f>
        <v>864</v>
      </c>
      <c r="F851" s="79">
        <f>D851+E851</f>
        <v>23743.901999999991</v>
      </c>
      <c r="G851" s="79">
        <f t="shared" ref="G851:L851" si="393">G849-G850</f>
        <v>1255</v>
      </c>
      <c r="H851" s="79">
        <f t="shared" si="393"/>
        <v>11504</v>
      </c>
      <c r="I851" s="79">
        <f t="shared" si="393"/>
        <v>7708</v>
      </c>
      <c r="J851" s="79">
        <f t="shared" si="393"/>
        <v>4173</v>
      </c>
      <c r="K851" s="79">
        <f t="shared" si="393"/>
        <v>189</v>
      </c>
      <c r="L851" s="79">
        <f t="shared" si="393"/>
        <v>161</v>
      </c>
      <c r="M851" s="79">
        <f>SUM(J851:L851)</f>
        <v>4523</v>
      </c>
      <c r="N851" s="79">
        <f>N849-N850</f>
        <v>675</v>
      </c>
      <c r="O851" s="79">
        <f>SUM(F851:I851)+SUM(M851:N851)</f>
        <v>49408.901999999987</v>
      </c>
      <c r="P851" s="79">
        <f>P849-P850</f>
        <v>1457</v>
      </c>
      <c r="Q851" s="79">
        <f>Q849-Q850</f>
        <v>166</v>
      </c>
      <c r="R851" s="78">
        <f>P851+Q851</f>
        <v>1623</v>
      </c>
      <c r="S851" s="79">
        <f>S849-S850</f>
        <v>6641.0979999999981</v>
      </c>
      <c r="U851" s="80">
        <f>O851+R851+S851-C851</f>
        <v>0</v>
      </c>
      <c r="W851" s="81">
        <f t="shared" si="367"/>
        <v>0.96819639999999996</v>
      </c>
      <c r="X851" s="81">
        <f t="shared" si="368"/>
        <v>0.85670769999999996</v>
      </c>
      <c r="Y851" s="81">
        <f t="shared" si="369"/>
        <v>0.1151509</v>
      </c>
      <c r="Z851" s="79"/>
      <c r="AF851" s="79"/>
      <c r="AJ851" s="66"/>
    </row>
    <row r="852" spans="1:37" hidden="1">
      <c r="C852" s="79"/>
      <c r="H852" s="65" t="s">
        <v>80</v>
      </c>
      <c r="I852" s="79"/>
      <c r="J852" s="79"/>
      <c r="K852" s="79"/>
      <c r="L852" s="79"/>
      <c r="M852" s="79"/>
      <c r="Q852" s="65" t="s">
        <v>80</v>
      </c>
      <c r="R852" s="79"/>
      <c r="S852" s="65"/>
      <c r="W852" s="81"/>
      <c r="X852" s="81"/>
      <c r="Y852" s="81"/>
      <c r="Z852" s="65"/>
      <c r="AJ852" s="66"/>
    </row>
    <row r="853" spans="1:37" hidden="1">
      <c r="C853" s="79"/>
      <c r="H853" s="70" t="str">
        <f>$H$24</f>
        <v>12 MONTHS ENDING DECEMBER 31, 2012</v>
      </c>
      <c r="I853" s="79"/>
      <c r="J853" s="79"/>
      <c r="K853" s="79"/>
      <c r="L853" s="79"/>
      <c r="M853" s="79"/>
      <c r="N853" s="79"/>
      <c r="Q853" s="70" t="str">
        <f>$H$24</f>
        <v>12 MONTHS ENDING DECEMBER 31, 2012</v>
      </c>
      <c r="R853" s="79"/>
      <c r="S853" s="79"/>
      <c r="U853" s="80"/>
      <c r="W853" s="81"/>
      <c r="X853" s="81"/>
      <c r="Y853" s="81"/>
      <c r="Z853" s="70"/>
      <c r="AJ853" s="66"/>
      <c r="AK853" s="65"/>
    </row>
    <row r="854" spans="1:37" hidden="1">
      <c r="C854" s="79"/>
      <c r="H854" s="70" t="str">
        <f>$H$25</f>
        <v>12/13 DEMAND ALLOCATION WITH MDS METHODOLOGY</v>
      </c>
      <c r="Q854" s="70" t="str">
        <f>$H$25</f>
        <v>12/13 DEMAND ALLOCATION WITH MDS METHODOLOGY</v>
      </c>
      <c r="R854" s="79"/>
      <c r="S854" s="79"/>
      <c r="W854" s="81"/>
      <c r="X854" s="81"/>
      <c r="Y854" s="81"/>
      <c r="Z854" s="70"/>
      <c r="AJ854" s="66"/>
      <c r="AK854" s="70"/>
    </row>
    <row r="855" spans="1:37" hidden="1">
      <c r="C855" s="79"/>
      <c r="H855" s="87" t="s">
        <v>104</v>
      </c>
      <c r="I855" s="79"/>
      <c r="J855" s="79"/>
      <c r="K855" s="79"/>
      <c r="L855" s="79"/>
      <c r="M855" s="79"/>
      <c r="N855" s="79"/>
      <c r="Q855" s="87" t="s">
        <v>104</v>
      </c>
      <c r="S855" s="79"/>
      <c r="U855" s="80"/>
      <c r="X855" s="81"/>
      <c r="Y855" s="81"/>
      <c r="Z855" s="87"/>
      <c r="AF855" s="79"/>
      <c r="AJ855" s="66"/>
      <c r="AK855" s="70"/>
    </row>
    <row r="856" spans="1:37" hidden="1">
      <c r="B856" s="72"/>
      <c r="C856" s="79"/>
      <c r="H856" s="87" t="s">
        <v>114</v>
      </c>
      <c r="J856" s="79"/>
      <c r="K856" s="79"/>
      <c r="L856" s="79"/>
      <c r="M856" s="79"/>
      <c r="N856" s="79"/>
      <c r="Q856" s="87" t="s">
        <v>114</v>
      </c>
      <c r="S856" s="79"/>
      <c r="U856" s="80"/>
      <c r="X856" s="81"/>
      <c r="Y856" s="81"/>
      <c r="Z856" s="87"/>
      <c r="AF856" s="79"/>
      <c r="AJ856" s="66"/>
      <c r="AK856" s="65"/>
    </row>
    <row r="857" spans="1:37" hidden="1">
      <c r="C857" s="65" t="s">
        <v>59</v>
      </c>
      <c r="K857" s="65"/>
      <c r="L857" s="65"/>
      <c r="M857" s="65"/>
      <c r="O857" s="65" t="s">
        <v>59</v>
      </c>
      <c r="P857" s="65"/>
      <c r="Q857" s="65"/>
      <c r="R857" s="65"/>
      <c r="S857" s="65" t="s">
        <v>115</v>
      </c>
      <c r="W857" s="76" t="s">
        <v>116</v>
      </c>
      <c r="X857" s="76" t="s">
        <v>116</v>
      </c>
      <c r="Y857" s="76" t="s">
        <v>117</v>
      </c>
      <c r="AF857" s="65"/>
      <c r="AJ857" s="66"/>
      <c r="AK857" s="70"/>
    </row>
    <row r="858" spans="1:37" hidden="1">
      <c r="A858" s="65" t="s">
        <v>118</v>
      </c>
      <c r="C858" s="65" t="s">
        <v>58</v>
      </c>
      <c r="D858" s="70" t="s">
        <v>119</v>
      </c>
      <c r="E858" s="70" t="s">
        <v>119</v>
      </c>
      <c r="F858" s="70" t="s">
        <v>119</v>
      </c>
      <c r="G858" s="70" t="s">
        <v>119</v>
      </c>
      <c r="H858" s="70" t="s">
        <v>119</v>
      </c>
      <c r="I858" s="70" t="s">
        <v>119</v>
      </c>
      <c r="J858" s="70" t="s">
        <v>119</v>
      </c>
      <c r="K858" s="70" t="s">
        <v>119</v>
      </c>
      <c r="L858" s="70" t="s">
        <v>119</v>
      </c>
      <c r="M858" s="70" t="s">
        <v>119</v>
      </c>
      <c r="N858" s="70" t="s">
        <v>119</v>
      </c>
      <c r="O858" s="65" t="s">
        <v>116</v>
      </c>
      <c r="P858" s="65"/>
      <c r="Q858" s="70" t="s">
        <v>120</v>
      </c>
      <c r="R858" s="65"/>
      <c r="S858" s="65" t="s">
        <v>121</v>
      </c>
      <c r="W858" s="76" t="s">
        <v>122</v>
      </c>
      <c r="X858" s="76" t="s">
        <v>123</v>
      </c>
      <c r="Y858" s="76" t="s">
        <v>124</v>
      </c>
      <c r="Z858" s="65"/>
      <c r="AF858" s="70"/>
      <c r="AJ858" s="66"/>
      <c r="AK858" s="70"/>
    </row>
    <row r="859" spans="1:37" hidden="1">
      <c r="A859" s="65" t="s">
        <v>125</v>
      </c>
      <c r="B859" s="65" t="s">
        <v>126</v>
      </c>
      <c r="C859" s="65" t="s">
        <v>57</v>
      </c>
      <c r="D859" s="70" t="s">
        <v>127</v>
      </c>
      <c r="E859" s="70" t="s">
        <v>128</v>
      </c>
      <c r="F859" s="70" t="s">
        <v>129</v>
      </c>
      <c r="G859" s="70" t="s">
        <v>130</v>
      </c>
      <c r="H859" s="70" t="s">
        <v>131</v>
      </c>
      <c r="I859" s="65" t="s">
        <v>132</v>
      </c>
      <c r="J859" s="70" t="s">
        <v>133</v>
      </c>
      <c r="K859" s="70" t="s">
        <v>134</v>
      </c>
      <c r="L859" s="70" t="s">
        <v>135</v>
      </c>
      <c r="M859" s="70" t="s">
        <v>136</v>
      </c>
      <c r="N859" s="70" t="s">
        <v>137</v>
      </c>
      <c r="O859" s="65" t="s">
        <v>138</v>
      </c>
      <c r="P859" s="70" t="s">
        <v>139</v>
      </c>
      <c r="Q859" s="70" t="s">
        <v>140</v>
      </c>
      <c r="R859" s="65" t="s">
        <v>122</v>
      </c>
      <c r="S859" s="65" t="s">
        <v>141</v>
      </c>
      <c r="U859" s="65" t="s">
        <v>162</v>
      </c>
      <c r="W859" s="76" t="s">
        <v>142</v>
      </c>
      <c r="X859" s="76" t="s">
        <v>142</v>
      </c>
      <c r="Y859" s="76" t="s">
        <v>142</v>
      </c>
      <c r="Z859" s="65"/>
      <c r="AF859" s="70"/>
      <c r="AJ859" s="66"/>
      <c r="AK859" s="65"/>
    </row>
    <row r="860" spans="1:37" hidden="1">
      <c r="A860" s="65" t="s">
        <v>143</v>
      </c>
      <c r="B860" s="65" t="s">
        <v>144</v>
      </c>
      <c r="C860" s="65" t="s">
        <v>145</v>
      </c>
      <c r="D860" s="70" t="s">
        <v>146</v>
      </c>
      <c r="E860" s="70" t="s">
        <v>147</v>
      </c>
      <c r="F860" s="70" t="s">
        <v>148</v>
      </c>
      <c r="G860" s="65" t="s">
        <v>149</v>
      </c>
      <c r="H860" s="65" t="s">
        <v>150</v>
      </c>
      <c r="I860" s="65" t="s">
        <v>151</v>
      </c>
      <c r="J860" s="70" t="s">
        <v>152</v>
      </c>
      <c r="K860" s="70" t="s">
        <v>153</v>
      </c>
      <c r="L860" s="70" t="s">
        <v>154</v>
      </c>
      <c r="M860" s="70" t="s">
        <v>155</v>
      </c>
      <c r="N860" s="70" t="s">
        <v>156</v>
      </c>
      <c r="O860" s="70" t="s">
        <v>157</v>
      </c>
      <c r="P860" s="70" t="s">
        <v>158</v>
      </c>
      <c r="Q860" s="70" t="s">
        <v>159</v>
      </c>
      <c r="R860" s="70" t="s">
        <v>160</v>
      </c>
      <c r="S860" s="70" t="s">
        <v>161</v>
      </c>
      <c r="W860" s="77" t="s">
        <v>163</v>
      </c>
      <c r="X860" s="77" t="s">
        <v>164</v>
      </c>
      <c r="Y860" s="76" t="s">
        <v>165</v>
      </c>
      <c r="Z860" s="70"/>
      <c r="AF860" s="76"/>
      <c r="AJ860" s="66"/>
    </row>
    <row r="861" spans="1:37" hidden="1">
      <c r="Y861" s="65"/>
      <c r="AJ861" s="66"/>
      <c r="AK861" s="65"/>
    </row>
    <row r="862" spans="1:37" hidden="1">
      <c r="B862" s="65" t="s">
        <v>418</v>
      </c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U862" s="80"/>
      <c r="W862" s="81" t="str">
        <f>IF((P862+Q862)=0," ",ROUND((P862/(P862+Q862)),74))</f>
        <v xml:space="preserve"> </v>
      </c>
      <c r="X862" s="81" t="str">
        <f>IF((C862)=0," ",ROUND((P862/(C862)),74))</f>
        <v xml:space="preserve"> </v>
      </c>
      <c r="Y862" s="81" t="str">
        <f>IF((C862)=0," ",ROUND((R862/(C862)),7))</f>
        <v xml:space="preserve"> </v>
      </c>
      <c r="Z862" s="79"/>
      <c r="AF862" s="79"/>
      <c r="AJ862" s="66"/>
      <c r="AK862" s="65"/>
    </row>
    <row r="863" spans="1:37" hidden="1">
      <c r="B863" s="83" t="s">
        <v>170</v>
      </c>
      <c r="W863" s="81" t="str">
        <f>IF((P863+Q863)=0," ",ROUND((P863/(P863+Q863)),74))</f>
        <v xml:space="preserve"> </v>
      </c>
      <c r="X863" s="81" t="str">
        <f>IF((C863)=0," ",ROUND((P863/(C863)),74))</f>
        <v xml:space="preserve"> </v>
      </c>
      <c r="Y863" s="81" t="str">
        <f>IF((C863)=0," ",ROUND((R863/(C863)),7))</f>
        <v xml:space="preserve"> </v>
      </c>
      <c r="AJ863" s="66"/>
      <c r="AK863" s="65"/>
    </row>
    <row r="864" spans="1:37" hidden="1">
      <c r="W864" s="81" t="str">
        <f>IF((P864+Q864)=0," ",ROUND((P864/(P864+Q864)),74))</f>
        <v xml:space="preserve"> </v>
      </c>
      <c r="X864" s="81" t="str">
        <f>IF((C864)=0," ",ROUND((P864/(C864)),74))</f>
        <v xml:space="preserve"> </v>
      </c>
      <c r="Y864" s="81" t="str">
        <f>IF((C864)=0," ",ROUND((R864/(C864)),7))</f>
        <v xml:space="preserve"> </v>
      </c>
      <c r="AJ864" s="66"/>
      <c r="AK864" s="65"/>
    </row>
    <row r="865" spans="1:37" hidden="1">
      <c r="B865" s="66" t="s">
        <v>419</v>
      </c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U865" s="80"/>
      <c r="W865" s="81" t="str">
        <f>IF((P865+Q865)=0," ",ROUND((P865/(P865+Q865)),74))</f>
        <v xml:space="preserve"> </v>
      </c>
      <c r="X865" s="81" t="str">
        <f>IF((C865)=0," ",ROUND((P865/(C865)),74))</f>
        <v xml:space="preserve"> </v>
      </c>
      <c r="Y865" s="81" t="str">
        <f>IF((C865)=0," ",ROUND((R865/(C865)),7))</f>
        <v xml:space="preserve"> </v>
      </c>
      <c r="Z865" s="79"/>
      <c r="AF865" s="79"/>
      <c r="AJ865" s="66"/>
      <c r="AK865" s="65"/>
    </row>
    <row r="866" spans="1:37" hidden="1">
      <c r="A866" s="65">
        <f>A851+1</f>
        <v>75</v>
      </c>
      <c r="B866" s="66" t="s">
        <v>420</v>
      </c>
      <c r="C866" s="78">
        <f>C2178+L2178</f>
        <v>3545</v>
      </c>
      <c r="D866" s="79">
        <f>C866-E866-SUM(G866:I866)-SUM(M866:N866)-R866-S866</f>
        <v>1865</v>
      </c>
      <c r="E866" s="79">
        <v>48</v>
      </c>
      <c r="F866" s="79">
        <f>D866+E866</f>
        <v>1913</v>
      </c>
      <c r="G866" s="79">
        <v>93</v>
      </c>
      <c r="H866" s="79">
        <v>755</v>
      </c>
      <c r="I866" s="79">
        <v>439</v>
      </c>
      <c r="J866" s="79">
        <v>189</v>
      </c>
      <c r="K866" s="79">
        <v>14</v>
      </c>
      <c r="L866" s="79">
        <v>8</v>
      </c>
      <c r="M866" s="79">
        <f>SUM(J866:L866)</f>
        <v>211</v>
      </c>
      <c r="N866" s="79">
        <v>15</v>
      </c>
      <c r="O866" s="79">
        <f>SUM(F866:I866)+SUM(M866:N866)</f>
        <v>3426</v>
      </c>
      <c r="P866" s="79">
        <v>107</v>
      </c>
      <c r="Q866" s="79">
        <v>12</v>
      </c>
      <c r="R866" s="78">
        <f>P866+Q866</f>
        <v>119</v>
      </c>
      <c r="S866" s="78">
        <f>K2178</f>
        <v>0</v>
      </c>
      <c r="U866" s="80">
        <f t="shared" ref="U866:U880" si="394">O866+R866+S866-C866</f>
        <v>0</v>
      </c>
      <c r="W866" s="81">
        <f t="shared" ref="W866:W908" si="395">IF((O866+R866)=0," ",ROUND((O866/(O866+R866)),7))</f>
        <v>0.96643159999999995</v>
      </c>
      <c r="X866" s="81">
        <f t="shared" ref="X866:X908" si="396">IF((C866)=0," ",ROUND((O866/(C866)),7))</f>
        <v>0.96643159999999995</v>
      </c>
      <c r="Y866" s="81">
        <f t="shared" ref="Y866:Y908" si="397">IF((C866)=0," ",ROUND((S866/(C866)),7))</f>
        <v>0</v>
      </c>
      <c r="Z866" s="79"/>
      <c r="AF866" s="79"/>
      <c r="AJ866" s="66"/>
      <c r="AK866" s="65"/>
    </row>
    <row r="867" spans="1:37" hidden="1">
      <c r="W867" s="81" t="str">
        <f t="shared" si="395"/>
        <v xml:space="preserve"> </v>
      </c>
      <c r="X867" s="81" t="str">
        <f t="shared" si="396"/>
        <v xml:space="preserve"> </v>
      </c>
      <c r="Y867" s="81" t="str">
        <f t="shared" si="397"/>
        <v xml:space="preserve"> </v>
      </c>
      <c r="AJ867" s="66"/>
      <c r="AK867" s="65"/>
    </row>
    <row r="868" spans="1:37" hidden="1">
      <c r="A868" s="65">
        <f>A866+1</f>
        <v>76</v>
      </c>
      <c r="B868" s="66" t="s">
        <v>421</v>
      </c>
      <c r="C868" s="78">
        <f>C2180+L2180</f>
        <v>238</v>
      </c>
      <c r="D868" s="79">
        <f t="shared" ref="D868:D874" si="398">C868-E868-SUM(G868:I868)-SUM(M868:N868)-R868-S868</f>
        <v>127</v>
      </c>
      <c r="E868" s="79">
        <f>ROUND(((E$47+E$56+E$62)/($C$47+$C$56+$C$62-$S47-$S56-$S62))*($C868-$S868),0)</f>
        <v>3</v>
      </c>
      <c r="F868" s="79">
        <f t="shared" ref="F868:F880" si="399">D868+E868</f>
        <v>130</v>
      </c>
      <c r="G868" s="79">
        <f t="shared" ref="G868:L868" si="400">ROUND(((G$47+G$56+G$62)/($C$47+$C$56+$C$62-$S47-$S56-$S62))*($C868-$S868),0)</f>
        <v>6</v>
      </c>
      <c r="H868" s="79">
        <f t="shared" si="400"/>
        <v>51</v>
      </c>
      <c r="I868" s="79">
        <f t="shared" si="400"/>
        <v>29</v>
      </c>
      <c r="J868" s="79">
        <f t="shared" si="400"/>
        <v>12</v>
      </c>
      <c r="K868" s="79">
        <f t="shared" si="400"/>
        <v>1</v>
      </c>
      <c r="L868" s="79">
        <f t="shared" si="400"/>
        <v>1</v>
      </c>
      <c r="M868" s="79">
        <f t="shared" ref="M868:M880" si="401">SUM(J868:L868)</f>
        <v>14</v>
      </c>
      <c r="N868" s="79">
        <f>ROUND(((N$47+N$56+N$62)/($C$47+$C$56+$C$62-$S47-$S56-$S62))*($C868-$S868),0)</f>
        <v>1</v>
      </c>
      <c r="O868" s="79">
        <f t="shared" ref="O868:O880" si="402">SUM(F868:I868)+SUM(M868:N868)</f>
        <v>231</v>
      </c>
      <c r="P868" s="79">
        <f>ROUND(((P$47+P$56+P$62)/($C$47+$C$56+$C$62-$S47-$S56-$S62))*($C868-$S868),0)</f>
        <v>6</v>
      </c>
      <c r="Q868" s="79">
        <f>ROUND(((Q$47+Q$56+Q$62)/($C$47+$C$56+$C$62-$S47-$S56-$S62))*($C868-$S868),0)</f>
        <v>1</v>
      </c>
      <c r="R868" s="78">
        <f t="shared" ref="R868:R874" si="403">P868+Q868</f>
        <v>7</v>
      </c>
      <c r="S868" s="78">
        <f>K2180</f>
        <v>0</v>
      </c>
      <c r="U868" s="80">
        <f t="shared" si="394"/>
        <v>0</v>
      </c>
      <c r="W868" s="81">
        <f t="shared" si="395"/>
        <v>0.97058820000000001</v>
      </c>
      <c r="X868" s="81">
        <f t="shared" si="396"/>
        <v>0.97058820000000001</v>
      </c>
      <c r="Y868" s="81">
        <f t="shared" si="397"/>
        <v>0</v>
      </c>
      <c r="Z868" s="79"/>
      <c r="AF868" s="79"/>
      <c r="AJ868" s="66"/>
      <c r="AK868" s="65"/>
    </row>
    <row r="869" spans="1:37" hidden="1">
      <c r="W869" s="81" t="str">
        <f t="shared" si="395"/>
        <v xml:space="preserve"> </v>
      </c>
      <c r="X869" s="81" t="str">
        <f t="shared" si="396"/>
        <v xml:space="preserve"> </v>
      </c>
      <c r="Y869" s="81" t="str">
        <f t="shared" si="397"/>
        <v xml:space="preserve"> </v>
      </c>
      <c r="AJ869" s="66"/>
      <c r="AK869" s="65"/>
    </row>
    <row r="870" spans="1:37" hidden="1">
      <c r="A870" s="65">
        <f>A868+1</f>
        <v>77</v>
      </c>
      <c r="B870" s="66" t="s">
        <v>422</v>
      </c>
      <c r="C870" s="78">
        <f>C2182+L2182</f>
        <v>297</v>
      </c>
      <c r="D870" s="79">
        <f t="shared" si="398"/>
        <v>154</v>
      </c>
      <c r="E870" s="79">
        <f>ROUND(((E$49+SUM(E$65:E$77))/($C$49+SUM($C$65:$C$77)-$S49-$S65-$S77))*($C870-$S870),0)</f>
        <v>4</v>
      </c>
      <c r="F870" s="79">
        <f t="shared" si="399"/>
        <v>158</v>
      </c>
      <c r="G870" s="79">
        <f>ROUND(((G$49+SUM(G$65:G$77))/($C$49+SUM($C$65:$C$77)-$S49-$S65-$S77))*($C870-$S870),0)</f>
        <v>8</v>
      </c>
      <c r="H870" s="79">
        <f>ROUND(((H$49+SUM(H$65:H$77))/($C$49+SUM($C$65:$C$77)-$S49-$S65-$S77))*($C870-$S870),0)</f>
        <v>63</v>
      </c>
      <c r="I870" s="79">
        <f>ROUND(((I$49+SUM(I$65:I$77))/($C$49+SUM($C$65:$C$77)-$S49-$S65-$S77))*($C870-$S870),0)</f>
        <v>36</v>
      </c>
      <c r="J870" s="79">
        <f>ROUND(((J$49+SUM(J$65:J$77))/($C$49+SUM($C$65:$C$77)-$S49-$S65-$S77))*($C870-$S870),0)</f>
        <v>16</v>
      </c>
      <c r="K870" s="79">
        <f>ROUND(((K$48+SUM(K$65:K$77))/($C$49+SUM($C$65:$C$77)-$S49-$S65-$S77))*($C870-$S870),0)</f>
        <v>1</v>
      </c>
      <c r="L870" s="79">
        <f>ROUND(((L$49+SUM(L$65:L$77))/($C$49+SUM($C$65:$C$77)-$S49-$S65-$S77))*($C870-$S870),0)</f>
        <v>1</v>
      </c>
      <c r="M870" s="79">
        <f t="shared" si="401"/>
        <v>18</v>
      </c>
      <c r="N870" s="79">
        <f>ROUND(((N$49+SUM(N$65:N$77))/($C$49+SUM($C$65:$C$77)-$S49-$S65-$S77))*($C870-$S870),0)</f>
        <v>1</v>
      </c>
      <c r="O870" s="79">
        <f t="shared" si="402"/>
        <v>284</v>
      </c>
      <c r="P870" s="79">
        <f>ROUND(((P$49+SUM(P$65:P$77))/($C$49+SUM($C$65:$C$77)-$S49-$S65-$S77))*($C870-$S870),0)</f>
        <v>9</v>
      </c>
      <c r="Q870" s="79">
        <f>ROUND(((Q$49+SUM(Q$65:Q$77))/($C$49+SUM($C$65:$C$77)-$S49-$S65-$S77))*($C870-$S870),0)</f>
        <v>1</v>
      </c>
      <c r="R870" s="78">
        <f t="shared" si="403"/>
        <v>10</v>
      </c>
      <c r="S870" s="78">
        <f>K2182</f>
        <v>3</v>
      </c>
      <c r="U870" s="80">
        <f t="shared" si="394"/>
        <v>0</v>
      </c>
      <c r="W870" s="81">
        <f t="shared" si="395"/>
        <v>0.96598640000000002</v>
      </c>
      <c r="X870" s="81">
        <f t="shared" si="396"/>
        <v>0.956229</v>
      </c>
      <c r="Y870" s="81">
        <f t="shared" si="397"/>
        <v>1.0101000000000001E-2</v>
      </c>
      <c r="Z870" s="79"/>
      <c r="AF870" s="79"/>
      <c r="AJ870" s="66"/>
      <c r="AK870" s="65"/>
    </row>
    <row r="871" spans="1:37" hidden="1">
      <c r="W871" s="81" t="str">
        <f t="shared" si="395"/>
        <v xml:space="preserve"> </v>
      </c>
      <c r="X871" s="81" t="str">
        <f t="shared" si="396"/>
        <v xml:space="preserve"> </v>
      </c>
      <c r="Y871" s="81" t="str">
        <f t="shared" si="397"/>
        <v xml:space="preserve"> </v>
      </c>
      <c r="AJ871" s="66"/>
      <c r="AK871" s="65"/>
    </row>
    <row r="872" spans="1:37" hidden="1">
      <c r="A872" s="65">
        <f>A870+1</f>
        <v>78</v>
      </c>
      <c r="B872" s="66" t="s">
        <v>423</v>
      </c>
      <c r="C872" s="78">
        <f>C2184+L2184</f>
        <v>0</v>
      </c>
      <c r="D872" s="79">
        <f t="shared" si="398"/>
        <v>0</v>
      </c>
      <c r="E872" s="79">
        <f>ROUND((E$74/($C$74-$S74))*($C872-$S872),0)</f>
        <v>0</v>
      </c>
      <c r="F872" s="79">
        <f t="shared" si="399"/>
        <v>0</v>
      </c>
      <c r="G872" s="79">
        <f t="shared" ref="G872:L872" si="404">ROUND((G$74/($C$74-$S74))*($C872-$S872),0)</f>
        <v>0</v>
      </c>
      <c r="H872" s="79">
        <f t="shared" si="404"/>
        <v>0</v>
      </c>
      <c r="I872" s="79">
        <f t="shared" si="404"/>
        <v>0</v>
      </c>
      <c r="J872" s="79">
        <f t="shared" si="404"/>
        <v>0</v>
      </c>
      <c r="K872" s="79">
        <f t="shared" si="404"/>
        <v>0</v>
      </c>
      <c r="L872" s="79">
        <f t="shared" si="404"/>
        <v>0</v>
      </c>
      <c r="M872" s="79">
        <f t="shared" si="401"/>
        <v>0</v>
      </c>
      <c r="N872" s="79">
        <f>ROUND((N$74/($C$74-$S74))*($C872-$S872),0)</f>
        <v>0</v>
      </c>
      <c r="O872" s="79">
        <f t="shared" si="402"/>
        <v>0</v>
      </c>
      <c r="P872" s="79">
        <f>ROUND((P$74/($C$74-$S74))*($C872-$S872),0)</f>
        <v>0</v>
      </c>
      <c r="Q872" s="79">
        <f>ROUND((Q$74/($C$74-$S74))*($C872-$S872),0)</f>
        <v>0</v>
      </c>
      <c r="R872" s="78">
        <f t="shared" si="403"/>
        <v>0</v>
      </c>
      <c r="S872" s="78">
        <f>K2184</f>
        <v>0</v>
      </c>
      <c r="U872" s="80">
        <f t="shared" si="394"/>
        <v>0</v>
      </c>
      <c r="W872" s="81" t="str">
        <f t="shared" si="395"/>
        <v xml:space="preserve"> </v>
      </c>
      <c r="X872" s="81" t="str">
        <f t="shared" si="396"/>
        <v xml:space="preserve"> </v>
      </c>
      <c r="Y872" s="81" t="str">
        <f t="shared" si="397"/>
        <v xml:space="preserve"> </v>
      </c>
      <c r="Z872" s="79"/>
      <c r="AF872" s="79"/>
      <c r="AJ872" s="66"/>
      <c r="AK872" s="70"/>
    </row>
    <row r="873" spans="1:37" hidden="1">
      <c r="W873" s="81" t="str">
        <f t="shared" si="395"/>
        <v xml:space="preserve"> </v>
      </c>
      <c r="X873" s="81" t="str">
        <f t="shared" si="396"/>
        <v xml:space="preserve"> </v>
      </c>
      <c r="Y873" s="81" t="str">
        <f t="shared" si="397"/>
        <v xml:space="preserve"> </v>
      </c>
      <c r="AJ873" s="66"/>
      <c r="AK873" s="65"/>
    </row>
    <row r="874" spans="1:37" hidden="1">
      <c r="A874" s="65">
        <f>A872+1</f>
        <v>79</v>
      </c>
      <c r="B874" s="66" t="s">
        <v>424</v>
      </c>
      <c r="C874" s="78">
        <f>C2186+L2186</f>
        <v>0</v>
      </c>
      <c r="D874" s="79">
        <f t="shared" si="398"/>
        <v>0</v>
      </c>
      <c r="E874" s="79">
        <v>0</v>
      </c>
      <c r="F874" s="79">
        <f t="shared" si="399"/>
        <v>0</v>
      </c>
      <c r="G874" s="79">
        <v>0</v>
      </c>
      <c r="H874" s="79">
        <v>0</v>
      </c>
      <c r="I874" s="79">
        <v>0</v>
      </c>
      <c r="J874" s="79">
        <v>0</v>
      </c>
      <c r="K874" s="79">
        <v>0</v>
      </c>
      <c r="L874" s="79">
        <v>0</v>
      </c>
      <c r="M874" s="79">
        <f t="shared" si="401"/>
        <v>0</v>
      </c>
      <c r="N874" s="79">
        <v>0</v>
      </c>
      <c r="O874" s="79">
        <f t="shared" si="402"/>
        <v>0</v>
      </c>
      <c r="P874" s="79">
        <v>0</v>
      </c>
      <c r="Q874" s="79">
        <v>0</v>
      </c>
      <c r="R874" s="78">
        <f t="shared" si="403"/>
        <v>0</v>
      </c>
      <c r="S874" s="78">
        <f>K2186</f>
        <v>0</v>
      </c>
      <c r="U874" s="80">
        <f t="shared" si="394"/>
        <v>0</v>
      </c>
      <c r="W874" s="81" t="str">
        <f t="shared" si="395"/>
        <v xml:space="preserve"> </v>
      </c>
      <c r="X874" s="81" t="str">
        <f t="shared" si="396"/>
        <v xml:space="preserve"> </v>
      </c>
      <c r="Y874" s="81" t="str">
        <f t="shared" si="397"/>
        <v xml:space="preserve"> </v>
      </c>
      <c r="Z874" s="79"/>
      <c r="AJ874" s="66"/>
      <c r="AK874" s="70"/>
    </row>
    <row r="875" spans="1:37" hidden="1">
      <c r="W875" s="81" t="str">
        <f t="shared" si="395"/>
        <v xml:space="preserve"> </v>
      </c>
      <c r="X875" s="81" t="str">
        <f t="shared" si="396"/>
        <v xml:space="preserve"> </v>
      </c>
      <c r="Y875" s="81" t="str">
        <f t="shared" si="397"/>
        <v xml:space="preserve"> </v>
      </c>
      <c r="AJ875" s="66"/>
      <c r="AK875" s="65"/>
    </row>
    <row r="876" spans="1:37" hidden="1">
      <c r="A876" s="65">
        <f>A874+1</f>
        <v>80</v>
      </c>
      <c r="B876" s="66" t="s">
        <v>425</v>
      </c>
      <c r="C876" s="79">
        <f>O876+R876+S876</f>
        <v>4080</v>
      </c>
      <c r="D876" s="79">
        <f>SUM(D866:D874)</f>
        <v>2146</v>
      </c>
      <c r="E876" s="79">
        <f>SUM(E866:E874)</f>
        <v>55</v>
      </c>
      <c r="F876" s="79">
        <f t="shared" si="399"/>
        <v>2201</v>
      </c>
      <c r="G876" s="79">
        <f t="shared" ref="G876:L876" si="405">SUM(G866:G874)</f>
        <v>107</v>
      </c>
      <c r="H876" s="79">
        <f t="shared" si="405"/>
        <v>869</v>
      </c>
      <c r="I876" s="79">
        <f t="shared" si="405"/>
        <v>504</v>
      </c>
      <c r="J876" s="79">
        <f t="shared" si="405"/>
        <v>217</v>
      </c>
      <c r="K876" s="79">
        <f t="shared" si="405"/>
        <v>16</v>
      </c>
      <c r="L876" s="79">
        <f t="shared" si="405"/>
        <v>10</v>
      </c>
      <c r="M876" s="79">
        <f t="shared" si="401"/>
        <v>243</v>
      </c>
      <c r="N876" s="79">
        <f>SUM(N866:N874)</f>
        <v>17</v>
      </c>
      <c r="O876" s="79">
        <f t="shared" si="402"/>
        <v>3941</v>
      </c>
      <c r="P876" s="79">
        <f>SUM(P866:P874)</f>
        <v>122</v>
      </c>
      <c r="Q876" s="79">
        <f>SUM(Q866:Q874)</f>
        <v>14</v>
      </c>
      <c r="R876" s="78">
        <f>P876+Q876</f>
        <v>136</v>
      </c>
      <c r="S876" s="79">
        <f>SUM(S866:S874)</f>
        <v>3</v>
      </c>
      <c r="U876" s="80">
        <f t="shared" si="394"/>
        <v>0</v>
      </c>
      <c r="W876" s="81">
        <f t="shared" si="395"/>
        <v>0.96664209999999995</v>
      </c>
      <c r="X876" s="81">
        <f t="shared" si="396"/>
        <v>0.9659314</v>
      </c>
      <c r="Y876" s="81">
        <f t="shared" si="397"/>
        <v>7.3530000000000004E-4</v>
      </c>
      <c r="Z876" s="79"/>
      <c r="AF876" s="79"/>
      <c r="AJ876" s="66"/>
      <c r="AK876" s="70"/>
    </row>
    <row r="877" spans="1:37" hidden="1">
      <c r="W877" s="81" t="str">
        <f t="shared" si="395"/>
        <v xml:space="preserve"> </v>
      </c>
      <c r="X877" s="81" t="str">
        <f t="shared" si="396"/>
        <v xml:space="preserve"> </v>
      </c>
      <c r="Y877" s="81" t="str">
        <f t="shared" si="397"/>
        <v xml:space="preserve"> </v>
      </c>
      <c r="AJ877" s="66"/>
      <c r="AK877" s="65"/>
    </row>
    <row r="878" spans="1:37" hidden="1">
      <c r="A878" s="65">
        <f>A876+1</f>
        <v>81</v>
      </c>
      <c r="B878" s="66" t="s">
        <v>426</v>
      </c>
      <c r="C878" s="78">
        <f>C2190+L2190</f>
        <v>1170</v>
      </c>
      <c r="D878" s="79">
        <f>C878-E878-SUM(G878:I878)-SUM(M878:N878)-R878-S878</f>
        <v>615</v>
      </c>
      <c r="E878" s="79">
        <f>ROUND(E$876/($C$876-$S876)*($C878-$S878),0)</f>
        <v>16</v>
      </c>
      <c r="F878" s="79">
        <f t="shared" si="399"/>
        <v>631</v>
      </c>
      <c r="G878" s="79">
        <f t="shared" ref="G878:L878" si="406">ROUND(G$876/($C$876-$S876)*($C878-$S878),0)</f>
        <v>31</v>
      </c>
      <c r="H878" s="79">
        <f t="shared" si="406"/>
        <v>249</v>
      </c>
      <c r="I878" s="79">
        <f t="shared" si="406"/>
        <v>145</v>
      </c>
      <c r="J878" s="79">
        <f t="shared" si="406"/>
        <v>62</v>
      </c>
      <c r="K878" s="79">
        <f t="shared" si="406"/>
        <v>5</v>
      </c>
      <c r="L878" s="79">
        <f t="shared" si="406"/>
        <v>3</v>
      </c>
      <c r="M878" s="79">
        <f t="shared" si="401"/>
        <v>70</v>
      </c>
      <c r="N878" s="79">
        <f>ROUND(N$876/($C$876-$S876)*($C878-$S878),0)</f>
        <v>5</v>
      </c>
      <c r="O878" s="79">
        <f t="shared" si="402"/>
        <v>1131</v>
      </c>
      <c r="P878" s="79">
        <f>ROUND(P$876/($C$876-$S876)*($C878-$S878),0)</f>
        <v>35</v>
      </c>
      <c r="Q878" s="79">
        <f>ROUND(Q$876/($C$876-$S876)*($C878-$S878),0)</f>
        <v>4</v>
      </c>
      <c r="R878" s="78">
        <f>P878+Q878</f>
        <v>39</v>
      </c>
      <c r="S878" s="78">
        <f>K2190</f>
        <v>0</v>
      </c>
      <c r="U878" s="80">
        <f t="shared" si="394"/>
        <v>0</v>
      </c>
      <c r="W878" s="81">
        <f t="shared" si="395"/>
        <v>0.96666669999999999</v>
      </c>
      <c r="X878" s="81">
        <f t="shared" si="396"/>
        <v>0.96666669999999999</v>
      </c>
      <c r="Y878" s="81">
        <f t="shared" si="397"/>
        <v>0</v>
      </c>
      <c r="Z878" s="79"/>
      <c r="AF878" s="79"/>
      <c r="AJ878" s="66"/>
      <c r="AK878" s="70"/>
    </row>
    <row r="879" spans="1:37" hidden="1">
      <c r="W879" s="81" t="str">
        <f t="shared" si="395"/>
        <v xml:space="preserve"> </v>
      </c>
      <c r="X879" s="81" t="str">
        <f t="shared" si="396"/>
        <v xml:space="preserve"> </v>
      </c>
      <c r="Y879" s="81" t="str">
        <f t="shared" si="397"/>
        <v xml:space="preserve"> </v>
      </c>
      <c r="AJ879" s="66"/>
      <c r="AK879" s="65"/>
    </row>
    <row r="880" spans="1:37" hidden="1">
      <c r="A880" s="65">
        <f>A878+1</f>
        <v>82</v>
      </c>
      <c r="B880" s="66" t="s">
        <v>427</v>
      </c>
      <c r="C880" s="78">
        <f>C2192+L2192</f>
        <v>814</v>
      </c>
      <c r="D880" s="79">
        <f>C880-E880-SUM(G880:I880)-SUM(M880:N880)-R880-S880</f>
        <v>429</v>
      </c>
      <c r="E880" s="79">
        <f>ROUND(E$876/($C$876-$S876)*($C880-$S880),0)</f>
        <v>11</v>
      </c>
      <c r="F880" s="79">
        <f t="shared" si="399"/>
        <v>440</v>
      </c>
      <c r="G880" s="79">
        <f t="shared" ref="G880:L880" si="407">ROUND(G$876/($C$876-$S876)*($C880-$S880),0)</f>
        <v>21</v>
      </c>
      <c r="H880" s="79">
        <f t="shared" si="407"/>
        <v>174</v>
      </c>
      <c r="I880" s="79">
        <f t="shared" si="407"/>
        <v>101</v>
      </c>
      <c r="J880" s="79">
        <f t="shared" si="407"/>
        <v>43</v>
      </c>
      <c r="K880" s="79">
        <f t="shared" si="407"/>
        <v>3</v>
      </c>
      <c r="L880" s="79">
        <f t="shared" si="407"/>
        <v>2</v>
      </c>
      <c r="M880" s="79">
        <f t="shared" si="401"/>
        <v>48</v>
      </c>
      <c r="N880" s="79">
        <f>ROUND(N$876/($C$876-$S876)*($C880-$S880),0)</f>
        <v>3</v>
      </c>
      <c r="O880" s="79">
        <f t="shared" si="402"/>
        <v>787</v>
      </c>
      <c r="P880" s="79">
        <f>ROUND(P$876/($C$876-$S876)*($C880-$S880),0)</f>
        <v>24</v>
      </c>
      <c r="Q880" s="79">
        <f>ROUND(Q$876/($C$876-$S876)*($C880-$S880),0)</f>
        <v>3</v>
      </c>
      <c r="R880" s="78">
        <f>P880+Q880</f>
        <v>27</v>
      </c>
      <c r="S880" s="78">
        <f>K2192</f>
        <v>0</v>
      </c>
      <c r="U880" s="80">
        <f t="shared" si="394"/>
        <v>0</v>
      </c>
      <c r="W880" s="81">
        <f t="shared" si="395"/>
        <v>0.96683050000000004</v>
      </c>
      <c r="X880" s="81">
        <f t="shared" si="396"/>
        <v>0.96683050000000004</v>
      </c>
      <c r="Y880" s="81">
        <f t="shared" si="397"/>
        <v>0</v>
      </c>
      <c r="Z880" s="79"/>
      <c r="AF880" s="79"/>
      <c r="AJ880" s="66"/>
    </row>
    <row r="881" spans="1:37" hidden="1">
      <c r="W881" s="81" t="str">
        <f t="shared" si="395"/>
        <v xml:space="preserve"> </v>
      </c>
      <c r="X881" s="81" t="str">
        <f t="shared" si="396"/>
        <v xml:space="preserve"> </v>
      </c>
      <c r="Y881" s="81" t="str">
        <f t="shared" si="397"/>
        <v xml:space="preserve"> </v>
      </c>
      <c r="AJ881" s="66"/>
    </row>
    <row r="882" spans="1:37" hidden="1">
      <c r="A882" s="65">
        <f>A880+1</f>
        <v>83</v>
      </c>
      <c r="B882" s="66" t="s">
        <v>428</v>
      </c>
      <c r="C882" s="78">
        <f>C2194+L2194</f>
        <v>164</v>
      </c>
      <c r="D882" s="79">
        <f>C882-E882-SUM(G882:I882)-SUM(M882:N882)-R882-S882</f>
        <v>86</v>
      </c>
      <c r="E882" s="79">
        <f>ROUND(E$876/($C$876-$S876)*($C882-$S882),0)</f>
        <v>2</v>
      </c>
      <c r="F882" s="79">
        <f>D882+E882</f>
        <v>88</v>
      </c>
      <c r="G882" s="79">
        <f t="shared" ref="G882:L882" si="408">ROUND(G$876/($C$876-$S876)*($C882-$S882),0)</f>
        <v>4</v>
      </c>
      <c r="H882" s="79">
        <f t="shared" si="408"/>
        <v>35</v>
      </c>
      <c r="I882" s="79">
        <f t="shared" si="408"/>
        <v>20</v>
      </c>
      <c r="J882" s="79">
        <f t="shared" si="408"/>
        <v>9</v>
      </c>
      <c r="K882" s="79">
        <f t="shared" si="408"/>
        <v>1</v>
      </c>
      <c r="L882" s="79">
        <f t="shared" si="408"/>
        <v>0</v>
      </c>
      <c r="M882" s="79">
        <f>SUM(J882:L882)</f>
        <v>10</v>
      </c>
      <c r="N882" s="79">
        <f>ROUND(N$876/($C$876-$S876)*($C882-$S882),0)</f>
        <v>1</v>
      </c>
      <c r="O882" s="79">
        <f t="shared" ref="O882:O901" si="409">SUM(F882:I882)+SUM(M882:N882)</f>
        <v>158</v>
      </c>
      <c r="P882" s="79">
        <f>ROUND(P$876/($C$876-$S876)*($C882-$S882),0)</f>
        <v>5</v>
      </c>
      <c r="Q882" s="79">
        <f>ROUND(Q$876/($C$876-$S876)*($C882-$S882),0)</f>
        <v>1</v>
      </c>
      <c r="R882" s="78">
        <f>P882+Q882</f>
        <v>6</v>
      </c>
      <c r="S882" s="78">
        <f>K2194</f>
        <v>0</v>
      </c>
      <c r="U882" s="80">
        <f>O882+R882+S882-C882</f>
        <v>0</v>
      </c>
      <c r="W882" s="81">
        <f t="shared" si="395"/>
        <v>0.96341460000000001</v>
      </c>
      <c r="X882" s="81">
        <f t="shared" si="396"/>
        <v>0.96341460000000001</v>
      </c>
      <c r="Y882" s="81">
        <f t="shared" si="397"/>
        <v>0</v>
      </c>
      <c r="Z882" s="79"/>
      <c r="AF882" s="79"/>
      <c r="AJ882" s="66"/>
      <c r="AK882" s="65"/>
    </row>
    <row r="883" spans="1:37" hidden="1">
      <c r="W883" s="81" t="str">
        <f t="shared" si="395"/>
        <v xml:space="preserve"> </v>
      </c>
      <c r="X883" s="81" t="str">
        <f t="shared" si="396"/>
        <v xml:space="preserve"> </v>
      </c>
      <c r="Y883" s="81" t="str">
        <f t="shared" si="397"/>
        <v xml:space="preserve"> </v>
      </c>
      <c r="AJ883" s="66"/>
      <c r="AK883" s="65"/>
    </row>
    <row r="884" spans="1:37" hidden="1">
      <c r="A884" s="65">
        <f>A882+1</f>
        <v>84</v>
      </c>
      <c r="B884" s="66" t="s">
        <v>429</v>
      </c>
      <c r="C884" s="79">
        <f>O884+R884+S884</f>
        <v>6228</v>
      </c>
      <c r="D884" s="79">
        <f>SUM(D876:D880)+D882</f>
        <v>3276</v>
      </c>
      <c r="E884" s="79">
        <f>SUM(E876:E880)+E882</f>
        <v>84</v>
      </c>
      <c r="F884" s="79">
        <f>D884+E884</f>
        <v>3360</v>
      </c>
      <c r="G884" s="79">
        <f t="shared" ref="G884:L884" si="410">SUM(G876:G880)+G882</f>
        <v>163</v>
      </c>
      <c r="H884" s="79">
        <f t="shared" si="410"/>
        <v>1327</v>
      </c>
      <c r="I884" s="79">
        <f t="shared" si="410"/>
        <v>770</v>
      </c>
      <c r="J884" s="79">
        <f t="shared" si="410"/>
        <v>331</v>
      </c>
      <c r="K884" s="79">
        <f t="shared" si="410"/>
        <v>25</v>
      </c>
      <c r="L884" s="79">
        <f t="shared" si="410"/>
        <v>15</v>
      </c>
      <c r="M884" s="79">
        <f>SUM(J884:L884)</f>
        <v>371</v>
      </c>
      <c r="N884" s="79">
        <f>SUM(N876:N880)+N882</f>
        <v>26</v>
      </c>
      <c r="O884" s="79">
        <f t="shared" si="409"/>
        <v>6017</v>
      </c>
      <c r="P884" s="79">
        <f>SUM(P876:P880)+P882</f>
        <v>186</v>
      </c>
      <c r="Q884" s="79">
        <f>SUM(Q876:Q880)+Q882</f>
        <v>22</v>
      </c>
      <c r="R884" s="78">
        <f>P884+Q884</f>
        <v>208</v>
      </c>
      <c r="S884" s="79">
        <f>SUM(S876:S880)+S882</f>
        <v>3</v>
      </c>
      <c r="U884" s="80">
        <f>O884+R884+S884-C884</f>
        <v>0</v>
      </c>
      <c r="W884" s="81">
        <f t="shared" si="395"/>
        <v>0.96658630000000001</v>
      </c>
      <c r="X884" s="81">
        <f t="shared" si="396"/>
        <v>0.96612070000000005</v>
      </c>
      <c r="Y884" s="81">
        <f t="shared" si="397"/>
        <v>4.817E-4</v>
      </c>
      <c r="Z884" s="79"/>
      <c r="AF884" s="79"/>
      <c r="AJ884" s="66"/>
      <c r="AK884" s="70"/>
    </row>
    <row r="885" spans="1:37" hidden="1"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U885" s="80"/>
      <c r="W885" s="81" t="str">
        <f t="shared" si="395"/>
        <v xml:space="preserve"> </v>
      </c>
      <c r="X885" s="81" t="str">
        <f t="shared" si="396"/>
        <v xml:space="preserve"> </v>
      </c>
      <c r="Y885" s="81" t="str">
        <f t="shared" si="397"/>
        <v xml:space="preserve"> </v>
      </c>
      <c r="Z885" s="79"/>
      <c r="AF885" s="79"/>
      <c r="AJ885" s="66"/>
      <c r="AK885" s="65"/>
    </row>
    <row r="886" spans="1:37" hidden="1">
      <c r="B886" s="66" t="s">
        <v>430</v>
      </c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U886" s="80"/>
      <c r="W886" s="81" t="str">
        <f t="shared" si="395"/>
        <v xml:space="preserve"> </v>
      </c>
      <c r="X886" s="81" t="str">
        <f t="shared" si="396"/>
        <v xml:space="preserve"> </v>
      </c>
      <c r="Y886" s="81" t="str">
        <f t="shared" si="397"/>
        <v xml:space="preserve"> </v>
      </c>
      <c r="Z886" s="79"/>
      <c r="AF886" s="79"/>
      <c r="AJ886" s="66"/>
      <c r="AK886" s="70"/>
    </row>
    <row r="887" spans="1:37" hidden="1">
      <c r="A887" s="65">
        <f>A884+1</f>
        <v>85</v>
      </c>
      <c r="B887" s="66" t="s">
        <v>431</v>
      </c>
      <c r="C887" s="78">
        <f>C2198+L2198</f>
        <v>706</v>
      </c>
      <c r="D887" s="79">
        <f>C887-E887-SUM(G887:I887)-SUM(M887:N887)-R887-S887</f>
        <v>371</v>
      </c>
      <c r="E887" s="79">
        <f>ROUND((E$56+E$65+E$68)/($C$56+$C$65+$C$68-$S56-$S65-$S68)*($C887-$S887),0)</f>
        <v>10</v>
      </c>
      <c r="F887" s="79">
        <f>D887+E887</f>
        <v>381</v>
      </c>
      <c r="G887" s="79">
        <f t="shared" ref="G887:L887" si="411">ROUND((G$56+G$65+G$68)/($C$56+$C$65+$C$68-$S56-$S65-$S68)*($C887-$S887),0)</f>
        <v>19</v>
      </c>
      <c r="H887" s="79">
        <f t="shared" si="411"/>
        <v>150</v>
      </c>
      <c r="I887" s="79">
        <f t="shared" si="411"/>
        <v>87</v>
      </c>
      <c r="J887" s="79">
        <f t="shared" si="411"/>
        <v>38</v>
      </c>
      <c r="K887" s="79">
        <f t="shared" si="411"/>
        <v>3</v>
      </c>
      <c r="L887" s="79">
        <f t="shared" si="411"/>
        <v>2</v>
      </c>
      <c r="M887" s="79">
        <f>SUM(J887:L887)</f>
        <v>43</v>
      </c>
      <c r="N887" s="79">
        <f>ROUND((N$56+N$65+N$68)/($C$56+$C$65+$C$68-$S56-$S65-$S68)*($C887-$S887),0)</f>
        <v>3</v>
      </c>
      <c r="O887" s="79">
        <f t="shared" si="409"/>
        <v>683</v>
      </c>
      <c r="P887" s="79">
        <f>ROUND((P$56+P$65+P$68)/($C$56+$C$65+$C$68-$S56-$S65-$S68)*($C887-$S887),0)</f>
        <v>21</v>
      </c>
      <c r="Q887" s="79">
        <f>ROUND((Q$56+Q$65+Q$68)/($C$56+$C$65+$C$68-$S56-$S65-$S68)*($C887-$S887),0)</f>
        <v>2</v>
      </c>
      <c r="R887" s="78">
        <f t="shared" ref="R887:R893" si="412">P887+Q887</f>
        <v>23</v>
      </c>
      <c r="S887" s="78">
        <f>K2198</f>
        <v>0</v>
      </c>
      <c r="U887" s="80">
        <f t="shared" ref="U887:U901" si="413">O887+R887+S887-C887</f>
        <v>0</v>
      </c>
      <c r="W887" s="81">
        <f t="shared" si="395"/>
        <v>0.96742209999999995</v>
      </c>
      <c r="X887" s="81">
        <f t="shared" si="396"/>
        <v>0.96742209999999995</v>
      </c>
      <c r="Y887" s="81">
        <f t="shared" si="397"/>
        <v>0</v>
      </c>
      <c r="Z887" s="79"/>
      <c r="AF887" s="79"/>
      <c r="AJ887" s="66"/>
      <c r="AK887" s="65"/>
    </row>
    <row r="888" spans="1:37" hidden="1">
      <c r="W888" s="81" t="str">
        <f t="shared" si="395"/>
        <v xml:space="preserve"> </v>
      </c>
      <c r="X888" s="81" t="str">
        <f t="shared" si="396"/>
        <v xml:space="preserve"> </v>
      </c>
      <c r="Y888" s="81" t="str">
        <f t="shared" si="397"/>
        <v xml:space="preserve"> </v>
      </c>
      <c r="AJ888" s="66"/>
    </row>
    <row r="889" spans="1:37" hidden="1">
      <c r="A889" s="65">
        <f>A887+1</f>
        <v>86</v>
      </c>
      <c r="B889" s="66" t="s">
        <v>432</v>
      </c>
      <c r="C889" s="78">
        <f>C2200+L2200</f>
        <v>900</v>
      </c>
      <c r="D889" s="79">
        <f>C889-E889-SUM(G889:I889)-SUM(M889:N889)-R889-S889</f>
        <v>479</v>
      </c>
      <c r="E889" s="79">
        <f>ROUND(+E$62/($C$62-$S62)*($C889-$S889),0)</f>
        <v>12</v>
      </c>
      <c r="F889" s="79">
        <f>D889+E889</f>
        <v>491</v>
      </c>
      <c r="G889" s="79">
        <f t="shared" ref="G889:L889" si="414">ROUND(+G$62/($C$62-$S62)*($C889-$S889),0)</f>
        <v>24</v>
      </c>
      <c r="H889" s="79">
        <f t="shared" si="414"/>
        <v>195</v>
      </c>
      <c r="I889" s="79">
        <f t="shared" si="414"/>
        <v>108</v>
      </c>
      <c r="J889" s="79">
        <f t="shared" si="414"/>
        <v>46</v>
      </c>
      <c r="K889" s="79">
        <f t="shared" si="414"/>
        <v>4</v>
      </c>
      <c r="L889" s="79">
        <f t="shared" si="414"/>
        <v>2</v>
      </c>
      <c r="M889" s="79">
        <f>SUM(J889:L889)</f>
        <v>52</v>
      </c>
      <c r="N889" s="79">
        <f>ROUND(+N$62/($C$62-$S62)*($C889-$S889),0)</f>
        <v>4</v>
      </c>
      <c r="O889" s="79">
        <f t="shared" si="409"/>
        <v>874</v>
      </c>
      <c r="P889" s="79">
        <f>ROUND(+P$62/($C$62-$S62)*($C889-$S889),0)</f>
        <v>23</v>
      </c>
      <c r="Q889" s="79">
        <f>ROUND(+Q$62/($C$62-$S62)*($C889-$S889),0)</f>
        <v>3</v>
      </c>
      <c r="R889" s="78">
        <f t="shared" si="412"/>
        <v>26</v>
      </c>
      <c r="S889" s="78">
        <f>K2200</f>
        <v>0</v>
      </c>
      <c r="U889" s="80">
        <f t="shared" si="413"/>
        <v>0</v>
      </c>
      <c r="W889" s="81">
        <f t="shared" si="395"/>
        <v>0.9711111</v>
      </c>
      <c r="X889" s="81">
        <f t="shared" si="396"/>
        <v>0.9711111</v>
      </c>
      <c r="Y889" s="81">
        <f t="shared" si="397"/>
        <v>0</v>
      </c>
      <c r="Z889" s="79"/>
      <c r="AF889" s="79"/>
      <c r="AJ889" s="66"/>
    </row>
    <row r="890" spans="1:37" hidden="1">
      <c r="W890" s="81" t="str">
        <f t="shared" si="395"/>
        <v xml:space="preserve"> </v>
      </c>
      <c r="X890" s="81" t="str">
        <f t="shared" si="396"/>
        <v xml:space="preserve"> </v>
      </c>
      <c r="Y890" s="81" t="str">
        <f t="shared" si="397"/>
        <v xml:space="preserve"> </v>
      </c>
      <c r="AJ890" s="66"/>
    </row>
    <row r="891" spans="1:37" hidden="1">
      <c r="A891" s="65">
        <f>A889+1</f>
        <v>87</v>
      </c>
      <c r="B891" s="66" t="s">
        <v>433</v>
      </c>
      <c r="C891" s="78">
        <f>C2202+L2202</f>
        <v>2575</v>
      </c>
      <c r="D891" s="79">
        <f>C891-E891-SUM(G891:I891)-SUM(M891:N891)-R891-S891</f>
        <v>1355</v>
      </c>
      <c r="E891" s="79">
        <f>ROUND(((E$49+SUM(E$65:E$77))/($C$49+SUM($C$65:$C$77)-$S49-$S65-$S77))*($C891-$S891),0)</f>
        <v>35</v>
      </c>
      <c r="F891" s="79">
        <f>D891+E891</f>
        <v>1390</v>
      </c>
      <c r="G891" s="79">
        <f>ROUND(((G$49+SUM(G$65:G$77))/($C$49+SUM($C$65:$C$77)-$S49-$S65-$S77))*($C891-$S891),0)</f>
        <v>68</v>
      </c>
      <c r="H891" s="79">
        <f>ROUND(((H$49+SUM(H$65:H$77))/($C$49+SUM($C$65:$C$77)-$S49-$S65-$S77))*($C891-$S891),0)</f>
        <v>548</v>
      </c>
      <c r="I891" s="79">
        <f>ROUND(((I$49+SUM(I$65:I$77))/($C$49+SUM($C$65:$C$77)-$S49-$S65-$S77))*($C891-$S891),0)</f>
        <v>319</v>
      </c>
      <c r="J891" s="79">
        <f>ROUND(((J$49+SUM(J$65:J$77))/($C$49+SUM($C$65:$C$77)-$S49-$S65-$S77))*($C891-$S891),0)</f>
        <v>137</v>
      </c>
      <c r="K891" s="79">
        <f>ROUND(((K$48+SUM(K$65:K$77))/($C$49+SUM($C$65:$C$77)-$S49-$S65-$S77))*($C891-$S891),0)</f>
        <v>9</v>
      </c>
      <c r="L891" s="79">
        <f>ROUND(((L$49+SUM(L$65:L$77))/($C$49+SUM($C$65:$C$77)-$S49-$S65-$S77))*($C891-$S891),0)</f>
        <v>6</v>
      </c>
      <c r="M891" s="79">
        <f>SUM(J891:L891)</f>
        <v>152</v>
      </c>
      <c r="N891" s="79">
        <f>ROUND(((N$49+SUM(N$65:N$77))/($C$49+SUM($C$65:$C$77)-$S49-$S65-$S77))*($C891-$S891),0)</f>
        <v>11</v>
      </c>
      <c r="O891" s="79">
        <f t="shared" si="409"/>
        <v>2488</v>
      </c>
      <c r="P891" s="79">
        <f>ROUND(((P$49+SUM(P$65:P$77))/($C$49+SUM($C$65:$C$77)-$S49-$S65-$S77))*($C891-$S891),0)</f>
        <v>78</v>
      </c>
      <c r="Q891" s="79">
        <f>ROUND(((Q$49+SUM(Q$65:Q$77))/($C$49+SUM($C$65:$C$77)-$S49-$S65-$S77))*($C891-$S891),0)</f>
        <v>9</v>
      </c>
      <c r="R891" s="78">
        <f t="shared" si="412"/>
        <v>87</v>
      </c>
      <c r="S891" s="78">
        <f>K2202</f>
        <v>0</v>
      </c>
      <c r="U891" s="80">
        <f t="shared" si="413"/>
        <v>0</v>
      </c>
      <c r="W891" s="81">
        <f t="shared" si="395"/>
        <v>0.96621360000000001</v>
      </c>
      <c r="X891" s="81">
        <f t="shared" si="396"/>
        <v>0.96621360000000001</v>
      </c>
      <c r="Y891" s="81">
        <f t="shared" si="397"/>
        <v>0</v>
      </c>
      <c r="Z891" s="79"/>
      <c r="AF891" s="79"/>
      <c r="AJ891" s="66"/>
      <c r="AK891" s="65"/>
    </row>
    <row r="892" spans="1:37" hidden="1">
      <c r="W892" s="81" t="str">
        <f t="shared" si="395"/>
        <v xml:space="preserve"> </v>
      </c>
      <c r="X892" s="81" t="str">
        <f t="shared" si="396"/>
        <v xml:space="preserve"> </v>
      </c>
      <c r="Y892" s="81" t="str">
        <f t="shared" si="397"/>
        <v xml:space="preserve"> </v>
      </c>
      <c r="AJ892" s="66"/>
      <c r="AK892" s="65"/>
    </row>
    <row r="893" spans="1:37" hidden="1">
      <c r="A893" s="65">
        <f>A891+1</f>
        <v>88</v>
      </c>
      <c r="B893" s="66" t="s">
        <v>425</v>
      </c>
      <c r="C893" s="79">
        <f>O893+R893+S893</f>
        <v>4181</v>
      </c>
      <c r="D893" s="79">
        <f>SUM(D887:D891)</f>
        <v>2205</v>
      </c>
      <c r="E893" s="79">
        <f>SUM(E887:E891)</f>
        <v>57</v>
      </c>
      <c r="F893" s="79">
        <f>D893+E893</f>
        <v>2262</v>
      </c>
      <c r="G893" s="79">
        <f t="shared" ref="G893:L893" si="415">SUM(G887:G891)</f>
        <v>111</v>
      </c>
      <c r="H893" s="79">
        <f t="shared" si="415"/>
        <v>893</v>
      </c>
      <c r="I893" s="79">
        <f t="shared" si="415"/>
        <v>514</v>
      </c>
      <c r="J893" s="79">
        <f t="shared" si="415"/>
        <v>221</v>
      </c>
      <c r="K893" s="79">
        <f t="shared" si="415"/>
        <v>16</v>
      </c>
      <c r="L893" s="79">
        <f t="shared" si="415"/>
        <v>10</v>
      </c>
      <c r="M893" s="79">
        <f>SUM(J893:L893)</f>
        <v>247</v>
      </c>
      <c r="N893" s="79">
        <f>SUM(N887:N891)</f>
        <v>18</v>
      </c>
      <c r="O893" s="79">
        <f t="shared" si="409"/>
        <v>4045</v>
      </c>
      <c r="P893" s="79">
        <f>SUM(P887:P891)</f>
        <v>122</v>
      </c>
      <c r="Q893" s="79">
        <f>SUM(Q887:Q891)</f>
        <v>14</v>
      </c>
      <c r="R893" s="78">
        <f t="shared" si="412"/>
        <v>136</v>
      </c>
      <c r="S893" s="79">
        <f>SUM(S887:S891)</f>
        <v>0</v>
      </c>
      <c r="U893" s="80">
        <f t="shared" si="413"/>
        <v>0</v>
      </c>
      <c r="W893" s="81">
        <f t="shared" si="395"/>
        <v>0.96747190000000005</v>
      </c>
      <c r="X893" s="81">
        <f t="shared" si="396"/>
        <v>0.96747190000000005</v>
      </c>
      <c r="Y893" s="81">
        <f t="shared" si="397"/>
        <v>0</v>
      </c>
      <c r="Z893" s="79"/>
      <c r="AF893" s="79"/>
      <c r="AJ893" s="66"/>
      <c r="AK893" s="65"/>
    </row>
    <row r="894" spans="1:37" hidden="1">
      <c r="W894" s="81" t="str">
        <f t="shared" si="395"/>
        <v xml:space="preserve"> </v>
      </c>
      <c r="X894" s="81" t="str">
        <f t="shared" si="396"/>
        <v xml:space="preserve"> </v>
      </c>
      <c r="Y894" s="81" t="str">
        <f t="shared" si="397"/>
        <v xml:space="preserve"> </v>
      </c>
      <c r="AJ894" s="66"/>
      <c r="AK894" s="65"/>
    </row>
    <row r="895" spans="1:37" hidden="1">
      <c r="A895" s="65">
        <f>A893+1</f>
        <v>89</v>
      </c>
      <c r="B895" s="66" t="s">
        <v>434</v>
      </c>
      <c r="C895" s="78">
        <f>C2206+L2206</f>
        <v>1058</v>
      </c>
      <c r="D895" s="79">
        <f>C895-E895-SUM(G895:I895)-SUM(M895:N895)-R895-S895</f>
        <v>557</v>
      </c>
      <c r="E895" s="79">
        <f>ROUND(E$893/($C$893-$S893)*($C895-$S895),0)</f>
        <v>14</v>
      </c>
      <c r="F895" s="79">
        <f>D895+E895</f>
        <v>571</v>
      </c>
      <c r="G895" s="79">
        <f t="shared" ref="G895:L895" si="416">ROUND(G$893/($C$893-$S893)*($C895-$S895),0)</f>
        <v>28</v>
      </c>
      <c r="H895" s="79">
        <f t="shared" si="416"/>
        <v>226</v>
      </c>
      <c r="I895" s="79">
        <f t="shared" si="416"/>
        <v>130</v>
      </c>
      <c r="J895" s="79">
        <f t="shared" si="416"/>
        <v>56</v>
      </c>
      <c r="K895" s="79">
        <f t="shared" si="416"/>
        <v>4</v>
      </c>
      <c r="L895" s="79">
        <f t="shared" si="416"/>
        <v>3</v>
      </c>
      <c r="M895" s="79">
        <f>SUM(J895:L895)</f>
        <v>63</v>
      </c>
      <c r="N895" s="79">
        <f>ROUND(N$893/($C$893-$S893)*($C895-$S895),0)</f>
        <v>5</v>
      </c>
      <c r="O895" s="79">
        <f t="shared" si="409"/>
        <v>1023</v>
      </c>
      <c r="P895" s="79">
        <f>ROUND(P$893/($C$893-$S893)*($C895-$S895),0)</f>
        <v>31</v>
      </c>
      <c r="Q895" s="79">
        <f>ROUND(Q$893/($C$893-$S893)*($C895-$S895),0)</f>
        <v>4</v>
      </c>
      <c r="R895" s="78">
        <f>P895+Q895</f>
        <v>35</v>
      </c>
      <c r="S895" s="78">
        <f>K2206</f>
        <v>0</v>
      </c>
      <c r="U895" s="80">
        <f t="shared" si="413"/>
        <v>0</v>
      </c>
      <c r="W895" s="81">
        <f t="shared" si="395"/>
        <v>0.96691870000000002</v>
      </c>
      <c r="X895" s="81">
        <f t="shared" si="396"/>
        <v>0.96691870000000002</v>
      </c>
      <c r="Y895" s="81">
        <f t="shared" si="397"/>
        <v>0</v>
      </c>
      <c r="Z895" s="79"/>
      <c r="AF895" s="79"/>
      <c r="AJ895" s="66"/>
      <c r="AK895" s="65"/>
    </row>
    <row r="896" spans="1:37" hidden="1">
      <c r="W896" s="81" t="str">
        <f t="shared" si="395"/>
        <v xml:space="preserve"> </v>
      </c>
      <c r="X896" s="81" t="str">
        <f t="shared" si="396"/>
        <v xml:space="preserve"> </v>
      </c>
      <c r="Y896" s="81" t="str">
        <f t="shared" si="397"/>
        <v xml:space="preserve"> </v>
      </c>
      <c r="AJ896" s="66"/>
      <c r="AK896" s="65"/>
    </row>
    <row r="897" spans="1:37" hidden="1">
      <c r="A897" s="65">
        <f>A895+1</f>
        <v>90</v>
      </c>
      <c r="B897" s="66" t="s">
        <v>435</v>
      </c>
      <c r="C897" s="78">
        <f>C2208+L2208</f>
        <v>145</v>
      </c>
      <c r="D897" s="79">
        <f>C897-E897-SUM(G897:I897)-SUM(M897:N897)-R897-S897</f>
        <v>76</v>
      </c>
      <c r="E897" s="79">
        <f>ROUND(E$893/($C$893-$S893)*($C897-$S897),0)</f>
        <v>2</v>
      </c>
      <c r="F897" s="79">
        <f>D897+E897</f>
        <v>78</v>
      </c>
      <c r="G897" s="79">
        <f t="shared" ref="G897:L897" si="417">ROUND(G$893/($C$893-$S893)*($C897-$S897),0)</f>
        <v>4</v>
      </c>
      <c r="H897" s="79">
        <f t="shared" si="417"/>
        <v>31</v>
      </c>
      <c r="I897" s="79">
        <f t="shared" si="417"/>
        <v>18</v>
      </c>
      <c r="J897" s="79">
        <f t="shared" si="417"/>
        <v>8</v>
      </c>
      <c r="K897" s="79">
        <f t="shared" si="417"/>
        <v>1</v>
      </c>
      <c r="L897" s="79">
        <f t="shared" si="417"/>
        <v>0</v>
      </c>
      <c r="M897" s="79">
        <f>SUM(J897:L897)</f>
        <v>9</v>
      </c>
      <c r="N897" s="79">
        <f>ROUND(N$893/($C$893-$S893)*($C897-$S897),0)</f>
        <v>1</v>
      </c>
      <c r="O897" s="79">
        <f t="shared" si="409"/>
        <v>141</v>
      </c>
      <c r="P897" s="79">
        <f>ROUND(P$893/($C$893-$S893)*($C897-$S897),0)</f>
        <v>4</v>
      </c>
      <c r="Q897" s="79">
        <f>ROUND(Q$893/($C$893-$S893)*($C897-$S897),0)</f>
        <v>0</v>
      </c>
      <c r="R897" s="78">
        <f>P897+Q897</f>
        <v>4</v>
      </c>
      <c r="S897" s="78">
        <f>K2208</f>
        <v>0</v>
      </c>
      <c r="U897" s="80">
        <f t="shared" si="413"/>
        <v>0</v>
      </c>
      <c r="W897" s="81">
        <f t="shared" si="395"/>
        <v>0.97241379999999999</v>
      </c>
      <c r="X897" s="81">
        <f t="shared" si="396"/>
        <v>0.97241379999999999</v>
      </c>
      <c r="Y897" s="81">
        <f t="shared" si="397"/>
        <v>0</v>
      </c>
      <c r="Z897" s="79"/>
      <c r="AF897" s="79"/>
      <c r="AJ897" s="66"/>
      <c r="AK897" s="65"/>
    </row>
    <row r="898" spans="1:37" hidden="1">
      <c r="W898" s="81" t="str">
        <f t="shared" si="395"/>
        <v xml:space="preserve"> </v>
      </c>
      <c r="X898" s="81" t="str">
        <f t="shared" si="396"/>
        <v xml:space="preserve"> </v>
      </c>
      <c r="Y898" s="81" t="str">
        <f t="shared" si="397"/>
        <v xml:space="preserve"> </v>
      </c>
      <c r="AJ898" s="66"/>
      <c r="AK898" s="65"/>
    </row>
    <row r="899" spans="1:37" hidden="1">
      <c r="A899" s="65">
        <f>A897+1</f>
        <v>91</v>
      </c>
      <c r="B899" s="66" t="s">
        <v>436</v>
      </c>
      <c r="C899" s="79">
        <f>O899+R899+S899</f>
        <v>5384</v>
      </c>
      <c r="D899" s="79">
        <f t="shared" ref="D899:I899" si="418">+D893+SUM(D895:D897)</f>
        <v>2838</v>
      </c>
      <c r="E899" s="79">
        <f>+E893+SUM(E895:E897)</f>
        <v>73</v>
      </c>
      <c r="F899" s="79">
        <f>D899+E899</f>
        <v>2911</v>
      </c>
      <c r="G899" s="79">
        <f t="shared" si="418"/>
        <v>143</v>
      </c>
      <c r="H899" s="79">
        <f t="shared" si="418"/>
        <v>1150</v>
      </c>
      <c r="I899" s="79">
        <f t="shared" si="418"/>
        <v>662</v>
      </c>
      <c r="J899" s="79">
        <f>+J893+SUM(J895:J897)</f>
        <v>285</v>
      </c>
      <c r="K899" s="79">
        <f>+K893+SUM(K895:K897)</f>
        <v>21</v>
      </c>
      <c r="L899" s="79">
        <f>+L893+SUM(L895:L897)</f>
        <v>13</v>
      </c>
      <c r="M899" s="79">
        <f>SUM(J899:L899)</f>
        <v>319</v>
      </c>
      <c r="N899" s="79">
        <f>+N893+SUM(N895:N897)</f>
        <v>24</v>
      </c>
      <c r="O899" s="79">
        <f t="shared" si="409"/>
        <v>5209</v>
      </c>
      <c r="P899" s="79">
        <f>+P893+SUM(P895:P897)</f>
        <v>157</v>
      </c>
      <c r="Q899" s="79">
        <f>+Q893+SUM(Q895:Q897)</f>
        <v>18</v>
      </c>
      <c r="R899" s="78">
        <f>P899+Q899</f>
        <v>175</v>
      </c>
      <c r="S899" s="79">
        <f>+S893+SUM(S895:S897)</f>
        <v>0</v>
      </c>
      <c r="U899" s="80">
        <f t="shared" si="413"/>
        <v>0</v>
      </c>
      <c r="W899" s="81">
        <f t="shared" si="395"/>
        <v>0.96749629999999998</v>
      </c>
      <c r="X899" s="81">
        <f t="shared" si="396"/>
        <v>0.96749629999999998</v>
      </c>
      <c r="Y899" s="81">
        <f t="shared" si="397"/>
        <v>0</v>
      </c>
      <c r="Z899" s="79"/>
      <c r="AF899" s="79"/>
      <c r="AJ899" s="66"/>
      <c r="AK899" s="65"/>
    </row>
    <row r="900" spans="1:37" hidden="1">
      <c r="C900" s="79"/>
      <c r="D900" s="79"/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U900" s="80"/>
      <c r="W900" s="81" t="str">
        <f t="shared" si="395"/>
        <v xml:space="preserve"> </v>
      </c>
      <c r="X900" s="81" t="str">
        <f t="shared" si="396"/>
        <v xml:space="preserve"> </v>
      </c>
      <c r="Y900" s="81" t="str">
        <f t="shared" si="397"/>
        <v xml:space="preserve"> </v>
      </c>
      <c r="Z900" s="79"/>
      <c r="AF900" s="79"/>
      <c r="AJ900" s="66"/>
      <c r="AK900" s="65"/>
    </row>
    <row r="901" spans="1:37" hidden="1">
      <c r="A901" s="65">
        <f>A899+1</f>
        <v>92</v>
      </c>
      <c r="B901" s="66" t="s">
        <v>437</v>
      </c>
      <c r="C901" s="79">
        <f>O901+R901+S901</f>
        <v>11612</v>
      </c>
      <c r="D901" s="79">
        <f t="shared" ref="D901:I901" si="419">D884+D899</f>
        <v>6114</v>
      </c>
      <c r="E901" s="79">
        <f>E884+E899</f>
        <v>157</v>
      </c>
      <c r="F901" s="79">
        <f>D901+E901</f>
        <v>6271</v>
      </c>
      <c r="G901" s="79">
        <f t="shared" si="419"/>
        <v>306</v>
      </c>
      <c r="H901" s="79">
        <f t="shared" si="419"/>
        <v>2477</v>
      </c>
      <c r="I901" s="79">
        <f t="shared" si="419"/>
        <v>1432</v>
      </c>
      <c r="J901" s="79">
        <f>J884+J899</f>
        <v>616</v>
      </c>
      <c r="K901" s="79">
        <f>K884+K899</f>
        <v>46</v>
      </c>
      <c r="L901" s="79">
        <f>L884+L899</f>
        <v>28</v>
      </c>
      <c r="M901" s="79">
        <f>SUM(J901:L901)</f>
        <v>690</v>
      </c>
      <c r="N901" s="79">
        <f>N884+N899</f>
        <v>50</v>
      </c>
      <c r="O901" s="79">
        <f t="shared" si="409"/>
        <v>11226</v>
      </c>
      <c r="P901" s="79">
        <f>P884+P899</f>
        <v>343</v>
      </c>
      <c r="Q901" s="79">
        <f>Q884+Q899</f>
        <v>40</v>
      </c>
      <c r="R901" s="78">
        <f>P901+Q901</f>
        <v>383</v>
      </c>
      <c r="S901" s="79">
        <f>S884+S899</f>
        <v>3</v>
      </c>
      <c r="U901" s="80">
        <f t="shared" si="413"/>
        <v>0</v>
      </c>
      <c r="W901" s="81">
        <f t="shared" si="395"/>
        <v>0.96700839999999999</v>
      </c>
      <c r="X901" s="81">
        <f t="shared" si="396"/>
        <v>0.96675849999999997</v>
      </c>
      <c r="Y901" s="81">
        <f t="shared" si="397"/>
        <v>2.5839999999999999E-4</v>
      </c>
      <c r="Z901" s="79"/>
      <c r="AF901" s="79"/>
      <c r="AJ901" s="66"/>
      <c r="AK901" s="70"/>
    </row>
    <row r="902" spans="1:37" hidden="1">
      <c r="A902" s="66"/>
      <c r="U902" s="66"/>
      <c r="V902" s="66"/>
      <c r="W902" s="81" t="str">
        <f t="shared" si="395"/>
        <v xml:space="preserve"> </v>
      </c>
      <c r="X902" s="81" t="str">
        <f t="shared" si="396"/>
        <v xml:space="preserve"> </v>
      </c>
      <c r="Y902" s="81" t="str">
        <f t="shared" si="397"/>
        <v xml:space="preserve"> </v>
      </c>
      <c r="AJ902" s="66"/>
    </row>
    <row r="903" spans="1:37" hidden="1">
      <c r="B903" s="65" t="s">
        <v>438</v>
      </c>
      <c r="C903" s="79"/>
      <c r="D903" s="79"/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U903" s="80"/>
      <c r="W903" s="81" t="str">
        <f t="shared" si="395"/>
        <v xml:space="preserve"> </v>
      </c>
      <c r="X903" s="81" t="str">
        <f t="shared" si="396"/>
        <v xml:space="preserve"> </v>
      </c>
      <c r="Y903" s="81" t="str">
        <f t="shared" si="397"/>
        <v xml:space="preserve"> </v>
      </c>
      <c r="Z903" s="79"/>
      <c r="AJ903" s="66"/>
      <c r="AK903" s="70"/>
    </row>
    <row r="904" spans="1:37" hidden="1">
      <c r="B904" s="83" t="s">
        <v>170</v>
      </c>
      <c r="C904" s="79"/>
      <c r="D904" s="79"/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U904" s="80"/>
      <c r="W904" s="81" t="str">
        <f t="shared" si="395"/>
        <v xml:space="preserve"> </v>
      </c>
      <c r="X904" s="81" t="str">
        <f t="shared" si="396"/>
        <v xml:space="preserve"> </v>
      </c>
      <c r="Y904" s="81" t="str">
        <f t="shared" si="397"/>
        <v xml:space="preserve"> </v>
      </c>
      <c r="Z904" s="79"/>
      <c r="AJ904" s="66"/>
      <c r="AK904" s="65"/>
    </row>
    <row r="905" spans="1:37" hidden="1">
      <c r="B905" s="66" t="s">
        <v>439</v>
      </c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U905" s="80"/>
      <c r="W905" s="81" t="str">
        <f t="shared" si="395"/>
        <v xml:space="preserve"> </v>
      </c>
      <c r="X905" s="81" t="str">
        <f t="shared" si="396"/>
        <v xml:space="preserve"> </v>
      </c>
      <c r="Y905" s="81" t="str">
        <f t="shared" si="397"/>
        <v xml:space="preserve"> </v>
      </c>
      <c r="Z905" s="79"/>
      <c r="AJ905" s="66"/>
      <c r="AK905" s="65"/>
    </row>
    <row r="906" spans="1:37" hidden="1">
      <c r="A906" s="65">
        <f>A901+1</f>
        <v>93</v>
      </c>
      <c r="B906" s="66" t="s">
        <v>440</v>
      </c>
      <c r="C906" s="78">
        <v>819</v>
      </c>
      <c r="D906" s="79">
        <f>C906-E906-SUM(G906:I906)-SUM(M906:N906)-R906-S906</f>
        <v>472</v>
      </c>
      <c r="E906" s="79">
        <v>12</v>
      </c>
      <c r="F906" s="79">
        <f>D906+E906</f>
        <v>484</v>
      </c>
      <c r="G906" s="79">
        <v>24</v>
      </c>
      <c r="H906" s="79">
        <v>191</v>
      </c>
      <c r="I906" s="79">
        <v>78</v>
      </c>
      <c r="J906" s="79">
        <v>33</v>
      </c>
      <c r="K906" s="79">
        <v>3</v>
      </c>
      <c r="L906" s="79">
        <v>2</v>
      </c>
      <c r="M906" s="79">
        <f>SUM(J906:L906)</f>
        <v>38</v>
      </c>
      <c r="N906" s="79">
        <v>4</v>
      </c>
      <c r="O906" s="79">
        <f>SUM(F906:I906)+SUM(M906:N906)</f>
        <v>819</v>
      </c>
      <c r="P906" s="79">
        <v>0</v>
      </c>
      <c r="Q906" s="79">
        <v>0</v>
      </c>
      <c r="R906" s="78">
        <f>P906+Q906</f>
        <v>0</v>
      </c>
      <c r="S906" s="79">
        <v>0</v>
      </c>
      <c r="U906" s="80">
        <f>O906+R906+S906-C906</f>
        <v>0</v>
      </c>
      <c r="W906" s="81">
        <f t="shared" si="395"/>
        <v>1</v>
      </c>
      <c r="X906" s="81">
        <f t="shared" si="396"/>
        <v>1</v>
      </c>
      <c r="Y906" s="81">
        <f t="shared" si="397"/>
        <v>0</v>
      </c>
      <c r="Z906" s="79"/>
      <c r="AJ906" s="66"/>
      <c r="AK906" s="65"/>
    </row>
    <row r="907" spans="1:37" hidden="1">
      <c r="D907" s="79"/>
      <c r="F907" s="79"/>
      <c r="W907" s="81" t="str">
        <f t="shared" si="395"/>
        <v xml:space="preserve"> </v>
      </c>
      <c r="X907" s="81" t="str">
        <f t="shared" si="396"/>
        <v xml:space="preserve"> </v>
      </c>
      <c r="Y907" s="81" t="str">
        <f t="shared" si="397"/>
        <v xml:space="preserve"> </v>
      </c>
      <c r="AJ907" s="66"/>
      <c r="AK907" s="70"/>
    </row>
    <row r="908" spans="1:37" hidden="1">
      <c r="A908" s="65">
        <f>A906+1</f>
        <v>94</v>
      </c>
      <c r="B908" s="66" t="s">
        <v>441</v>
      </c>
      <c r="C908" s="78">
        <v>455</v>
      </c>
      <c r="D908" s="79">
        <f>C908-E908-SUM(G908:I908)-SUM(M908:N908)-R908-S908</f>
        <v>239</v>
      </c>
      <c r="E908" s="79">
        <f>ROUND((E$96+E$102+E$108)/($C$96+$C$102+$C$108-$S96-$S102-$S108)*($C908-$S908),0)</f>
        <v>6</v>
      </c>
      <c r="F908" s="79">
        <f>D908+E908</f>
        <v>245</v>
      </c>
      <c r="G908" s="79">
        <f t="shared" ref="G908:L908" si="420">ROUND((G$96+G$102+G$108)/($C$96+$C$102+$C$108-$S96-$S102-$S108)*($C908-$S908),0)</f>
        <v>12</v>
      </c>
      <c r="H908" s="79">
        <f t="shared" si="420"/>
        <v>97</v>
      </c>
      <c r="I908" s="79">
        <f t="shared" si="420"/>
        <v>51</v>
      </c>
      <c r="J908" s="79">
        <f t="shared" si="420"/>
        <v>34</v>
      </c>
      <c r="K908" s="79">
        <f t="shared" si="420"/>
        <v>2</v>
      </c>
      <c r="L908" s="79">
        <f t="shared" si="420"/>
        <v>1</v>
      </c>
      <c r="M908" s="79">
        <f>SUM(J908:L908)</f>
        <v>37</v>
      </c>
      <c r="N908" s="79">
        <f>ROUND((N$96+N$102+N$108)/($C$96+$C$102+$C$108-$S96-$S102-$S108)*($C908-$S908),0)</f>
        <v>2</v>
      </c>
      <c r="O908" s="79">
        <f>SUM(F908:I908)+SUM(M908:N908)</f>
        <v>444</v>
      </c>
      <c r="P908" s="79">
        <f>ROUND((P$96+P$102+P$108)/($C$96+$C$102+$C$108-$S96-$S102-$S108)*($C908-$S908),0)</f>
        <v>10</v>
      </c>
      <c r="Q908" s="79">
        <f>ROUND((Q$96+Q$102+Q$108)/($C$96+$C$102+$C$108-$S96-$S102-$S108)*($C908-$S908),0)</f>
        <v>1</v>
      </c>
      <c r="R908" s="78">
        <f>P908+Q908</f>
        <v>11</v>
      </c>
      <c r="S908" s="79">
        <v>0</v>
      </c>
      <c r="U908" s="80">
        <f>O908+R908+S908-C908</f>
        <v>0</v>
      </c>
      <c r="W908" s="81">
        <f t="shared" si="395"/>
        <v>0.97582420000000003</v>
      </c>
      <c r="X908" s="81">
        <f t="shared" si="396"/>
        <v>0.97582420000000003</v>
      </c>
      <c r="Y908" s="81">
        <f t="shared" si="397"/>
        <v>0</v>
      </c>
      <c r="Z908" s="79"/>
      <c r="AJ908" s="66"/>
      <c r="AK908" s="65"/>
    </row>
    <row r="909" spans="1:37" hidden="1">
      <c r="B909" s="72"/>
      <c r="C909" s="79"/>
      <c r="H909" s="65" t="s">
        <v>80</v>
      </c>
      <c r="I909" s="79"/>
      <c r="J909" s="79"/>
      <c r="K909" s="79"/>
      <c r="L909" s="79"/>
      <c r="M909" s="79"/>
      <c r="Q909" s="65" t="s">
        <v>80</v>
      </c>
      <c r="R909" s="79"/>
      <c r="S909" s="65"/>
      <c r="W909" s="81"/>
      <c r="X909" s="81"/>
      <c r="Y909" s="81"/>
      <c r="Z909" s="65"/>
      <c r="AJ909" s="66"/>
      <c r="AK909" s="70"/>
    </row>
    <row r="910" spans="1:37" hidden="1">
      <c r="C910" s="79"/>
      <c r="H910" s="70" t="str">
        <f>$H$24</f>
        <v>12 MONTHS ENDING DECEMBER 31, 2012</v>
      </c>
      <c r="I910" s="79"/>
      <c r="J910" s="79"/>
      <c r="K910" s="79"/>
      <c r="L910" s="79"/>
      <c r="M910" s="79"/>
      <c r="Q910" s="70" t="str">
        <f>$H$24</f>
        <v>12 MONTHS ENDING DECEMBER 31, 2012</v>
      </c>
      <c r="R910" s="79"/>
      <c r="S910" s="79"/>
      <c r="U910" s="80"/>
      <c r="W910" s="81"/>
      <c r="X910" s="81"/>
      <c r="Y910" s="81"/>
      <c r="Z910" s="70"/>
      <c r="AJ910" s="66"/>
      <c r="AK910" s="65"/>
    </row>
    <row r="911" spans="1:37" hidden="1">
      <c r="C911" s="79"/>
      <c r="H911" s="70" t="str">
        <f>$H$25</f>
        <v>12/13 DEMAND ALLOCATION WITH MDS METHODOLOGY</v>
      </c>
      <c r="Q911" s="70" t="str">
        <f>$H$25</f>
        <v>12/13 DEMAND ALLOCATION WITH MDS METHODOLOGY</v>
      </c>
      <c r="S911" s="79"/>
      <c r="X911" s="81"/>
      <c r="Y911" s="81"/>
      <c r="Z911" s="70"/>
      <c r="AJ911" s="66"/>
      <c r="AK911" s="70"/>
    </row>
    <row r="912" spans="1:37" hidden="1">
      <c r="C912" s="79"/>
      <c r="H912" s="87" t="s">
        <v>104</v>
      </c>
      <c r="I912" s="79"/>
      <c r="J912" s="79"/>
      <c r="K912" s="79"/>
      <c r="L912" s="79"/>
      <c r="M912" s="79"/>
      <c r="N912" s="79"/>
      <c r="Q912" s="87" t="s">
        <v>104</v>
      </c>
      <c r="S912" s="79"/>
      <c r="U912" s="80"/>
      <c r="X912" s="81"/>
      <c r="Y912" s="81"/>
      <c r="Z912" s="87"/>
      <c r="AJ912" s="66"/>
      <c r="AK912" s="65"/>
    </row>
    <row r="913" spans="1:37" hidden="1">
      <c r="C913" s="79"/>
      <c r="H913" s="87" t="s">
        <v>114</v>
      </c>
      <c r="J913" s="79"/>
      <c r="K913" s="79"/>
      <c r="L913" s="79"/>
      <c r="M913" s="79"/>
      <c r="N913" s="79"/>
      <c r="Q913" s="87" t="s">
        <v>114</v>
      </c>
      <c r="S913" s="79"/>
      <c r="U913" s="80"/>
      <c r="X913" s="81"/>
      <c r="Y913" s="81"/>
      <c r="Z913" s="87"/>
      <c r="AJ913" s="66"/>
      <c r="AK913" s="65"/>
    </row>
    <row r="914" spans="1:37" hidden="1">
      <c r="C914" s="65" t="s">
        <v>59</v>
      </c>
      <c r="K914" s="65"/>
      <c r="L914" s="65"/>
      <c r="M914" s="65"/>
      <c r="O914" s="65" t="s">
        <v>59</v>
      </c>
      <c r="P914" s="65"/>
      <c r="Q914" s="65"/>
      <c r="R914" s="65"/>
      <c r="S914" s="65" t="s">
        <v>115</v>
      </c>
      <c r="W914" s="76" t="s">
        <v>116</v>
      </c>
      <c r="X914" s="76" t="s">
        <v>116</v>
      </c>
      <c r="Y914" s="76" t="s">
        <v>117</v>
      </c>
      <c r="AJ914" s="66"/>
    </row>
    <row r="915" spans="1:37" hidden="1">
      <c r="A915" s="65" t="s">
        <v>118</v>
      </c>
      <c r="C915" s="65" t="s">
        <v>58</v>
      </c>
      <c r="D915" s="70" t="s">
        <v>119</v>
      </c>
      <c r="E915" s="70" t="s">
        <v>119</v>
      </c>
      <c r="F915" s="70" t="s">
        <v>119</v>
      </c>
      <c r="G915" s="70" t="s">
        <v>119</v>
      </c>
      <c r="H915" s="70" t="s">
        <v>119</v>
      </c>
      <c r="I915" s="70" t="s">
        <v>119</v>
      </c>
      <c r="J915" s="70" t="s">
        <v>119</v>
      </c>
      <c r="K915" s="70" t="s">
        <v>119</v>
      </c>
      <c r="L915" s="70" t="s">
        <v>119</v>
      </c>
      <c r="M915" s="70" t="s">
        <v>119</v>
      </c>
      <c r="N915" s="70" t="s">
        <v>119</v>
      </c>
      <c r="O915" s="65" t="s">
        <v>116</v>
      </c>
      <c r="P915" s="65"/>
      <c r="Q915" s="70" t="s">
        <v>120</v>
      </c>
      <c r="R915" s="65"/>
      <c r="S915" s="65" t="s">
        <v>121</v>
      </c>
      <c r="W915" s="76" t="s">
        <v>122</v>
      </c>
      <c r="X915" s="76" t="s">
        <v>123</v>
      </c>
      <c r="Y915" s="76" t="s">
        <v>124</v>
      </c>
      <c r="Z915" s="65"/>
      <c r="AJ915" s="66"/>
      <c r="AK915" s="65"/>
    </row>
    <row r="916" spans="1:37" hidden="1">
      <c r="A916" s="65" t="s">
        <v>125</v>
      </c>
      <c r="B916" s="65" t="s">
        <v>126</v>
      </c>
      <c r="C916" s="65" t="s">
        <v>57</v>
      </c>
      <c r="D916" s="70" t="s">
        <v>127</v>
      </c>
      <c r="E916" s="70" t="s">
        <v>128</v>
      </c>
      <c r="F916" s="70" t="s">
        <v>129</v>
      </c>
      <c r="G916" s="70" t="s">
        <v>130</v>
      </c>
      <c r="H916" s="70" t="s">
        <v>131</v>
      </c>
      <c r="I916" s="65" t="s">
        <v>132</v>
      </c>
      <c r="J916" s="70" t="s">
        <v>133</v>
      </c>
      <c r="K916" s="70" t="s">
        <v>134</v>
      </c>
      <c r="L916" s="70" t="s">
        <v>135</v>
      </c>
      <c r="M916" s="70" t="s">
        <v>136</v>
      </c>
      <c r="N916" s="70" t="s">
        <v>137</v>
      </c>
      <c r="O916" s="65" t="s">
        <v>138</v>
      </c>
      <c r="P916" s="70" t="s">
        <v>139</v>
      </c>
      <c r="Q916" s="70" t="s">
        <v>140</v>
      </c>
      <c r="R916" s="65" t="s">
        <v>122</v>
      </c>
      <c r="S916" s="65" t="s">
        <v>141</v>
      </c>
      <c r="U916" s="65" t="s">
        <v>162</v>
      </c>
      <c r="W916" s="76" t="s">
        <v>142</v>
      </c>
      <c r="X916" s="76" t="s">
        <v>142</v>
      </c>
      <c r="Y916" s="76" t="s">
        <v>142</v>
      </c>
      <c r="Z916" s="65"/>
      <c r="AJ916" s="66"/>
      <c r="AK916" s="65"/>
    </row>
    <row r="917" spans="1:37" hidden="1">
      <c r="A917" s="65" t="s">
        <v>143</v>
      </c>
      <c r="B917" s="65" t="s">
        <v>144</v>
      </c>
      <c r="C917" s="65" t="s">
        <v>145</v>
      </c>
      <c r="D917" s="70" t="s">
        <v>146</v>
      </c>
      <c r="E917" s="70" t="s">
        <v>147</v>
      </c>
      <c r="F917" s="70" t="s">
        <v>148</v>
      </c>
      <c r="G917" s="65" t="s">
        <v>149</v>
      </c>
      <c r="H917" s="65" t="s">
        <v>150</v>
      </c>
      <c r="I917" s="65" t="s">
        <v>151</v>
      </c>
      <c r="J917" s="70" t="s">
        <v>152</v>
      </c>
      <c r="K917" s="70" t="s">
        <v>153</v>
      </c>
      <c r="L917" s="70" t="s">
        <v>154</v>
      </c>
      <c r="M917" s="70" t="s">
        <v>155</v>
      </c>
      <c r="N917" s="70" t="s">
        <v>156</v>
      </c>
      <c r="O917" s="70" t="s">
        <v>157</v>
      </c>
      <c r="P917" s="70" t="s">
        <v>158</v>
      </c>
      <c r="Q917" s="70" t="s">
        <v>159</v>
      </c>
      <c r="R917" s="70" t="s">
        <v>160</v>
      </c>
      <c r="S917" s="70" t="s">
        <v>161</v>
      </c>
      <c r="W917" s="77" t="s">
        <v>163</v>
      </c>
      <c r="X917" s="77" t="s">
        <v>164</v>
      </c>
      <c r="Y917" s="76" t="s">
        <v>165</v>
      </c>
      <c r="Z917" s="70"/>
      <c r="AJ917" s="66"/>
      <c r="AK917" s="65"/>
    </row>
    <row r="918" spans="1:37" hidden="1">
      <c r="Y918" s="65"/>
      <c r="AJ918" s="66"/>
      <c r="AK918" s="65"/>
    </row>
    <row r="919" spans="1:37" hidden="1">
      <c r="B919" s="66" t="s">
        <v>442</v>
      </c>
      <c r="C919" s="79"/>
      <c r="D919" s="79"/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U919" s="80"/>
      <c r="W919" s="81" t="str">
        <f>IF((O919+R919)=0," ",ROUND((O919/(O919+R919)),7))</f>
        <v xml:space="preserve"> </v>
      </c>
      <c r="X919" s="81" t="str">
        <f>IF((C919)=0," ",ROUND((O919/(C919)),7))</f>
        <v xml:space="preserve"> </v>
      </c>
      <c r="Y919" s="81" t="str">
        <f>IF((C919)=0," ",ROUND((S919/(C919)),7))</f>
        <v xml:space="preserve"> </v>
      </c>
      <c r="Z919" s="79"/>
      <c r="AJ919" s="66"/>
      <c r="AK919" s="65"/>
    </row>
    <row r="920" spans="1:37" hidden="1">
      <c r="A920" s="65">
        <f>A908+1</f>
        <v>95</v>
      </c>
      <c r="B920" s="66" t="s">
        <v>39</v>
      </c>
      <c r="C920" s="79">
        <f>ROUND(($C$118+$C$120+$C$149+$C$151-$S$118-$S$120-$S$149-$S151)/($C$122+$C$153-$S$122-$S153)*($C922-$S922),0)</f>
        <v>2124</v>
      </c>
      <c r="D920" s="79">
        <f>C920-E920-SUM(G920:I920)-SUM(M920:N920)-R920-S920</f>
        <v>1253</v>
      </c>
      <c r="E920" s="79">
        <f>ROUND((E$118+E$120+E$149+E$151)/($C$118+$C$120+$C$149+$C$151-$S$118-$S$120-$S$149-$S$151)*($C920-$S920),0)</f>
        <v>41</v>
      </c>
      <c r="F920" s="79">
        <f>D920+E920</f>
        <v>1294</v>
      </c>
      <c r="G920" s="79">
        <f t="shared" ref="G920:L920" si="421">ROUND((G$118+G$120+G$149+G$151)/($C$118+$C$120+$C$149+$C$151-$S$118-$S$120-$S$149-$S$151)*($C920-$S920),0)</f>
        <v>67</v>
      </c>
      <c r="H920" s="79">
        <f t="shared" si="421"/>
        <v>503</v>
      </c>
      <c r="I920" s="79">
        <f t="shared" si="421"/>
        <v>175</v>
      </c>
      <c r="J920" s="79">
        <f t="shared" si="421"/>
        <v>41</v>
      </c>
      <c r="K920" s="79">
        <f t="shared" si="421"/>
        <v>10</v>
      </c>
      <c r="L920" s="79">
        <f t="shared" si="421"/>
        <v>2</v>
      </c>
      <c r="M920" s="79">
        <f>SUM(J920:L920)</f>
        <v>53</v>
      </c>
      <c r="N920" s="79">
        <f>ROUND((N$118+N$120+N$149+N$151)/($C$118+$C$120+$C$149+$C$151-$S$118-$S$120-$S$149-$S$151)*($C920-$S920),0)</f>
        <v>32</v>
      </c>
      <c r="O920" s="79">
        <f>SUM(F920:I920)+SUM(M920:N920)</f>
        <v>2124</v>
      </c>
      <c r="P920" s="79">
        <f>ROUND((P$118+P$120+P$149+P$151)/($C$118+$C$120+$C$149+$C$151-$S$118-$S$120-$S$149-$S$151)*($C920-$S920),0)</f>
        <v>0</v>
      </c>
      <c r="Q920" s="79">
        <f>ROUND((Q$118+Q$120+Q$149+Q$151)/($C$118+$C$120+$C$149+$C$151-$S$118-$S$120-$S$149-$S$151)*($C920-$S920),0)</f>
        <v>0</v>
      </c>
      <c r="R920" s="78">
        <f>P920+Q920</f>
        <v>0</v>
      </c>
      <c r="S920" s="79">
        <v>0</v>
      </c>
      <c r="U920" s="80">
        <f>O920+R920+S920-C920</f>
        <v>0</v>
      </c>
      <c r="W920" s="81">
        <f>IF((O920+R920)=0," ",ROUND((O920/(O920+R920)),7))</f>
        <v>1</v>
      </c>
      <c r="X920" s="81">
        <f>IF((C920)=0," ",ROUND((O920/(C920)),7))</f>
        <v>1</v>
      </c>
      <c r="Y920" s="81">
        <f>IF((C920)=0," ",ROUND((S920/(C920)),7))</f>
        <v>0</v>
      </c>
      <c r="Z920" s="79"/>
      <c r="AJ920" s="66"/>
      <c r="AK920" s="65"/>
    </row>
    <row r="921" spans="1:37" hidden="1">
      <c r="A921" s="65">
        <f>A920+1</f>
        <v>96</v>
      </c>
      <c r="B921" s="66" t="s">
        <v>44</v>
      </c>
      <c r="C921" s="79">
        <f>O921+R921+S921</f>
        <v>566</v>
      </c>
      <c r="D921" s="79">
        <f>D922-D920</f>
        <v>478</v>
      </c>
      <c r="E921" s="79">
        <f>E922-E920</f>
        <v>14</v>
      </c>
      <c r="F921" s="79">
        <f>D921+E921</f>
        <v>492</v>
      </c>
      <c r="G921" s="79">
        <f t="shared" ref="G921:L921" si="422">G922-G920</f>
        <v>38</v>
      </c>
      <c r="H921" s="79">
        <f t="shared" si="422"/>
        <v>22</v>
      </c>
      <c r="I921" s="79">
        <f t="shared" si="422"/>
        <v>0</v>
      </c>
      <c r="J921" s="79">
        <f t="shared" si="422"/>
        <v>0</v>
      </c>
      <c r="K921" s="79">
        <f t="shared" si="422"/>
        <v>0</v>
      </c>
      <c r="L921" s="79">
        <f t="shared" si="422"/>
        <v>0</v>
      </c>
      <c r="M921" s="79">
        <f>SUM(J921:L921)</f>
        <v>0</v>
      </c>
      <c r="N921" s="79">
        <f>N922-N920</f>
        <v>14</v>
      </c>
      <c r="O921" s="79">
        <f>SUM(F921:I921)+SUM(M921:N921)</f>
        <v>566</v>
      </c>
      <c r="P921" s="79">
        <f>P922-P920</f>
        <v>0</v>
      </c>
      <c r="Q921" s="79">
        <f>Q922-Q920</f>
        <v>0</v>
      </c>
      <c r="R921" s="78">
        <f>P921+Q921</f>
        <v>0</v>
      </c>
      <c r="S921" s="79">
        <f>S922-S920</f>
        <v>0</v>
      </c>
      <c r="U921" s="80">
        <f>O921+R921+S921-C921</f>
        <v>0</v>
      </c>
      <c r="W921" s="81">
        <f>IF((O921+R921)=0," ",ROUND((O921/(O921+R921)),7))</f>
        <v>1</v>
      </c>
      <c r="X921" s="81">
        <f>IF((C921)=0," ",ROUND((O921/(C921)),7))</f>
        <v>1</v>
      </c>
      <c r="Y921" s="81">
        <f>IF((C921)=0," ",ROUND((S921/(C921)),7))</f>
        <v>0</v>
      </c>
      <c r="Z921" s="79"/>
      <c r="AJ921" s="66"/>
      <c r="AK921" s="65"/>
    </row>
    <row r="922" spans="1:37" hidden="1">
      <c r="A922" s="65">
        <f>A921+1</f>
        <v>97</v>
      </c>
      <c r="B922" s="66" t="s">
        <v>443</v>
      </c>
      <c r="C922" s="78">
        <f>2812-122</f>
        <v>2690</v>
      </c>
      <c r="D922" s="79">
        <f>C922-E922-SUM(G922:I922)-SUM(M922:N922)-R922-S922</f>
        <v>1731</v>
      </c>
      <c r="E922" s="79">
        <f>ROUND((E$153+E$122)/($C$153+$C$122-$S153-$S122)*($C922-$S922),0)</f>
        <v>55</v>
      </c>
      <c r="F922" s="79">
        <f>D922+E922</f>
        <v>1786</v>
      </c>
      <c r="G922" s="79">
        <f t="shared" ref="G922:L922" si="423">ROUND((G$153+G$122)/($C$153+$C$122-$S153-$S122)*($C922-$S922),0)</f>
        <v>105</v>
      </c>
      <c r="H922" s="79">
        <f t="shared" si="423"/>
        <v>525</v>
      </c>
      <c r="I922" s="79">
        <f t="shared" si="423"/>
        <v>175</v>
      </c>
      <c r="J922" s="79">
        <f t="shared" si="423"/>
        <v>41</v>
      </c>
      <c r="K922" s="79">
        <f t="shared" si="423"/>
        <v>10</v>
      </c>
      <c r="L922" s="79">
        <f t="shared" si="423"/>
        <v>2</v>
      </c>
      <c r="M922" s="79">
        <f>SUM(J922:L922)</f>
        <v>53</v>
      </c>
      <c r="N922" s="79">
        <f>ROUND((N$153+N$122)/($C$153+$C$122-$S153-$S122)*($C922-$S922),0)</f>
        <v>46</v>
      </c>
      <c r="O922" s="79">
        <f>SUM(F922:I922)+SUM(M922:N922)</f>
        <v>2690</v>
      </c>
      <c r="P922" s="79">
        <f>ROUND((P$153+P$122)/($C$153+$C$122-$S153-$S122)*($C922-$S922),0)</f>
        <v>0</v>
      </c>
      <c r="Q922" s="79">
        <f>ROUND((Q$153+Q$122)/($C$153+$C$122-$S153-$S122)*($C922-$S922),0)</f>
        <v>0</v>
      </c>
      <c r="R922" s="78">
        <f>P922+Q922</f>
        <v>0</v>
      </c>
      <c r="S922" s="79">
        <v>0</v>
      </c>
      <c r="U922" s="80">
        <f>O922+R922+S922-C922</f>
        <v>0</v>
      </c>
      <c r="W922" s="81">
        <f>IF((O922+R922)=0," ",ROUND((O922/(O922+R922)),7))</f>
        <v>1</v>
      </c>
      <c r="X922" s="81">
        <f>IF((C922)=0," ",ROUND((O922/(C922)),7))</f>
        <v>1</v>
      </c>
      <c r="Y922" s="81">
        <f>IF((C922)=0," ",ROUND((S922/(C922)),7))</f>
        <v>0</v>
      </c>
      <c r="Z922" s="79"/>
      <c r="AJ922" s="66"/>
      <c r="AK922" s="65"/>
    </row>
    <row r="923" spans="1:37" hidden="1">
      <c r="A923" s="66"/>
      <c r="U923" s="66"/>
      <c r="V923" s="66"/>
      <c r="AF923" s="79"/>
      <c r="AJ923" s="66"/>
      <c r="AK923" s="70"/>
    </row>
    <row r="924" spans="1:37" hidden="1">
      <c r="B924" s="66" t="s">
        <v>444</v>
      </c>
      <c r="C924" s="79"/>
      <c r="D924" s="79"/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U924" s="80"/>
      <c r="W924" s="81" t="str">
        <f>IF((P924+Q924)=0," ",ROUND((P924/(P924+Q924)),74))</f>
        <v xml:space="preserve"> </v>
      </c>
      <c r="X924" s="81" t="str">
        <f>IF((C924)=0," ",ROUND((P924/(C924)),74))</f>
        <v xml:space="preserve"> </v>
      </c>
      <c r="Y924" s="81" t="str">
        <f>IF((C924)=0," ",ROUND((R924/(C924)),7))</f>
        <v xml:space="preserve"> </v>
      </c>
      <c r="Z924" s="79"/>
      <c r="AF924" s="79"/>
      <c r="AJ924" s="66"/>
      <c r="AK924" s="65"/>
    </row>
    <row r="925" spans="1:37" hidden="1">
      <c r="A925" s="65">
        <f>A922+1</f>
        <v>98</v>
      </c>
      <c r="B925" s="66" t="s">
        <v>39</v>
      </c>
      <c r="C925" s="79">
        <f>ROUND(($C$132+$C$134+$C$149+$C$151-$S$132-$S$134-$S$149-$S151)/($C$136+$C$153-$S$136-$S153)*($C927-$S927),0)</f>
        <v>712</v>
      </c>
      <c r="D925" s="79">
        <f>C925-E925-SUM(G925:I925)-SUM(M925:N925)-R925-S925</f>
        <v>421</v>
      </c>
      <c r="E925" s="79">
        <f>ROUND(((E$132+E$134+E$149+E$151)/($C$132+$C$134+$C$149+$C$151-$S132-$S134-$S$149-$S$151))*($C925-$S925),0)</f>
        <v>14</v>
      </c>
      <c r="F925" s="79">
        <f>D925+E925</f>
        <v>435</v>
      </c>
      <c r="G925" s="79">
        <f t="shared" ref="G925:L925" si="424">ROUND(((G$132+G$134+G$149+G$151)/($C$132+$C$134+$C$149+$C$151-$S132-$S134-$S$149-$S$151))*($C925-$S925),0)</f>
        <v>22</v>
      </c>
      <c r="H925" s="79">
        <f t="shared" si="424"/>
        <v>169</v>
      </c>
      <c r="I925" s="79">
        <f t="shared" si="424"/>
        <v>58</v>
      </c>
      <c r="J925" s="79">
        <f t="shared" si="424"/>
        <v>13</v>
      </c>
      <c r="K925" s="79">
        <f t="shared" si="424"/>
        <v>3</v>
      </c>
      <c r="L925" s="79">
        <f t="shared" si="424"/>
        <v>1</v>
      </c>
      <c r="M925" s="79">
        <f>SUM(J925:L925)</f>
        <v>17</v>
      </c>
      <c r="N925" s="79">
        <f>ROUND(((N$132+N$134+N$149+N$151)/($C$132+$C$134+$C$149+$C$151-$S132-$S134-$S$149-$S$151))*($C925-$S925),0)</f>
        <v>11</v>
      </c>
      <c r="O925" s="79">
        <f>SUM(F925:I925)+SUM(M925:N925)</f>
        <v>712</v>
      </c>
      <c r="P925" s="79">
        <f>ROUND(((P$132+P$134+P$149+P$151)/($C$132+$C$134+$C$149+$C$151-$S132-$S134-$S$149-$S$151))*($C925-$S925),0)</f>
        <v>0</v>
      </c>
      <c r="Q925" s="79">
        <f>ROUND(((Q$132+Q$134+Q$149+Q$151)/($C$132+$C$134+$C$149+$C$151-$S132-$S134-$S$149-$S$151))*($C925-$S925),0)</f>
        <v>0</v>
      </c>
      <c r="R925" s="78">
        <f>P925+Q925</f>
        <v>0</v>
      </c>
      <c r="S925" s="79">
        <v>0</v>
      </c>
      <c r="U925" s="80">
        <f>O925+R925+S925-C925</f>
        <v>0</v>
      </c>
      <c r="W925" s="81">
        <f t="shared" ref="W925:W965" si="425">IF((O925+R925)=0," ",ROUND((O925/(O925+R925)),7))</f>
        <v>1</v>
      </c>
      <c r="X925" s="81">
        <f t="shared" ref="X925:X965" si="426">IF((C925)=0," ",ROUND((O925/(C925)),7))</f>
        <v>1</v>
      </c>
      <c r="Y925" s="81">
        <f t="shared" ref="Y925:Y965" si="427">IF((C925)=0," ",ROUND((S925/(C925)),7))</f>
        <v>0</v>
      </c>
      <c r="Z925" s="79"/>
      <c r="AF925" s="79"/>
      <c r="AJ925" s="66"/>
      <c r="AK925" s="70"/>
    </row>
    <row r="926" spans="1:37" hidden="1">
      <c r="A926" s="65">
        <f>A925+1</f>
        <v>99</v>
      </c>
      <c r="B926" s="66" t="s">
        <v>44</v>
      </c>
      <c r="C926" s="79">
        <f>O926+R926+S926</f>
        <v>158</v>
      </c>
      <c r="D926" s="79">
        <f>D927-D925</f>
        <v>132</v>
      </c>
      <c r="E926" s="79">
        <f>E927-E925</f>
        <v>4</v>
      </c>
      <c r="F926" s="79">
        <f>D926+E926</f>
        <v>136</v>
      </c>
      <c r="G926" s="79">
        <f t="shared" ref="G926:L926" si="428">G927-G925</f>
        <v>11</v>
      </c>
      <c r="H926" s="79">
        <f t="shared" si="428"/>
        <v>6</v>
      </c>
      <c r="I926" s="79">
        <f t="shared" si="428"/>
        <v>1</v>
      </c>
      <c r="J926" s="79">
        <f t="shared" si="428"/>
        <v>0</v>
      </c>
      <c r="K926" s="79">
        <f t="shared" si="428"/>
        <v>0</v>
      </c>
      <c r="L926" s="79">
        <f t="shared" si="428"/>
        <v>0</v>
      </c>
      <c r="M926" s="79">
        <f>SUM(J926:L926)</f>
        <v>0</v>
      </c>
      <c r="N926" s="79">
        <f>N927-N925</f>
        <v>4</v>
      </c>
      <c r="O926" s="79">
        <f>SUM(F926:I926)+SUM(M926:N926)</f>
        <v>158</v>
      </c>
      <c r="P926" s="79">
        <f>P927-P925</f>
        <v>0</v>
      </c>
      <c r="Q926" s="79">
        <f>Q927-Q925</f>
        <v>0</v>
      </c>
      <c r="R926" s="78">
        <f>P926+Q926</f>
        <v>0</v>
      </c>
      <c r="S926" s="79">
        <v>0</v>
      </c>
      <c r="U926" s="80">
        <f>O926+R926+S926-C926</f>
        <v>0</v>
      </c>
      <c r="W926" s="81">
        <f t="shared" si="425"/>
        <v>1</v>
      </c>
      <c r="X926" s="81">
        <f t="shared" si="426"/>
        <v>1</v>
      </c>
      <c r="Y926" s="81">
        <f t="shared" si="427"/>
        <v>0</v>
      </c>
      <c r="Z926" s="79"/>
      <c r="AF926" s="79"/>
      <c r="AJ926" s="66"/>
      <c r="AK926" s="65"/>
    </row>
    <row r="927" spans="1:37" hidden="1">
      <c r="A927" s="65">
        <f>A926+1</f>
        <v>100</v>
      </c>
      <c r="B927" s="66" t="s">
        <v>445</v>
      </c>
      <c r="C927" s="78">
        <v>870</v>
      </c>
      <c r="D927" s="79">
        <f>C927-E927-SUM(G927:I927)-SUM(M927:N927)-R927-S927</f>
        <v>553</v>
      </c>
      <c r="E927" s="79">
        <f>ROUND((E$136+E$153)/($C$136+$C$153-$S136-$S153)*($C927-$S927),0)</f>
        <v>18</v>
      </c>
      <c r="F927" s="79">
        <f>D927+E927</f>
        <v>571</v>
      </c>
      <c r="G927" s="79">
        <f t="shared" ref="G927:L927" si="429">ROUND((G$136+G$153)/($C$136+$C$153-$S136-$S153)*($C927-$S927),0)</f>
        <v>33</v>
      </c>
      <c r="H927" s="79">
        <f t="shared" si="429"/>
        <v>175</v>
      </c>
      <c r="I927" s="79">
        <f t="shared" si="429"/>
        <v>59</v>
      </c>
      <c r="J927" s="79">
        <f t="shared" si="429"/>
        <v>13</v>
      </c>
      <c r="K927" s="79">
        <f t="shared" si="429"/>
        <v>3</v>
      </c>
      <c r="L927" s="79">
        <f t="shared" si="429"/>
        <v>1</v>
      </c>
      <c r="M927" s="79">
        <f>SUM(J927:L927)</f>
        <v>17</v>
      </c>
      <c r="N927" s="79">
        <f>ROUND((N$136+N$153)/($C$136+$C$153-$S136-$S153)*($C927-$S927),0)</f>
        <v>15</v>
      </c>
      <c r="O927" s="79">
        <f>SUM(F927:I927)+SUM(M927:N927)</f>
        <v>870</v>
      </c>
      <c r="P927" s="79">
        <f>ROUND((P$136+P$153)/($C$136+$C$153-$S136-$S153)*($C927-$S927),0)</f>
        <v>0</v>
      </c>
      <c r="Q927" s="79">
        <f>ROUND((Q$136+Q$153)/($C$136+$C$153-$S136-$S153)*($C927-$S927),0)</f>
        <v>0</v>
      </c>
      <c r="R927" s="78">
        <f>P927+Q927</f>
        <v>0</v>
      </c>
      <c r="S927" s="79">
        <f>S925+S926</f>
        <v>0</v>
      </c>
      <c r="U927" s="80">
        <f>O927+R927+S927-C927</f>
        <v>0</v>
      </c>
      <c r="W927" s="81">
        <f t="shared" si="425"/>
        <v>1</v>
      </c>
      <c r="X927" s="81">
        <f t="shared" si="426"/>
        <v>1</v>
      </c>
      <c r="Y927" s="81">
        <f t="shared" si="427"/>
        <v>0</v>
      </c>
      <c r="Z927" s="79"/>
      <c r="AF927" s="79"/>
      <c r="AJ927" s="66"/>
      <c r="AK927" s="65"/>
    </row>
    <row r="928" spans="1:37" hidden="1">
      <c r="W928" s="81" t="str">
        <f t="shared" si="425"/>
        <v xml:space="preserve"> </v>
      </c>
      <c r="X928" s="81" t="str">
        <f t="shared" si="426"/>
        <v xml:space="preserve"> </v>
      </c>
      <c r="Y928" s="81" t="str">
        <f t="shared" si="427"/>
        <v xml:space="preserve"> </v>
      </c>
      <c r="AJ928" s="66"/>
      <c r="AK928" s="70"/>
    </row>
    <row r="929" spans="1:37" hidden="1">
      <c r="A929" s="65">
        <f>A927+1</f>
        <v>101</v>
      </c>
      <c r="B929" s="66" t="s">
        <v>446</v>
      </c>
      <c r="C929" s="78">
        <v>595</v>
      </c>
      <c r="D929" s="79">
        <f>C929-E929-SUM(G929:I929)-SUM(M929:N929)-R929-S929</f>
        <v>0</v>
      </c>
      <c r="E929" s="79">
        <f>ROUND(E$162/($C$162-$S162)*($C929-$S929),0)</f>
        <v>0</v>
      </c>
      <c r="F929" s="79">
        <f>D929+E929</f>
        <v>0</v>
      </c>
      <c r="G929" s="79">
        <f t="shared" ref="G929:L929" si="430">ROUND(G$162/($C$162-$S162)*($C929-$S929),0)</f>
        <v>0</v>
      </c>
      <c r="H929" s="79">
        <f t="shared" si="430"/>
        <v>0</v>
      </c>
      <c r="I929" s="79">
        <f t="shared" si="430"/>
        <v>0</v>
      </c>
      <c r="J929" s="79">
        <f t="shared" si="430"/>
        <v>0</v>
      </c>
      <c r="K929" s="79">
        <f t="shared" si="430"/>
        <v>0</v>
      </c>
      <c r="L929" s="79">
        <f t="shared" si="430"/>
        <v>0</v>
      </c>
      <c r="M929" s="79">
        <f>SUM(J929:L929)</f>
        <v>0</v>
      </c>
      <c r="N929" s="79">
        <f>ROUND(N$162/($C$162-$S162)*($C929-$S929),0)</f>
        <v>595</v>
      </c>
      <c r="O929" s="79">
        <f>SUM(F929:I929)+SUM(M929:N929)</f>
        <v>595</v>
      </c>
      <c r="P929" s="79">
        <f>ROUND(P$162/($C$162-$S162)*($C929-$S929),0)</f>
        <v>0</v>
      </c>
      <c r="Q929" s="79">
        <f>ROUND(Q$162/($C$162-$S162)*($C929-$S929),0)</f>
        <v>0</v>
      </c>
      <c r="R929" s="78">
        <f>P929+Q929</f>
        <v>0</v>
      </c>
      <c r="S929" s="79">
        <v>0</v>
      </c>
      <c r="U929" s="80">
        <f t="shared" ref="U929:U943" si="431">O929+R929+S929-C929</f>
        <v>0</v>
      </c>
      <c r="W929" s="81">
        <f t="shared" si="425"/>
        <v>1</v>
      </c>
      <c r="X929" s="81">
        <f t="shared" si="426"/>
        <v>1</v>
      </c>
      <c r="Y929" s="81">
        <f t="shared" si="427"/>
        <v>0</v>
      </c>
      <c r="Z929" s="79"/>
      <c r="AF929" s="79"/>
      <c r="AJ929" s="66"/>
      <c r="AK929" s="70"/>
    </row>
    <row r="930" spans="1:37" hidden="1">
      <c r="W930" s="81" t="str">
        <f t="shared" si="425"/>
        <v xml:space="preserve"> </v>
      </c>
      <c r="X930" s="81" t="str">
        <f t="shared" si="426"/>
        <v xml:space="preserve"> </v>
      </c>
      <c r="Y930" s="81" t="str">
        <f t="shared" si="427"/>
        <v xml:space="preserve"> </v>
      </c>
      <c r="AF930" s="79"/>
      <c r="AJ930" s="66"/>
      <c r="AK930" s="65"/>
    </row>
    <row r="931" spans="1:37" hidden="1">
      <c r="A931" s="65">
        <f>A929+1</f>
        <v>102</v>
      </c>
      <c r="B931" s="66" t="s">
        <v>447</v>
      </c>
      <c r="C931" s="79">
        <f>C935-C933</f>
        <v>2516</v>
      </c>
      <c r="D931" s="79">
        <f>C931-E931-SUM(G931:I931)-SUM(M931:N931)-R931-S931</f>
        <v>1680</v>
      </c>
      <c r="E931" s="79">
        <f>ROUND(E$160/($C$160-$S160)*($C931-$S931),0)</f>
        <v>61</v>
      </c>
      <c r="F931" s="79">
        <f>D931+E931</f>
        <v>1741</v>
      </c>
      <c r="G931" s="79">
        <f t="shared" ref="G931:L931" si="432">ROUND(G$160/($C$160-$S160)*($C931-$S931),0)</f>
        <v>371</v>
      </c>
      <c r="H931" s="79">
        <f t="shared" si="432"/>
        <v>353</v>
      </c>
      <c r="I931" s="79">
        <f t="shared" si="432"/>
        <v>28</v>
      </c>
      <c r="J931" s="79">
        <f t="shared" si="432"/>
        <v>2</v>
      </c>
      <c r="K931" s="79">
        <f t="shared" si="432"/>
        <v>0</v>
      </c>
      <c r="L931" s="79">
        <f t="shared" si="432"/>
        <v>0</v>
      </c>
      <c r="M931" s="79">
        <f>SUM(J931:L931)</f>
        <v>2</v>
      </c>
      <c r="N931" s="79">
        <f>ROUND(N$160/($C$160-$S160)*($C931-$S931),0)</f>
        <v>21</v>
      </c>
      <c r="O931" s="79">
        <f>SUM(F931:I931)+SUM(M931:N931)</f>
        <v>2516</v>
      </c>
      <c r="P931" s="79">
        <f>ROUND(P$160/($C$160-$S160)*($C931-$S931),0)</f>
        <v>0</v>
      </c>
      <c r="Q931" s="79">
        <f>ROUND(Q$160/($C$160-$S160)*($C931-$S931),0)</f>
        <v>0</v>
      </c>
      <c r="R931" s="78">
        <f>P931+Q931</f>
        <v>0</v>
      </c>
      <c r="S931" s="79">
        <v>0</v>
      </c>
      <c r="U931" s="80">
        <f t="shared" si="431"/>
        <v>0</v>
      </c>
      <c r="W931" s="81">
        <f t="shared" si="425"/>
        <v>1</v>
      </c>
      <c r="X931" s="81">
        <f t="shared" si="426"/>
        <v>1</v>
      </c>
      <c r="Y931" s="81">
        <f t="shared" si="427"/>
        <v>0</v>
      </c>
      <c r="Z931" s="79"/>
      <c r="AF931" s="79"/>
      <c r="AJ931" s="66"/>
      <c r="AK931" s="65"/>
    </row>
    <row r="932" spans="1:37" hidden="1">
      <c r="W932" s="81" t="str">
        <f t="shared" si="425"/>
        <v xml:space="preserve"> </v>
      </c>
      <c r="X932" s="81" t="str">
        <f t="shared" si="426"/>
        <v xml:space="preserve"> </v>
      </c>
      <c r="Y932" s="81" t="str">
        <f t="shared" si="427"/>
        <v xml:space="preserve"> </v>
      </c>
      <c r="AF932" s="79"/>
      <c r="AJ932" s="66"/>
      <c r="AK932" s="65"/>
    </row>
    <row r="933" spans="1:37" hidden="1">
      <c r="A933" s="65">
        <f>A931+1</f>
        <v>103</v>
      </c>
      <c r="B933" s="66" t="s">
        <v>448</v>
      </c>
      <c r="C933" s="79">
        <f>C1792</f>
        <v>1191</v>
      </c>
      <c r="D933" s="79">
        <f>D1792</f>
        <v>1137.95</v>
      </c>
      <c r="E933" s="79">
        <f>E1792</f>
        <v>5.0500000000000003E-2</v>
      </c>
      <c r="F933" s="79">
        <f>D933+E933</f>
        <v>1138.0005000000001</v>
      </c>
      <c r="G933" s="79">
        <f t="shared" ref="G933:L933" si="433">G1792</f>
        <v>41</v>
      </c>
      <c r="H933" s="79">
        <f t="shared" si="433"/>
        <v>12</v>
      </c>
      <c r="I933" s="79">
        <f t="shared" si="433"/>
        <v>0</v>
      </c>
      <c r="J933" s="79">
        <f t="shared" si="433"/>
        <v>0</v>
      </c>
      <c r="K933" s="79">
        <f t="shared" si="433"/>
        <v>0</v>
      </c>
      <c r="L933" s="79">
        <f t="shared" si="433"/>
        <v>0</v>
      </c>
      <c r="M933" s="79">
        <f>SUM(J933:L933)</f>
        <v>0</v>
      </c>
      <c r="N933" s="79">
        <f>N1792</f>
        <v>0</v>
      </c>
      <c r="O933" s="79">
        <f>SUM(F933:I933)+SUM(M933:N933)</f>
        <v>1191.0005000000001</v>
      </c>
      <c r="P933" s="79">
        <f>P1792</f>
        <v>0</v>
      </c>
      <c r="Q933" s="79">
        <f>Q1792</f>
        <v>0</v>
      </c>
      <c r="R933" s="78">
        <f>P933+Q933</f>
        <v>0</v>
      </c>
      <c r="S933" s="79">
        <v>0</v>
      </c>
      <c r="U933" s="80">
        <f t="shared" si="431"/>
        <v>5.0000000010186341E-4</v>
      </c>
      <c r="W933" s="81">
        <f t="shared" si="425"/>
        <v>1</v>
      </c>
      <c r="X933" s="81">
        <f t="shared" si="426"/>
        <v>1.0000004</v>
      </c>
      <c r="Y933" s="81">
        <f t="shared" si="427"/>
        <v>0</v>
      </c>
      <c r="Z933" s="79"/>
      <c r="AJ933" s="66"/>
      <c r="AK933" s="70"/>
    </row>
    <row r="934" spans="1:37" hidden="1">
      <c r="W934" s="81" t="str">
        <f t="shared" si="425"/>
        <v xml:space="preserve"> </v>
      </c>
      <c r="X934" s="81" t="str">
        <f t="shared" si="426"/>
        <v xml:space="preserve"> </v>
      </c>
      <c r="Y934" s="81" t="str">
        <f t="shared" si="427"/>
        <v xml:space="preserve"> </v>
      </c>
      <c r="AF934" s="79"/>
      <c r="AJ934" s="66"/>
      <c r="AK934" s="70"/>
    </row>
    <row r="935" spans="1:37" hidden="1">
      <c r="A935" s="65">
        <f>A933+1</f>
        <v>104</v>
      </c>
      <c r="B935" s="66" t="s">
        <v>449</v>
      </c>
      <c r="C935" s="78">
        <v>3707</v>
      </c>
      <c r="D935" s="79">
        <f>D931+D933</f>
        <v>2817.95</v>
      </c>
      <c r="E935" s="79">
        <f>E931+E933</f>
        <v>61.0505</v>
      </c>
      <c r="F935" s="79">
        <f>D935+E935</f>
        <v>2879.0004999999996</v>
      </c>
      <c r="G935" s="79">
        <f t="shared" ref="G935:L935" si="434">G931+G933</f>
        <v>412</v>
      </c>
      <c r="H935" s="79">
        <f t="shared" si="434"/>
        <v>365</v>
      </c>
      <c r="I935" s="79">
        <f t="shared" si="434"/>
        <v>28</v>
      </c>
      <c r="J935" s="79">
        <f t="shared" si="434"/>
        <v>2</v>
      </c>
      <c r="K935" s="79">
        <f t="shared" si="434"/>
        <v>0</v>
      </c>
      <c r="L935" s="79">
        <f t="shared" si="434"/>
        <v>0</v>
      </c>
      <c r="M935" s="79">
        <f>SUM(J935:L935)</f>
        <v>2</v>
      </c>
      <c r="N935" s="79">
        <f>N931+N933</f>
        <v>21</v>
      </c>
      <c r="O935" s="79">
        <f>SUM(F935:I935)+SUM(M935:N935)</f>
        <v>3707.0004999999996</v>
      </c>
      <c r="P935" s="79">
        <f>P931+P933</f>
        <v>0</v>
      </c>
      <c r="Q935" s="79">
        <f>Q931+Q933</f>
        <v>0</v>
      </c>
      <c r="R935" s="78">
        <f>P935+Q935</f>
        <v>0</v>
      </c>
      <c r="S935" s="79">
        <f>S931+S933</f>
        <v>0</v>
      </c>
      <c r="U935" s="80">
        <f t="shared" si="431"/>
        <v>4.9999999964711606E-4</v>
      </c>
      <c r="W935" s="81">
        <f t="shared" si="425"/>
        <v>1</v>
      </c>
      <c r="X935" s="81">
        <f t="shared" si="426"/>
        <v>1.0000001000000001</v>
      </c>
      <c r="Y935" s="81">
        <f t="shared" si="427"/>
        <v>0</v>
      </c>
      <c r="Z935" s="79"/>
      <c r="AJ935" s="66"/>
      <c r="AK935" s="65"/>
    </row>
    <row r="936" spans="1:37" hidden="1">
      <c r="W936" s="81" t="str">
        <f t="shared" si="425"/>
        <v xml:space="preserve"> </v>
      </c>
      <c r="X936" s="81" t="str">
        <f t="shared" si="426"/>
        <v xml:space="preserve"> </v>
      </c>
      <c r="Y936" s="81" t="str">
        <f t="shared" si="427"/>
        <v xml:space="preserve"> </v>
      </c>
      <c r="AF936" s="79"/>
      <c r="AJ936" s="66"/>
      <c r="AK936" s="65"/>
    </row>
    <row r="937" spans="1:37" hidden="1">
      <c r="A937" s="65">
        <f>A935+1</f>
        <v>105</v>
      </c>
      <c r="B937" s="66" t="s">
        <v>450</v>
      </c>
      <c r="C937" s="79">
        <f>C939-C938</f>
        <v>704</v>
      </c>
      <c r="D937" s="79">
        <f>C937-E937-SUM(G937:I937)-SUM(M937:N937)-R937-S937</f>
        <v>610</v>
      </c>
      <c r="E937" s="79">
        <f>ROUND(E$158/($C$158-$S158)*($C937-$S937),0)</f>
        <v>17</v>
      </c>
      <c r="F937" s="79">
        <f t="shared" ref="F937:F943" si="435">D937+E937</f>
        <v>627</v>
      </c>
      <c r="G937" s="79">
        <f t="shared" ref="G937:L937" si="436">ROUND(G$158/($C$158-$S158)*($C937-$S937),0)</f>
        <v>48</v>
      </c>
      <c r="H937" s="79">
        <f t="shared" si="436"/>
        <v>29</v>
      </c>
      <c r="I937" s="79">
        <f t="shared" si="436"/>
        <v>0</v>
      </c>
      <c r="J937" s="79">
        <f t="shared" si="436"/>
        <v>0</v>
      </c>
      <c r="K937" s="79">
        <f t="shared" si="436"/>
        <v>0</v>
      </c>
      <c r="L937" s="79">
        <f t="shared" si="436"/>
        <v>0</v>
      </c>
      <c r="M937" s="79">
        <f>SUM(J937:L937)</f>
        <v>0</v>
      </c>
      <c r="N937" s="79">
        <f>ROUND(N$158/($C$158-$S158)*($C937-$S937),0)</f>
        <v>0</v>
      </c>
      <c r="O937" s="79">
        <f>SUM(F937:I937)+SUM(M937:N937)</f>
        <v>704</v>
      </c>
      <c r="P937" s="79">
        <f>ROUND(P$158/($C$158-$S158)*($C937-$S937),0)</f>
        <v>0</v>
      </c>
      <c r="Q937" s="79">
        <f>ROUND(Q$158/($C$158-$S158)*($C937-$S937),0)</f>
        <v>0</v>
      </c>
      <c r="R937" s="78">
        <f>P937+Q937</f>
        <v>0</v>
      </c>
      <c r="S937" s="79">
        <v>0</v>
      </c>
      <c r="U937" s="80">
        <f t="shared" si="431"/>
        <v>0</v>
      </c>
      <c r="W937" s="81">
        <f t="shared" si="425"/>
        <v>1</v>
      </c>
      <c r="X937" s="81">
        <f t="shared" si="426"/>
        <v>1</v>
      </c>
      <c r="Y937" s="81">
        <f t="shared" si="427"/>
        <v>0</v>
      </c>
      <c r="Z937" s="79"/>
      <c r="AJ937" s="66"/>
    </row>
    <row r="938" spans="1:37" hidden="1">
      <c r="A938" s="65">
        <f>A937+1</f>
        <v>106</v>
      </c>
      <c r="B938" s="66" t="s">
        <v>451</v>
      </c>
      <c r="C938" s="79">
        <f>C1793</f>
        <v>29</v>
      </c>
      <c r="D938" s="79">
        <f>D1793</f>
        <v>28</v>
      </c>
      <c r="E938" s="79">
        <f>E1793</f>
        <v>0</v>
      </c>
      <c r="F938" s="79">
        <f t="shared" si="435"/>
        <v>28</v>
      </c>
      <c r="G938" s="79">
        <f t="shared" ref="G938:L938" si="437">G1793</f>
        <v>1</v>
      </c>
      <c r="H938" s="79">
        <f t="shared" si="437"/>
        <v>0</v>
      </c>
      <c r="I938" s="79">
        <f t="shared" si="437"/>
        <v>0</v>
      </c>
      <c r="J938" s="79">
        <f t="shared" si="437"/>
        <v>0</v>
      </c>
      <c r="K938" s="79">
        <f t="shared" si="437"/>
        <v>0</v>
      </c>
      <c r="L938" s="79">
        <f t="shared" si="437"/>
        <v>0</v>
      </c>
      <c r="M938" s="79">
        <f>SUM(J938:L938)</f>
        <v>0</v>
      </c>
      <c r="N938" s="79">
        <f>N1793</f>
        <v>0</v>
      </c>
      <c r="O938" s="79">
        <f>SUM(F938:I938)+SUM(M938:N938)</f>
        <v>29</v>
      </c>
      <c r="P938" s="79">
        <f>P1793</f>
        <v>0</v>
      </c>
      <c r="Q938" s="79">
        <f>Q1793</f>
        <v>0</v>
      </c>
      <c r="R938" s="78">
        <f>P938+Q938</f>
        <v>0</v>
      </c>
      <c r="S938" s="79">
        <v>0</v>
      </c>
      <c r="U938" s="80">
        <f t="shared" si="431"/>
        <v>0</v>
      </c>
      <c r="W938" s="81">
        <f t="shared" si="425"/>
        <v>1</v>
      </c>
      <c r="X938" s="81">
        <f t="shared" si="426"/>
        <v>1</v>
      </c>
      <c r="Y938" s="81">
        <f t="shared" si="427"/>
        <v>0</v>
      </c>
      <c r="Z938" s="79"/>
      <c r="AF938" s="79"/>
      <c r="AJ938" s="66"/>
    </row>
    <row r="939" spans="1:37" hidden="1">
      <c r="A939" s="65">
        <f>A938+1</f>
        <v>107</v>
      </c>
      <c r="B939" s="66" t="s">
        <v>452</v>
      </c>
      <c r="C939" s="78">
        <v>733</v>
      </c>
      <c r="D939" s="79">
        <f>D937+D938</f>
        <v>638</v>
      </c>
      <c r="E939" s="79">
        <f>E937+E938</f>
        <v>17</v>
      </c>
      <c r="F939" s="79">
        <f>D939+E939</f>
        <v>655</v>
      </c>
      <c r="G939" s="79">
        <f t="shared" ref="G939:L939" si="438">G937+G938</f>
        <v>49</v>
      </c>
      <c r="H939" s="79">
        <f t="shared" si="438"/>
        <v>29</v>
      </c>
      <c r="I939" s="79">
        <f t="shared" si="438"/>
        <v>0</v>
      </c>
      <c r="J939" s="79">
        <f t="shared" si="438"/>
        <v>0</v>
      </c>
      <c r="K939" s="79">
        <f t="shared" si="438"/>
        <v>0</v>
      </c>
      <c r="L939" s="79">
        <f t="shared" si="438"/>
        <v>0</v>
      </c>
      <c r="M939" s="79">
        <f>SUM(J939:L939)</f>
        <v>0</v>
      </c>
      <c r="N939" s="79">
        <f>N937+N938</f>
        <v>0</v>
      </c>
      <c r="O939" s="79">
        <f>SUM(F939:I939)+SUM(M939:N939)</f>
        <v>733</v>
      </c>
      <c r="P939" s="79">
        <f>P937+P938</f>
        <v>0</v>
      </c>
      <c r="Q939" s="79">
        <f>Q937+Q938</f>
        <v>0</v>
      </c>
      <c r="R939" s="78">
        <f>P939+Q939</f>
        <v>0</v>
      </c>
      <c r="S939" s="79">
        <f>S937+S938</f>
        <v>0</v>
      </c>
      <c r="U939" s="80">
        <f t="shared" si="431"/>
        <v>0</v>
      </c>
      <c r="W939" s="81">
        <f t="shared" si="425"/>
        <v>1</v>
      </c>
      <c r="X939" s="81">
        <f t="shared" si="426"/>
        <v>1</v>
      </c>
      <c r="Y939" s="81">
        <f t="shared" si="427"/>
        <v>0</v>
      </c>
      <c r="Z939" s="79"/>
      <c r="AJ939" s="66"/>
    </row>
    <row r="940" spans="1:37" hidden="1">
      <c r="C940" s="79"/>
      <c r="D940" s="79"/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U940" s="80"/>
      <c r="W940" s="81" t="str">
        <f t="shared" si="425"/>
        <v xml:space="preserve"> </v>
      </c>
      <c r="X940" s="81" t="str">
        <f t="shared" si="426"/>
        <v xml:space="preserve"> </v>
      </c>
      <c r="Y940" s="81" t="str">
        <f t="shared" si="427"/>
        <v xml:space="preserve"> </v>
      </c>
      <c r="Z940" s="79"/>
      <c r="AF940" s="79"/>
      <c r="AJ940" s="66"/>
      <c r="AK940" s="65"/>
    </row>
    <row r="941" spans="1:37" hidden="1">
      <c r="A941" s="65">
        <f>A939+1</f>
        <v>108</v>
      </c>
      <c r="B941" s="66" t="s">
        <v>453</v>
      </c>
      <c r="C941" s="79">
        <f>SUM(C942:C943)</f>
        <v>9869.0005000000001</v>
      </c>
      <c r="D941" s="79">
        <f>SUM(D942:D943)</f>
        <v>6450.95</v>
      </c>
      <c r="E941" s="79">
        <f>SUM(E942:E943)</f>
        <v>169.0505</v>
      </c>
      <c r="F941" s="79">
        <f>D941+E941</f>
        <v>6620.0005000000001</v>
      </c>
      <c r="G941" s="79">
        <f t="shared" ref="G941:L941" si="439">SUM(G942:G943)</f>
        <v>635</v>
      </c>
      <c r="H941" s="79">
        <f t="shared" si="439"/>
        <v>1382</v>
      </c>
      <c r="I941" s="79">
        <f t="shared" si="439"/>
        <v>391</v>
      </c>
      <c r="J941" s="79">
        <f t="shared" si="439"/>
        <v>123</v>
      </c>
      <c r="K941" s="79">
        <f t="shared" si="439"/>
        <v>18</v>
      </c>
      <c r="L941" s="79">
        <f t="shared" si="439"/>
        <v>6</v>
      </c>
      <c r="M941" s="79">
        <f>SUM(J941:L941)</f>
        <v>147</v>
      </c>
      <c r="N941" s="79">
        <f>SUM(N942:N943)</f>
        <v>683</v>
      </c>
      <c r="O941" s="79">
        <f>SUM(F941:I941)+SUM(M941:N941)</f>
        <v>9858.0005000000001</v>
      </c>
      <c r="P941" s="79">
        <f>SUM(P942:P943)</f>
        <v>10</v>
      </c>
      <c r="Q941" s="79">
        <f>SUM(Q942:Q943)</f>
        <v>1</v>
      </c>
      <c r="R941" s="78">
        <f>P941+Q941</f>
        <v>11</v>
      </c>
      <c r="S941" s="79">
        <f>SUM(S942:S943)</f>
        <v>0</v>
      </c>
      <c r="U941" s="80">
        <f t="shared" si="431"/>
        <v>0</v>
      </c>
      <c r="W941" s="81">
        <f t="shared" si="425"/>
        <v>0.99888540000000003</v>
      </c>
      <c r="X941" s="81">
        <f t="shared" si="426"/>
        <v>0.99888540000000003</v>
      </c>
      <c r="Y941" s="81">
        <f t="shared" si="427"/>
        <v>0</v>
      </c>
      <c r="Z941" s="79"/>
      <c r="AJ941" s="66"/>
      <c r="AK941" s="65"/>
    </row>
    <row r="942" spans="1:37" hidden="1">
      <c r="A942" s="65">
        <f>A941+1</f>
        <v>109</v>
      </c>
      <c r="B942" s="66" t="s">
        <v>229</v>
      </c>
      <c r="C942" s="79">
        <f>O942+R942+S942</f>
        <v>4110</v>
      </c>
      <c r="D942" s="79">
        <f>D906+D908+D920+D925</f>
        <v>2385</v>
      </c>
      <c r="E942" s="79">
        <f>E906+E908+E920+E925</f>
        <v>73</v>
      </c>
      <c r="F942" s="79">
        <f t="shared" si="435"/>
        <v>2458</v>
      </c>
      <c r="G942" s="79">
        <f t="shared" ref="G942:L942" si="440">G906+G908+G920+G925</f>
        <v>125</v>
      </c>
      <c r="H942" s="79">
        <f t="shared" si="440"/>
        <v>960</v>
      </c>
      <c r="I942" s="79">
        <f t="shared" si="440"/>
        <v>362</v>
      </c>
      <c r="J942" s="79">
        <f t="shared" si="440"/>
        <v>121</v>
      </c>
      <c r="K942" s="79">
        <f t="shared" si="440"/>
        <v>18</v>
      </c>
      <c r="L942" s="79">
        <f t="shared" si="440"/>
        <v>6</v>
      </c>
      <c r="M942" s="79">
        <f>SUM(J942:L942)</f>
        <v>145</v>
      </c>
      <c r="N942" s="79">
        <f>N906+N908+N920+N925</f>
        <v>49</v>
      </c>
      <c r="O942" s="79">
        <f>SUM(F942:I942)+SUM(M942:N942)</f>
        <v>4099</v>
      </c>
      <c r="P942" s="79">
        <f>P906+P908+P920+P925</f>
        <v>10</v>
      </c>
      <c r="Q942" s="79">
        <f>Q906+Q908+Q920+Q925</f>
        <v>1</v>
      </c>
      <c r="R942" s="78">
        <f>P942+Q942</f>
        <v>11</v>
      </c>
      <c r="S942" s="79">
        <f>S906+S908+S920+S925</f>
        <v>0</v>
      </c>
      <c r="U942" s="80">
        <f t="shared" si="431"/>
        <v>0</v>
      </c>
      <c r="W942" s="81">
        <f t="shared" si="425"/>
        <v>0.99732359999999998</v>
      </c>
      <c r="X942" s="81">
        <f t="shared" si="426"/>
        <v>0.99732359999999998</v>
      </c>
      <c r="Y942" s="81">
        <f t="shared" si="427"/>
        <v>0</v>
      </c>
      <c r="Z942" s="79"/>
      <c r="AF942" s="79"/>
      <c r="AJ942" s="66"/>
      <c r="AK942" s="65"/>
    </row>
    <row r="943" spans="1:37" hidden="1">
      <c r="A943" s="65">
        <f>A942+1</f>
        <v>110</v>
      </c>
      <c r="B943" s="66" t="s">
        <v>253</v>
      </c>
      <c r="C943" s="79">
        <f>O943+R943+S943</f>
        <v>5759.0005000000001</v>
      </c>
      <c r="D943" s="79">
        <f>D921+D929+D935+D939+D926</f>
        <v>4065.95</v>
      </c>
      <c r="E943" s="79">
        <f>E921+E929+E935+E939+E926</f>
        <v>96.0505</v>
      </c>
      <c r="F943" s="79">
        <f t="shared" si="435"/>
        <v>4162.0005000000001</v>
      </c>
      <c r="G943" s="79">
        <f t="shared" ref="G943:L943" si="441">G921+G929+G935+G939+G926</f>
        <v>510</v>
      </c>
      <c r="H943" s="79">
        <f t="shared" si="441"/>
        <v>422</v>
      </c>
      <c r="I943" s="79">
        <f t="shared" si="441"/>
        <v>29</v>
      </c>
      <c r="J943" s="79">
        <f t="shared" si="441"/>
        <v>2</v>
      </c>
      <c r="K943" s="79">
        <f t="shared" si="441"/>
        <v>0</v>
      </c>
      <c r="L943" s="79">
        <f t="shared" si="441"/>
        <v>0</v>
      </c>
      <c r="M943" s="79">
        <f>SUM(J943:L943)</f>
        <v>2</v>
      </c>
      <c r="N943" s="79">
        <f>N921+N929+N935+N939+N926</f>
        <v>634</v>
      </c>
      <c r="O943" s="79">
        <f>SUM(F943:I943)+SUM(M943:N943)</f>
        <v>5759.0005000000001</v>
      </c>
      <c r="P943" s="79">
        <f>P921+P929+P935+P939+P926</f>
        <v>0</v>
      </c>
      <c r="Q943" s="79">
        <f>Q921+Q929+Q935+Q939+Q926</f>
        <v>0</v>
      </c>
      <c r="R943" s="78">
        <f>P943+Q943</f>
        <v>0</v>
      </c>
      <c r="S943" s="79">
        <f>S921+S929+S935+S939+S926</f>
        <v>0</v>
      </c>
      <c r="U943" s="80">
        <f t="shared" si="431"/>
        <v>0</v>
      </c>
      <c r="W943" s="81">
        <f t="shared" si="425"/>
        <v>1</v>
      </c>
      <c r="X943" s="81">
        <f t="shared" si="426"/>
        <v>1</v>
      </c>
      <c r="Y943" s="81">
        <f t="shared" si="427"/>
        <v>0</v>
      </c>
      <c r="Z943" s="79"/>
      <c r="AF943" s="79"/>
      <c r="AJ943" s="66"/>
      <c r="AK943" s="65"/>
    </row>
    <row r="944" spans="1:37" hidden="1">
      <c r="W944" s="81" t="str">
        <f t="shared" si="425"/>
        <v xml:space="preserve"> </v>
      </c>
      <c r="X944" s="81" t="str">
        <f t="shared" si="426"/>
        <v xml:space="preserve"> </v>
      </c>
      <c r="Y944" s="81" t="str">
        <f t="shared" si="427"/>
        <v xml:space="preserve"> </v>
      </c>
      <c r="AF944" s="79"/>
      <c r="AJ944" s="66"/>
      <c r="AK944" s="65"/>
    </row>
    <row r="945" spans="1:37" hidden="1">
      <c r="B945" s="66" t="s">
        <v>454</v>
      </c>
      <c r="C945" s="79"/>
      <c r="D945" s="79"/>
      <c r="E945" s="79"/>
      <c r="F945" s="79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U945" s="80"/>
      <c r="W945" s="81" t="str">
        <f t="shared" si="425"/>
        <v xml:space="preserve"> </v>
      </c>
      <c r="X945" s="81" t="str">
        <f t="shared" si="426"/>
        <v xml:space="preserve"> </v>
      </c>
      <c r="Y945" s="81" t="str">
        <f t="shared" si="427"/>
        <v xml:space="preserve"> </v>
      </c>
      <c r="Z945" s="79"/>
      <c r="AF945" s="79"/>
      <c r="AJ945" s="66"/>
      <c r="AK945" s="65"/>
    </row>
    <row r="946" spans="1:37" hidden="1">
      <c r="A946" s="65">
        <f>A943+1</f>
        <v>111</v>
      </c>
      <c r="B946" s="66" t="s">
        <v>39</v>
      </c>
      <c r="C946" s="79">
        <f>ROUND((C$942-$S942)/(C$942+C$943-$S942-$S943)*(C948-$S948),0)</f>
        <v>2567</v>
      </c>
      <c r="D946" s="79">
        <f>C946-E946-SUM(G946:I946)-SUM(M946:N946)-R946-S946</f>
        <v>1488</v>
      </c>
      <c r="E946" s="79">
        <f>ROUND((E$942/($C$942+$C$943-$S942-$S943)*($C948-$S948)),0)</f>
        <v>46</v>
      </c>
      <c r="F946" s="79">
        <f>D946+E946</f>
        <v>1534</v>
      </c>
      <c r="G946" s="79">
        <f t="shared" ref="G946:L946" si="442">ROUND((G$942/($C$942+$C$943-$S942-$S943)*($C948-$S948)),0)</f>
        <v>78</v>
      </c>
      <c r="H946" s="79">
        <f t="shared" si="442"/>
        <v>600</v>
      </c>
      <c r="I946" s="79">
        <f t="shared" si="442"/>
        <v>226</v>
      </c>
      <c r="J946" s="79">
        <f t="shared" si="442"/>
        <v>76</v>
      </c>
      <c r="K946" s="79">
        <f t="shared" si="442"/>
        <v>11</v>
      </c>
      <c r="L946" s="79">
        <f t="shared" si="442"/>
        <v>4</v>
      </c>
      <c r="M946" s="79">
        <f>SUM(J946:L946)</f>
        <v>91</v>
      </c>
      <c r="N946" s="79">
        <f>ROUND((N$942/($C$942+$C$943-$S942-$S943)*($C948-$S948)),0)</f>
        <v>31</v>
      </c>
      <c r="O946" s="79">
        <f>SUM(F946:I946)+SUM(M946:N946)</f>
        <v>2560</v>
      </c>
      <c r="P946" s="79">
        <f>ROUND((P$942/($C$942+$C$943-$S942-$S943)*($C948-$S948)),0)</f>
        <v>6</v>
      </c>
      <c r="Q946" s="79">
        <f>ROUND((Q$942/($C$942+$C$943-$S942-$S943)*($C948-$S948)),0)</f>
        <v>1</v>
      </c>
      <c r="R946" s="78">
        <f>P946+Q946</f>
        <v>7</v>
      </c>
      <c r="S946" s="79">
        <v>0</v>
      </c>
      <c r="U946" s="80">
        <f>O946+R946+S946-C946</f>
        <v>0</v>
      </c>
      <c r="W946" s="81">
        <f t="shared" si="425"/>
        <v>0.99727310000000002</v>
      </c>
      <c r="X946" s="81">
        <f t="shared" si="426"/>
        <v>0.99727310000000002</v>
      </c>
      <c r="Y946" s="81">
        <f t="shared" si="427"/>
        <v>0</v>
      </c>
      <c r="Z946" s="79"/>
      <c r="AF946" s="79"/>
      <c r="AJ946" s="66"/>
      <c r="AK946" s="65"/>
    </row>
    <row r="947" spans="1:37" hidden="1">
      <c r="A947" s="65">
        <f>A946+1</f>
        <v>112</v>
      </c>
      <c r="B947" s="66" t="s">
        <v>44</v>
      </c>
      <c r="C947" s="79">
        <f>ROUND((C$943-$S943)/(C$942+C$943-$S942-S943)*(C948-$S948),0)</f>
        <v>3598</v>
      </c>
      <c r="D947" s="79">
        <f>C947-E947-SUM(G947:I947)-SUM(M947:N947)-R947-S947</f>
        <v>2540</v>
      </c>
      <c r="E947" s="79">
        <f>ROUND((E$943/($C$942+$C$943-$S942-$S943)*($C948-$S948)),0)</f>
        <v>60</v>
      </c>
      <c r="F947" s="79">
        <f>D947+E947</f>
        <v>2600</v>
      </c>
      <c r="G947" s="79">
        <f t="shared" ref="G947:L947" si="443">ROUND((G$943/($C$942+$C$943-$S942-$S943)*($C948-$S948)),0)</f>
        <v>319</v>
      </c>
      <c r="H947" s="79">
        <f t="shared" si="443"/>
        <v>264</v>
      </c>
      <c r="I947" s="79">
        <f t="shared" si="443"/>
        <v>18</v>
      </c>
      <c r="J947" s="79">
        <f t="shared" si="443"/>
        <v>1</v>
      </c>
      <c r="K947" s="79">
        <f t="shared" si="443"/>
        <v>0</v>
      </c>
      <c r="L947" s="79">
        <f t="shared" si="443"/>
        <v>0</v>
      </c>
      <c r="M947" s="79">
        <f>SUM(J947:L947)</f>
        <v>1</v>
      </c>
      <c r="N947" s="79">
        <f>ROUND((N$943/($C$942+$C$943-$S942-$S943)*($C948-$S948)),0)</f>
        <v>396</v>
      </c>
      <c r="O947" s="79">
        <f>SUM(F947:I947)+SUM(M947:N947)</f>
        <v>3598</v>
      </c>
      <c r="P947" s="79">
        <f>ROUND((P$943/($C$942+$C$943-$S942-$S943)*($C948-$S948)),0)</f>
        <v>0</v>
      </c>
      <c r="Q947" s="79">
        <f>ROUND((Q$943/($C$942+$C$943-$S942-$S943)*($C948-$S948)),0)</f>
        <v>0</v>
      </c>
      <c r="R947" s="78">
        <f>P947+Q947</f>
        <v>0</v>
      </c>
      <c r="S947" s="79">
        <v>0</v>
      </c>
      <c r="U947" s="80">
        <f>O947+R947+S947-C947</f>
        <v>0</v>
      </c>
      <c r="W947" s="81">
        <f t="shared" si="425"/>
        <v>1</v>
      </c>
      <c r="X947" s="81">
        <f t="shared" si="426"/>
        <v>1</v>
      </c>
      <c r="Y947" s="81">
        <f t="shared" si="427"/>
        <v>0</v>
      </c>
      <c r="Z947" s="79"/>
      <c r="AF947" s="79"/>
      <c r="AJ947" s="66"/>
      <c r="AK947" s="65"/>
    </row>
    <row r="948" spans="1:37" hidden="1">
      <c r="A948" s="65">
        <f>A947+1</f>
        <v>113</v>
      </c>
      <c r="B948" s="66" t="s">
        <v>455</v>
      </c>
      <c r="C948" s="78">
        <v>6165</v>
      </c>
      <c r="D948" s="79">
        <f>D946+D947</f>
        <v>4028</v>
      </c>
      <c r="E948" s="79">
        <f>E946+E947</f>
        <v>106</v>
      </c>
      <c r="F948" s="79">
        <f>D948+E948</f>
        <v>4134</v>
      </c>
      <c r="G948" s="79">
        <f t="shared" ref="G948:L948" si="444">G946+G947</f>
        <v>397</v>
      </c>
      <c r="H948" s="79">
        <f t="shared" si="444"/>
        <v>864</v>
      </c>
      <c r="I948" s="79">
        <f t="shared" si="444"/>
        <v>244</v>
      </c>
      <c r="J948" s="79">
        <f t="shared" si="444"/>
        <v>77</v>
      </c>
      <c r="K948" s="79">
        <f t="shared" si="444"/>
        <v>11</v>
      </c>
      <c r="L948" s="79">
        <f t="shared" si="444"/>
        <v>4</v>
      </c>
      <c r="M948" s="79">
        <f>SUM(J948:L948)</f>
        <v>92</v>
      </c>
      <c r="N948" s="79">
        <f>N946+N947</f>
        <v>427</v>
      </c>
      <c r="O948" s="79">
        <f>SUM(F948:I948)+SUM(M948:N948)</f>
        <v>6158</v>
      </c>
      <c r="P948" s="79">
        <f>P946+P947</f>
        <v>6</v>
      </c>
      <c r="Q948" s="79">
        <f>Q946+Q947</f>
        <v>1</v>
      </c>
      <c r="R948" s="78">
        <f>P948+Q948</f>
        <v>7</v>
      </c>
      <c r="S948" s="79">
        <f>S946+S947</f>
        <v>0</v>
      </c>
      <c r="U948" s="80">
        <f>O948+R948+S948-C948</f>
        <v>0</v>
      </c>
      <c r="W948" s="81">
        <f t="shared" si="425"/>
        <v>0.99886459999999999</v>
      </c>
      <c r="X948" s="81">
        <f t="shared" si="426"/>
        <v>0.99886459999999999</v>
      </c>
      <c r="Y948" s="81">
        <f t="shared" si="427"/>
        <v>0</v>
      </c>
      <c r="Z948" s="79"/>
      <c r="AF948" s="79"/>
      <c r="AJ948" s="66"/>
      <c r="AK948" s="65"/>
    </row>
    <row r="949" spans="1:37" hidden="1">
      <c r="W949" s="81" t="str">
        <f t="shared" si="425"/>
        <v xml:space="preserve"> </v>
      </c>
      <c r="X949" s="81" t="str">
        <f t="shared" si="426"/>
        <v xml:space="preserve"> </v>
      </c>
      <c r="Y949" s="81" t="str">
        <f t="shared" si="427"/>
        <v xml:space="preserve"> </v>
      </c>
      <c r="AJ949" s="66"/>
      <c r="AK949" s="65"/>
    </row>
    <row r="950" spans="1:37" hidden="1">
      <c r="B950" s="66" t="s">
        <v>456</v>
      </c>
      <c r="C950" s="79"/>
      <c r="D950" s="79"/>
      <c r="E950" s="79"/>
      <c r="F950" s="79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U950" s="80"/>
      <c r="W950" s="81" t="str">
        <f t="shared" si="425"/>
        <v xml:space="preserve"> </v>
      </c>
      <c r="X950" s="81" t="str">
        <f t="shared" si="426"/>
        <v xml:space="preserve"> </v>
      </c>
      <c r="Y950" s="81" t="str">
        <f t="shared" si="427"/>
        <v xml:space="preserve"> </v>
      </c>
      <c r="Z950" s="79"/>
      <c r="AF950" s="79"/>
      <c r="AJ950" s="66"/>
      <c r="AK950" s="70"/>
    </row>
    <row r="951" spans="1:37" hidden="1">
      <c r="A951" s="65">
        <f>A948+1</f>
        <v>114</v>
      </c>
      <c r="B951" s="66" t="s">
        <v>39</v>
      </c>
      <c r="C951" s="79">
        <f>ROUND((C$942-$S942)/(C$942+C$943-$S942-$S943)*(C953-$S953),0)</f>
        <v>1998</v>
      </c>
      <c r="D951" s="79">
        <f>C951-E951-SUM(G951:I951)-SUM(M951:N951)-R951-S951</f>
        <v>1159</v>
      </c>
      <c r="E951" s="79">
        <f>ROUND((E$942/($C$942+$C$943-$S942-$S943)*($C953-$S953)),0)</f>
        <v>35</v>
      </c>
      <c r="F951" s="79">
        <f>D951+E951</f>
        <v>1194</v>
      </c>
      <c r="G951" s="79">
        <f t="shared" ref="G951:L951" si="445">ROUND((G$942/($C$942+$C$943-$S942-$S943)*($C953-$S953)),0)</f>
        <v>61</v>
      </c>
      <c r="H951" s="79">
        <f t="shared" si="445"/>
        <v>467</v>
      </c>
      <c r="I951" s="79">
        <f t="shared" si="445"/>
        <v>176</v>
      </c>
      <c r="J951" s="79">
        <f t="shared" si="445"/>
        <v>59</v>
      </c>
      <c r="K951" s="79">
        <f t="shared" si="445"/>
        <v>9</v>
      </c>
      <c r="L951" s="79">
        <f t="shared" si="445"/>
        <v>3</v>
      </c>
      <c r="M951" s="79">
        <f>SUM(J951:L951)</f>
        <v>71</v>
      </c>
      <c r="N951" s="79">
        <f>ROUND((N$942/($C$942+$C$943-$S942-$S943)*($C953-$S953)),0)</f>
        <v>24</v>
      </c>
      <c r="O951" s="79">
        <f>SUM(F951:I951)+SUM(M951:N951)</f>
        <v>1993</v>
      </c>
      <c r="P951" s="79">
        <f>ROUND((P$942/($C$942+$C$943-$S942-$S943)*($C953-$S953)),0)</f>
        <v>5</v>
      </c>
      <c r="Q951" s="79">
        <f>ROUND((Q$942/($C$942+$C$943-$S942-$S943)*($C953-$S953)),0)</f>
        <v>0</v>
      </c>
      <c r="R951" s="78">
        <f>P951+Q951</f>
        <v>5</v>
      </c>
      <c r="S951" s="79">
        <v>0</v>
      </c>
      <c r="U951" s="80">
        <f>O951+R951+S951-C951</f>
        <v>0</v>
      </c>
      <c r="W951" s="81">
        <f t="shared" si="425"/>
        <v>0.99749750000000004</v>
      </c>
      <c r="X951" s="81">
        <f t="shared" si="426"/>
        <v>0.99749750000000004</v>
      </c>
      <c r="Y951" s="81">
        <f t="shared" si="427"/>
        <v>0</v>
      </c>
      <c r="Z951" s="79"/>
      <c r="AF951" s="79"/>
      <c r="AJ951" s="66"/>
    </row>
    <row r="952" spans="1:37" hidden="1">
      <c r="A952" s="65">
        <f>A951+1</f>
        <v>115</v>
      </c>
      <c r="B952" s="66" t="s">
        <v>44</v>
      </c>
      <c r="C952" s="79">
        <f>ROUND((C$943-$S943)/(C$942+C$943-$S942-$S943)*(C953-$S953),0)</f>
        <v>2800</v>
      </c>
      <c r="D952" s="79">
        <f>C952-E952-SUM(G952:I952)-SUM(M952:N952)-R952-S952</f>
        <v>1977</v>
      </c>
      <c r="E952" s="79">
        <f>ROUND((E$943/($C$942+$C$943-$S942-$S943)*($C953-$S953)),0)</f>
        <v>47</v>
      </c>
      <c r="F952" s="79">
        <f>D952+E952</f>
        <v>2024</v>
      </c>
      <c r="G952" s="79">
        <f t="shared" ref="G952:L952" si="446">ROUND((G$943/($C$942+$C$943-$S942-$S943)*($C953-$S953)),0)</f>
        <v>248</v>
      </c>
      <c r="H952" s="79">
        <f t="shared" si="446"/>
        <v>205</v>
      </c>
      <c r="I952" s="79">
        <f t="shared" si="446"/>
        <v>14</v>
      </c>
      <c r="J952" s="79">
        <f t="shared" si="446"/>
        <v>1</v>
      </c>
      <c r="K952" s="79">
        <f t="shared" si="446"/>
        <v>0</v>
      </c>
      <c r="L952" s="79">
        <f t="shared" si="446"/>
        <v>0</v>
      </c>
      <c r="M952" s="79">
        <f>SUM(J952:L952)</f>
        <v>1</v>
      </c>
      <c r="N952" s="79">
        <f>ROUND((N$943/($C$942+$C$943-$S942-$S943)*($C953-$S953)),0)</f>
        <v>308</v>
      </c>
      <c r="O952" s="79">
        <f>SUM(F952:I952)+SUM(M952:N952)</f>
        <v>2800</v>
      </c>
      <c r="P952" s="79">
        <f>ROUND((P$943/($C$942+$C$943-$S942-$S943)*($C953-$S953)),0)</f>
        <v>0</v>
      </c>
      <c r="Q952" s="79">
        <f>ROUND((Q$943/($C$942+$C$943-$S942-$S943)*($C953-$S953)),0)</f>
        <v>0</v>
      </c>
      <c r="R952" s="78">
        <f>P952+Q952</f>
        <v>0</v>
      </c>
      <c r="S952" s="79">
        <v>0</v>
      </c>
      <c r="U952" s="80">
        <f>O952+R952+S952-C952</f>
        <v>0</v>
      </c>
      <c r="W952" s="81">
        <f t="shared" si="425"/>
        <v>1</v>
      </c>
      <c r="X952" s="81">
        <f t="shared" si="426"/>
        <v>1</v>
      </c>
      <c r="Y952" s="81">
        <f t="shared" si="427"/>
        <v>0</v>
      </c>
      <c r="Z952" s="79"/>
      <c r="AF952" s="79"/>
      <c r="AJ952" s="66"/>
      <c r="AK952" s="70"/>
    </row>
    <row r="953" spans="1:37" hidden="1">
      <c r="A953" s="65">
        <f>A952+1</f>
        <v>116</v>
      </c>
      <c r="B953" s="66" t="s">
        <v>457</v>
      </c>
      <c r="C953" s="78">
        <f>4821-23</f>
        <v>4798</v>
      </c>
      <c r="D953" s="79">
        <f>D951+D952</f>
        <v>3136</v>
      </c>
      <c r="E953" s="79">
        <f>E951+E952</f>
        <v>82</v>
      </c>
      <c r="F953" s="79">
        <f>D953+E953</f>
        <v>3218</v>
      </c>
      <c r="G953" s="79">
        <f t="shared" ref="G953:L953" si="447">G951+G952</f>
        <v>309</v>
      </c>
      <c r="H953" s="79">
        <f t="shared" si="447"/>
        <v>672</v>
      </c>
      <c r="I953" s="79">
        <f t="shared" si="447"/>
        <v>190</v>
      </c>
      <c r="J953" s="79">
        <f t="shared" si="447"/>
        <v>60</v>
      </c>
      <c r="K953" s="79">
        <f t="shared" si="447"/>
        <v>9</v>
      </c>
      <c r="L953" s="79">
        <f t="shared" si="447"/>
        <v>3</v>
      </c>
      <c r="M953" s="79">
        <f>SUM(J953:L953)</f>
        <v>72</v>
      </c>
      <c r="N953" s="79">
        <f>N951+N952</f>
        <v>332</v>
      </c>
      <c r="O953" s="79">
        <f>SUM(F953:I953)+SUM(M953:N953)</f>
        <v>4793</v>
      </c>
      <c r="P953" s="79">
        <f>P951+P952</f>
        <v>5</v>
      </c>
      <c r="Q953" s="79">
        <f>Q951+Q952</f>
        <v>0</v>
      </c>
      <c r="R953" s="78">
        <f>P953+Q953</f>
        <v>5</v>
      </c>
      <c r="S953" s="79">
        <f>S951+S952</f>
        <v>0</v>
      </c>
      <c r="U953" s="80">
        <f>O953+R953+S953-C953</f>
        <v>0</v>
      </c>
      <c r="W953" s="81">
        <f t="shared" si="425"/>
        <v>0.99895789999999995</v>
      </c>
      <c r="X953" s="81">
        <f t="shared" si="426"/>
        <v>0.99895789999999995</v>
      </c>
      <c r="Y953" s="81">
        <f t="shared" si="427"/>
        <v>0</v>
      </c>
      <c r="Z953" s="79"/>
      <c r="AF953" s="79"/>
      <c r="AJ953" s="66"/>
      <c r="AK953" s="65"/>
    </row>
    <row r="954" spans="1:37" hidden="1">
      <c r="W954" s="81" t="str">
        <f t="shared" si="425"/>
        <v xml:space="preserve"> </v>
      </c>
      <c r="X954" s="81" t="str">
        <f t="shared" si="426"/>
        <v xml:space="preserve"> </v>
      </c>
      <c r="Y954" s="81" t="str">
        <f t="shared" si="427"/>
        <v xml:space="preserve"> </v>
      </c>
      <c r="AJ954" s="66"/>
      <c r="AK954" s="70"/>
    </row>
    <row r="955" spans="1:37" hidden="1">
      <c r="B955" s="66" t="s">
        <v>458</v>
      </c>
      <c r="D955" s="92"/>
      <c r="F955" s="92"/>
      <c r="P955" s="79"/>
      <c r="Q955" s="79"/>
      <c r="R955" s="79"/>
      <c r="S955" s="79"/>
      <c r="W955" s="81" t="str">
        <f t="shared" si="425"/>
        <v xml:space="preserve"> </v>
      </c>
      <c r="X955" s="81" t="str">
        <f t="shared" si="426"/>
        <v xml:space="preserve"> </v>
      </c>
      <c r="Y955" s="81" t="str">
        <f t="shared" si="427"/>
        <v xml:space="preserve"> </v>
      </c>
      <c r="AF955" s="79"/>
      <c r="AJ955" s="66"/>
      <c r="AK955" s="65"/>
    </row>
    <row r="956" spans="1:37" hidden="1">
      <c r="A956" s="65">
        <f>A953+1</f>
        <v>117</v>
      </c>
      <c r="B956" s="66" t="s">
        <v>220</v>
      </c>
      <c r="C956" s="79">
        <f>ROUND((C$942-$S942)/(C$942+C$943-$S942-$S943)*(C958-$S958),0)</f>
        <v>9</v>
      </c>
      <c r="D956" s="79">
        <f>C956-E956-SUM(G956:I956)-SUM(M956:N956)-R956-S956</f>
        <v>6</v>
      </c>
      <c r="E956" s="79">
        <f>ROUND((E$942/($C$942+$C$943-$S942-$S943)*($C958-$S958)),0)</f>
        <v>0</v>
      </c>
      <c r="F956" s="79">
        <f>D956+E956</f>
        <v>6</v>
      </c>
      <c r="G956" s="79">
        <f t="shared" ref="G956:L956" si="448">ROUND((G$942/($C$942+$C$943-$S942-$S943)*($C958-$S958)),0)</f>
        <v>0</v>
      </c>
      <c r="H956" s="79">
        <f t="shared" si="448"/>
        <v>2</v>
      </c>
      <c r="I956" s="79">
        <f t="shared" si="448"/>
        <v>1</v>
      </c>
      <c r="J956" s="79">
        <f t="shared" si="448"/>
        <v>0</v>
      </c>
      <c r="K956" s="79">
        <f t="shared" si="448"/>
        <v>0</v>
      </c>
      <c r="L956" s="79">
        <f t="shared" si="448"/>
        <v>0</v>
      </c>
      <c r="M956" s="79">
        <f>SUM(J956:L956)</f>
        <v>0</v>
      </c>
      <c r="N956" s="79">
        <f>ROUND((N$942/($C$942+$C$943-$S942-$S943)*($C958-$S958)),0)</f>
        <v>0</v>
      </c>
      <c r="O956" s="79">
        <f>SUM(F956:I956)+SUM(M956:N956)</f>
        <v>9</v>
      </c>
      <c r="P956" s="79">
        <f>ROUND((P$942/($C$942+$C$943-$S942-$S943)*($C958-$S958)),0)</f>
        <v>0</v>
      </c>
      <c r="Q956" s="79">
        <f>ROUND((Q$942/($C$942+$C$943-$S942-$S943)*($C958-$S958)),0)</f>
        <v>0</v>
      </c>
      <c r="R956" s="78">
        <f>P956+Q956</f>
        <v>0</v>
      </c>
      <c r="S956" s="79">
        <v>0</v>
      </c>
      <c r="U956" s="80">
        <f>O956+R956+S956-C956</f>
        <v>0</v>
      </c>
      <c r="W956" s="81">
        <f t="shared" si="425"/>
        <v>1</v>
      </c>
      <c r="X956" s="81">
        <f t="shared" si="426"/>
        <v>1</v>
      </c>
      <c r="Y956" s="81">
        <f t="shared" si="427"/>
        <v>0</v>
      </c>
      <c r="Z956" s="79"/>
      <c r="AF956" s="79"/>
      <c r="AJ956" s="66"/>
      <c r="AK956" s="70"/>
    </row>
    <row r="957" spans="1:37" hidden="1">
      <c r="A957" s="65">
        <f>A956+1</f>
        <v>118</v>
      </c>
      <c r="B957" s="66" t="s">
        <v>221</v>
      </c>
      <c r="C957" s="79">
        <f>ROUND((C$943-$S943)/(C$942+C$943-$S942-$S943)*(C958-$S958),0)</f>
        <v>13</v>
      </c>
      <c r="D957" s="79">
        <f>C957-E957-SUM(G957:I957)-SUM(M957:N957)-R957-S957</f>
        <v>10</v>
      </c>
      <c r="E957" s="79">
        <f>ROUND((E$943/($C$942+$C$943-$S942-$S943)*($C958-$S958)),0)</f>
        <v>0</v>
      </c>
      <c r="F957" s="79">
        <f>D957+E957</f>
        <v>10</v>
      </c>
      <c r="G957" s="79">
        <f t="shared" ref="G957:L957" si="449">ROUND((G$943/($C$942+$C$943-$S942-$S943)*($C958-$S958)),0)</f>
        <v>1</v>
      </c>
      <c r="H957" s="79">
        <f t="shared" si="449"/>
        <v>1</v>
      </c>
      <c r="I957" s="79">
        <f t="shared" si="449"/>
        <v>0</v>
      </c>
      <c r="J957" s="79">
        <f t="shared" si="449"/>
        <v>0</v>
      </c>
      <c r="K957" s="79">
        <f t="shared" si="449"/>
        <v>0</v>
      </c>
      <c r="L957" s="79">
        <f t="shared" si="449"/>
        <v>0</v>
      </c>
      <c r="M957" s="79">
        <f>SUM(J957:L957)</f>
        <v>0</v>
      </c>
      <c r="N957" s="79">
        <f>ROUND((N$943/($C$942+$C$943-$S942-$S943)*($C958-$S958)),0)</f>
        <v>1</v>
      </c>
      <c r="O957" s="79">
        <f>SUM(F957:I957)+SUM(M957:N957)</f>
        <v>13</v>
      </c>
      <c r="P957" s="79">
        <f>ROUND((P$943/($C$942+$C$943-$S942-$S943)*($C958-$S958)),0)</f>
        <v>0</v>
      </c>
      <c r="Q957" s="79">
        <f>ROUND((Q$943/($C$942+$C$943-$S942-$S943)*($C958-$S958)),0)</f>
        <v>0</v>
      </c>
      <c r="R957" s="78">
        <f>P957+Q957</f>
        <v>0</v>
      </c>
      <c r="S957" s="79">
        <v>0</v>
      </c>
      <c r="U957" s="80">
        <f>O957+R957+S957-C957</f>
        <v>0</v>
      </c>
      <c r="W957" s="81">
        <f t="shared" si="425"/>
        <v>1</v>
      </c>
      <c r="X957" s="81">
        <f t="shared" si="426"/>
        <v>1</v>
      </c>
      <c r="Y957" s="81">
        <f t="shared" si="427"/>
        <v>0</v>
      </c>
      <c r="Z957" s="79"/>
      <c r="AF957" s="79"/>
      <c r="AJ957" s="66"/>
      <c r="AK957" s="65"/>
    </row>
    <row r="958" spans="1:37" hidden="1">
      <c r="A958" s="65">
        <f>A957+1</f>
        <v>119</v>
      </c>
      <c r="B958" s="66" t="s">
        <v>459</v>
      </c>
      <c r="C958" s="78">
        <v>22</v>
      </c>
      <c r="D958" s="79">
        <f>D956+D957</f>
        <v>16</v>
      </c>
      <c r="E958" s="79">
        <f>E956+E957</f>
        <v>0</v>
      </c>
      <c r="F958" s="79">
        <f>D958+E958</f>
        <v>16</v>
      </c>
      <c r="G958" s="79">
        <f t="shared" ref="G958:L958" si="450">G956+G957</f>
        <v>1</v>
      </c>
      <c r="H958" s="79">
        <f t="shared" si="450"/>
        <v>3</v>
      </c>
      <c r="I958" s="79">
        <f t="shared" si="450"/>
        <v>1</v>
      </c>
      <c r="J958" s="79">
        <f t="shared" si="450"/>
        <v>0</v>
      </c>
      <c r="K958" s="79">
        <f t="shared" si="450"/>
        <v>0</v>
      </c>
      <c r="L958" s="79">
        <f t="shared" si="450"/>
        <v>0</v>
      </c>
      <c r="M958" s="79">
        <f>SUM(J958:L958)</f>
        <v>0</v>
      </c>
      <c r="N958" s="79">
        <f>N956+N957</f>
        <v>1</v>
      </c>
      <c r="O958" s="79">
        <f>SUM(F958:I958)+SUM(M958:N958)</f>
        <v>22</v>
      </c>
      <c r="P958" s="79">
        <f>P956+P957</f>
        <v>0</v>
      </c>
      <c r="Q958" s="79">
        <f>Q956+Q957</f>
        <v>0</v>
      </c>
      <c r="R958" s="78">
        <f>P958+Q958</f>
        <v>0</v>
      </c>
      <c r="S958" s="79">
        <f>S956+S957</f>
        <v>0</v>
      </c>
      <c r="U958" s="80">
        <f>O958+R958+S958-C958</f>
        <v>0</v>
      </c>
      <c r="W958" s="81">
        <f t="shared" si="425"/>
        <v>1</v>
      </c>
      <c r="X958" s="81">
        <f t="shared" si="426"/>
        <v>1</v>
      </c>
      <c r="Y958" s="81">
        <f t="shared" si="427"/>
        <v>0</v>
      </c>
      <c r="Z958" s="79"/>
      <c r="AF958" s="79"/>
      <c r="AJ958" s="66"/>
      <c r="AK958" s="65"/>
    </row>
    <row r="959" spans="1:37" hidden="1">
      <c r="C959" s="79"/>
      <c r="D959" s="79"/>
      <c r="E959" s="79"/>
      <c r="F959" s="79"/>
      <c r="G959" s="79"/>
      <c r="H959" s="79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U959" s="80"/>
      <c r="W959" s="81" t="str">
        <f t="shared" si="425"/>
        <v xml:space="preserve"> </v>
      </c>
      <c r="X959" s="81" t="str">
        <f t="shared" si="426"/>
        <v xml:space="preserve"> </v>
      </c>
      <c r="Y959" s="81" t="str">
        <f t="shared" si="427"/>
        <v xml:space="preserve"> </v>
      </c>
      <c r="Z959" s="79"/>
      <c r="AJ959" s="66"/>
      <c r="AK959" s="65"/>
    </row>
    <row r="960" spans="1:37" hidden="1">
      <c r="A960" s="65">
        <f>A958+1</f>
        <v>120</v>
      </c>
      <c r="B960" s="66" t="s">
        <v>460</v>
      </c>
      <c r="C960" s="79">
        <f>O960+R960+S960</f>
        <v>20854.000500000002</v>
      </c>
      <c r="D960" s="79">
        <f>D948+D953+D958+D943+D942</f>
        <v>13630.95</v>
      </c>
      <c r="E960" s="79">
        <f>E948+E953+E958+E943+E942</f>
        <v>357.0505</v>
      </c>
      <c r="F960" s="79">
        <f>D960+E960</f>
        <v>13988.0005</v>
      </c>
      <c r="G960" s="79">
        <f t="shared" ref="G960:L960" si="451">G948+G953+G958+G943+G942</f>
        <v>1342</v>
      </c>
      <c r="H960" s="79">
        <f t="shared" si="451"/>
        <v>2921</v>
      </c>
      <c r="I960" s="79">
        <f t="shared" si="451"/>
        <v>826</v>
      </c>
      <c r="J960" s="79">
        <f t="shared" si="451"/>
        <v>260</v>
      </c>
      <c r="K960" s="79">
        <f t="shared" si="451"/>
        <v>38</v>
      </c>
      <c r="L960" s="79">
        <f t="shared" si="451"/>
        <v>13</v>
      </c>
      <c r="M960" s="79">
        <f>SUM(J960:L960)</f>
        <v>311</v>
      </c>
      <c r="N960" s="79">
        <f>N948+N953+N958+N943+N942</f>
        <v>1443</v>
      </c>
      <c r="O960" s="79">
        <f>SUM(F960:I960)+SUM(M960:N960)</f>
        <v>20831.000500000002</v>
      </c>
      <c r="P960" s="79">
        <f>P948+P953+P958+P943+P942</f>
        <v>21</v>
      </c>
      <c r="Q960" s="79">
        <f>Q948+Q953+Q958+Q943+Q942</f>
        <v>2</v>
      </c>
      <c r="R960" s="78">
        <f>P960+Q960</f>
        <v>23</v>
      </c>
      <c r="S960" s="79">
        <f>S948+S953+S958+S943+S942</f>
        <v>0</v>
      </c>
      <c r="U960" s="80">
        <f>O960+R960+S960-C960</f>
        <v>0</v>
      </c>
      <c r="W960" s="81">
        <f t="shared" si="425"/>
        <v>0.99889709999999998</v>
      </c>
      <c r="X960" s="81">
        <f t="shared" si="426"/>
        <v>0.99889709999999998</v>
      </c>
      <c r="Y960" s="81">
        <f t="shared" si="427"/>
        <v>0</v>
      </c>
      <c r="Z960" s="79"/>
      <c r="AF960" s="79"/>
      <c r="AJ960" s="66"/>
      <c r="AK960" s="70"/>
    </row>
    <row r="961" spans="1:37" hidden="1">
      <c r="A961" s="66"/>
      <c r="U961" s="66"/>
      <c r="V961" s="66"/>
      <c r="W961" s="81" t="str">
        <f t="shared" si="425"/>
        <v xml:space="preserve"> </v>
      </c>
      <c r="X961" s="81" t="str">
        <f t="shared" si="426"/>
        <v xml:space="preserve"> </v>
      </c>
      <c r="Y961" s="81" t="str">
        <f t="shared" si="427"/>
        <v xml:space="preserve"> </v>
      </c>
      <c r="AF961" s="79"/>
      <c r="AJ961" s="66"/>
      <c r="AK961" s="70"/>
    </row>
    <row r="962" spans="1:37" hidden="1">
      <c r="B962" s="66" t="s">
        <v>430</v>
      </c>
      <c r="C962" s="79"/>
      <c r="D962" s="79"/>
      <c r="E962" s="79"/>
      <c r="F962" s="79"/>
      <c r="G962" s="79"/>
      <c r="H962" s="79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U962" s="80"/>
      <c r="W962" s="81" t="str">
        <f t="shared" si="425"/>
        <v xml:space="preserve"> </v>
      </c>
      <c r="X962" s="81" t="str">
        <f t="shared" si="426"/>
        <v xml:space="preserve"> </v>
      </c>
      <c r="Y962" s="81" t="str">
        <f t="shared" si="427"/>
        <v xml:space="preserve"> </v>
      </c>
      <c r="Z962" s="79"/>
      <c r="AF962" s="79"/>
      <c r="AJ962" s="66"/>
      <c r="AK962" s="65"/>
    </row>
    <row r="963" spans="1:37" hidden="1">
      <c r="A963" s="65">
        <f>A960+1</f>
        <v>121</v>
      </c>
      <c r="B963" s="66" t="s">
        <v>461</v>
      </c>
      <c r="C963" s="78">
        <f>2098-1960</f>
        <v>138</v>
      </c>
      <c r="D963" s="79">
        <f>C963-E963-SUM(G963:I963)-SUM(M963:N963)-R963-S963</f>
        <v>72</v>
      </c>
      <c r="E963" s="79">
        <f>ROUND((E$102/($C$102-$S102))*($C963-$S963),0)</f>
        <v>2</v>
      </c>
      <c r="F963" s="79">
        <f>D963+E963</f>
        <v>74</v>
      </c>
      <c r="G963" s="79">
        <f t="shared" ref="G963:L963" si="452">ROUND((G$102/($C$102-$S102))*($C963-$S963),0)</f>
        <v>4</v>
      </c>
      <c r="H963" s="79">
        <f t="shared" si="452"/>
        <v>29</v>
      </c>
      <c r="I963" s="79">
        <f t="shared" si="452"/>
        <v>16</v>
      </c>
      <c r="J963" s="79">
        <f t="shared" si="452"/>
        <v>10</v>
      </c>
      <c r="K963" s="79">
        <f t="shared" si="452"/>
        <v>1</v>
      </c>
      <c r="L963" s="79">
        <f t="shared" si="452"/>
        <v>0</v>
      </c>
      <c r="M963" s="79">
        <f>SUM(J963:L963)</f>
        <v>11</v>
      </c>
      <c r="N963" s="79">
        <f>ROUND((N$102/($C$102-$S102))*($C963-$S963),0)</f>
        <v>1</v>
      </c>
      <c r="O963" s="79">
        <f>SUM(F963:I963)+SUM(M963:N963)</f>
        <v>135</v>
      </c>
      <c r="P963" s="79">
        <f>ROUND((P$102/($C$102-$S102))*($C963-$S963),0)</f>
        <v>3</v>
      </c>
      <c r="Q963" s="79">
        <f>ROUND((Q$102/($C$102-$S102))*($C963-$S963),0)</f>
        <v>0</v>
      </c>
      <c r="R963" s="78">
        <f>P963+Q963</f>
        <v>3</v>
      </c>
      <c r="S963" s="79">
        <v>0</v>
      </c>
      <c r="U963" s="80">
        <f>O963+R963+S963-C963</f>
        <v>0</v>
      </c>
      <c r="W963" s="81">
        <f t="shared" si="425"/>
        <v>0.97826089999999999</v>
      </c>
      <c r="X963" s="81">
        <f t="shared" si="426"/>
        <v>0.97826089999999999</v>
      </c>
      <c r="Y963" s="81">
        <f t="shared" si="427"/>
        <v>0</v>
      </c>
      <c r="Z963" s="79"/>
      <c r="AF963" s="79"/>
      <c r="AJ963" s="66"/>
      <c r="AK963" s="65"/>
    </row>
    <row r="964" spans="1:37" hidden="1">
      <c r="W964" s="81" t="str">
        <f t="shared" si="425"/>
        <v xml:space="preserve"> </v>
      </c>
      <c r="X964" s="81" t="str">
        <f t="shared" si="426"/>
        <v xml:space="preserve"> </v>
      </c>
      <c r="Y964" s="81" t="str">
        <f t="shared" si="427"/>
        <v xml:space="preserve"> </v>
      </c>
      <c r="AF964" s="79"/>
      <c r="AJ964" s="66"/>
      <c r="AK964" s="65"/>
    </row>
    <row r="965" spans="1:37" hidden="1">
      <c r="A965" s="65">
        <f>A963+1</f>
        <v>122</v>
      </c>
      <c r="B965" s="66" t="s">
        <v>462</v>
      </c>
      <c r="C965" s="78">
        <v>1083</v>
      </c>
      <c r="D965" s="79">
        <f>C965-E965-SUM(G965:I965)-SUM(M965:N965)-R965-S965</f>
        <v>570</v>
      </c>
      <c r="E965" s="79">
        <f>ROUND((E$108/($C$108-$S108))*($C965-$S965),0)</f>
        <v>15</v>
      </c>
      <c r="F965" s="79">
        <f>D965+E965</f>
        <v>585</v>
      </c>
      <c r="G965" s="79">
        <f t="shared" ref="G965:L965" si="453">ROUND((G$108/($C$108-$S108))*($C965-$S965),0)</f>
        <v>29</v>
      </c>
      <c r="H965" s="79">
        <f t="shared" si="453"/>
        <v>231</v>
      </c>
      <c r="I965" s="79">
        <f t="shared" si="453"/>
        <v>120</v>
      </c>
      <c r="J965" s="79">
        <f t="shared" si="453"/>
        <v>82</v>
      </c>
      <c r="K965" s="79">
        <f t="shared" si="453"/>
        <v>4</v>
      </c>
      <c r="L965" s="79">
        <f t="shared" si="453"/>
        <v>2</v>
      </c>
      <c r="M965" s="79">
        <f>SUM(J965:L965)</f>
        <v>88</v>
      </c>
      <c r="N965" s="79">
        <f>ROUND((N$108/($C$108-$S108))*($C965-$S965),0)</f>
        <v>5</v>
      </c>
      <c r="O965" s="79">
        <f>SUM(F965:I965)+SUM(M965:N965)</f>
        <v>1058</v>
      </c>
      <c r="P965" s="79">
        <f>ROUND((P$108/($C$108-$S108))*($C965-$S965),0)</f>
        <v>23</v>
      </c>
      <c r="Q965" s="79">
        <f>ROUND((Q$108/($C$108-$S108))*($C965-$S965),0)</f>
        <v>2</v>
      </c>
      <c r="R965" s="78">
        <f>P965+Q965</f>
        <v>25</v>
      </c>
      <c r="S965" s="79">
        <v>0</v>
      </c>
      <c r="U965" s="80">
        <f>O965+R965+S965-C965</f>
        <v>0</v>
      </c>
      <c r="W965" s="81">
        <f t="shared" si="425"/>
        <v>0.97691600000000001</v>
      </c>
      <c r="X965" s="81">
        <f t="shared" si="426"/>
        <v>0.97691600000000001</v>
      </c>
      <c r="Y965" s="81">
        <f t="shared" si="427"/>
        <v>0</v>
      </c>
      <c r="Z965" s="79"/>
      <c r="AF965" s="79"/>
      <c r="AJ965" s="66"/>
      <c r="AK965" s="65"/>
    </row>
    <row r="966" spans="1:37" hidden="1">
      <c r="B966" s="72"/>
      <c r="C966" s="79"/>
      <c r="H966" s="65" t="s">
        <v>80</v>
      </c>
      <c r="I966" s="79"/>
      <c r="J966" s="79"/>
      <c r="K966" s="79"/>
      <c r="L966" s="79"/>
      <c r="M966" s="79"/>
      <c r="Q966" s="65" t="s">
        <v>80</v>
      </c>
      <c r="R966" s="79"/>
      <c r="S966" s="65"/>
      <c r="W966" s="81"/>
      <c r="X966" s="81"/>
      <c r="Y966" s="81"/>
      <c r="Z966" s="65"/>
      <c r="AJ966" s="66"/>
      <c r="AK966" s="65"/>
    </row>
    <row r="967" spans="1:37" hidden="1">
      <c r="C967" s="79"/>
      <c r="H967" s="70" t="str">
        <f>$H$24</f>
        <v>12 MONTHS ENDING DECEMBER 31, 2012</v>
      </c>
      <c r="I967" s="79"/>
      <c r="J967" s="79"/>
      <c r="K967" s="79"/>
      <c r="L967" s="79"/>
      <c r="M967" s="79"/>
      <c r="Q967" s="70" t="str">
        <f>$H$24</f>
        <v>12 MONTHS ENDING DECEMBER 31, 2012</v>
      </c>
      <c r="S967" s="79"/>
      <c r="U967" s="80"/>
      <c r="X967" s="81"/>
      <c r="Y967" s="81"/>
      <c r="Z967" s="70"/>
      <c r="AF967" s="79"/>
      <c r="AJ967" s="66"/>
      <c r="AK967" s="70"/>
    </row>
    <row r="968" spans="1:37" hidden="1">
      <c r="C968" s="79"/>
      <c r="H968" s="70" t="str">
        <f>$H$25</f>
        <v>12/13 DEMAND ALLOCATION WITH MDS METHODOLOGY</v>
      </c>
      <c r="Q968" s="70" t="str">
        <f>$H$25</f>
        <v>12/13 DEMAND ALLOCATION WITH MDS METHODOLOGY</v>
      </c>
      <c r="S968" s="79"/>
      <c r="X968" s="81"/>
      <c r="Y968" s="81"/>
      <c r="Z968" s="70"/>
      <c r="AF968" s="79"/>
      <c r="AJ968" s="66"/>
      <c r="AK968" s="70"/>
    </row>
    <row r="969" spans="1:37" hidden="1">
      <c r="C969" s="79"/>
      <c r="H969" s="87" t="s">
        <v>104</v>
      </c>
      <c r="I969" s="79"/>
      <c r="J969" s="79"/>
      <c r="K969" s="79"/>
      <c r="L969" s="79"/>
      <c r="M969" s="79"/>
      <c r="Q969" s="87" t="s">
        <v>104</v>
      </c>
      <c r="S969" s="79"/>
      <c r="U969" s="80"/>
      <c r="X969" s="81"/>
      <c r="Y969" s="81"/>
      <c r="Z969" s="87"/>
      <c r="AF969" s="79"/>
      <c r="AJ969" s="66"/>
      <c r="AK969" s="65"/>
    </row>
    <row r="970" spans="1:37" hidden="1">
      <c r="C970" s="79"/>
      <c r="H970" s="87" t="s">
        <v>114</v>
      </c>
      <c r="J970" s="79"/>
      <c r="K970" s="79"/>
      <c r="L970" s="79"/>
      <c r="M970" s="79"/>
      <c r="N970" s="79"/>
      <c r="Q970" s="87" t="s">
        <v>114</v>
      </c>
      <c r="S970" s="79"/>
      <c r="U970" s="80"/>
      <c r="X970" s="81"/>
      <c r="Y970" s="81"/>
      <c r="Z970" s="87"/>
      <c r="AF970" s="79"/>
      <c r="AJ970" s="66"/>
      <c r="AK970" s="65"/>
    </row>
    <row r="971" spans="1:37" hidden="1">
      <c r="C971" s="65" t="s">
        <v>59</v>
      </c>
      <c r="K971" s="65"/>
      <c r="L971" s="65"/>
      <c r="M971" s="65"/>
      <c r="O971" s="65" t="s">
        <v>59</v>
      </c>
      <c r="P971" s="65"/>
      <c r="Q971" s="65"/>
      <c r="R971" s="65"/>
      <c r="S971" s="65" t="s">
        <v>115</v>
      </c>
      <c r="W971" s="76" t="s">
        <v>116</v>
      </c>
      <c r="X971" s="76" t="s">
        <v>116</v>
      </c>
      <c r="Y971" s="76" t="s">
        <v>117</v>
      </c>
      <c r="AF971" s="65"/>
      <c r="AJ971" s="66"/>
      <c r="AK971" s="65"/>
    </row>
    <row r="972" spans="1:37" hidden="1">
      <c r="A972" s="65" t="s">
        <v>118</v>
      </c>
      <c r="C972" s="65" t="s">
        <v>58</v>
      </c>
      <c r="D972" s="70" t="s">
        <v>119</v>
      </c>
      <c r="E972" s="70" t="s">
        <v>119</v>
      </c>
      <c r="F972" s="70" t="s">
        <v>119</v>
      </c>
      <c r="G972" s="70" t="s">
        <v>119</v>
      </c>
      <c r="H972" s="70" t="s">
        <v>119</v>
      </c>
      <c r="I972" s="70" t="s">
        <v>119</v>
      </c>
      <c r="J972" s="70" t="s">
        <v>119</v>
      </c>
      <c r="K972" s="70" t="s">
        <v>119</v>
      </c>
      <c r="L972" s="70" t="s">
        <v>119</v>
      </c>
      <c r="M972" s="70" t="s">
        <v>119</v>
      </c>
      <c r="N972" s="70" t="s">
        <v>119</v>
      </c>
      <c r="O972" s="65" t="s">
        <v>116</v>
      </c>
      <c r="P972" s="65"/>
      <c r="Q972" s="70" t="s">
        <v>120</v>
      </c>
      <c r="R972" s="65"/>
      <c r="S972" s="65" t="s">
        <v>121</v>
      </c>
      <c r="W972" s="76" t="s">
        <v>122</v>
      </c>
      <c r="X972" s="76" t="s">
        <v>123</v>
      </c>
      <c r="Y972" s="76" t="s">
        <v>124</v>
      </c>
      <c r="Z972" s="65"/>
      <c r="AF972" s="70"/>
      <c r="AJ972" s="66"/>
      <c r="AK972" s="70"/>
    </row>
    <row r="973" spans="1:37" hidden="1">
      <c r="A973" s="65" t="s">
        <v>125</v>
      </c>
      <c r="B973" s="65" t="s">
        <v>126</v>
      </c>
      <c r="C973" s="65" t="s">
        <v>57</v>
      </c>
      <c r="D973" s="70" t="s">
        <v>127</v>
      </c>
      <c r="E973" s="70" t="s">
        <v>128</v>
      </c>
      <c r="F973" s="70" t="s">
        <v>129</v>
      </c>
      <c r="G973" s="70" t="s">
        <v>130</v>
      </c>
      <c r="H973" s="70" t="s">
        <v>131</v>
      </c>
      <c r="I973" s="65" t="s">
        <v>132</v>
      </c>
      <c r="J973" s="70" t="s">
        <v>133</v>
      </c>
      <c r="K973" s="70" t="s">
        <v>134</v>
      </c>
      <c r="L973" s="70" t="s">
        <v>135</v>
      </c>
      <c r="M973" s="70" t="s">
        <v>136</v>
      </c>
      <c r="N973" s="70" t="s">
        <v>137</v>
      </c>
      <c r="O973" s="65" t="s">
        <v>138</v>
      </c>
      <c r="P973" s="70" t="s">
        <v>139</v>
      </c>
      <c r="Q973" s="70" t="s">
        <v>140</v>
      </c>
      <c r="R973" s="65" t="s">
        <v>122</v>
      </c>
      <c r="S973" s="65" t="s">
        <v>141</v>
      </c>
      <c r="U973" s="65" t="s">
        <v>162</v>
      </c>
      <c r="W973" s="76" t="s">
        <v>142</v>
      </c>
      <c r="X973" s="76" t="s">
        <v>142</v>
      </c>
      <c r="Y973" s="76" t="s">
        <v>142</v>
      </c>
      <c r="Z973" s="65"/>
      <c r="AF973" s="70"/>
      <c r="AJ973" s="66"/>
      <c r="AK973" s="65"/>
    </row>
    <row r="974" spans="1:37" hidden="1">
      <c r="A974" s="65" t="s">
        <v>143</v>
      </c>
      <c r="B974" s="65" t="s">
        <v>144</v>
      </c>
      <c r="C974" s="65" t="s">
        <v>145</v>
      </c>
      <c r="D974" s="70" t="s">
        <v>146</v>
      </c>
      <c r="E974" s="70" t="s">
        <v>147</v>
      </c>
      <c r="F974" s="70" t="s">
        <v>148</v>
      </c>
      <c r="G974" s="65" t="s">
        <v>149</v>
      </c>
      <c r="H974" s="65" t="s">
        <v>150</v>
      </c>
      <c r="I974" s="65" t="s">
        <v>151</v>
      </c>
      <c r="J974" s="70" t="s">
        <v>152</v>
      </c>
      <c r="K974" s="70" t="s">
        <v>153</v>
      </c>
      <c r="L974" s="70" t="s">
        <v>154</v>
      </c>
      <c r="M974" s="70" t="s">
        <v>155</v>
      </c>
      <c r="N974" s="70" t="s">
        <v>156</v>
      </c>
      <c r="O974" s="70" t="s">
        <v>157</v>
      </c>
      <c r="P974" s="70" t="s">
        <v>158</v>
      </c>
      <c r="Q974" s="70" t="s">
        <v>159</v>
      </c>
      <c r="R974" s="70" t="s">
        <v>160</v>
      </c>
      <c r="S974" s="70" t="s">
        <v>161</v>
      </c>
      <c r="W974" s="77" t="s">
        <v>163</v>
      </c>
      <c r="X974" s="77" t="s">
        <v>164</v>
      </c>
      <c r="Y974" s="76" t="s">
        <v>165</v>
      </c>
      <c r="Z974" s="70"/>
      <c r="AF974" s="76"/>
      <c r="AJ974" s="66"/>
      <c r="AK974" s="70"/>
    </row>
    <row r="975" spans="1:37" hidden="1">
      <c r="A975" s="66"/>
      <c r="U975" s="66"/>
      <c r="V975" s="66"/>
      <c r="AJ975" s="66"/>
      <c r="AK975" s="65"/>
    </row>
    <row r="976" spans="1:37" hidden="1">
      <c r="A976" s="66"/>
      <c r="U976" s="66"/>
      <c r="V976" s="66"/>
      <c r="AJ976" s="66"/>
      <c r="AK976" s="65"/>
    </row>
    <row r="977" spans="1:37" hidden="1">
      <c r="A977" s="65">
        <f>A965+1</f>
        <v>123</v>
      </c>
      <c r="B977" s="66" t="s">
        <v>463</v>
      </c>
      <c r="C977" s="79">
        <f>C1795</f>
        <v>74</v>
      </c>
      <c r="D977" s="79">
        <f>D1795</f>
        <v>0</v>
      </c>
      <c r="E977" s="79">
        <f>E1795</f>
        <v>0</v>
      </c>
      <c r="F977" s="79">
        <f>D977+E977</f>
        <v>0</v>
      </c>
      <c r="G977" s="79">
        <f t="shared" ref="G977:L977" si="454">G1795</f>
        <v>74</v>
      </c>
      <c r="H977" s="79">
        <f t="shared" si="454"/>
        <v>0</v>
      </c>
      <c r="I977" s="79">
        <f t="shared" si="454"/>
        <v>0</v>
      </c>
      <c r="J977" s="79">
        <f t="shared" si="454"/>
        <v>0</v>
      </c>
      <c r="K977" s="79">
        <f t="shared" si="454"/>
        <v>0</v>
      </c>
      <c r="L977" s="79">
        <f t="shared" si="454"/>
        <v>0</v>
      </c>
      <c r="M977" s="79">
        <f>SUM(J977:L977)</f>
        <v>0</v>
      </c>
      <c r="N977" s="79">
        <f>N1795</f>
        <v>0</v>
      </c>
      <c r="O977" s="79">
        <f>SUM(F977:I977)+SUM(M977:N977)</f>
        <v>74</v>
      </c>
      <c r="P977" s="79">
        <v>0</v>
      </c>
      <c r="Q977" s="79">
        <v>0</v>
      </c>
      <c r="R977" s="78">
        <f>P977+Q977</f>
        <v>0</v>
      </c>
      <c r="S977" s="79">
        <v>0</v>
      </c>
      <c r="U977" s="80">
        <f>O977+R977+S977-C977</f>
        <v>0</v>
      </c>
      <c r="W977" s="81">
        <f t="shared" ref="W977:W985" si="455">IF((O977+R977)=0," ",ROUND((O977/(O977+R977)),7))</f>
        <v>1</v>
      </c>
      <c r="X977" s="81">
        <f t="shared" ref="X977:X985" si="456">IF((C977)=0," ",ROUND((O977/(C977)),7))</f>
        <v>1</v>
      </c>
      <c r="Y977" s="81">
        <f t="shared" ref="Y977:Y985" si="457">IF((C977)=0," ",ROUND((S977/(C977)),7))</f>
        <v>0</v>
      </c>
      <c r="Z977" s="79"/>
      <c r="AJ977" s="66"/>
      <c r="AK977" s="65"/>
    </row>
    <row r="978" spans="1:37" hidden="1">
      <c r="A978" s="66"/>
      <c r="U978" s="66"/>
      <c r="V978" s="66"/>
      <c r="W978" s="81" t="str">
        <f t="shared" si="455"/>
        <v xml:space="preserve"> </v>
      </c>
      <c r="X978" s="81" t="str">
        <f t="shared" si="456"/>
        <v xml:space="preserve"> </v>
      </c>
      <c r="Y978" s="81" t="str">
        <f t="shared" si="457"/>
        <v xml:space="preserve"> </v>
      </c>
      <c r="AJ978" s="66"/>
      <c r="AK978" s="65"/>
    </row>
    <row r="979" spans="1:37" hidden="1">
      <c r="B979" s="66" t="s">
        <v>464</v>
      </c>
      <c r="C979" s="79"/>
      <c r="D979" s="79"/>
      <c r="E979" s="79"/>
      <c r="F979" s="79"/>
      <c r="G979" s="79"/>
      <c r="H979" s="79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U979" s="80"/>
      <c r="W979" s="81" t="str">
        <f t="shared" si="455"/>
        <v xml:space="preserve"> </v>
      </c>
      <c r="X979" s="81" t="str">
        <f t="shared" si="456"/>
        <v xml:space="preserve"> </v>
      </c>
      <c r="Y979" s="81" t="str">
        <f t="shared" si="457"/>
        <v xml:space="preserve"> </v>
      </c>
      <c r="Z979" s="79"/>
      <c r="AJ979" s="66"/>
      <c r="AK979" s="65"/>
    </row>
    <row r="980" spans="1:37" hidden="1">
      <c r="A980" s="65">
        <f>A977+1</f>
        <v>124</v>
      </c>
      <c r="B980" s="66" t="s">
        <v>39</v>
      </c>
      <c r="C980" s="79">
        <f>ROUND(($C$111+$C$113+$C$118+$C120)/($C$115+$C$122-$S115-$S122)*($C985-$C$977-$S985-$S$977),0)</f>
        <v>7313</v>
      </c>
      <c r="D980" s="79">
        <f>C980-E980-SUM(G980:I980)-SUM(M980:N980)-R980-S980</f>
        <v>4193</v>
      </c>
      <c r="E980" s="79">
        <f>ROUND((E$111+E$113+E$118+E$120)/($C$111+$C$113+$C$118+$C$120-$S$111-$S$113-$S$118-$S$120)*($C980-$S980),0)</f>
        <v>139</v>
      </c>
      <c r="F980" s="79">
        <f>D980+E980</f>
        <v>4332</v>
      </c>
      <c r="G980" s="79">
        <f t="shared" ref="G980:L980" si="458">ROUND((G$111+G$113+G$118+G$120)/($C$111+$C$113+$C$118+$C$120-$S$111-$S$113-$S$118-$S$120)*($C980-$S980),0)</f>
        <v>224</v>
      </c>
      <c r="H980" s="79">
        <f t="shared" si="458"/>
        <v>1687</v>
      </c>
      <c r="I980" s="79">
        <f t="shared" si="458"/>
        <v>645</v>
      </c>
      <c r="J980" s="79">
        <f t="shared" si="458"/>
        <v>240</v>
      </c>
      <c r="K980" s="79">
        <f t="shared" si="458"/>
        <v>65</v>
      </c>
      <c r="L980" s="79">
        <f t="shared" si="458"/>
        <v>12</v>
      </c>
      <c r="M980" s="79">
        <f>SUM(J980:L980)</f>
        <v>317</v>
      </c>
      <c r="N980" s="79">
        <f>ROUND((N$111+N$113+N$118+N$120)/($C$111+$C$113+$C$118+$C$120-$S$111-$S$113-$S$118-$S$120)*($C980-$S980),0)</f>
        <v>108</v>
      </c>
      <c r="O980" s="79">
        <f>SUM(F980:I980)+SUM(M980:N980)</f>
        <v>7313</v>
      </c>
      <c r="P980" s="79">
        <f>ROUND((P$111+P$113+P$118+P$120)/($C$111+$C$113+$C$118+$C$120-$S$111-$S$113-$S$118-$S$120)*($C980-$S980),0)</f>
        <v>0</v>
      </c>
      <c r="Q980" s="79">
        <f>ROUND((Q$111+Q$113+Q$118+Q$120)/($C$111+$C$113+$C$118+$C$120-$S$111-$S$113-$S$118-$S$120)*($C980-$S980),0)</f>
        <v>0</v>
      </c>
      <c r="R980" s="78">
        <f>P980+Q980</f>
        <v>0</v>
      </c>
      <c r="S980" s="79">
        <v>0</v>
      </c>
      <c r="U980" s="80">
        <f t="shared" ref="U980:U985" si="459">O980+R980+S980-C980</f>
        <v>0</v>
      </c>
      <c r="W980" s="81">
        <f t="shared" si="455"/>
        <v>1</v>
      </c>
      <c r="X980" s="81">
        <f t="shared" si="456"/>
        <v>1</v>
      </c>
      <c r="Y980" s="81">
        <f t="shared" si="457"/>
        <v>0</v>
      </c>
      <c r="Z980" s="79"/>
      <c r="AJ980" s="66"/>
      <c r="AK980" s="65"/>
    </row>
    <row r="981" spans="1:37" hidden="1">
      <c r="A981" s="65">
        <f>A980+1</f>
        <v>125</v>
      </c>
      <c r="B981" s="66" t="s">
        <v>44</v>
      </c>
      <c r="C981" s="79">
        <f>C983-C980</f>
        <v>4785</v>
      </c>
      <c r="D981" s="79">
        <f>C981-E981-SUM(G981:I981)-SUM(M981:N981)-R981-S981</f>
        <v>4048</v>
      </c>
      <c r="E981" s="79">
        <f>ROUND((E$112+E$114+E$119+E$121)/($C$112+$C$114+$C$119+$C$121-$S112-$S$114-$S119-$S$121)*($C981-$S981),0)</f>
        <v>112</v>
      </c>
      <c r="F981" s="79">
        <f>D981+E981</f>
        <v>4160</v>
      </c>
      <c r="G981" s="79">
        <f t="shared" ref="G981:L981" si="460">ROUND((G$112+G$114+G$119+G$121)/($C$112+$C$114+$C$119+$C$121-$S112-$S$114-$S119-$S$121)*($C981-$S981),0)</f>
        <v>320</v>
      </c>
      <c r="H981" s="79">
        <f t="shared" si="460"/>
        <v>190</v>
      </c>
      <c r="I981" s="79">
        <f t="shared" si="460"/>
        <v>3</v>
      </c>
      <c r="J981" s="79">
        <f t="shared" si="460"/>
        <v>0</v>
      </c>
      <c r="K981" s="79">
        <f t="shared" si="460"/>
        <v>0</v>
      </c>
      <c r="L981" s="79">
        <f t="shared" si="460"/>
        <v>0</v>
      </c>
      <c r="M981" s="79">
        <f t="shared" ref="M981:M985" si="461">SUM(J981:L981)</f>
        <v>0</v>
      </c>
      <c r="N981" s="79">
        <f>ROUND((N$112+N$114+N$119+N$121)/($C$112+$C$114+$C$119+$C$121-$S112-$S$114-$S119-$S$121)*($C981-$S981),0)</f>
        <v>112</v>
      </c>
      <c r="O981" s="79">
        <f>SUM(F981:I981)+SUM(M981:N981)</f>
        <v>4785</v>
      </c>
      <c r="P981" s="79">
        <f>ROUND((P$112+P$114+P$119+P$121)/($C$112+$C$114+$C$119+$C$121-$S112-$S$114-$S119-$S$121)*($C981-$S981),0)</f>
        <v>0</v>
      </c>
      <c r="Q981" s="79">
        <f>ROUND((Q$112+Q$114+Q$119+Q$121)/($C$112+$C$114+$C$119+$C$121-$S112-$S$114-$S119-$S$121)*($C981-$S981),0)</f>
        <v>0</v>
      </c>
      <c r="R981" s="78">
        <f t="shared" ref="R981:R985" si="462">P981+Q981</f>
        <v>0</v>
      </c>
      <c r="S981" s="79">
        <v>0</v>
      </c>
      <c r="U981" s="80">
        <f t="shared" si="459"/>
        <v>0</v>
      </c>
      <c r="W981" s="81">
        <f t="shared" si="455"/>
        <v>1</v>
      </c>
      <c r="X981" s="81">
        <f t="shared" si="456"/>
        <v>1</v>
      </c>
      <c r="Y981" s="81">
        <f t="shared" si="457"/>
        <v>0</v>
      </c>
      <c r="Z981" s="79"/>
      <c r="AJ981" s="66"/>
      <c r="AK981" s="65"/>
    </row>
    <row r="982" spans="1:37" hidden="1">
      <c r="W982" s="81" t="str">
        <f t="shared" si="455"/>
        <v xml:space="preserve"> </v>
      </c>
      <c r="X982" s="81" t="str">
        <f t="shared" si="456"/>
        <v xml:space="preserve"> </v>
      </c>
      <c r="Y982" s="81" t="str">
        <f t="shared" si="457"/>
        <v xml:space="preserve"> </v>
      </c>
      <c r="AJ982" s="66"/>
      <c r="AK982" s="65"/>
    </row>
    <row r="983" spans="1:37" hidden="1">
      <c r="A983" s="65">
        <f>A981+1</f>
        <v>126</v>
      </c>
      <c r="B983" s="66" t="s">
        <v>465</v>
      </c>
      <c r="C983" s="79">
        <f>C985-C977</f>
        <v>12098</v>
      </c>
      <c r="D983" s="79">
        <f>+D980+D981</f>
        <v>8241</v>
      </c>
      <c r="E983" s="79">
        <f>+E980+E981</f>
        <v>251</v>
      </c>
      <c r="F983" s="79">
        <f>D983+E983</f>
        <v>8492</v>
      </c>
      <c r="G983" s="79">
        <f t="shared" ref="G983:L983" si="463">+G980+G981</f>
        <v>544</v>
      </c>
      <c r="H983" s="79">
        <f t="shared" si="463"/>
        <v>1877</v>
      </c>
      <c r="I983" s="79">
        <f t="shared" si="463"/>
        <v>648</v>
      </c>
      <c r="J983" s="79">
        <f t="shared" si="463"/>
        <v>240</v>
      </c>
      <c r="K983" s="79">
        <f t="shared" si="463"/>
        <v>65</v>
      </c>
      <c r="L983" s="79">
        <f t="shared" si="463"/>
        <v>12</v>
      </c>
      <c r="M983" s="79">
        <f t="shared" si="461"/>
        <v>317</v>
      </c>
      <c r="N983" s="79">
        <f>+N980+N981</f>
        <v>220</v>
      </c>
      <c r="O983" s="79">
        <f>SUM(F983:I983)+SUM(M983:N983)</f>
        <v>12098</v>
      </c>
      <c r="P983" s="79">
        <f>+P980+P981</f>
        <v>0</v>
      </c>
      <c r="Q983" s="79">
        <f>+Q980+Q981</f>
        <v>0</v>
      </c>
      <c r="R983" s="78">
        <f t="shared" si="462"/>
        <v>0</v>
      </c>
      <c r="S983" s="79">
        <f>S980+S981</f>
        <v>0</v>
      </c>
      <c r="U983" s="80">
        <f t="shared" si="459"/>
        <v>0</v>
      </c>
      <c r="W983" s="81">
        <f t="shared" si="455"/>
        <v>1</v>
      </c>
      <c r="X983" s="81">
        <f t="shared" si="456"/>
        <v>1</v>
      </c>
      <c r="Y983" s="81">
        <f t="shared" si="457"/>
        <v>0</v>
      </c>
      <c r="Z983" s="79"/>
      <c r="AJ983" s="66"/>
      <c r="AK983" s="65"/>
    </row>
    <row r="984" spans="1:37" hidden="1">
      <c r="C984" s="79"/>
      <c r="D984" s="79"/>
      <c r="E984" s="79"/>
      <c r="F984" s="79"/>
      <c r="G984" s="79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U984" s="80"/>
      <c r="W984" s="81" t="str">
        <f t="shared" si="455"/>
        <v xml:space="preserve"> </v>
      </c>
      <c r="X984" s="81" t="str">
        <f t="shared" si="456"/>
        <v xml:space="preserve"> </v>
      </c>
      <c r="Y984" s="81" t="str">
        <f t="shared" si="457"/>
        <v xml:space="preserve"> </v>
      </c>
      <c r="Z984" s="79"/>
      <c r="AJ984" s="66"/>
      <c r="AK984" s="65"/>
    </row>
    <row r="985" spans="1:37" hidden="1">
      <c r="A985" s="65">
        <f>A983+1</f>
        <v>127</v>
      </c>
      <c r="B985" s="66" t="s">
        <v>466</v>
      </c>
      <c r="C985" s="78">
        <v>12172</v>
      </c>
      <c r="D985" s="79">
        <f>D977+D983</f>
        <v>8241</v>
      </c>
      <c r="E985" s="79">
        <f>E977+E983</f>
        <v>251</v>
      </c>
      <c r="F985" s="79">
        <f>D985+E985</f>
        <v>8492</v>
      </c>
      <c r="G985" s="79">
        <f t="shared" ref="G985:L985" si="464">G977+G983</f>
        <v>618</v>
      </c>
      <c r="H985" s="79">
        <f t="shared" si="464"/>
        <v>1877</v>
      </c>
      <c r="I985" s="79">
        <f t="shared" si="464"/>
        <v>648</v>
      </c>
      <c r="J985" s="79">
        <f t="shared" si="464"/>
        <v>240</v>
      </c>
      <c r="K985" s="79">
        <f t="shared" si="464"/>
        <v>65</v>
      </c>
      <c r="L985" s="79">
        <f t="shared" si="464"/>
        <v>12</v>
      </c>
      <c r="M985" s="79">
        <f t="shared" si="461"/>
        <v>317</v>
      </c>
      <c r="N985" s="79">
        <f>N977+N983</f>
        <v>220</v>
      </c>
      <c r="O985" s="79">
        <f>SUM(F985:I985)+SUM(M985:N985)</f>
        <v>12172</v>
      </c>
      <c r="P985" s="79">
        <f>P977+P983</f>
        <v>0</v>
      </c>
      <c r="Q985" s="79">
        <f>Q977+Q983</f>
        <v>0</v>
      </c>
      <c r="R985" s="78">
        <f t="shared" si="462"/>
        <v>0</v>
      </c>
      <c r="S985" s="79">
        <f>S977+S983</f>
        <v>0</v>
      </c>
      <c r="U985" s="80">
        <f t="shared" si="459"/>
        <v>0</v>
      </c>
      <c r="W985" s="81">
        <f t="shared" si="455"/>
        <v>1</v>
      </c>
      <c r="X985" s="81">
        <f t="shared" si="456"/>
        <v>1</v>
      </c>
      <c r="Y985" s="81">
        <f t="shared" si="457"/>
        <v>0</v>
      </c>
      <c r="Z985" s="79"/>
      <c r="AJ985" s="66"/>
      <c r="AK985" s="65"/>
    </row>
    <row r="986" spans="1:37" hidden="1">
      <c r="A986" s="66"/>
      <c r="U986" s="66"/>
      <c r="V986" s="66"/>
      <c r="AJ986" s="66"/>
    </row>
    <row r="987" spans="1:37" hidden="1">
      <c r="B987" s="66" t="s">
        <v>467</v>
      </c>
      <c r="C987" s="79"/>
      <c r="D987" s="79"/>
      <c r="E987" s="79"/>
      <c r="F987" s="79"/>
      <c r="G987" s="79"/>
      <c r="H987" s="79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U987" s="80"/>
      <c r="W987" s="81" t="str">
        <f>IF((P987+Q987)=0," ",ROUND((P987/(P987+Q987)),74))</f>
        <v xml:space="preserve"> </v>
      </c>
      <c r="X987" s="81" t="str">
        <f>IF((C987)=0," ",ROUND((P987/(C987)),74))</f>
        <v xml:space="preserve"> </v>
      </c>
      <c r="Y987" s="81" t="str">
        <f>IF((C987)=0," ",ROUND((R987/(C987)),7))</f>
        <v xml:space="preserve"> </v>
      </c>
      <c r="Z987" s="79"/>
      <c r="AF987" s="79"/>
      <c r="AJ987" s="66"/>
    </row>
    <row r="988" spans="1:37" hidden="1">
      <c r="A988" s="65">
        <f>A985+1</f>
        <v>128</v>
      </c>
      <c r="B988" s="66" t="s">
        <v>39</v>
      </c>
      <c r="C988" s="79">
        <f>ROUND(($C$125+$C$127+$C$132+$C$134)/($C$129+$C$136-$S129-$S136)*($C990-$S990),0)</f>
        <v>1704</v>
      </c>
      <c r="D988" s="79">
        <f>C988-E988-SUM(G988:I988)-SUM(M988:N988)-R988-S988</f>
        <v>983</v>
      </c>
      <c r="E988" s="79">
        <f>ROUND((E$125+E$127+E$132+E$134)/($C$125+$C$127+$C$132+$C$134-$S125-$S127-$S$132-$S$134)*($C988-$S988),0)</f>
        <v>33</v>
      </c>
      <c r="F988" s="79">
        <f>D988+E988</f>
        <v>1016</v>
      </c>
      <c r="G988" s="79">
        <f t="shared" ref="G988:L988" si="465">ROUND((G$125+G$127+G$132+G$134)/($C$125+$C$127+$C$132+$C$134-$S125-$S127-$S$132-$S$134)*($C988-$S988),0)</f>
        <v>52</v>
      </c>
      <c r="H988" s="79">
        <f t="shared" si="465"/>
        <v>395</v>
      </c>
      <c r="I988" s="79">
        <f t="shared" si="465"/>
        <v>148</v>
      </c>
      <c r="J988" s="79">
        <f t="shared" si="465"/>
        <v>51</v>
      </c>
      <c r="K988" s="79">
        <f t="shared" si="465"/>
        <v>14</v>
      </c>
      <c r="L988" s="79">
        <f t="shared" si="465"/>
        <v>3</v>
      </c>
      <c r="M988" s="79">
        <f>SUM(J988:L988)</f>
        <v>68</v>
      </c>
      <c r="N988" s="79">
        <f>ROUND((N$125+N$127+N$132+N$134)/($C$125+$C$127+$C$132+$C$134-$S125-$S127-$S$132-$S$134)*($C988-$S988),0)</f>
        <v>25</v>
      </c>
      <c r="O988" s="79">
        <f>SUM(F988:I988)+SUM(M988:N988)</f>
        <v>1704</v>
      </c>
      <c r="P988" s="79">
        <f>ROUND((P$125+P$127+P$132+P$134)/($C$125+$C$127+$C$132+$C$134-$S125-$S127-$S$132-$S$134)*($C988-$S988),0)</f>
        <v>0</v>
      </c>
      <c r="Q988" s="79">
        <f>ROUND((Q$125+Q$127+Q$132+Q$134)/($C$125+$C$127+$C$132+$C$134-$S125-$S127-$S$132-$S$134)*($C988-$S988),0)</f>
        <v>0</v>
      </c>
      <c r="R988" s="78">
        <f>P988+Q988</f>
        <v>0</v>
      </c>
      <c r="S988" s="79">
        <v>0</v>
      </c>
      <c r="U988" s="80">
        <f>O988+R988+S988-C988</f>
        <v>0</v>
      </c>
      <c r="W988" s="81">
        <f t="shared" ref="W988:W1021" si="466">IF((O988+R988)=0," ",ROUND((O988/(O988+R988)),7))</f>
        <v>1</v>
      </c>
      <c r="X988" s="81">
        <f t="shared" ref="X988:X1021" si="467">IF((C988)=0," ",ROUND((O988/(C988)),7))</f>
        <v>1</v>
      </c>
      <c r="Y988" s="81">
        <f t="shared" ref="Y988:Y1021" si="468">IF((C988)=0," ",ROUND((S988/(C988)),7))</f>
        <v>0</v>
      </c>
      <c r="Z988" s="79"/>
      <c r="AF988" s="79"/>
      <c r="AJ988" s="66"/>
    </row>
    <row r="989" spans="1:37" hidden="1">
      <c r="A989" s="65">
        <f>A988+1</f>
        <v>129</v>
      </c>
      <c r="B989" s="66" t="s">
        <v>44</v>
      </c>
      <c r="C989" s="79">
        <f>C990-C988</f>
        <v>86</v>
      </c>
      <c r="D989" s="79">
        <f>D990-D988</f>
        <v>72</v>
      </c>
      <c r="E989" s="79">
        <f>E990-E988</f>
        <v>2</v>
      </c>
      <c r="F989" s="79">
        <f>D989+E989</f>
        <v>74</v>
      </c>
      <c r="G989" s="79">
        <f t="shared" ref="G989:L989" si="469">G990-G988</f>
        <v>6</v>
      </c>
      <c r="H989" s="79">
        <f t="shared" si="469"/>
        <v>4</v>
      </c>
      <c r="I989" s="79">
        <f t="shared" si="469"/>
        <v>0</v>
      </c>
      <c r="J989" s="79">
        <f t="shared" si="469"/>
        <v>0</v>
      </c>
      <c r="K989" s="79">
        <f t="shared" si="469"/>
        <v>0</v>
      </c>
      <c r="L989" s="79">
        <f t="shared" si="469"/>
        <v>0</v>
      </c>
      <c r="M989" s="79">
        <f>SUM(J989:L989)</f>
        <v>0</v>
      </c>
      <c r="N989" s="79">
        <f>N990-N988</f>
        <v>2</v>
      </c>
      <c r="O989" s="79">
        <f>SUM(F989:I989)+SUM(M989:N989)</f>
        <v>86</v>
      </c>
      <c r="P989" s="79">
        <f>P990-P988</f>
        <v>0</v>
      </c>
      <c r="Q989" s="79">
        <f>Q990-Q988</f>
        <v>0</v>
      </c>
      <c r="R989" s="78">
        <f>P989+Q989</f>
        <v>0</v>
      </c>
      <c r="S989" s="79">
        <f>S990-S988</f>
        <v>0</v>
      </c>
      <c r="U989" s="80">
        <f>O989+R989+S989-C989</f>
        <v>0</v>
      </c>
      <c r="W989" s="81">
        <f t="shared" si="466"/>
        <v>1</v>
      </c>
      <c r="X989" s="81">
        <f t="shared" si="467"/>
        <v>1</v>
      </c>
      <c r="Y989" s="81">
        <f t="shared" si="468"/>
        <v>0</v>
      </c>
      <c r="Z989" s="79"/>
      <c r="AF989" s="79"/>
      <c r="AJ989" s="66"/>
      <c r="AK989" s="65"/>
    </row>
    <row r="990" spans="1:37" hidden="1">
      <c r="A990" s="65">
        <f>A989+1</f>
        <v>130</v>
      </c>
      <c r="B990" s="66" t="s">
        <v>468</v>
      </c>
      <c r="C990" s="78">
        <v>1790</v>
      </c>
      <c r="D990" s="79">
        <f>C990-E990-SUM(G990:I990)-SUM(M990:N990)-R990-S990</f>
        <v>1055</v>
      </c>
      <c r="E990" s="79">
        <f>ROUND((E$129+E$136)/($C$129+$C$136-$S129-$S136)*($C990-$S990),0)</f>
        <v>35</v>
      </c>
      <c r="F990" s="79">
        <f>D990+E990</f>
        <v>1090</v>
      </c>
      <c r="G990" s="79">
        <f t="shared" ref="G990:L990" si="470">ROUND((G$129+G$136)/($C$129+$C$136-$S129-$S136)*($C990-$S990),0)</f>
        <v>58</v>
      </c>
      <c r="H990" s="79">
        <f t="shared" si="470"/>
        <v>399</v>
      </c>
      <c r="I990" s="79">
        <f t="shared" si="470"/>
        <v>148</v>
      </c>
      <c r="J990" s="79">
        <f t="shared" si="470"/>
        <v>51</v>
      </c>
      <c r="K990" s="79">
        <f t="shared" si="470"/>
        <v>14</v>
      </c>
      <c r="L990" s="79">
        <f t="shared" si="470"/>
        <v>3</v>
      </c>
      <c r="M990" s="79">
        <f>SUM(J990:L990)</f>
        <v>68</v>
      </c>
      <c r="N990" s="79">
        <f>ROUND((N$129+N$136)/($C$129+$C$136-$S129-$S136)*($C990-$S990),0)</f>
        <v>27</v>
      </c>
      <c r="O990" s="79">
        <f>SUM(F990:I990)+SUM(M990:N990)</f>
        <v>1790</v>
      </c>
      <c r="P990" s="79">
        <f>ROUND((P$129+P$136)/($C$129+$C$136-$S129-$S136)*($C990-$S990),0)</f>
        <v>0</v>
      </c>
      <c r="Q990" s="79">
        <f>ROUND((Q$129+Q$136)/($C$129+$C$136-$S129-$S136)*($C990-$S990),0)</f>
        <v>0</v>
      </c>
      <c r="R990" s="78">
        <f>P990+Q990</f>
        <v>0</v>
      </c>
      <c r="S990" s="79">
        <v>0</v>
      </c>
      <c r="U990" s="80">
        <f>O990+R990+S990-C990</f>
        <v>0</v>
      </c>
      <c r="W990" s="81">
        <f t="shared" si="466"/>
        <v>1</v>
      </c>
      <c r="X990" s="81">
        <f t="shared" si="467"/>
        <v>1</v>
      </c>
      <c r="Y990" s="81">
        <f t="shared" si="468"/>
        <v>0</v>
      </c>
      <c r="Z990" s="79"/>
      <c r="AF990" s="79"/>
      <c r="AJ990" s="66"/>
      <c r="AK990" s="65"/>
    </row>
    <row r="991" spans="1:37" hidden="1">
      <c r="W991" s="81" t="str">
        <f t="shared" si="466"/>
        <v xml:space="preserve"> </v>
      </c>
      <c r="X991" s="81" t="str">
        <f t="shared" si="467"/>
        <v xml:space="preserve"> </v>
      </c>
      <c r="Y991" s="81" t="str">
        <f t="shared" si="468"/>
        <v xml:space="preserve"> </v>
      </c>
      <c r="AJ991" s="66"/>
      <c r="AK991" s="65"/>
    </row>
    <row r="992" spans="1:37" hidden="1">
      <c r="B992" s="66" t="s">
        <v>469</v>
      </c>
      <c r="C992" s="79"/>
      <c r="D992" s="79"/>
      <c r="E992" s="79"/>
      <c r="F992" s="79"/>
      <c r="G992" s="79"/>
      <c r="H992" s="79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U992" s="80"/>
      <c r="W992" s="81" t="str">
        <f t="shared" si="466"/>
        <v xml:space="preserve"> </v>
      </c>
      <c r="X992" s="81" t="str">
        <f t="shared" si="467"/>
        <v xml:space="preserve"> </v>
      </c>
      <c r="Y992" s="81" t="str">
        <f t="shared" si="468"/>
        <v xml:space="preserve"> </v>
      </c>
      <c r="Z992" s="79"/>
      <c r="AF992" s="79"/>
      <c r="AJ992" s="66"/>
      <c r="AK992" s="65"/>
    </row>
    <row r="993" spans="1:37" hidden="1">
      <c r="A993" s="65">
        <f>A990+1</f>
        <v>131</v>
      </c>
      <c r="B993" s="66" t="s">
        <v>39</v>
      </c>
      <c r="C993" s="79">
        <f>ROUND(($C$149+$C$151)/($C$153-$S153)*($C995-$S995),0)</f>
        <v>592</v>
      </c>
      <c r="D993" s="79">
        <f t="shared" ref="D993:D999" si="471">C993-E993-SUM(G993:I993)-SUM(M993:N993)-R993-S993</f>
        <v>356</v>
      </c>
      <c r="E993" s="79">
        <f>ROUND((E$149+E$151)/($C$149+$C$151-$S$149-$S151)*($C993-$S993),0)</f>
        <v>12</v>
      </c>
      <c r="F993" s="79">
        <f t="shared" ref="F993:F999" si="472">D993+E993</f>
        <v>368</v>
      </c>
      <c r="G993" s="79">
        <f t="shared" ref="G993:L993" si="473">ROUND((G$149+G$151)/($C$149+$C$151-$S$149-$S151)*($C993-$S993),0)</f>
        <v>19</v>
      </c>
      <c r="H993" s="79">
        <f t="shared" si="473"/>
        <v>142</v>
      </c>
      <c r="I993" s="79">
        <f t="shared" si="473"/>
        <v>47</v>
      </c>
      <c r="J993" s="79">
        <f t="shared" si="473"/>
        <v>6</v>
      </c>
      <c r="K993" s="79">
        <f t="shared" si="473"/>
        <v>1</v>
      </c>
      <c r="L993" s="79">
        <f t="shared" si="473"/>
        <v>0</v>
      </c>
      <c r="M993" s="79">
        <f t="shared" ref="M993:M999" si="474">SUM(J993:L993)</f>
        <v>7</v>
      </c>
      <c r="N993" s="79">
        <f>ROUND((N$149+N$151)/($C$149+$C$151-$S$149-$S151)*($C993-$S993),0)</f>
        <v>9</v>
      </c>
      <c r="O993" s="79">
        <f>SUM(F993:I993)+SUM(M993:N993)</f>
        <v>592</v>
      </c>
      <c r="P993" s="79">
        <f>ROUND((P$149+P$151)/($C$149+$C$151-$S$149-$S151)*($C993-$S993),0)</f>
        <v>0</v>
      </c>
      <c r="Q993" s="79">
        <f>ROUND((Q$149+Q$151)/($C$149+$C$151-$S$149-$S151)*($C993-$S993),0)</f>
        <v>0</v>
      </c>
      <c r="R993" s="78">
        <f>P993+Q993</f>
        <v>0</v>
      </c>
      <c r="S993" s="79">
        <v>0</v>
      </c>
      <c r="U993" s="80">
        <f t="shared" ref="U993:U1003" si="475">O993+R993+S993-C993</f>
        <v>0</v>
      </c>
      <c r="W993" s="81">
        <f t="shared" si="466"/>
        <v>1</v>
      </c>
      <c r="X993" s="81">
        <f t="shared" si="467"/>
        <v>1</v>
      </c>
      <c r="Y993" s="81">
        <f t="shared" si="468"/>
        <v>0</v>
      </c>
      <c r="Z993" s="79"/>
      <c r="AF993" s="79"/>
      <c r="AJ993" s="66"/>
      <c r="AK993" s="65"/>
    </row>
    <row r="994" spans="1:37" hidden="1">
      <c r="A994" s="65">
        <f>A993+1</f>
        <v>132</v>
      </c>
      <c r="B994" s="66" t="s">
        <v>44</v>
      </c>
      <c r="C994" s="79">
        <f>C995-C993</f>
        <v>201</v>
      </c>
      <c r="D994" s="79">
        <f>D995-D993</f>
        <v>171</v>
      </c>
      <c r="E994" s="79">
        <f>E995-E993</f>
        <v>4</v>
      </c>
      <c r="F994" s="79">
        <f t="shared" si="472"/>
        <v>175</v>
      </c>
      <c r="G994" s="79">
        <f t="shared" ref="G994:L994" si="476">G995-G993</f>
        <v>13</v>
      </c>
      <c r="H994" s="79">
        <f t="shared" si="476"/>
        <v>8</v>
      </c>
      <c r="I994" s="79">
        <f t="shared" si="476"/>
        <v>0</v>
      </c>
      <c r="J994" s="79">
        <f t="shared" si="476"/>
        <v>0</v>
      </c>
      <c r="K994" s="79">
        <f t="shared" si="476"/>
        <v>0</v>
      </c>
      <c r="L994" s="79">
        <f t="shared" si="476"/>
        <v>0</v>
      </c>
      <c r="M994" s="79">
        <f t="shared" si="474"/>
        <v>0</v>
      </c>
      <c r="N994" s="79">
        <f>N995-N993</f>
        <v>5</v>
      </c>
      <c r="O994" s="79">
        <f>SUM(F994:I994)+SUM(M994:N994)</f>
        <v>201</v>
      </c>
      <c r="P994" s="79">
        <f>P995-P993</f>
        <v>0</v>
      </c>
      <c r="Q994" s="79">
        <f>Q995-Q993</f>
        <v>0</v>
      </c>
      <c r="R994" s="78">
        <f>P994+Q994</f>
        <v>0</v>
      </c>
      <c r="S994" s="79">
        <f>S995-S993</f>
        <v>0</v>
      </c>
      <c r="U994" s="80">
        <f t="shared" si="475"/>
        <v>0</v>
      </c>
      <c r="W994" s="81">
        <f t="shared" si="466"/>
        <v>1</v>
      </c>
      <c r="X994" s="81">
        <f t="shared" si="467"/>
        <v>1</v>
      </c>
      <c r="Y994" s="81">
        <f t="shared" si="468"/>
        <v>0</v>
      </c>
      <c r="Z994" s="79"/>
      <c r="AF994" s="79"/>
      <c r="AJ994" s="66"/>
      <c r="AK994" s="70"/>
    </row>
    <row r="995" spans="1:37" hidden="1">
      <c r="A995" s="65">
        <f>A994+1</f>
        <v>133</v>
      </c>
      <c r="B995" s="66" t="s">
        <v>470</v>
      </c>
      <c r="C995" s="78">
        <f>873-80</f>
        <v>793</v>
      </c>
      <c r="D995" s="79">
        <f t="shared" si="471"/>
        <v>527</v>
      </c>
      <c r="E995" s="79">
        <f>ROUND((E$153)/($C$153-$S153)*($C995-$S995),0)</f>
        <v>16</v>
      </c>
      <c r="F995" s="79">
        <f t="shared" si="472"/>
        <v>543</v>
      </c>
      <c r="G995" s="79">
        <f t="shared" ref="G995:L995" si="477">ROUND((G$153)/($C$153-$S153)*($C995-$S995),0)</f>
        <v>32</v>
      </c>
      <c r="H995" s="79">
        <f t="shared" si="477"/>
        <v>150</v>
      </c>
      <c r="I995" s="79">
        <f t="shared" si="477"/>
        <v>47</v>
      </c>
      <c r="J995" s="79">
        <f t="shared" si="477"/>
        <v>6</v>
      </c>
      <c r="K995" s="79">
        <f t="shared" si="477"/>
        <v>1</v>
      </c>
      <c r="L995" s="79">
        <f t="shared" si="477"/>
        <v>0</v>
      </c>
      <c r="M995" s="79">
        <f t="shared" si="474"/>
        <v>7</v>
      </c>
      <c r="N995" s="79">
        <f>ROUND((N$153)/($C$153-$S153)*($C995-$S995),0)</f>
        <v>14</v>
      </c>
      <c r="O995" s="79">
        <f>SUM(F995:I995)+SUM(M995:N995)</f>
        <v>793</v>
      </c>
      <c r="P995" s="79">
        <f>ROUND((P$153)/($C$153-$S153)*($C995-$S995),0)</f>
        <v>0</v>
      </c>
      <c r="Q995" s="79">
        <f>ROUND((Q$153)/($C$153-$S153)*($C995-$S995),0)</f>
        <v>0</v>
      </c>
      <c r="R995" s="78">
        <f>P995+Q995</f>
        <v>0</v>
      </c>
      <c r="S995" s="79">
        <v>0</v>
      </c>
      <c r="U995" s="80">
        <f t="shared" si="475"/>
        <v>0</v>
      </c>
      <c r="W995" s="81">
        <f t="shared" si="466"/>
        <v>1</v>
      </c>
      <c r="X995" s="81">
        <f t="shared" si="467"/>
        <v>1</v>
      </c>
      <c r="Y995" s="81">
        <f t="shared" si="468"/>
        <v>0</v>
      </c>
      <c r="Z995" s="79"/>
      <c r="AF995" s="79"/>
      <c r="AJ995" s="66"/>
      <c r="AK995" s="65"/>
    </row>
    <row r="996" spans="1:37" hidden="1">
      <c r="C996" s="79"/>
      <c r="D996" s="79"/>
      <c r="E996" s="79"/>
      <c r="F996" s="79"/>
      <c r="G996" s="79"/>
      <c r="H996" s="79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U996" s="80"/>
      <c r="W996" s="81" t="str">
        <f t="shared" si="466"/>
        <v xml:space="preserve"> </v>
      </c>
      <c r="X996" s="81" t="str">
        <f t="shared" si="467"/>
        <v xml:space="preserve"> </v>
      </c>
      <c r="Y996" s="81" t="str">
        <f t="shared" si="468"/>
        <v xml:space="preserve"> </v>
      </c>
      <c r="Z996" s="79"/>
      <c r="AF996" s="79"/>
      <c r="AJ996" s="66"/>
      <c r="AK996" s="65"/>
    </row>
    <row r="997" spans="1:37" hidden="1">
      <c r="A997" s="65">
        <f>A995+1</f>
        <v>134</v>
      </c>
      <c r="B997" s="66" t="s">
        <v>471</v>
      </c>
      <c r="C997" s="78">
        <v>598</v>
      </c>
      <c r="D997" s="79">
        <f t="shared" si="471"/>
        <v>0</v>
      </c>
      <c r="E997" s="79">
        <f>ROUND(E$162/($C$162-$S162)*($C997-$S997),0)</f>
        <v>0</v>
      </c>
      <c r="F997" s="79">
        <f t="shared" si="472"/>
        <v>0</v>
      </c>
      <c r="G997" s="79">
        <f t="shared" ref="G997:L997" si="478">ROUND(G$162/($C$162-$S162)*($C997-$S997),0)</f>
        <v>0</v>
      </c>
      <c r="H997" s="79">
        <f t="shared" si="478"/>
        <v>0</v>
      </c>
      <c r="I997" s="79">
        <f t="shared" si="478"/>
        <v>0</v>
      </c>
      <c r="J997" s="79">
        <f t="shared" si="478"/>
        <v>0</v>
      </c>
      <c r="K997" s="79">
        <f t="shared" si="478"/>
        <v>0</v>
      </c>
      <c r="L997" s="79">
        <f t="shared" si="478"/>
        <v>0</v>
      </c>
      <c r="M997" s="79">
        <f t="shared" si="474"/>
        <v>0</v>
      </c>
      <c r="N997" s="79">
        <f>ROUND(N$162/($C$162-$S162)*($C997-$S997),0)</f>
        <v>598</v>
      </c>
      <c r="O997" s="79">
        <f>SUM(F997:I997)+SUM(M997:N997)</f>
        <v>598</v>
      </c>
      <c r="P997" s="79">
        <f>ROUND(P$162/($C$162-$S162)*($C997-$S997),0)</f>
        <v>0</v>
      </c>
      <c r="Q997" s="79">
        <f>ROUND(Q$162/($C$162-$S162)*($C997-$S997),0)</f>
        <v>0</v>
      </c>
      <c r="R997" s="78">
        <f>P997+Q997</f>
        <v>0</v>
      </c>
      <c r="S997" s="79">
        <v>0</v>
      </c>
      <c r="U997" s="80">
        <f t="shared" si="475"/>
        <v>0</v>
      </c>
      <c r="W997" s="81">
        <f t="shared" si="466"/>
        <v>1</v>
      </c>
      <c r="X997" s="81">
        <f t="shared" si="467"/>
        <v>1</v>
      </c>
      <c r="Y997" s="81">
        <f t="shared" si="468"/>
        <v>0</v>
      </c>
      <c r="Z997" s="79"/>
      <c r="AF997" s="79"/>
      <c r="AJ997" s="66"/>
      <c r="AK997" s="70"/>
    </row>
    <row r="998" spans="1:37" hidden="1">
      <c r="W998" s="81" t="str">
        <f t="shared" si="466"/>
        <v xml:space="preserve"> </v>
      </c>
      <c r="X998" s="81" t="str">
        <f t="shared" si="467"/>
        <v xml:space="preserve"> </v>
      </c>
      <c r="Y998" s="81" t="str">
        <f t="shared" si="468"/>
        <v xml:space="preserve"> </v>
      </c>
      <c r="AJ998" s="66"/>
      <c r="AK998" s="70"/>
    </row>
    <row r="999" spans="1:37" hidden="1">
      <c r="A999" s="65">
        <f>A997+1</f>
        <v>135</v>
      </c>
      <c r="B999" s="66" t="s">
        <v>472</v>
      </c>
      <c r="C999" s="78">
        <f>135-1</f>
        <v>134</v>
      </c>
      <c r="D999" s="79">
        <f t="shared" si="471"/>
        <v>89</v>
      </c>
      <c r="E999" s="79">
        <f>ROUND(E$160/($C$160-$S160)*($C999-$S999),0)</f>
        <v>3</v>
      </c>
      <c r="F999" s="79">
        <f t="shared" si="472"/>
        <v>92</v>
      </c>
      <c r="G999" s="79">
        <f t="shared" ref="G999:L999" si="479">ROUND(G$160/($C$160-$S160)*($C999-$S999),0)</f>
        <v>20</v>
      </c>
      <c r="H999" s="79">
        <f t="shared" si="479"/>
        <v>19</v>
      </c>
      <c r="I999" s="79">
        <f t="shared" si="479"/>
        <v>2</v>
      </c>
      <c r="J999" s="79">
        <f t="shared" si="479"/>
        <v>0</v>
      </c>
      <c r="K999" s="79">
        <f t="shared" si="479"/>
        <v>0</v>
      </c>
      <c r="L999" s="79">
        <f t="shared" si="479"/>
        <v>0</v>
      </c>
      <c r="M999" s="79">
        <f t="shared" si="474"/>
        <v>0</v>
      </c>
      <c r="N999" s="79">
        <f>ROUND(N$160/($C$160-$S160)*($C999-$S999),0)</f>
        <v>1</v>
      </c>
      <c r="O999" s="79">
        <f>SUM(F999:I999)+SUM(M999:N999)</f>
        <v>134</v>
      </c>
      <c r="P999" s="79">
        <f>ROUND(P$160/($C$160-$S160)*($C999-$S999),0)</f>
        <v>0</v>
      </c>
      <c r="Q999" s="79">
        <f>ROUND(Q$160/($C$160-$S160)*($C999-$S999),0)</f>
        <v>0</v>
      </c>
      <c r="R999" s="78">
        <f>P999+Q999</f>
        <v>0</v>
      </c>
      <c r="S999" s="79">
        <v>0</v>
      </c>
      <c r="U999" s="80">
        <f t="shared" si="475"/>
        <v>0</v>
      </c>
      <c r="W999" s="81">
        <f t="shared" si="466"/>
        <v>1</v>
      </c>
      <c r="X999" s="81">
        <f t="shared" si="467"/>
        <v>1</v>
      </c>
      <c r="Y999" s="81">
        <f t="shared" si="468"/>
        <v>0</v>
      </c>
      <c r="Z999" s="79"/>
      <c r="AF999" s="79"/>
      <c r="AJ999" s="66"/>
      <c r="AK999" s="65"/>
    </row>
    <row r="1000" spans="1:37" hidden="1">
      <c r="W1000" s="81" t="str">
        <f t="shared" si="466"/>
        <v xml:space="preserve"> </v>
      </c>
      <c r="X1000" s="81" t="str">
        <f t="shared" si="467"/>
        <v xml:space="preserve"> </v>
      </c>
      <c r="Y1000" s="81" t="str">
        <f t="shared" si="468"/>
        <v xml:space="preserve"> </v>
      </c>
      <c r="AJ1000" s="66"/>
      <c r="AK1000" s="65"/>
    </row>
    <row r="1001" spans="1:37" hidden="1">
      <c r="A1001" s="65">
        <f>A999+1</f>
        <v>136</v>
      </c>
      <c r="B1001" s="66" t="s">
        <v>453</v>
      </c>
      <c r="C1001" s="79">
        <f>C1002+C1003</f>
        <v>16708</v>
      </c>
      <c r="D1001" s="79">
        <f>D1002+D1003</f>
        <v>10554</v>
      </c>
      <c r="E1001" s="79">
        <f>E1002+E1003</f>
        <v>322</v>
      </c>
      <c r="F1001" s="79">
        <f>D1001+E1001</f>
        <v>10876</v>
      </c>
      <c r="G1001" s="79">
        <f t="shared" ref="G1001:L1001" si="480">G1002+G1003</f>
        <v>761</v>
      </c>
      <c r="H1001" s="79">
        <f t="shared" si="480"/>
        <v>2705</v>
      </c>
      <c r="I1001" s="79">
        <f t="shared" si="480"/>
        <v>981</v>
      </c>
      <c r="J1001" s="79">
        <f t="shared" si="480"/>
        <v>389</v>
      </c>
      <c r="K1001" s="79">
        <f t="shared" si="480"/>
        <v>85</v>
      </c>
      <c r="L1001" s="79">
        <f t="shared" si="480"/>
        <v>17</v>
      </c>
      <c r="M1001" s="79">
        <f>SUM(J1001:L1001)</f>
        <v>491</v>
      </c>
      <c r="N1001" s="79">
        <f>N1002+N1003</f>
        <v>866</v>
      </c>
      <c r="O1001" s="79">
        <f>SUM(F1001:I1001)+SUM(M1001:N1001)</f>
        <v>16680</v>
      </c>
      <c r="P1001" s="79">
        <f>P1002+P1003</f>
        <v>26</v>
      </c>
      <c r="Q1001" s="79">
        <f>Q1002+Q1003</f>
        <v>2</v>
      </c>
      <c r="R1001" s="78">
        <f>P1001+Q1001</f>
        <v>28</v>
      </c>
      <c r="S1001" s="79">
        <f>S1002+S1003</f>
        <v>0</v>
      </c>
      <c r="U1001" s="80">
        <f t="shared" si="475"/>
        <v>0</v>
      </c>
      <c r="W1001" s="81">
        <f t="shared" si="466"/>
        <v>0.99832419999999999</v>
      </c>
      <c r="X1001" s="81">
        <f t="shared" si="467"/>
        <v>0.99832419999999999</v>
      </c>
      <c r="Y1001" s="81">
        <f t="shared" si="468"/>
        <v>0</v>
      </c>
      <c r="Z1001" s="79"/>
      <c r="AF1001" s="79"/>
      <c r="AJ1001" s="66"/>
      <c r="AK1001" s="65"/>
    </row>
    <row r="1002" spans="1:37" hidden="1">
      <c r="A1002" s="65">
        <f>A1001+1</f>
        <v>137</v>
      </c>
      <c r="B1002" s="66" t="s">
        <v>229</v>
      </c>
      <c r="C1002" s="79">
        <f>O1002+R1002+S1002</f>
        <v>10830</v>
      </c>
      <c r="D1002" s="79">
        <f>D963+D965+D980+D988+D993</f>
        <v>6174</v>
      </c>
      <c r="E1002" s="79">
        <f>E963+E965+E980+E988+E993</f>
        <v>201</v>
      </c>
      <c r="F1002" s="79">
        <f>D1002+E1002</f>
        <v>6375</v>
      </c>
      <c r="G1002" s="79">
        <f t="shared" ref="G1002:L1002" si="481">G963+G965+G980+G988+G993</f>
        <v>328</v>
      </c>
      <c r="H1002" s="79">
        <f t="shared" si="481"/>
        <v>2484</v>
      </c>
      <c r="I1002" s="79">
        <f t="shared" si="481"/>
        <v>976</v>
      </c>
      <c r="J1002" s="79">
        <f t="shared" si="481"/>
        <v>389</v>
      </c>
      <c r="K1002" s="79">
        <f t="shared" si="481"/>
        <v>85</v>
      </c>
      <c r="L1002" s="79">
        <f t="shared" si="481"/>
        <v>17</v>
      </c>
      <c r="M1002" s="79">
        <f>SUM(J1002:L1002)</f>
        <v>491</v>
      </c>
      <c r="N1002" s="79">
        <f>N963+N965+N980+N988+N993</f>
        <v>148</v>
      </c>
      <c r="O1002" s="79">
        <f>SUM(F1002:I1002)+SUM(M1002:N1002)</f>
        <v>10802</v>
      </c>
      <c r="P1002" s="79">
        <f>P963+P965+P980+P988+P993</f>
        <v>26</v>
      </c>
      <c r="Q1002" s="79">
        <f>Q963+Q965+Q980+Q988+Q993</f>
        <v>2</v>
      </c>
      <c r="R1002" s="78">
        <f>P1002+Q1002</f>
        <v>28</v>
      </c>
      <c r="S1002" s="79">
        <f>S963+S965+S980+S988+S993</f>
        <v>0</v>
      </c>
      <c r="U1002" s="80">
        <f t="shared" si="475"/>
        <v>0</v>
      </c>
      <c r="W1002" s="81">
        <f t="shared" si="466"/>
        <v>0.99741460000000004</v>
      </c>
      <c r="X1002" s="81">
        <f t="shared" si="467"/>
        <v>0.99741460000000004</v>
      </c>
      <c r="Y1002" s="81">
        <f t="shared" si="468"/>
        <v>0</v>
      </c>
      <c r="Z1002" s="79"/>
      <c r="AF1002" s="79"/>
      <c r="AJ1002" s="66"/>
      <c r="AK1002" s="65"/>
    </row>
    <row r="1003" spans="1:37" hidden="1">
      <c r="A1003" s="65">
        <f>A1002+1</f>
        <v>138</v>
      </c>
      <c r="B1003" s="66" t="s">
        <v>253</v>
      </c>
      <c r="C1003" s="79">
        <f>O1003+R1003+S1003</f>
        <v>5878</v>
      </c>
      <c r="D1003" s="79">
        <f>D977+D981+D989+D994+D997+D999</f>
        <v>4380</v>
      </c>
      <c r="E1003" s="79">
        <f>E977+E981+E989+E994+E997+E999</f>
        <v>121</v>
      </c>
      <c r="F1003" s="79">
        <f>D1003+E1003</f>
        <v>4501</v>
      </c>
      <c r="G1003" s="79">
        <f t="shared" ref="G1003:L1003" si="482">G977+G981+G989+G994+G997+G999</f>
        <v>433</v>
      </c>
      <c r="H1003" s="79">
        <f t="shared" si="482"/>
        <v>221</v>
      </c>
      <c r="I1003" s="79">
        <f t="shared" si="482"/>
        <v>5</v>
      </c>
      <c r="J1003" s="79">
        <f t="shared" si="482"/>
        <v>0</v>
      </c>
      <c r="K1003" s="79">
        <f t="shared" si="482"/>
        <v>0</v>
      </c>
      <c r="L1003" s="79">
        <f t="shared" si="482"/>
        <v>0</v>
      </c>
      <c r="M1003" s="79">
        <f>SUM(J1003:L1003)</f>
        <v>0</v>
      </c>
      <c r="N1003" s="79">
        <f>N977+N981+N989+N994+N997+N999</f>
        <v>718</v>
      </c>
      <c r="O1003" s="79">
        <f>SUM(F1003:I1003)+SUM(M1003:N1003)</f>
        <v>5878</v>
      </c>
      <c r="P1003" s="79">
        <f>P977+P981+P989+P994+P997+P999</f>
        <v>0</v>
      </c>
      <c r="Q1003" s="79">
        <f>Q977+Q981+Q989+Q994+Q997+Q999</f>
        <v>0</v>
      </c>
      <c r="R1003" s="78">
        <f>P1003+Q1003</f>
        <v>0</v>
      </c>
      <c r="S1003" s="79">
        <f>S977+S981+S989+S994+S997+S999</f>
        <v>0</v>
      </c>
      <c r="U1003" s="80">
        <f t="shared" si="475"/>
        <v>0</v>
      </c>
      <c r="W1003" s="81">
        <f t="shared" si="466"/>
        <v>1</v>
      </c>
      <c r="X1003" s="81">
        <f t="shared" si="467"/>
        <v>1</v>
      </c>
      <c r="Y1003" s="81">
        <f t="shared" si="468"/>
        <v>0</v>
      </c>
      <c r="Z1003" s="79"/>
      <c r="AF1003" s="79"/>
      <c r="AJ1003" s="66"/>
      <c r="AK1003" s="65"/>
    </row>
    <row r="1004" spans="1:37" hidden="1">
      <c r="C1004" s="79"/>
      <c r="D1004" s="79"/>
      <c r="E1004" s="79"/>
      <c r="F1004" s="79"/>
      <c r="G1004" s="79"/>
      <c r="H1004" s="79"/>
      <c r="I1004" s="79"/>
      <c r="J1004" s="79"/>
      <c r="K1004" s="79"/>
      <c r="L1004" s="79"/>
      <c r="M1004" s="79"/>
      <c r="N1004" s="79"/>
      <c r="O1004" s="79"/>
      <c r="P1004" s="79"/>
      <c r="Q1004" s="79"/>
      <c r="R1004" s="79"/>
      <c r="S1004" s="79"/>
      <c r="U1004" s="80"/>
      <c r="W1004" s="81" t="str">
        <f t="shared" si="466"/>
        <v xml:space="preserve"> </v>
      </c>
      <c r="X1004" s="81" t="str">
        <f t="shared" si="467"/>
        <v xml:space="preserve"> </v>
      </c>
      <c r="Y1004" s="81" t="str">
        <f t="shared" si="468"/>
        <v xml:space="preserve"> </v>
      </c>
      <c r="Z1004" s="79"/>
      <c r="AF1004" s="79"/>
      <c r="AJ1004" s="66"/>
      <c r="AK1004" s="65"/>
    </row>
    <row r="1005" spans="1:37" hidden="1">
      <c r="B1005" s="66" t="s">
        <v>473</v>
      </c>
      <c r="C1005" s="79"/>
      <c r="D1005" s="79"/>
      <c r="E1005" s="79"/>
      <c r="F1005" s="79"/>
      <c r="G1005" s="79"/>
      <c r="H1005" s="79"/>
      <c r="I1005" s="79"/>
      <c r="J1005" s="79"/>
      <c r="K1005" s="79"/>
      <c r="L1005" s="79"/>
      <c r="M1005" s="79"/>
      <c r="N1005" s="79"/>
      <c r="O1005" s="79"/>
      <c r="P1005" s="79"/>
      <c r="Q1005" s="79"/>
      <c r="R1005" s="79"/>
      <c r="S1005" s="79"/>
      <c r="U1005" s="80"/>
      <c r="W1005" s="81" t="str">
        <f t="shared" si="466"/>
        <v xml:space="preserve"> </v>
      </c>
      <c r="X1005" s="81" t="str">
        <f t="shared" si="467"/>
        <v xml:space="preserve"> </v>
      </c>
      <c r="Y1005" s="81" t="str">
        <f t="shared" si="468"/>
        <v xml:space="preserve"> </v>
      </c>
      <c r="Z1005" s="79"/>
      <c r="AF1005" s="79"/>
      <c r="AJ1005" s="66"/>
      <c r="AK1005" s="70"/>
    </row>
    <row r="1006" spans="1:37" hidden="1">
      <c r="A1006" s="65">
        <f>A1003+1</f>
        <v>139</v>
      </c>
      <c r="B1006" s="66" t="s">
        <v>39</v>
      </c>
      <c r="C1006" s="79">
        <f>ROUND(C$1002/(C$1002+C$1003-$S1002-$S1003)*(C$1008-$S1008),0)</f>
        <v>2314</v>
      </c>
      <c r="D1006" s="79">
        <f>C1006-E1006-SUM(G1006:I1006)-SUM(M1006:N1006)-R1006-S1006</f>
        <v>1318</v>
      </c>
      <c r="E1006" s="79">
        <f>ROUND(E$1002/($C$1002-$S1002)*($C1006-$S1006),0)</f>
        <v>43</v>
      </c>
      <c r="F1006" s="79">
        <f>D1006+E1006</f>
        <v>1361</v>
      </c>
      <c r="G1006" s="79">
        <f t="shared" ref="G1006:L1006" si="483">ROUND(G$1002/($C$1002-$S1002)*($C1006-$S1006),0)</f>
        <v>70</v>
      </c>
      <c r="H1006" s="79">
        <f t="shared" si="483"/>
        <v>531</v>
      </c>
      <c r="I1006" s="79">
        <f t="shared" si="483"/>
        <v>209</v>
      </c>
      <c r="J1006" s="79">
        <f t="shared" si="483"/>
        <v>83</v>
      </c>
      <c r="K1006" s="79">
        <f t="shared" si="483"/>
        <v>18</v>
      </c>
      <c r="L1006" s="79">
        <f t="shared" si="483"/>
        <v>4</v>
      </c>
      <c r="M1006" s="79">
        <f>SUM(J1006:L1006)</f>
        <v>105</v>
      </c>
      <c r="N1006" s="79">
        <f>ROUND(N$1002/($C$1002-$S1002)*($C1006-$S1006),0)</f>
        <v>32</v>
      </c>
      <c r="O1006" s="79">
        <f>SUM(F1006:I1006)+SUM(M1006:N1006)</f>
        <v>2308</v>
      </c>
      <c r="P1006" s="79">
        <f>ROUND(P$1002/($C$1002-$S1002)*($C1006-$S1006),0)</f>
        <v>6</v>
      </c>
      <c r="Q1006" s="79">
        <f>ROUND(Q$1002/($C$1002-$S1002)*($C1006-$S1006),0)</f>
        <v>0</v>
      </c>
      <c r="R1006" s="78">
        <f>P1006+Q1006</f>
        <v>6</v>
      </c>
      <c r="S1006" s="79">
        <v>0</v>
      </c>
      <c r="U1006" s="80">
        <f>O1006+R1006+S1006-C1006</f>
        <v>0</v>
      </c>
      <c r="W1006" s="81">
        <f t="shared" si="466"/>
        <v>0.99740709999999999</v>
      </c>
      <c r="X1006" s="81">
        <f t="shared" si="467"/>
        <v>0.99740709999999999</v>
      </c>
      <c r="Y1006" s="81">
        <f t="shared" si="468"/>
        <v>0</v>
      </c>
      <c r="Z1006" s="79"/>
      <c r="AF1006" s="79"/>
      <c r="AJ1006" s="66"/>
      <c r="AK1006" s="70"/>
    </row>
    <row r="1007" spans="1:37" hidden="1">
      <c r="A1007" s="65">
        <f>A1006+1</f>
        <v>140</v>
      </c>
      <c r="B1007" s="66" t="s">
        <v>44</v>
      </c>
      <c r="C1007" s="79">
        <f>C$1008-C$1006</f>
        <v>1256</v>
      </c>
      <c r="D1007" s="79">
        <f>C1007-E1007-SUM(G1007:I1007)-SUM(M1007:N1007)-R1007-S1007</f>
        <v>936</v>
      </c>
      <c r="E1007" s="79">
        <f>ROUND(E$1003/($C$1003-$S1003)*($C1007-$S1007),0)</f>
        <v>26</v>
      </c>
      <c r="F1007" s="79">
        <f>D1007+E1007</f>
        <v>962</v>
      </c>
      <c r="G1007" s="79">
        <f t="shared" ref="G1007:L1007" si="484">ROUND(G$1003/($C$1003-$S1003)*($C1007-$S1007),0)</f>
        <v>93</v>
      </c>
      <c r="H1007" s="79">
        <f t="shared" si="484"/>
        <v>47</v>
      </c>
      <c r="I1007" s="79">
        <f t="shared" si="484"/>
        <v>1</v>
      </c>
      <c r="J1007" s="79">
        <f t="shared" si="484"/>
        <v>0</v>
      </c>
      <c r="K1007" s="79">
        <f t="shared" si="484"/>
        <v>0</v>
      </c>
      <c r="L1007" s="79">
        <f t="shared" si="484"/>
        <v>0</v>
      </c>
      <c r="M1007" s="79">
        <f>SUM(J1007:L1007)</f>
        <v>0</v>
      </c>
      <c r="N1007" s="79">
        <f>ROUND(N$1003/($C$1003-$S1003)*($C1007-$S1007),0)</f>
        <v>153</v>
      </c>
      <c r="O1007" s="79">
        <f>SUM(F1007:I1007)+SUM(M1007:N1007)</f>
        <v>1256</v>
      </c>
      <c r="P1007" s="79">
        <f>ROUND(P$1003/($C$1003-$S1003)*($C1007-$S1007),0)</f>
        <v>0</v>
      </c>
      <c r="Q1007" s="79">
        <f>ROUND(Q$1003/($C$1003-$S1003)*($C1007-$S1007),0)</f>
        <v>0</v>
      </c>
      <c r="R1007" s="78">
        <f>P1007+Q1007</f>
        <v>0</v>
      </c>
      <c r="S1007" s="79">
        <v>0</v>
      </c>
      <c r="U1007" s="80">
        <f>O1007+R1007+S1007-C1007</f>
        <v>0</v>
      </c>
      <c r="W1007" s="81">
        <f t="shared" si="466"/>
        <v>1</v>
      </c>
      <c r="X1007" s="81">
        <f t="shared" si="467"/>
        <v>1</v>
      </c>
      <c r="Y1007" s="81">
        <f t="shared" si="468"/>
        <v>0</v>
      </c>
      <c r="Z1007" s="79"/>
      <c r="AF1007" s="79"/>
      <c r="AJ1007" s="66"/>
      <c r="AK1007" s="65"/>
    </row>
    <row r="1008" spans="1:37" hidden="1">
      <c r="A1008" s="65">
        <f>A1007+1</f>
        <v>141</v>
      </c>
      <c r="B1008" s="66" t="s">
        <v>474</v>
      </c>
      <c r="C1008" s="78">
        <v>3570</v>
      </c>
      <c r="D1008" s="79">
        <f>D1006+D1007</f>
        <v>2254</v>
      </c>
      <c r="E1008" s="79">
        <f>E1006+E1007</f>
        <v>69</v>
      </c>
      <c r="F1008" s="79">
        <f>D1008+E1008</f>
        <v>2323</v>
      </c>
      <c r="G1008" s="79">
        <f t="shared" ref="G1008:L1008" si="485">G1006+G1007</f>
        <v>163</v>
      </c>
      <c r="H1008" s="79">
        <f t="shared" si="485"/>
        <v>578</v>
      </c>
      <c r="I1008" s="79">
        <f t="shared" si="485"/>
        <v>210</v>
      </c>
      <c r="J1008" s="79">
        <f t="shared" si="485"/>
        <v>83</v>
      </c>
      <c r="K1008" s="79">
        <f t="shared" si="485"/>
        <v>18</v>
      </c>
      <c r="L1008" s="79">
        <f t="shared" si="485"/>
        <v>4</v>
      </c>
      <c r="M1008" s="79">
        <f>SUM(J1008:L1008)</f>
        <v>105</v>
      </c>
      <c r="N1008" s="79">
        <f>N1006+N1007</f>
        <v>185</v>
      </c>
      <c r="O1008" s="79">
        <f>SUM(F1008:I1008)+SUM(M1008:N1008)</f>
        <v>3564</v>
      </c>
      <c r="P1008" s="79">
        <f>P1006+P1007</f>
        <v>6</v>
      </c>
      <c r="Q1008" s="79">
        <f>Q1006+Q1007</f>
        <v>0</v>
      </c>
      <c r="R1008" s="78">
        <f>P1008+Q1008</f>
        <v>6</v>
      </c>
      <c r="S1008" s="79">
        <f>S1006+S1007</f>
        <v>0</v>
      </c>
      <c r="U1008" s="80">
        <f>O1008+R1008+S1008-C1008</f>
        <v>0</v>
      </c>
      <c r="W1008" s="81">
        <f t="shared" si="466"/>
        <v>0.99831930000000002</v>
      </c>
      <c r="X1008" s="81">
        <f t="shared" si="467"/>
        <v>0.99831930000000002</v>
      </c>
      <c r="Y1008" s="81">
        <f t="shared" si="468"/>
        <v>0</v>
      </c>
      <c r="Z1008" s="79"/>
      <c r="AF1008" s="79"/>
      <c r="AJ1008" s="66"/>
      <c r="AK1008" s="65"/>
    </row>
    <row r="1009" spans="1:37" hidden="1">
      <c r="W1009" s="81" t="str">
        <f t="shared" si="466"/>
        <v xml:space="preserve"> </v>
      </c>
      <c r="X1009" s="81" t="str">
        <f t="shared" si="467"/>
        <v xml:space="preserve"> </v>
      </c>
      <c r="Y1009" s="81" t="str">
        <f t="shared" si="468"/>
        <v xml:space="preserve"> </v>
      </c>
      <c r="AJ1009" s="66"/>
      <c r="AK1009" s="65"/>
    </row>
    <row r="1010" spans="1:37" hidden="1">
      <c r="B1010" s="66" t="s">
        <v>475</v>
      </c>
      <c r="C1010" s="79"/>
      <c r="D1010" s="79"/>
      <c r="E1010" s="79"/>
      <c r="F1010" s="79"/>
      <c r="G1010" s="79"/>
      <c r="H1010" s="79"/>
      <c r="I1010" s="79"/>
      <c r="J1010" s="79"/>
      <c r="K1010" s="79"/>
      <c r="L1010" s="79"/>
      <c r="M1010" s="79"/>
      <c r="N1010" s="79"/>
      <c r="O1010" s="79"/>
      <c r="P1010" s="79"/>
      <c r="Q1010" s="79"/>
      <c r="R1010" s="79"/>
      <c r="S1010" s="79"/>
      <c r="U1010" s="80"/>
      <c r="W1010" s="81" t="str">
        <f t="shared" si="466"/>
        <v xml:space="preserve"> </v>
      </c>
      <c r="X1010" s="81" t="str">
        <f t="shared" si="467"/>
        <v xml:space="preserve"> </v>
      </c>
      <c r="Y1010" s="81" t="str">
        <f t="shared" si="468"/>
        <v xml:space="preserve"> </v>
      </c>
      <c r="Z1010" s="79"/>
      <c r="AF1010" s="79"/>
      <c r="AJ1010" s="66"/>
      <c r="AK1010" s="70"/>
    </row>
    <row r="1011" spans="1:37" hidden="1">
      <c r="A1011" s="65">
        <f>A1008+1</f>
        <v>142</v>
      </c>
      <c r="B1011" s="66" t="s">
        <v>39</v>
      </c>
      <c r="C1011" s="79">
        <f>ROUND(C$1002/(C$1002+C$1003-$S1002-$S1003)*(C$1013-$S1013),0)</f>
        <v>301</v>
      </c>
      <c r="D1011" s="79">
        <f>C1011-E1011-SUM(G1011:I1011)-SUM(M1011:N1011)-R1011-S1011</f>
        <v>172</v>
      </c>
      <c r="E1011" s="79">
        <f>ROUND(E$1002/($C$1002-$S1002)*($C1011-$S1011),0)</f>
        <v>6</v>
      </c>
      <c r="F1011" s="79">
        <f>D1011+E1011</f>
        <v>178</v>
      </c>
      <c r="G1011" s="79">
        <f t="shared" ref="G1011:L1011" si="486">ROUND(G$1002/($C$1002-$S1002)*($C1011-$S1011),0)</f>
        <v>9</v>
      </c>
      <c r="H1011" s="79">
        <f t="shared" si="486"/>
        <v>69</v>
      </c>
      <c r="I1011" s="79">
        <f t="shared" si="486"/>
        <v>27</v>
      </c>
      <c r="J1011" s="79">
        <f t="shared" si="486"/>
        <v>11</v>
      </c>
      <c r="K1011" s="79">
        <f t="shared" si="486"/>
        <v>2</v>
      </c>
      <c r="L1011" s="79">
        <f t="shared" si="486"/>
        <v>0</v>
      </c>
      <c r="M1011" s="79">
        <f>SUM(J1011:L1011)</f>
        <v>13</v>
      </c>
      <c r="N1011" s="79">
        <f>ROUND(N$1002/($C$1002-$S1002)*($C1011-$S1011),0)</f>
        <v>4</v>
      </c>
      <c r="O1011" s="79">
        <f>SUM(F1011:I1011)+SUM(M1011:N1011)</f>
        <v>300</v>
      </c>
      <c r="P1011" s="79">
        <f>ROUND(P$1002/($C$1002-$S1002)*($C1011-$S1011),0)</f>
        <v>1</v>
      </c>
      <c r="Q1011" s="79">
        <f>ROUND(Q$1002/($C$1002-$S1002)*($C1011-$S1011),0)</f>
        <v>0</v>
      </c>
      <c r="R1011" s="78">
        <f>P1011+Q1011</f>
        <v>1</v>
      </c>
      <c r="S1011" s="78">
        <v>0</v>
      </c>
      <c r="U1011" s="80">
        <f>O1011+R1011+S1011-C1011</f>
        <v>0</v>
      </c>
      <c r="W1011" s="81">
        <f t="shared" si="466"/>
        <v>0.9966777</v>
      </c>
      <c r="X1011" s="81">
        <f t="shared" si="467"/>
        <v>0.9966777</v>
      </c>
      <c r="Y1011" s="81">
        <f t="shared" si="468"/>
        <v>0</v>
      </c>
      <c r="Z1011" s="79"/>
      <c r="AF1011" s="79"/>
      <c r="AJ1011" s="66"/>
      <c r="AK1011" s="70"/>
    </row>
    <row r="1012" spans="1:37" hidden="1">
      <c r="A1012" s="65">
        <f>A1011+1</f>
        <v>143</v>
      </c>
      <c r="B1012" s="66" t="s">
        <v>44</v>
      </c>
      <c r="C1012" s="79">
        <f>C$1013-C$1011</f>
        <v>163</v>
      </c>
      <c r="D1012" s="79">
        <f>C1012-E1012-SUM(G1012:I1012)-SUM(M1012:N1012)-R1012-S1012</f>
        <v>122</v>
      </c>
      <c r="E1012" s="79">
        <f>ROUND(E$1003/($C$1003-$S1003)*($C1012-$S1012),0)</f>
        <v>3</v>
      </c>
      <c r="F1012" s="79">
        <f>D1012+E1012</f>
        <v>125</v>
      </c>
      <c r="G1012" s="79">
        <f t="shared" ref="G1012:L1012" si="487">ROUND(G$1003/($C$1003-$S1003)*($C1012-$S1012),0)</f>
        <v>12</v>
      </c>
      <c r="H1012" s="79">
        <f t="shared" si="487"/>
        <v>6</v>
      </c>
      <c r="I1012" s="79">
        <f t="shared" si="487"/>
        <v>0</v>
      </c>
      <c r="J1012" s="79">
        <f t="shared" si="487"/>
        <v>0</v>
      </c>
      <c r="K1012" s="79">
        <f t="shared" si="487"/>
        <v>0</v>
      </c>
      <c r="L1012" s="79">
        <f t="shared" si="487"/>
        <v>0</v>
      </c>
      <c r="M1012" s="79">
        <f>SUM(J1012:L1012)</f>
        <v>0</v>
      </c>
      <c r="N1012" s="79">
        <f>ROUND(N$1003/($C$1003-$S1003)*($C1012-$S1012),0)</f>
        <v>20</v>
      </c>
      <c r="O1012" s="79">
        <f>SUM(F1012:I1012)+SUM(M1012:N1012)</f>
        <v>163</v>
      </c>
      <c r="P1012" s="79">
        <f>ROUND(P$1003/($C$1003-$S1003)*($C1012-$S1012),0)</f>
        <v>0</v>
      </c>
      <c r="Q1012" s="79">
        <f>ROUND(Q$1003/($C$1003-$S1003)*($C1012-$S1012),0)</f>
        <v>0</v>
      </c>
      <c r="R1012" s="78">
        <f>P1012+Q1012</f>
        <v>0</v>
      </c>
      <c r="S1012" s="78">
        <v>0</v>
      </c>
      <c r="U1012" s="80">
        <f>O1012+R1012+S1012-C1012</f>
        <v>0</v>
      </c>
      <c r="W1012" s="81">
        <f t="shared" si="466"/>
        <v>1</v>
      </c>
      <c r="X1012" s="81">
        <f t="shared" si="467"/>
        <v>1</v>
      </c>
      <c r="Y1012" s="81">
        <f t="shared" si="468"/>
        <v>0</v>
      </c>
      <c r="Z1012" s="79"/>
      <c r="AF1012" s="79"/>
      <c r="AJ1012" s="66"/>
      <c r="AK1012" s="65"/>
    </row>
    <row r="1013" spans="1:37" hidden="1">
      <c r="A1013" s="65">
        <f>A1012+1</f>
        <v>144</v>
      </c>
      <c r="B1013" s="66" t="s">
        <v>476</v>
      </c>
      <c r="C1013" s="78">
        <v>464</v>
      </c>
      <c r="D1013" s="79">
        <f>D1011+D1012</f>
        <v>294</v>
      </c>
      <c r="E1013" s="79">
        <f>E1011+E1012</f>
        <v>9</v>
      </c>
      <c r="F1013" s="79">
        <f>D1013+E1013</f>
        <v>303</v>
      </c>
      <c r="G1013" s="79">
        <f t="shared" ref="G1013:L1013" si="488">G1011+G1012</f>
        <v>21</v>
      </c>
      <c r="H1013" s="79">
        <f t="shared" si="488"/>
        <v>75</v>
      </c>
      <c r="I1013" s="79">
        <f t="shared" si="488"/>
        <v>27</v>
      </c>
      <c r="J1013" s="79">
        <f t="shared" si="488"/>
        <v>11</v>
      </c>
      <c r="K1013" s="79">
        <f t="shared" si="488"/>
        <v>2</v>
      </c>
      <c r="L1013" s="79">
        <f t="shared" si="488"/>
        <v>0</v>
      </c>
      <c r="M1013" s="79">
        <f>SUM(J1013:L1013)</f>
        <v>13</v>
      </c>
      <c r="N1013" s="79">
        <f>N1011+N1012</f>
        <v>24</v>
      </c>
      <c r="O1013" s="79">
        <f>SUM(F1013:I1013)+SUM(M1013:N1013)</f>
        <v>463</v>
      </c>
      <c r="P1013" s="79">
        <f>P1011+P1012</f>
        <v>1</v>
      </c>
      <c r="Q1013" s="79">
        <f>Q1011+Q1012</f>
        <v>0</v>
      </c>
      <c r="R1013" s="78">
        <f>P1013+Q1013</f>
        <v>1</v>
      </c>
      <c r="S1013" s="79">
        <f>S1011+S1012</f>
        <v>0</v>
      </c>
      <c r="U1013" s="80">
        <f>O1013+R1013+S1013-C1013</f>
        <v>0</v>
      </c>
      <c r="W1013" s="81">
        <f t="shared" si="466"/>
        <v>0.99784479999999998</v>
      </c>
      <c r="X1013" s="81">
        <f t="shared" si="467"/>
        <v>0.99784479999999998</v>
      </c>
      <c r="Y1013" s="81">
        <f t="shared" si="468"/>
        <v>0</v>
      </c>
      <c r="Z1013" s="79"/>
      <c r="AF1013" s="79"/>
      <c r="AJ1013" s="66"/>
      <c r="AK1013" s="65"/>
    </row>
    <row r="1014" spans="1:37" hidden="1">
      <c r="W1014" s="81" t="str">
        <f t="shared" si="466"/>
        <v xml:space="preserve"> </v>
      </c>
      <c r="X1014" s="81" t="str">
        <f t="shared" si="467"/>
        <v xml:space="preserve"> </v>
      </c>
      <c r="Y1014" s="81" t="str">
        <f t="shared" si="468"/>
        <v xml:space="preserve"> </v>
      </c>
      <c r="AJ1014" s="66"/>
      <c r="AK1014" s="70"/>
    </row>
    <row r="1015" spans="1:37" hidden="1">
      <c r="A1015" s="65">
        <f>A1013+1</f>
        <v>145</v>
      </c>
      <c r="B1015" s="66" t="s">
        <v>436</v>
      </c>
      <c r="C1015" s="79">
        <f>O1015+R1015+S1015</f>
        <v>20742</v>
      </c>
      <c r="D1015" s="79">
        <f>D1002+D1003+D1008+D1013</f>
        <v>13102</v>
      </c>
      <c r="E1015" s="79">
        <f>E1002+E1003+E1008+E1013</f>
        <v>400</v>
      </c>
      <c r="F1015" s="79">
        <f>D1015+E1015</f>
        <v>13502</v>
      </c>
      <c r="G1015" s="79">
        <f t="shared" ref="G1015:L1015" si="489">G1002+G1003+G1008+G1013</f>
        <v>945</v>
      </c>
      <c r="H1015" s="79">
        <f t="shared" si="489"/>
        <v>3358</v>
      </c>
      <c r="I1015" s="79">
        <f t="shared" si="489"/>
        <v>1218</v>
      </c>
      <c r="J1015" s="79">
        <f t="shared" si="489"/>
        <v>483</v>
      </c>
      <c r="K1015" s="79">
        <f t="shared" si="489"/>
        <v>105</v>
      </c>
      <c r="L1015" s="79">
        <f t="shared" si="489"/>
        <v>21</v>
      </c>
      <c r="M1015" s="79">
        <f>SUM(J1015:L1015)</f>
        <v>609</v>
      </c>
      <c r="N1015" s="79">
        <f>N1002+N1003+N1008+N1013</f>
        <v>1075</v>
      </c>
      <c r="O1015" s="79">
        <f>SUM(F1015:I1015)+SUM(M1015:N1015)</f>
        <v>20707</v>
      </c>
      <c r="P1015" s="79">
        <f>P1002+P1003+P1008+P1013</f>
        <v>33</v>
      </c>
      <c r="Q1015" s="79">
        <f>Q1002+Q1003+Q1008+Q1013</f>
        <v>2</v>
      </c>
      <c r="R1015" s="78">
        <f>P1015+Q1015</f>
        <v>35</v>
      </c>
      <c r="S1015" s="79">
        <f>S1002+S1003+S1008+S1013</f>
        <v>0</v>
      </c>
      <c r="U1015" s="80">
        <f>O1015+R1015+S1015-C1015</f>
        <v>0</v>
      </c>
      <c r="W1015" s="81">
        <f t="shared" si="466"/>
        <v>0.99831259999999999</v>
      </c>
      <c r="X1015" s="81">
        <f t="shared" si="467"/>
        <v>0.99831259999999999</v>
      </c>
      <c r="Y1015" s="81">
        <f t="shared" si="468"/>
        <v>0</v>
      </c>
      <c r="Z1015" s="79"/>
      <c r="AF1015" s="79"/>
      <c r="AJ1015" s="66"/>
    </row>
    <row r="1016" spans="1:37" hidden="1">
      <c r="C1016" s="79"/>
      <c r="D1016" s="79"/>
      <c r="E1016" s="79"/>
      <c r="F1016" s="79"/>
      <c r="G1016" s="79"/>
      <c r="H1016" s="79"/>
      <c r="I1016" s="79"/>
      <c r="J1016" s="79"/>
      <c r="K1016" s="79"/>
      <c r="L1016" s="79"/>
      <c r="M1016" s="79"/>
      <c r="N1016" s="79"/>
      <c r="O1016" s="79"/>
      <c r="P1016" s="79"/>
      <c r="Q1016" s="79"/>
      <c r="R1016" s="79"/>
      <c r="S1016" s="79"/>
      <c r="U1016" s="80"/>
      <c r="W1016" s="81" t="str">
        <f t="shared" si="466"/>
        <v xml:space="preserve"> </v>
      </c>
      <c r="X1016" s="81" t="str">
        <f t="shared" si="467"/>
        <v xml:space="preserve"> </v>
      </c>
      <c r="Y1016" s="81" t="str">
        <f t="shared" si="468"/>
        <v xml:space="preserve"> </v>
      </c>
      <c r="Z1016" s="79"/>
      <c r="AF1016" s="79"/>
      <c r="AJ1016" s="66"/>
      <c r="AK1016" s="70"/>
    </row>
    <row r="1017" spans="1:37" hidden="1">
      <c r="A1017" s="65">
        <f>A1015+1</f>
        <v>146</v>
      </c>
      <c r="B1017" s="66" t="s">
        <v>477</v>
      </c>
      <c r="C1017" s="79">
        <f>O1017+R1017+S1017</f>
        <v>41596.000500000002</v>
      </c>
      <c r="D1017" s="79">
        <f>D960+D1015</f>
        <v>26732.95</v>
      </c>
      <c r="E1017" s="79">
        <f>E960+E1015</f>
        <v>757.05050000000006</v>
      </c>
      <c r="F1017" s="79">
        <f>D1017+E1017</f>
        <v>27490.000500000002</v>
      </c>
      <c r="G1017" s="79">
        <f t="shared" ref="G1017:L1017" si="490">G960+G1015</f>
        <v>2287</v>
      </c>
      <c r="H1017" s="79">
        <f t="shared" si="490"/>
        <v>6279</v>
      </c>
      <c r="I1017" s="79">
        <f t="shared" si="490"/>
        <v>2044</v>
      </c>
      <c r="J1017" s="79">
        <f t="shared" si="490"/>
        <v>743</v>
      </c>
      <c r="K1017" s="79">
        <f t="shared" si="490"/>
        <v>143</v>
      </c>
      <c r="L1017" s="79">
        <f t="shared" si="490"/>
        <v>34</v>
      </c>
      <c r="M1017" s="79">
        <f>SUM(J1017:L1017)</f>
        <v>920</v>
      </c>
      <c r="N1017" s="79">
        <f>N960+N1015</f>
        <v>2518</v>
      </c>
      <c r="O1017" s="79">
        <f>SUM(F1017:I1017)+SUM(M1017:N1017)</f>
        <v>41538.000500000002</v>
      </c>
      <c r="P1017" s="79">
        <f>P960+P1015</f>
        <v>54</v>
      </c>
      <c r="Q1017" s="79">
        <f>Q960+Q1015</f>
        <v>4</v>
      </c>
      <c r="R1017" s="78">
        <f>P1017+Q1017</f>
        <v>58</v>
      </c>
      <c r="S1017" s="79">
        <f>S960+S1015</f>
        <v>0</v>
      </c>
      <c r="U1017" s="80">
        <f>O1017+R1017+S1017-C1017</f>
        <v>0</v>
      </c>
      <c r="W1017" s="81">
        <f t="shared" si="466"/>
        <v>0.99860559999999998</v>
      </c>
      <c r="X1017" s="81">
        <f t="shared" si="467"/>
        <v>0.99860559999999998</v>
      </c>
      <c r="Y1017" s="81">
        <f t="shared" si="468"/>
        <v>0</v>
      </c>
      <c r="Z1017" s="79"/>
      <c r="AF1017" s="79"/>
      <c r="AJ1017" s="66"/>
      <c r="AK1017" s="65"/>
    </row>
    <row r="1018" spans="1:37" hidden="1">
      <c r="A1018" s="65">
        <f>A1017+1</f>
        <v>147</v>
      </c>
      <c r="B1018" s="66" t="s">
        <v>478</v>
      </c>
      <c r="C1018" s="79">
        <f>O1018+R1018+S1018</f>
        <v>22129</v>
      </c>
      <c r="D1018" s="79">
        <f>D1017-D1019</f>
        <v>12702</v>
      </c>
      <c r="E1018" s="79">
        <f>E1017-E1019</f>
        <v>404.00000000000006</v>
      </c>
      <c r="F1018" s="79">
        <f>D1018+E1018</f>
        <v>13106</v>
      </c>
      <c r="G1018" s="79">
        <f t="shared" ref="G1018:L1018" si="491">G1017-G1019</f>
        <v>671</v>
      </c>
      <c r="H1018" s="79">
        <f t="shared" si="491"/>
        <v>5113</v>
      </c>
      <c r="I1018" s="79">
        <f t="shared" si="491"/>
        <v>1977</v>
      </c>
      <c r="J1018" s="79">
        <f t="shared" si="491"/>
        <v>739</v>
      </c>
      <c r="K1018" s="79">
        <f t="shared" si="491"/>
        <v>143</v>
      </c>
      <c r="L1018" s="79">
        <f t="shared" si="491"/>
        <v>34</v>
      </c>
      <c r="M1018" s="79">
        <f>SUM(J1018:L1018)</f>
        <v>916</v>
      </c>
      <c r="N1018" s="79">
        <f>N1017-N1019</f>
        <v>288</v>
      </c>
      <c r="O1018" s="79">
        <f>SUM(F1018:I1018)+SUM(M1018:N1018)</f>
        <v>22071</v>
      </c>
      <c r="P1018" s="79">
        <f>P1017-P1019</f>
        <v>54</v>
      </c>
      <c r="Q1018" s="79">
        <f>Q1017-Q1019</f>
        <v>4</v>
      </c>
      <c r="R1018" s="78">
        <f>P1018+Q1018</f>
        <v>58</v>
      </c>
      <c r="S1018" s="79">
        <f>S942+S946+S951+S955+S1002+S1006+S1011</f>
        <v>0</v>
      </c>
      <c r="U1018" s="80">
        <f>O1018+R1018+S1018-C1018</f>
        <v>0</v>
      </c>
      <c r="W1018" s="81">
        <f t="shared" si="466"/>
        <v>0.99737900000000002</v>
      </c>
      <c r="X1018" s="81">
        <f t="shared" si="467"/>
        <v>0.99737900000000002</v>
      </c>
      <c r="Y1018" s="81">
        <f t="shared" si="468"/>
        <v>0</v>
      </c>
      <c r="Z1018" s="79"/>
      <c r="AF1018" s="79"/>
      <c r="AJ1018" s="66"/>
      <c r="AK1018" s="65"/>
    </row>
    <row r="1019" spans="1:37" hidden="1">
      <c r="A1019" s="65">
        <f>A1018+1</f>
        <v>148</v>
      </c>
      <c r="B1019" s="66" t="s">
        <v>479</v>
      </c>
      <c r="C1019" s="79">
        <f>O1019+R1019+S1019</f>
        <v>19467.000500000002</v>
      </c>
      <c r="D1019" s="79">
        <f>D943+D947+D952+D957+D1003+D1007+D1012</f>
        <v>14030.95</v>
      </c>
      <c r="E1019" s="79">
        <f>E943+E947+E952+E957+E1003+E1007+E1012</f>
        <v>353.0505</v>
      </c>
      <c r="F1019" s="79">
        <f>D1019+E1019</f>
        <v>14384.0005</v>
      </c>
      <c r="G1019" s="79">
        <f t="shared" ref="G1019:L1019" si="492">G943+G947+G952+G957+G1003+G1007+G1012</f>
        <v>1616</v>
      </c>
      <c r="H1019" s="79">
        <f t="shared" si="492"/>
        <v>1166</v>
      </c>
      <c r="I1019" s="79">
        <f t="shared" si="492"/>
        <v>67</v>
      </c>
      <c r="J1019" s="79">
        <f t="shared" si="492"/>
        <v>4</v>
      </c>
      <c r="K1019" s="79">
        <f t="shared" si="492"/>
        <v>0</v>
      </c>
      <c r="L1019" s="79">
        <f t="shared" si="492"/>
        <v>0</v>
      </c>
      <c r="M1019" s="79">
        <f>SUM(J1019:L1019)</f>
        <v>4</v>
      </c>
      <c r="N1019" s="79">
        <f>N943+N947+N952+N957+N1003+N1007+N1012</f>
        <v>2230</v>
      </c>
      <c r="O1019" s="79">
        <f>SUM(F1019:I1019)+SUM(M1019:N1019)</f>
        <v>19467.000500000002</v>
      </c>
      <c r="P1019" s="79">
        <f>P943+P947+P952+P957+P1003+P1007+P1012</f>
        <v>0</v>
      </c>
      <c r="Q1019" s="79">
        <f>Q943+Q947+Q952+Q957+Q1003+Q1007+Q1012</f>
        <v>0</v>
      </c>
      <c r="R1019" s="78">
        <f>P1019+Q1019</f>
        <v>0</v>
      </c>
      <c r="S1019" s="79">
        <f>S943+S947+S952+S957+S1003+S1007+S1012</f>
        <v>0</v>
      </c>
      <c r="U1019" s="80">
        <f>O1019+R1019+S1019-C1019</f>
        <v>0</v>
      </c>
      <c r="W1019" s="81">
        <f t="shared" si="466"/>
        <v>1</v>
      </c>
      <c r="X1019" s="81">
        <f t="shared" si="467"/>
        <v>1</v>
      </c>
      <c r="Y1019" s="81">
        <f t="shared" si="468"/>
        <v>0</v>
      </c>
      <c r="Z1019" s="79"/>
      <c r="AF1019" s="79"/>
      <c r="AJ1019" s="66"/>
      <c r="AK1019" s="65"/>
    </row>
    <row r="1020" spans="1:37" hidden="1">
      <c r="A1020" s="66"/>
      <c r="U1020" s="66"/>
      <c r="V1020" s="66"/>
      <c r="W1020" s="81" t="str">
        <f t="shared" si="466"/>
        <v xml:space="preserve"> </v>
      </c>
      <c r="X1020" s="81" t="str">
        <f t="shared" si="467"/>
        <v xml:space="preserve"> </v>
      </c>
      <c r="Y1020" s="81" t="str">
        <f t="shared" si="468"/>
        <v xml:space="preserve"> </v>
      </c>
      <c r="AJ1020" s="66"/>
      <c r="AK1020" s="65"/>
    </row>
    <row r="1021" spans="1:37" hidden="1">
      <c r="A1021" s="65">
        <f>A1019+1</f>
        <v>149</v>
      </c>
      <c r="B1021" s="66" t="s">
        <v>480</v>
      </c>
      <c r="C1021" s="79">
        <f>O1021+R1021+S1021</f>
        <v>20138.741999999998</v>
      </c>
      <c r="D1021" s="78">
        <f>20558+387+-3703-70-1-190-4</f>
        <v>16977</v>
      </c>
      <c r="E1021" s="78">
        <f>582-105-5</f>
        <v>472</v>
      </c>
      <c r="F1021" s="79">
        <f>D1021+E1021</f>
        <v>17449</v>
      </c>
      <c r="G1021" s="78">
        <f>1668+2+33-297-17-1</f>
        <v>1388</v>
      </c>
      <c r="H1021" s="78">
        <f>1020+7-170-1-17-1</f>
        <v>838</v>
      </c>
      <c r="I1021" s="78">
        <f>13+7-2-1</f>
        <v>17</v>
      </c>
      <c r="J1021" s="79">
        <v>5</v>
      </c>
      <c r="K1021" s="78">
        <f>3+2</f>
        <v>5</v>
      </c>
      <c r="L1021" s="78">
        <v>2</v>
      </c>
      <c r="M1021" s="79">
        <f>SUM(J1021:L1021)</f>
        <v>12</v>
      </c>
      <c r="N1021" s="78">
        <f>272+159</f>
        <v>431</v>
      </c>
      <c r="O1021" s="79">
        <f>SUM(F1021:I1021)+SUM(M1021:N1021)</f>
        <v>20135</v>
      </c>
      <c r="P1021" s="78">
        <v>1.742</v>
      </c>
      <c r="Q1021" s="78">
        <v>2</v>
      </c>
      <c r="R1021" s="78">
        <f>P1021+Q1021</f>
        <v>3.742</v>
      </c>
      <c r="S1021" s="78">
        <v>0</v>
      </c>
      <c r="U1021" s="80">
        <f>O1021+R1021+S1021-C1021</f>
        <v>0</v>
      </c>
      <c r="W1021" s="81">
        <f t="shared" si="466"/>
        <v>0.99981419999999999</v>
      </c>
      <c r="X1021" s="81">
        <f t="shared" si="467"/>
        <v>0.99981419999999999</v>
      </c>
      <c r="Y1021" s="81">
        <f t="shared" si="468"/>
        <v>0</v>
      </c>
      <c r="Z1021" s="78"/>
      <c r="AF1021" s="78"/>
      <c r="AJ1021" s="66"/>
      <c r="AK1021" s="65"/>
    </row>
    <row r="1022" spans="1:37" hidden="1">
      <c r="B1022" s="72"/>
      <c r="C1022" s="79"/>
      <c r="H1022" s="65" t="s">
        <v>80</v>
      </c>
      <c r="I1022" s="79"/>
      <c r="J1022" s="79"/>
      <c r="K1022" s="79"/>
      <c r="L1022" s="79"/>
      <c r="M1022" s="79"/>
      <c r="Q1022" s="65" t="s">
        <v>80</v>
      </c>
      <c r="R1022" s="79"/>
      <c r="S1022" s="65"/>
      <c r="W1022" s="81"/>
      <c r="X1022" s="81"/>
      <c r="Y1022" s="81"/>
      <c r="Z1022" s="65"/>
      <c r="AJ1022" s="66"/>
      <c r="AK1022" s="65"/>
    </row>
    <row r="1023" spans="1:37" hidden="1">
      <c r="C1023" s="79"/>
      <c r="H1023" s="70" t="str">
        <f>$H$24</f>
        <v>12 MONTHS ENDING DECEMBER 31, 2012</v>
      </c>
      <c r="I1023" s="79"/>
      <c r="J1023" s="79"/>
      <c r="K1023" s="79"/>
      <c r="L1023" s="79"/>
      <c r="M1023" s="79"/>
      <c r="Q1023" s="70" t="str">
        <f>$H$24</f>
        <v>12 MONTHS ENDING DECEMBER 31, 2012</v>
      </c>
      <c r="R1023" s="79"/>
      <c r="S1023" s="79"/>
      <c r="U1023" s="80"/>
      <c r="W1023" s="81"/>
      <c r="X1023" s="81"/>
      <c r="Y1023" s="81"/>
      <c r="Z1023" s="70"/>
      <c r="AF1023" s="65"/>
      <c r="AJ1023" s="66"/>
      <c r="AK1023" s="65"/>
    </row>
    <row r="1024" spans="1:37" hidden="1">
      <c r="C1024" s="79"/>
      <c r="H1024" s="70" t="str">
        <f>$H$25</f>
        <v>12/13 DEMAND ALLOCATION WITH MDS METHODOLOGY</v>
      </c>
      <c r="Q1024" s="70" t="str">
        <f>$H$25</f>
        <v>12/13 DEMAND ALLOCATION WITH MDS METHODOLOGY</v>
      </c>
      <c r="S1024" s="79"/>
      <c r="X1024" s="81"/>
      <c r="Y1024" s="81"/>
      <c r="Z1024" s="70"/>
      <c r="AF1024" s="70"/>
      <c r="AJ1024" s="66"/>
      <c r="AK1024" s="65"/>
    </row>
    <row r="1025" spans="1:37" hidden="1">
      <c r="C1025" s="79"/>
      <c r="H1025" s="87" t="s">
        <v>104</v>
      </c>
      <c r="I1025" s="79"/>
      <c r="J1025" s="79"/>
      <c r="K1025" s="79"/>
      <c r="L1025" s="79"/>
      <c r="M1025" s="79"/>
      <c r="N1025" s="79"/>
      <c r="Q1025" s="87" t="s">
        <v>104</v>
      </c>
      <c r="S1025" s="79"/>
      <c r="U1025" s="80"/>
      <c r="X1025" s="81"/>
      <c r="Y1025" s="81"/>
      <c r="Z1025" s="87"/>
      <c r="AF1025" s="70"/>
      <c r="AJ1025" s="66"/>
      <c r="AK1025" s="65"/>
    </row>
    <row r="1026" spans="1:37" hidden="1">
      <c r="C1026" s="79"/>
      <c r="H1026" s="87" t="s">
        <v>114</v>
      </c>
      <c r="J1026" s="79"/>
      <c r="K1026" s="79"/>
      <c r="L1026" s="79"/>
      <c r="M1026" s="79"/>
      <c r="N1026" s="79"/>
      <c r="Q1026" s="87" t="s">
        <v>114</v>
      </c>
      <c r="S1026" s="79"/>
      <c r="U1026" s="80"/>
      <c r="X1026" s="81"/>
      <c r="Y1026" s="81"/>
      <c r="Z1026" s="87"/>
      <c r="AF1026" s="76"/>
      <c r="AJ1026" s="66"/>
      <c r="AK1026" s="65"/>
    </row>
    <row r="1027" spans="1:37" hidden="1">
      <c r="C1027" s="79"/>
      <c r="H1027" s="87"/>
      <c r="J1027" s="79"/>
      <c r="K1027" s="79"/>
      <c r="L1027" s="79"/>
      <c r="M1027" s="79"/>
      <c r="N1027" s="79"/>
      <c r="Q1027" s="87"/>
      <c r="S1027" s="79"/>
      <c r="U1027" s="80"/>
      <c r="X1027" s="81"/>
      <c r="Y1027" s="81"/>
      <c r="Z1027" s="87"/>
      <c r="AF1027" s="76"/>
      <c r="AJ1027" s="66"/>
      <c r="AK1027" s="65"/>
    </row>
    <row r="1028" spans="1:37" hidden="1">
      <c r="A1028" s="65" t="s">
        <v>118</v>
      </c>
      <c r="C1028" s="65" t="s">
        <v>58</v>
      </c>
      <c r="D1028" s="70" t="s">
        <v>119</v>
      </c>
      <c r="E1028" s="70" t="s">
        <v>119</v>
      </c>
      <c r="F1028" s="70" t="s">
        <v>119</v>
      </c>
      <c r="G1028" s="70" t="s">
        <v>119</v>
      </c>
      <c r="H1028" s="70" t="s">
        <v>119</v>
      </c>
      <c r="I1028" s="70" t="s">
        <v>119</v>
      </c>
      <c r="J1028" s="70" t="s">
        <v>119</v>
      </c>
      <c r="K1028" s="70" t="s">
        <v>119</v>
      </c>
      <c r="L1028" s="70" t="s">
        <v>119</v>
      </c>
      <c r="M1028" s="70" t="s">
        <v>119</v>
      </c>
      <c r="N1028" s="70" t="s">
        <v>119</v>
      </c>
      <c r="O1028" s="65" t="s">
        <v>116</v>
      </c>
      <c r="P1028" s="65"/>
      <c r="Q1028" s="70" t="s">
        <v>120</v>
      </c>
      <c r="R1028" s="65"/>
      <c r="S1028" s="65" t="s">
        <v>121</v>
      </c>
      <c r="W1028" s="76" t="s">
        <v>122</v>
      </c>
      <c r="X1028" s="76" t="s">
        <v>123</v>
      </c>
      <c r="Y1028" s="76" t="s">
        <v>124</v>
      </c>
      <c r="Z1028" s="65"/>
      <c r="AJ1028" s="66"/>
      <c r="AK1028" s="65"/>
    </row>
    <row r="1029" spans="1:37" hidden="1">
      <c r="A1029" s="65" t="s">
        <v>125</v>
      </c>
      <c r="B1029" s="65" t="s">
        <v>126</v>
      </c>
      <c r="C1029" s="65" t="s">
        <v>57</v>
      </c>
      <c r="D1029" s="70" t="s">
        <v>127</v>
      </c>
      <c r="E1029" s="70" t="s">
        <v>128</v>
      </c>
      <c r="F1029" s="70" t="s">
        <v>129</v>
      </c>
      <c r="G1029" s="70" t="s">
        <v>130</v>
      </c>
      <c r="H1029" s="70" t="s">
        <v>131</v>
      </c>
      <c r="I1029" s="65" t="s">
        <v>132</v>
      </c>
      <c r="J1029" s="70" t="s">
        <v>133</v>
      </c>
      <c r="K1029" s="70" t="s">
        <v>134</v>
      </c>
      <c r="L1029" s="70" t="s">
        <v>135</v>
      </c>
      <c r="M1029" s="70" t="s">
        <v>136</v>
      </c>
      <c r="N1029" s="70" t="s">
        <v>137</v>
      </c>
      <c r="O1029" s="65" t="s">
        <v>138</v>
      </c>
      <c r="P1029" s="70" t="s">
        <v>139</v>
      </c>
      <c r="Q1029" s="70" t="s">
        <v>140</v>
      </c>
      <c r="R1029" s="65" t="s">
        <v>122</v>
      </c>
      <c r="S1029" s="65" t="s">
        <v>141</v>
      </c>
      <c r="W1029" s="76" t="s">
        <v>142</v>
      </c>
      <c r="X1029" s="76" t="s">
        <v>142</v>
      </c>
      <c r="Y1029" s="76" t="s">
        <v>142</v>
      </c>
      <c r="Z1029" s="65"/>
      <c r="AJ1029" s="66"/>
      <c r="AK1029" s="65"/>
    </row>
    <row r="1030" spans="1:37" hidden="1">
      <c r="A1030" s="65" t="s">
        <v>143</v>
      </c>
      <c r="B1030" s="65" t="s">
        <v>144</v>
      </c>
      <c r="C1030" s="65" t="s">
        <v>145</v>
      </c>
      <c r="D1030" s="70" t="s">
        <v>146</v>
      </c>
      <c r="E1030" s="70" t="s">
        <v>147</v>
      </c>
      <c r="F1030" s="70" t="s">
        <v>148</v>
      </c>
      <c r="G1030" s="65" t="s">
        <v>149</v>
      </c>
      <c r="H1030" s="65" t="s">
        <v>150</v>
      </c>
      <c r="I1030" s="65" t="s">
        <v>151</v>
      </c>
      <c r="J1030" s="70" t="s">
        <v>152</v>
      </c>
      <c r="K1030" s="70" t="s">
        <v>153</v>
      </c>
      <c r="L1030" s="70" t="s">
        <v>154</v>
      </c>
      <c r="M1030" s="70" t="s">
        <v>155</v>
      </c>
      <c r="N1030" s="70" t="s">
        <v>156</v>
      </c>
      <c r="O1030" s="70" t="s">
        <v>157</v>
      </c>
      <c r="P1030" s="70" t="s">
        <v>158</v>
      </c>
      <c r="Q1030" s="70" t="s">
        <v>159</v>
      </c>
      <c r="R1030" s="70" t="s">
        <v>160</v>
      </c>
      <c r="S1030" s="70" t="s">
        <v>161</v>
      </c>
      <c r="U1030" s="65" t="s">
        <v>162</v>
      </c>
      <c r="W1030" s="77" t="s">
        <v>163</v>
      </c>
      <c r="X1030" s="77" t="s">
        <v>164</v>
      </c>
      <c r="Y1030" s="76" t="s">
        <v>165</v>
      </c>
      <c r="Z1030" s="70"/>
      <c r="AJ1030" s="66"/>
      <c r="AK1030" s="65"/>
    </row>
    <row r="1031" spans="1:37" hidden="1">
      <c r="A1031" s="66"/>
      <c r="U1031" s="66"/>
      <c r="V1031" s="66"/>
      <c r="AJ1031" s="66"/>
      <c r="AK1031" s="70"/>
    </row>
    <row r="1032" spans="1:37" hidden="1">
      <c r="A1032" s="66"/>
      <c r="U1032" s="66"/>
      <c r="V1032" s="66"/>
      <c r="AJ1032" s="66"/>
      <c r="AK1032" s="70"/>
    </row>
    <row r="1033" spans="1:37" hidden="1">
      <c r="B1033" s="65" t="s">
        <v>481</v>
      </c>
      <c r="C1033" s="79"/>
      <c r="D1033" s="79"/>
      <c r="E1033" s="79"/>
      <c r="F1033" s="79"/>
      <c r="G1033" s="79"/>
      <c r="H1033" s="79"/>
      <c r="I1033" s="79"/>
      <c r="J1033" s="79"/>
      <c r="K1033" s="79"/>
      <c r="L1033" s="79"/>
      <c r="M1033" s="79"/>
      <c r="N1033" s="79"/>
      <c r="O1033" s="79"/>
      <c r="P1033" s="79"/>
      <c r="Q1033" s="79"/>
      <c r="R1033" s="79"/>
      <c r="S1033" s="79"/>
      <c r="U1033" s="80"/>
      <c r="W1033" s="81" t="str">
        <f t="shared" ref="W1033:W1041" si="493">IF((O1033+R1033)=0," ",ROUND((O1033/(O1033+R1033)),7))</f>
        <v xml:space="preserve"> </v>
      </c>
      <c r="X1033" s="81" t="str">
        <f t="shared" ref="X1033:X1041" si="494">IF((C1033)=0," ",ROUND((O1033/(C1033)),7))</f>
        <v xml:space="preserve"> </v>
      </c>
      <c r="Y1033" s="81" t="str">
        <f t="shared" ref="Y1033:Y1041" si="495">IF((C1033)=0," ",ROUND((S1033/(C1033)),7))</f>
        <v xml:space="preserve"> </v>
      </c>
      <c r="Z1033" s="79"/>
      <c r="AJ1033" s="66"/>
      <c r="AK1033" s="70"/>
    </row>
    <row r="1034" spans="1:37" hidden="1">
      <c r="B1034" s="83" t="s">
        <v>170</v>
      </c>
      <c r="C1034" s="79"/>
      <c r="D1034" s="79"/>
      <c r="E1034" s="79"/>
      <c r="F1034" s="79"/>
      <c r="G1034" s="79"/>
      <c r="H1034" s="79"/>
      <c r="I1034" s="79"/>
      <c r="J1034" s="79"/>
      <c r="K1034" s="79"/>
      <c r="L1034" s="79"/>
      <c r="M1034" s="79"/>
      <c r="N1034" s="79"/>
      <c r="O1034" s="79"/>
      <c r="P1034" s="79"/>
      <c r="Q1034" s="79"/>
      <c r="R1034" s="79"/>
      <c r="S1034" s="79"/>
      <c r="U1034" s="80"/>
      <c r="W1034" s="81" t="str">
        <f t="shared" si="493"/>
        <v xml:space="preserve"> </v>
      </c>
      <c r="X1034" s="81" t="str">
        <f t="shared" si="494"/>
        <v xml:space="preserve"> </v>
      </c>
      <c r="Y1034" s="81" t="str">
        <f t="shared" si="495"/>
        <v xml:space="preserve"> </v>
      </c>
      <c r="Z1034" s="79"/>
      <c r="AJ1034" s="66"/>
      <c r="AK1034" s="70"/>
    </row>
    <row r="1035" spans="1:37" hidden="1">
      <c r="C1035" s="79"/>
      <c r="D1035" s="79"/>
      <c r="E1035" s="79"/>
      <c r="F1035" s="79"/>
      <c r="G1035" s="79"/>
      <c r="H1035" s="79"/>
      <c r="I1035" s="79"/>
      <c r="J1035" s="79"/>
      <c r="K1035" s="79"/>
      <c r="L1035" s="79"/>
      <c r="M1035" s="79"/>
      <c r="N1035" s="79"/>
      <c r="O1035" s="79"/>
      <c r="P1035" s="79"/>
      <c r="Q1035" s="79"/>
      <c r="R1035" s="79"/>
      <c r="S1035" s="79"/>
      <c r="U1035" s="80"/>
      <c r="W1035" s="81" t="str">
        <f t="shared" si="493"/>
        <v xml:space="preserve"> </v>
      </c>
      <c r="X1035" s="81" t="str">
        <f t="shared" si="494"/>
        <v xml:space="preserve"> </v>
      </c>
      <c r="Y1035" s="81" t="str">
        <f t="shared" si="495"/>
        <v xml:space="preserve"> </v>
      </c>
      <c r="Z1035" s="79"/>
      <c r="AJ1035" s="66"/>
      <c r="AK1035" s="70"/>
    </row>
    <row r="1036" spans="1:37" hidden="1">
      <c r="A1036" s="65">
        <f>A1021+1</f>
        <v>150</v>
      </c>
      <c r="B1036" s="66" t="s">
        <v>482</v>
      </c>
      <c r="C1036" s="79">
        <f>O1036+R1036+S1036</f>
        <v>3351</v>
      </c>
      <c r="D1036" s="78">
        <v>2851</v>
      </c>
      <c r="E1036" s="78">
        <v>79</v>
      </c>
      <c r="F1036" s="79">
        <f>D1036+E1036</f>
        <v>2930</v>
      </c>
      <c r="G1036" s="78">
        <v>267</v>
      </c>
      <c r="H1036" s="78">
        <v>151</v>
      </c>
      <c r="I1036" s="78">
        <v>3</v>
      </c>
      <c r="J1036" s="78">
        <v>0</v>
      </c>
      <c r="K1036" s="78">
        <v>0</v>
      </c>
      <c r="L1036" s="78">
        <v>0</v>
      </c>
      <c r="M1036" s="79">
        <f>SUM(J1036:L1036)</f>
        <v>0</v>
      </c>
      <c r="N1036" s="78">
        <v>0</v>
      </c>
      <c r="O1036" s="79">
        <f>SUM(F1036:I1036)+SUM(M1036:N1036)</f>
        <v>3351</v>
      </c>
      <c r="P1036" s="78">
        <f>0</f>
        <v>0</v>
      </c>
      <c r="Q1036" s="78">
        <f>0</f>
        <v>0</v>
      </c>
      <c r="R1036" s="78">
        <f>P1036+Q1036</f>
        <v>0</v>
      </c>
      <c r="S1036" s="78">
        <v>0</v>
      </c>
      <c r="U1036" s="80">
        <f>O1036+R1036+S1036-C1036</f>
        <v>0</v>
      </c>
      <c r="W1036" s="81">
        <f t="shared" si="493"/>
        <v>1</v>
      </c>
      <c r="X1036" s="81">
        <f t="shared" si="494"/>
        <v>1</v>
      </c>
      <c r="Y1036" s="81">
        <f t="shared" si="495"/>
        <v>0</v>
      </c>
      <c r="Z1036" s="78"/>
      <c r="AJ1036" s="66"/>
      <c r="AK1036" s="70"/>
    </row>
    <row r="1037" spans="1:37" hidden="1">
      <c r="A1037" s="66"/>
      <c r="U1037" s="66"/>
      <c r="V1037" s="66"/>
      <c r="W1037" s="81" t="str">
        <f t="shared" si="493"/>
        <v xml:space="preserve"> </v>
      </c>
      <c r="X1037" s="81" t="str">
        <f t="shared" si="494"/>
        <v xml:space="preserve"> </v>
      </c>
      <c r="Y1037" s="81" t="str">
        <f t="shared" si="495"/>
        <v xml:space="preserve"> </v>
      </c>
      <c r="AJ1037" s="66"/>
      <c r="AK1037" s="70"/>
    </row>
    <row r="1038" spans="1:37" hidden="1">
      <c r="B1038" s="66" t="s">
        <v>483</v>
      </c>
      <c r="C1038" s="79"/>
      <c r="D1038" s="79"/>
      <c r="E1038" s="79"/>
      <c r="F1038" s="79"/>
      <c r="G1038" s="79"/>
      <c r="H1038" s="79"/>
      <c r="I1038" s="79"/>
      <c r="J1038" s="79"/>
      <c r="K1038" s="79"/>
      <c r="L1038" s="79"/>
      <c r="M1038" s="79"/>
      <c r="N1038" s="79"/>
      <c r="O1038" s="79"/>
      <c r="P1038" s="79"/>
      <c r="Q1038" s="79"/>
      <c r="R1038" s="79"/>
      <c r="S1038" s="79"/>
      <c r="U1038" s="80"/>
      <c r="W1038" s="81" t="str">
        <f t="shared" si="493"/>
        <v xml:space="preserve"> </v>
      </c>
      <c r="X1038" s="81" t="str">
        <f t="shared" si="494"/>
        <v xml:space="preserve"> </v>
      </c>
      <c r="Y1038" s="81" t="str">
        <f t="shared" si="495"/>
        <v xml:space="preserve"> </v>
      </c>
      <c r="Z1038" s="79"/>
      <c r="AJ1038" s="66"/>
      <c r="AK1038" s="70"/>
    </row>
    <row r="1039" spans="1:37" hidden="1">
      <c r="A1039" s="65">
        <f>A1036+1</f>
        <v>151</v>
      </c>
      <c r="B1039" s="66" t="s">
        <v>484</v>
      </c>
      <c r="C1039" s="79">
        <f t="shared" ref="C1039:C1045" si="496">O1039+R1039+S1039</f>
        <v>4863</v>
      </c>
      <c r="D1039" s="78">
        <v>4732</v>
      </c>
      <c r="E1039" s="78">
        <v>131</v>
      </c>
      <c r="F1039" s="79">
        <f t="shared" ref="F1039:F1044" si="497">D1039+E1039</f>
        <v>4863</v>
      </c>
      <c r="G1039" s="79">
        <v>0</v>
      </c>
      <c r="H1039" s="79">
        <v>0</v>
      </c>
      <c r="I1039" s="79">
        <v>0</v>
      </c>
      <c r="J1039" s="79">
        <v>0</v>
      </c>
      <c r="K1039" s="79">
        <v>0</v>
      </c>
      <c r="L1039" s="79">
        <v>0</v>
      </c>
      <c r="M1039" s="79">
        <f t="shared" ref="M1039:M1053" si="498">SUM(J1039:L1039)</f>
        <v>0</v>
      </c>
      <c r="N1039" s="79">
        <v>0</v>
      </c>
      <c r="O1039" s="79">
        <f t="shared" ref="O1039:O1053" si="499">SUM(F1039:I1039)+SUM(M1039:N1039)</f>
        <v>4863</v>
      </c>
      <c r="P1039" s="79">
        <v>0</v>
      </c>
      <c r="Q1039" s="79">
        <v>0</v>
      </c>
      <c r="R1039" s="78">
        <f t="shared" ref="R1039:R1045" si="500">P1039+Q1039</f>
        <v>0</v>
      </c>
      <c r="S1039" s="78">
        <v>0</v>
      </c>
      <c r="U1039" s="80">
        <f t="shared" ref="U1039:U1055" si="501">O1039+R1039+S1039-C1039</f>
        <v>0</v>
      </c>
      <c r="W1039" s="81">
        <f t="shared" si="493"/>
        <v>1</v>
      </c>
      <c r="X1039" s="81">
        <f t="shared" si="494"/>
        <v>1</v>
      </c>
      <c r="Y1039" s="81">
        <f t="shared" si="495"/>
        <v>0</v>
      </c>
      <c r="Z1039" s="79"/>
      <c r="AJ1039" s="66"/>
      <c r="AK1039" s="70"/>
    </row>
    <row r="1040" spans="1:37" hidden="1">
      <c r="A1040" s="65">
        <f>A1039+1</f>
        <v>152</v>
      </c>
      <c r="B1040" s="66" t="s">
        <v>485</v>
      </c>
      <c r="C1040" s="79">
        <f t="shared" si="496"/>
        <v>2387</v>
      </c>
      <c r="D1040" s="79">
        <f>0</f>
        <v>0</v>
      </c>
      <c r="E1040" s="78">
        <v>0</v>
      </c>
      <c r="F1040" s="79">
        <f t="shared" si="497"/>
        <v>0</v>
      </c>
      <c r="G1040" s="78">
        <v>1522</v>
      </c>
      <c r="H1040" s="78">
        <v>852</v>
      </c>
      <c r="I1040" s="78">
        <v>13</v>
      </c>
      <c r="J1040" s="78">
        <v>0</v>
      </c>
      <c r="K1040" s="79">
        <f>0</f>
        <v>0</v>
      </c>
      <c r="L1040" s="79">
        <f>0</f>
        <v>0</v>
      </c>
      <c r="M1040" s="79">
        <f t="shared" si="498"/>
        <v>0</v>
      </c>
      <c r="N1040" s="79">
        <f>0</f>
        <v>0</v>
      </c>
      <c r="O1040" s="79">
        <f t="shared" si="499"/>
        <v>2387</v>
      </c>
      <c r="P1040" s="79">
        <f>0</f>
        <v>0</v>
      </c>
      <c r="Q1040" s="79">
        <f>0</f>
        <v>0</v>
      </c>
      <c r="R1040" s="78">
        <f t="shared" si="500"/>
        <v>0</v>
      </c>
      <c r="S1040" s="78">
        <v>0</v>
      </c>
      <c r="U1040" s="80">
        <f t="shared" si="501"/>
        <v>0</v>
      </c>
      <c r="W1040" s="81">
        <f t="shared" si="493"/>
        <v>1</v>
      </c>
      <c r="X1040" s="81">
        <f t="shared" si="494"/>
        <v>1</v>
      </c>
      <c r="Y1040" s="81">
        <f t="shared" si="495"/>
        <v>0</v>
      </c>
      <c r="Z1040" s="79"/>
      <c r="AJ1040" s="66"/>
      <c r="AK1040" s="70"/>
    </row>
    <row r="1041" spans="1:37" hidden="1">
      <c r="A1041" s="65">
        <f t="shared" ref="A1041:A1045" si="502">A1040+1</f>
        <v>153</v>
      </c>
      <c r="B1041" s="86" t="s">
        <v>486</v>
      </c>
      <c r="C1041" s="79">
        <f t="shared" si="496"/>
        <v>9836</v>
      </c>
      <c r="D1041" s="79">
        <f>0</f>
        <v>0</v>
      </c>
      <c r="E1041" s="78">
        <v>0</v>
      </c>
      <c r="F1041" s="79">
        <f t="shared" si="497"/>
        <v>0</v>
      </c>
      <c r="G1041" s="78">
        <v>198</v>
      </c>
      <c r="H1041" s="78">
        <v>895</v>
      </c>
      <c r="I1041" s="78">
        <v>8604</v>
      </c>
      <c r="J1041" s="78">
        <v>118</v>
      </c>
      <c r="K1041" s="78">
        <v>16</v>
      </c>
      <c r="L1041" s="78">
        <v>5</v>
      </c>
      <c r="M1041" s="79">
        <f t="shared" si="498"/>
        <v>139</v>
      </c>
      <c r="N1041" s="79">
        <f>0</f>
        <v>0</v>
      </c>
      <c r="O1041" s="79">
        <f t="shared" si="499"/>
        <v>9836</v>
      </c>
      <c r="P1041" s="78">
        <f>0</f>
        <v>0</v>
      </c>
      <c r="Q1041" s="78">
        <f>0</f>
        <v>0</v>
      </c>
      <c r="R1041" s="78">
        <f t="shared" si="500"/>
        <v>0</v>
      </c>
      <c r="S1041" s="78">
        <v>0</v>
      </c>
      <c r="U1041" s="80">
        <f t="shared" si="501"/>
        <v>0</v>
      </c>
      <c r="W1041" s="81">
        <f t="shared" si="493"/>
        <v>1</v>
      </c>
      <c r="X1041" s="81">
        <f t="shared" si="494"/>
        <v>1</v>
      </c>
      <c r="Y1041" s="81">
        <f t="shared" si="495"/>
        <v>0</v>
      </c>
      <c r="Z1041" s="79"/>
      <c r="AJ1041" s="66"/>
      <c r="AK1041" s="70"/>
    </row>
    <row r="1042" spans="1:37" hidden="1">
      <c r="A1042" s="65">
        <f t="shared" si="502"/>
        <v>154</v>
      </c>
      <c r="B1042" s="86" t="s">
        <v>487</v>
      </c>
      <c r="C1042" s="79">
        <f t="shared" si="496"/>
        <v>8282</v>
      </c>
      <c r="D1042" s="79">
        <f>0</f>
        <v>0</v>
      </c>
      <c r="E1042" s="78">
        <v>0</v>
      </c>
      <c r="F1042" s="79">
        <f t="shared" si="497"/>
        <v>0</v>
      </c>
      <c r="G1042" s="78">
        <v>0</v>
      </c>
      <c r="H1042" s="78">
        <v>0</v>
      </c>
      <c r="I1042" s="78">
        <v>8282</v>
      </c>
      <c r="J1042" s="78">
        <v>0</v>
      </c>
      <c r="K1042" s="78">
        <v>0</v>
      </c>
      <c r="L1042" s="78">
        <v>0</v>
      </c>
      <c r="M1042" s="79">
        <f t="shared" si="498"/>
        <v>0</v>
      </c>
      <c r="N1042" s="79">
        <f>0</f>
        <v>0</v>
      </c>
      <c r="O1042" s="79">
        <f t="shared" si="499"/>
        <v>8282</v>
      </c>
      <c r="P1042" s="78">
        <f>0</f>
        <v>0</v>
      </c>
      <c r="Q1042" s="78">
        <f>0</f>
        <v>0</v>
      </c>
      <c r="R1042" s="78">
        <f t="shared" si="500"/>
        <v>0</v>
      </c>
      <c r="S1042" s="78">
        <v>0</v>
      </c>
      <c r="U1042" s="80"/>
      <c r="W1042" s="81"/>
      <c r="X1042" s="81"/>
      <c r="Y1042" s="81"/>
      <c r="Z1042" s="79"/>
      <c r="AJ1042" s="66"/>
      <c r="AK1042" s="70"/>
    </row>
    <row r="1043" spans="1:37" hidden="1">
      <c r="A1043" s="65">
        <f t="shared" si="502"/>
        <v>155</v>
      </c>
      <c r="B1043" s="86" t="s">
        <v>488</v>
      </c>
      <c r="C1043" s="79">
        <f t="shared" si="496"/>
        <v>1554</v>
      </c>
      <c r="D1043" s="79">
        <f>D1041-D1042</f>
        <v>0</v>
      </c>
      <c r="E1043" s="79">
        <f>E1041-E1042</f>
        <v>0</v>
      </c>
      <c r="F1043" s="79">
        <f t="shared" si="497"/>
        <v>0</v>
      </c>
      <c r="G1043" s="79">
        <f t="shared" ref="G1043:N1043" si="503">G1041-G1042</f>
        <v>198</v>
      </c>
      <c r="H1043" s="79">
        <f t="shared" si="503"/>
        <v>895</v>
      </c>
      <c r="I1043" s="79">
        <f t="shared" si="503"/>
        <v>322</v>
      </c>
      <c r="J1043" s="79">
        <f t="shared" si="503"/>
        <v>118</v>
      </c>
      <c r="K1043" s="79">
        <f t="shared" si="503"/>
        <v>16</v>
      </c>
      <c r="L1043" s="79">
        <f t="shared" si="503"/>
        <v>5</v>
      </c>
      <c r="M1043" s="79">
        <f t="shared" si="498"/>
        <v>139</v>
      </c>
      <c r="N1043" s="79">
        <f t="shared" si="503"/>
        <v>0</v>
      </c>
      <c r="O1043" s="79">
        <f t="shared" si="499"/>
        <v>1554</v>
      </c>
      <c r="P1043" s="79">
        <f t="shared" ref="P1043:S1043" si="504">P1041-P1042</f>
        <v>0</v>
      </c>
      <c r="Q1043" s="79">
        <f t="shared" si="504"/>
        <v>0</v>
      </c>
      <c r="R1043" s="78">
        <f t="shared" si="500"/>
        <v>0</v>
      </c>
      <c r="S1043" s="79">
        <f t="shared" si="504"/>
        <v>0</v>
      </c>
      <c r="U1043" s="80"/>
      <c r="W1043" s="81"/>
      <c r="X1043" s="81"/>
      <c r="Y1043" s="81"/>
      <c r="Z1043" s="79"/>
      <c r="AJ1043" s="66"/>
      <c r="AK1043" s="70"/>
    </row>
    <row r="1044" spans="1:37" hidden="1">
      <c r="A1044" s="65">
        <f t="shared" si="502"/>
        <v>156</v>
      </c>
      <c r="B1044" s="66" t="s">
        <v>489</v>
      </c>
      <c r="C1044" s="79">
        <f t="shared" si="496"/>
        <v>0</v>
      </c>
      <c r="D1044" s="79">
        <v>0</v>
      </c>
      <c r="E1044" s="79">
        <v>0</v>
      </c>
      <c r="F1044" s="79">
        <f t="shared" si="497"/>
        <v>0</v>
      </c>
      <c r="G1044" s="79">
        <v>0</v>
      </c>
      <c r="H1044" s="79">
        <v>0</v>
      </c>
      <c r="I1044" s="79">
        <v>0</v>
      </c>
      <c r="J1044" s="79">
        <v>0</v>
      </c>
      <c r="K1044" s="79">
        <v>0</v>
      </c>
      <c r="L1044" s="79">
        <v>0</v>
      </c>
      <c r="M1044" s="79">
        <f t="shared" si="498"/>
        <v>0</v>
      </c>
      <c r="N1044" s="78">
        <v>0</v>
      </c>
      <c r="O1044" s="79">
        <f t="shared" si="499"/>
        <v>0</v>
      </c>
      <c r="P1044" s="79">
        <v>0</v>
      </c>
      <c r="Q1044" s="79">
        <v>0</v>
      </c>
      <c r="R1044" s="78">
        <f t="shared" si="500"/>
        <v>0</v>
      </c>
      <c r="S1044" s="78">
        <v>0</v>
      </c>
      <c r="U1044" s="80">
        <f t="shared" si="501"/>
        <v>0</v>
      </c>
      <c r="W1044" s="81" t="str">
        <f t="shared" ref="W1044:W1055" si="505">IF((O1044+R1044)=0," ",ROUND((O1044/(O1044+R1044)),7))</f>
        <v xml:space="preserve"> </v>
      </c>
      <c r="X1044" s="81" t="str">
        <f t="shared" ref="X1044:X1055" si="506">IF((C1044)=0," ",ROUND((O1044/(C1044)),7))</f>
        <v xml:space="preserve"> </v>
      </c>
      <c r="Y1044" s="81" t="str">
        <f t="shared" ref="Y1044:Y1055" si="507">IF((C1044)=0," ",ROUND((S1044/(C1044)),7))</f>
        <v xml:space="preserve"> </v>
      </c>
      <c r="Z1044" s="79"/>
      <c r="AJ1044" s="66"/>
      <c r="AK1044" s="70"/>
    </row>
    <row r="1045" spans="1:37" hidden="1">
      <c r="A1045" s="65">
        <f t="shared" si="502"/>
        <v>157</v>
      </c>
      <c r="B1045" s="66" t="s">
        <v>490</v>
      </c>
      <c r="C1045" s="79">
        <f t="shared" si="496"/>
        <v>17086</v>
      </c>
      <c r="D1045" s="79">
        <f>D1039+D1040+D1041+D1044</f>
        <v>4732</v>
      </c>
      <c r="E1045" s="79">
        <f>E1039+E1040+E1041+E1044</f>
        <v>131</v>
      </c>
      <c r="F1045" s="79">
        <f>D1045+E1045</f>
        <v>4863</v>
      </c>
      <c r="G1045" s="79">
        <f>G1039+G1040+G1041+G1044</f>
        <v>1720</v>
      </c>
      <c r="H1045" s="79">
        <f t="shared" ref="H1045:N1045" si="508">H1039+H1040+H1041+H1044</f>
        <v>1747</v>
      </c>
      <c r="I1045" s="79">
        <f>I1039+I1040+I1041+I1044</f>
        <v>8617</v>
      </c>
      <c r="J1045" s="79">
        <f t="shared" si="508"/>
        <v>118</v>
      </c>
      <c r="K1045" s="79">
        <f t="shared" si="508"/>
        <v>16</v>
      </c>
      <c r="L1045" s="79">
        <f t="shared" si="508"/>
        <v>5</v>
      </c>
      <c r="M1045" s="79">
        <f t="shared" si="498"/>
        <v>139</v>
      </c>
      <c r="N1045" s="79">
        <f t="shared" si="508"/>
        <v>0</v>
      </c>
      <c r="O1045" s="79">
        <f>SUM(F1045:I1045)+SUM(M1045:N1045)</f>
        <v>17086</v>
      </c>
      <c r="P1045" s="79">
        <f t="shared" ref="P1045:S1045" si="509">P1039+P1040+P1041+P1044</f>
        <v>0</v>
      </c>
      <c r="Q1045" s="79">
        <f t="shared" si="509"/>
        <v>0</v>
      </c>
      <c r="R1045" s="78">
        <f t="shared" si="500"/>
        <v>0</v>
      </c>
      <c r="S1045" s="79">
        <f t="shared" si="509"/>
        <v>0</v>
      </c>
      <c r="U1045" s="80">
        <f t="shared" si="501"/>
        <v>0</v>
      </c>
      <c r="W1045" s="81">
        <f t="shared" si="505"/>
        <v>1</v>
      </c>
      <c r="X1045" s="81">
        <f t="shared" si="506"/>
        <v>1</v>
      </c>
      <c r="Y1045" s="81">
        <f t="shared" si="507"/>
        <v>0</v>
      </c>
      <c r="Z1045" s="79"/>
      <c r="AJ1045" s="66"/>
      <c r="AK1045" s="70"/>
    </row>
    <row r="1046" spans="1:37" hidden="1">
      <c r="W1046" s="81" t="str">
        <f t="shared" si="505"/>
        <v xml:space="preserve"> </v>
      </c>
      <c r="X1046" s="81" t="str">
        <f t="shared" si="506"/>
        <v xml:space="preserve"> </v>
      </c>
      <c r="Y1046" s="81" t="str">
        <f t="shared" si="507"/>
        <v xml:space="preserve"> </v>
      </c>
      <c r="AJ1046" s="66"/>
      <c r="AK1046" s="70"/>
    </row>
    <row r="1047" spans="1:37" hidden="1">
      <c r="A1047" s="65">
        <f>A1045+1</f>
        <v>158</v>
      </c>
      <c r="B1047" s="66" t="s">
        <v>491</v>
      </c>
      <c r="C1047" s="79">
        <f>O1047+R1047+S1047</f>
        <v>1132</v>
      </c>
      <c r="D1047" s="78">
        <v>996</v>
      </c>
      <c r="E1047" s="78">
        <v>28</v>
      </c>
      <c r="F1047" s="79">
        <f>D1047+E1047</f>
        <v>1024</v>
      </c>
      <c r="G1047" s="78">
        <v>18</v>
      </c>
      <c r="H1047" s="78">
        <v>60</v>
      </c>
      <c r="I1047" s="78">
        <v>21</v>
      </c>
      <c r="J1047" s="78">
        <v>8</v>
      </c>
      <c r="K1047" s="78">
        <v>1</v>
      </c>
      <c r="L1047" s="78">
        <v>0</v>
      </c>
      <c r="M1047" s="79">
        <f>SUM(J1047:L1047)</f>
        <v>9</v>
      </c>
      <c r="N1047" s="78">
        <f>0</f>
        <v>0</v>
      </c>
      <c r="O1047" s="79">
        <f>SUM(F1047:I1047)+SUM(M1047:N1047)</f>
        <v>1132</v>
      </c>
      <c r="P1047" s="78">
        <f>0</f>
        <v>0</v>
      </c>
      <c r="Q1047" s="78">
        <f>0</f>
        <v>0</v>
      </c>
      <c r="R1047" s="78">
        <f>P1047+Q1047</f>
        <v>0</v>
      </c>
      <c r="S1047" s="78">
        <v>0</v>
      </c>
      <c r="U1047" s="80">
        <f t="shared" si="501"/>
        <v>0</v>
      </c>
      <c r="W1047" s="81">
        <f t="shared" si="505"/>
        <v>1</v>
      </c>
      <c r="X1047" s="81">
        <f t="shared" si="506"/>
        <v>1</v>
      </c>
      <c r="Y1047" s="81">
        <f t="shared" si="507"/>
        <v>0</v>
      </c>
      <c r="Z1047" s="78"/>
      <c r="AJ1047" s="66"/>
      <c r="AK1047" s="70"/>
    </row>
    <row r="1048" spans="1:37" hidden="1">
      <c r="W1048" s="81" t="str">
        <f t="shared" si="505"/>
        <v xml:space="preserve"> </v>
      </c>
      <c r="X1048" s="81" t="str">
        <f t="shared" si="506"/>
        <v xml:space="preserve"> </v>
      </c>
      <c r="Y1048" s="81" t="str">
        <f t="shared" si="507"/>
        <v xml:space="preserve"> </v>
      </c>
      <c r="AJ1048" s="66"/>
      <c r="AK1048" s="70"/>
    </row>
    <row r="1049" spans="1:37" hidden="1">
      <c r="A1049" s="65">
        <f>A1047+1</f>
        <v>159</v>
      </c>
      <c r="B1049" s="66" t="s">
        <v>492</v>
      </c>
      <c r="C1049" s="79">
        <f>O1049+R1049+S1049</f>
        <v>77</v>
      </c>
      <c r="D1049" s="78">
        <v>66</v>
      </c>
      <c r="E1049" s="78">
        <v>2</v>
      </c>
      <c r="F1049" s="79">
        <f>D1049+E1049</f>
        <v>68</v>
      </c>
      <c r="G1049" s="78">
        <v>6</v>
      </c>
      <c r="H1049" s="78">
        <v>3</v>
      </c>
      <c r="I1049" s="78">
        <v>0</v>
      </c>
      <c r="J1049" s="78">
        <v>0</v>
      </c>
      <c r="K1049" s="78">
        <v>0</v>
      </c>
      <c r="L1049" s="78">
        <v>0</v>
      </c>
      <c r="M1049" s="79">
        <f t="shared" si="498"/>
        <v>0</v>
      </c>
      <c r="N1049" s="78">
        <f>0</f>
        <v>0</v>
      </c>
      <c r="O1049" s="79">
        <f t="shared" si="499"/>
        <v>77</v>
      </c>
      <c r="P1049" s="78">
        <f>0</f>
        <v>0</v>
      </c>
      <c r="Q1049" s="78">
        <f>0</f>
        <v>0</v>
      </c>
      <c r="R1049" s="78">
        <f>P1049+Q1049</f>
        <v>0</v>
      </c>
      <c r="S1049" s="78">
        <v>0</v>
      </c>
      <c r="U1049" s="80">
        <f t="shared" si="501"/>
        <v>0</v>
      </c>
      <c r="W1049" s="81">
        <f t="shared" si="505"/>
        <v>1</v>
      </c>
      <c r="X1049" s="81">
        <f t="shared" si="506"/>
        <v>1</v>
      </c>
      <c r="Y1049" s="81">
        <f t="shared" si="507"/>
        <v>0</v>
      </c>
      <c r="Z1049" s="78"/>
      <c r="AJ1049" s="66"/>
      <c r="AK1049" s="70"/>
    </row>
    <row r="1050" spans="1:37" hidden="1">
      <c r="W1050" s="81" t="str">
        <f t="shared" si="505"/>
        <v xml:space="preserve"> </v>
      </c>
      <c r="X1050" s="81" t="str">
        <f t="shared" si="506"/>
        <v xml:space="preserve"> </v>
      </c>
      <c r="Y1050" s="81" t="str">
        <f t="shared" si="507"/>
        <v xml:space="preserve"> </v>
      </c>
      <c r="AJ1050" s="66"/>
      <c r="AK1050" s="70"/>
    </row>
    <row r="1051" spans="1:37" hidden="1">
      <c r="A1051" s="65">
        <f>A1049+1</f>
        <v>160</v>
      </c>
      <c r="B1051" s="66" t="s">
        <v>493</v>
      </c>
      <c r="C1051" s="79">
        <f>O1051+R1051+S1051</f>
        <v>18071</v>
      </c>
      <c r="D1051" s="78">
        <v>15179</v>
      </c>
      <c r="E1051" s="78">
        <v>422</v>
      </c>
      <c r="F1051" s="79">
        <f>D1051+E1051</f>
        <v>15601</v>
      </c>
      <c r="G1051" s="78">
        <v>1470</v>
      </c>
      <c r="H1051" s="78">
        <v>926</v>
      </c>
      <c r="I1051" s="78">
        <v>55</v>
      </c>
      <c r="J1051" s="78">
        <v>16</v>
      </c>
      <c r="K1051" s="78">
        <v>2</v>
      </c>
      <c r="L1051" s="78">
        <v>1</v>
      </c>
      <c r="M1051" s="79">
        <f t="shared" si="498"/>
        <v>19</v>
      </c>
      <c r="N1051" s="79">
        <v>0</v>
      </c>
      <c r="O1051" s="79">
        <f t="shared" si="499"/>
        <v>18071</v>
      </c>
      <c r="P1051" s="79">
        <f>-P1050</f>
        <v>0</v>
      </c>
      <c r="Q1051" s="79">
        <f>-Q1050</f>
        <v>0</v>
      </c>
      <c r="R1051" s="78">
        <f>P1051+Q1051</f>
        <v>0</v>
      </c>
      <c r="S1051" s="79">
        <f>-S1050</f>
        <v>0</v>
      </c>
      <c r="U1051" s="80">
        <f t="shared" si="501"/>
        <v>0</v>
      </c>
      <c r="W1051" s="81">
        <f t="shared" si="505"/>
        <v>1</v>
      </c>
      <c r="X1051" s="81">
        <f t="shared" si="506"/>
        <v>1</v>
      </c>
      <c r="Y1051" s="81">
        <f t="shared" si="507"/>
        <v>0</v>
      </c>
      <c r="Z1051" s="79"/>
      <c r="AJ1051" s="66"/>
      <c r="AK1051" s="70"/>
    </row>
    <row r="1052" spans="1:37" hidden="1">
      <c r="A1052" s="65">
        <f>A1051+1</f>
        <v>161</v>
      </c>
      <c r="B1052" s="66" t="s">
        <v>494</v>
      </c>
      <c r="C1052" s="79">
        <f t="shared" ref="C1052:I1052" si="510">-C1051</f>
        <v>-18071</v>
      </c>
      <c r="D1052" s="79">
        <f t="shared" si="510"/>
        <v>-15179</v>
      </c>
      <c r="E1052" s="79">
        <f>-E1051</f>
        <v>-422</v>
      </c>
      <c r="F1052" s="79">
        <f>D1052+E1052</f>
        <v>-15601</v>
      </c>
      <c r="G1052" s="79">
        <f t="shared" si="510"/>
        <v>-1470</v>
      </c>
      <c r="H1052" s="79">
        <f t="shared" si="510"/>
        <v>-926</v>
      </c>
      <c r="I1052" s="79">
        <f t="shared" si="510"/>
        <v>-55</v>
      </c>
      <c r="J1052" s="79">
        <f>-J1051</f>
        <v>-16</v>
      </c>
      <c r="K1052" s="79">
        <f>-K1051</f>
        <v>-2</v>
      </c>
      <c r="L1052" s="79">
        <f>-L1051</f>
        <v>-1</v>
      </c>
      <c r="M1052" s="79">
        <f t="shared" si="498"/>
        <v>-19</v>
      </c>
      <c r="N1052" s="79">
        <f>-N1051</f>
        <v>0</v>
      </c>
      <c r="O1052" s="79">
        <f t="shared" si="499"/>
        <v>-18071</v>
      </c>
      <c r="P1052" s="79">
        <f>-P1051</f>
        <v>0</v>
      </c>
      <c r="Q1052" s="79">
        <f>-Q1051</f>
        <v>0</v>
      </c>
      <c r="R1052" s="78">
        <f>P1052+Q1052</f>
        <v>0</v>
      </c>
      <c r="S1052" s="79">
        <f>-S1051</f>
        <v>0</v>
      </c>
      <c r="U1052" s="80">
        <f t="shared" si="501"/>
        <v>0</v>
      </c>
      <c r="W1052" s="81">
        <f t="shared" si="505"/>
        <v>1</v>
      </c>
      <c r="X1052" s="81">
        <f t="shared" si="506"/>
        <v>1</v>
      </c>
      <c r="Y1052" s="81">
        <f t="shared" si="507"/>
        <v>0</v>
      </c>
      <c r="Z1052" s="79"/>
      <c r="AJ1052" s="66"/>
      <c r="AK1052" s="70"/>
    </row>
    <row r="1053" spans="1:37" hidden="1">
      <c r="A1053" s="65">
        <f>A1052+1</f>
        <v>162</v>
      </c>
      <c r="B1053" s="66" t="s">
        <v>495</v>
      </c>
      <c r="C1053" s="79">
        <f>O1053+R1053+S1053+0.00001</f>
        <v>1.0000000000000001E-5</v>
      </c>
      <c r="D1053" s="79">
        <f t="shared" ref="D1053:I1053" si="511">D1051+D1052</f>
        <v>0</v>
      </c>
      <c r="E1053" s="79">
        <f>E1051+E1052</f>
        <v>0</v>
      </c>
      <c r="F1053" s="79">
        <f>D1053+E1053</f>
        <v>0</v>
      </c>
      <c r="G1053" s="79">
        <f t="shared" si="511"/>
        <v>0</v>
      </c>
      <c r="H1053" s="79">
        <f t="shared" si="511"/>
        <v>0</v>
      </c>
      <c r="I1053" s="79">
        <f t="shared" si="511"/>
        <v>0</v>
      </c>
      <c r="J1053" s="79">
        <f>J1051+J1052</f>
        <v>0</v>
      </c>
      <c r="K1053" s="79">
        <f>K1051+K1052</f>
        <v>0</v>
      </c>
      <c r="L1053" s="79">
        <f>L1051+L1052</f>
        <v>0</v>
      </c>
      <c r="M1053" s="79">
        <f t="shared" si="498"/>
        <v>0</v>
      </c>
      <c r="N1053" s="79">
        <f>N1051+N1052</f>
        <v>0</v>
      </c>
      <c r="O1053" s="79">
        <f t="shared" si="499"/>
        <v>0</v>
      </c>
      <c r="P1053" s="79">
        <f>P1051+P1052</f>
        <v>0</v>
      </c>
      <c r="Q1053" s="79">
        <f>Q1051+Q1052</f>
        <v>0</v>
      </c>
      <c r="R1053" s="78">
        <f>P1053+Q1053</f>
        <v>0</v>
      </c>
      <c r="S1053" s="79">
        <f>S1051+S1052</f>
        <v>0</v>
      </c>
      <c r="U1053" s="80">
        <f t="shared" si="501"/>
        <v>-1.0000000000000001E-5</v>
      </c>
      <c r="W1053" s="81" t="str">
        <f t="shared" si="505"/>
        <v xml:space="preserve"> </v>
      </c>
      <c r="X1053" s="81">
        <f t="shared" si="506"/>
        <v>0</v>
      </c>
      <c r="Y1053" s="81">
        <f t="shared" si="507"/>
        <v>0</v>
      </c>
      <c r="Z1053" s="79"/>
      <c r="AJ1053" s="66"/>
      <c r="AK1053" s="70"/>
    </row>
    <row r="1054" spans="1:37" hidden="1">
      <c r="C1054" s="79"/>
      <c r="D1054" s="79"/>
      <c r="E1054" s="79"/>
      <c r="F1054" s="79"/>
      <c r="G1054" s="79"/>
      <c r="H1054" s="79"/>
      <c r="I1054" s="79"/>
      <c r="J1054" s="79"/>
      <c r="K1054" s="79"/>
      <c r="L1054" s="79"/>
      <c r="M1054" s="79"/>
      <c r="N1054" s="79"/>
      <c r="O1054" s="79"/>
      <c r="P1054" s="79"/>
      <c r="Q1054" s="79"/>
      <c r="R1054" s="79"/>
      <c r="S1054" s="79"/>
      <c r="U1054" s="80"/>
      <c r="W1054" s="81" t="str">
        <f t="shared" si="505"/>
        <v xml:space="preserve"> </v>
      </c>
      <c r="X1054" s="81" t="str">
        <f t="shared" si="506"/>
        <v xml:space="preserve"> </v>
      </c>
      <c r="Y1054" s="81" t="str">
        <f t="shared" si="507"/>
        <v xml:space="preserve"> </v>
      </c>
      <c r="Z1054" s="79"/>
      <c r="AJ1054" s="66"/>
      <c r="AK1054" s="70"/>
    </row>
    <row r="1055" spans="1:37" hidden="1">
      <c r="A1055" s="65">
        <f>A1053+1</f>
        <v>163</v>
      </c>
      <c r="B1055" s="66" t="s">
        <v>496</v>
      </c>
      <c r="C1055" s="79">
        <f>O1055+R1055+S1055</f>
        <v>21646</v>
      </c>
      <c r="D1055" s="79">
        <f>D1036+D1045+D1047+D1049+D1053</f>
        <v>8645</v>
      </c>
      <c r="E1055" s="79">
        <f>E1036+E1045+E1047+E1049+E1053</f>
        <v>240</v>
      </c>
      <c r="F1055" s="79">
        <f>D1055+E1055</f>
        <v>8885</v>
      </c>
      <c r="G1055" s="79">
        <f>G1036+G1045+G1047+G1049+G1053</f>
        <v>2011</v>
      </c>
      <c r="H1055" s="79">
        <f t="shared" ref="H1055:L1055" si="512">H1036+H1045+H1047+H1049+H1053</f>
        <v>1961</v>
      </c>
      <c r="I1055" s="79">
        <f t="shared" si="512"/>
        <v>8641</v>
      </c>
      <c r="J1055" s="79">
        <f t="shared" si="512"/>
        <v>126</v>
      </c>
      <c r="K1055" s="79">
        <f t="shared" si="512"/>
        <v>17</v>
      </c>
      <c r="L1055" s="79">
        <f t="shared" si="512"/>
        <v>5</v>
      </c>
      <c r="M1055" s="79">
        <f>SUM(J1055:L1055)</f>
        <v>148</v>
      </c>
      <c r="N1055" s="79">
        <f>N1036+N1045+N1047+N1049+N1053</f>
        <v>0</v>
      </c>
      <c r="O1055" s="79">
        <f>SUM(F1055:I1055)+SUM(M1055:N1055)</f>
        <v>21646</v>
      </c>
      <c r="P1055" s="79">
        <f>P1036+P1045+P1047+P1049+P1053</f>
        <v>0</v>
      </c>
      <c r="Q1055" s="79">
        <f>Q1036+Q1045+Q1047+Q1049+Q1053</f>
        <v>0</v>
      </c>
      <c r="R1055" s="78">
        <f>P1055+Q1055</f>
        <v>0</v>
      </c>
      <c r="S1055" s="79">
        <f>S1036+S1045+S1047+S1049+S1053</f>
        <v>0</v>
      </c>
      <c r="U1055" s="80">
        <f t="shared" si="501"/>
        <v>0</v>
      </c>
      <c r="W1055" s="81">
        <f t="shared" si="505"/>
        <v>1</v>
      </c>
      <c r="X1055" s="81">
        <f t="shared" si="506"/>
        <v>1</v>
      </c>
      <c r="Y1055" s="81">
        <f t="shared" si="507"/>
        <v>0</v>
      </c>
      <c r="Z1055" s="79"/>
      <c r="AJ1055" s="66"/>
      <c r="AK1055" s="70"/>
    </row>
    <row r="1056" spans="1:37" hidden="1">
      <c r="B1056" s="72"/>
      <c r="C1056" s="79"/>
      <c r="H1056" s="65" t="s">
        <v>80</v>
      </c>
      <c r="I1056" s="79"/>
      <c r="J1056" s="79"/>
      <c r="K1056" s="79"/>
      <c r="L1056" s="79"/>
      <c r="M1056" s="79"/>
      <c r="Q1056" s="65" t="s">
        <v>80</v>
      </c>
      <c r="R1056" s="79"/>
      <c r="S1056" s="65"/>
      <c r="W1056" s="81"/>
      <c r="X1056" s="81"/>
      <c r="Y1056" s="81"/>
      <c r="Z1056" s="65"/>
      <c r="AJ1056" s="66"/>
      <c r="AK1056" s="65"/>
    </row>
    <row r="1057" spans="1:37" hidden="1">
      <c r="C1057" s="79"/>
      <c r="H1057" s="70" t="str">
        <f>$H$24</f>
        <v>12 MONTHS ENDING DECEMBER 31, 2012</v>
      </c>
      <c r="I1057" s="79"/>
      <c r="J1057" s="79"/>
      <c r="K1057" s="79"/>
      <c r="L1057" s="79"/>
      <c r="M1057" s="79"/>
      <c r="Q1057" s="70" t="str">
        <f>$H$24</f>
        <v>12 MONTHS ENDING DECEMBER 31, 2012</v>
      </c>
      <c r="R1057" s="79"/>
      <c r="S1057" s="79"/>
      <c r="U1057" s="80"/>
      <c r="W1057" s="81"/>
      <c r="X1057" s="81"/>
      <c r="Y1057" s="81"/>
      <c r="Z1057" s="70"/>
      <c r="AF1057" s="65"/>
      <c r="AJ1057" s="66"/>
      <c r="AK1057" s="65"/>
    </row>
    <row r="1058" spans="1:37" hidden="1">
      <c r="C1058" s="79"/>
      <c r="H1058" s="70" t="str">
        <f>$H$25</f>
        <v>12/13 DEMAND ALLOCATION WITH MDS METHODOLOGY</v>
      </c>
      <c r="Q1058" s="70" t="str">
        <f>$H$25</f>
        <v>12/13 DEMAND ALLOCATION WITH MDS METHODOLOGY</v>
      </c>
      <c r="S1058" s="79"/>
      <c r="X1058" s="81"/>
      <c r="Y1058" s="81"/>
      <c r="Z1058" s="70"/>
      <c r="AF1058" s="70"/>
      <c r="AJ1058" s="66"/>
      <c r="AK1058" s="65"/>
    </row>
    <row r="1059" spans="1:37" hidden="1">
      <c r="C1059" s="79"/>
      <c r="H1059" s="87" t="s">
        <v>104</v>
      </c>
      <c r="I1059" s="79"/>
      <c r="J1059" s="79"/>
      <c r="K1059" s="79"/>
      <c r="L1059" s="79"/>
      <c r="M1059" s="79"/>
      <c r="N1059" s="79"/>
      <c r="Q1059" s="87" t="s">
        <v>104</v>
      </c>
      <c r="S1059" s="79"/>
      <c r="U1059" s="80"/>
      <c r="X1059" s="81"/>
      <c r="Y1059" s="81"/>
      <c r="Z1059" s="87"/>
      <c r="AF1059" s="70"/>
      <c r="AJ1059" s="66"/>
      <c r="AK1059" s="65"/>
    </row>
    <row r="1060" spans="1:37" hidden="1">
      <c r="C1060" s="79"/>
      <c r="H1060" s="87" t="s">
        <v>114</v>
      </c>
      <c r="J1060" s="79"/>
      <c r="K1060" s="79"/>
      <c r="L1060" s="79"/>
      <c r="M1060" s="79"/>
      <c r="N1060" s="79"/>
      <c r="Q1060" s="87" t="s">
        <v>114</v>
      </c>
      <c r="S1060" s="79"/>
      <c r="U1060" s="80"/>
      <c r="X1060" s="81"/>
      <c r="Y1060" s="81"/>
      <c r="Z1060" s="87"/>
      <c r="AF1060" s="76"/>
      <c r="AJ1060" s="66"/>
      <c r="AK1060" s="65"/>
    </row>
    <row r="1061" spans="1:37" hidden="1">
      <c r="C1061" s="79"/>
      <c r="H1061" s="87"/>
      <c r="J1061" s="79"/>
      <c r="K1061" s="79"/>
      <c r="L1061" s="79"/>
      <c r="M1061" s="79"/>
      <c r="N1061" s="79"/>
      <c r="Q1061" s="87"/>
      <c r="S1061" s="79"/>
      <c r="U1061" s="80"/>
      <c r="X1061" s="81"/>
      <c r="Y1061" s="81"/>
      <c r="Z1061" s="87"/>
      <c r="AF1061" s="76"/>
      <c r="AJ1061" s="66"/>
      <c r="AK1061" s="65"/>
    </row>
    <row r="1062" spans="1:37" hidden="1">
      <c r="A1062" s="65" t="s">
        <v>118</v>
      </c>
      <c r="C1062" s="65" t="s">
        <v>58</v>
      </c>
      <c r="D1062" s="70" t="s">
        <v>119</v>
      </c>
      <c r="E1062" s="70" t="s">
        <v>119</v>
      </c>
      <c r="F1062" s="70" t="s">
        <v>119</v>
      </c>
      <c r="G1062" s="70" t="s">
        <v>119</v>
      </c>
      <c r="H1062" s="70" t="s">
        <v>119</v>
      </c>
      <c r="I1062" s="70" t="s">
        <v>119</v>
      </c>
      <c r="J1062" s="70" t="s">
        <v>119</v>
      </c>
      <c r="K1062" s="70" t="s">
        <v>119</v>
      </c>
      <c r="L1062" s="70" t="s">
        <v>119</v>
      </c>
      <c r="M1062" s="70" t="s">
        <v>119</v>
      </c>
      <c r="N1062" s="70" t="s">
        <v>119</v>
      </c>
      <c r="O1062" s="65" t="s">
        <v>116</v>
      </c>
      <c r="P1062" s="65"/>
      <c r="Q1062" s="70" t="s">
        <v>120</v>
      </c>
      <c r="R1062" s="65"/>
      <c r="S1062" s="65" t="s">
        <v>121</v>
      </c>
      <c r="W1062" s="76" t="s">
        <v>122</v>
      </c>
      <c r="X1062" s="76" t="s">
        <v>123</v>
      </c>
      <c r="Y1062" s="76" t="s">
        <v>124</v>
      </c>
      <c r="Z1062" s="65"/>
      <c r="AJ1062" s="66"/>
      <c r="AK1062" s="65"/>
    </row>
    <row r="1063" spans="1:37" hidden="1">
      <c r="A1063" s="65" t="s">
        <v>125</v>
      </c>
      <c r="B1063" s="65" t="s">
        <v>126</v>
      </c>
      <c r="C1063" s="65" t="s">
        <v>57</v>
      </c>
      <c r="D1063" s="70" t="s">
        <v>127</v>
      </c>
      <c r="E1063" s="70" t="s">
        <v>128</v>
      </c>
      <c r="F1063" s="70" t="s">
        <v>129</v>
      </c>
      <c r="G1063" s="70" t="s">
        <v>130</v>
      </c>
      <c r="H1063" s="70" t="s">
        <v>131</v>
      </c>
      <c r="I1063" s="65" t="s">
        <v>132</v>
      </c>
      <c r="J1063" s="70" t="s">
        <v>133</v>
      </c>
      <c r="K1063" s="70" t="s">
        <v>134</v>
      </c>
      <c r="L1063" s="70" t="s">
        <v>135</v>
      </c>
      <c r="M1063" s="70" t="s">
        <v>136</v>
      </c>
      <c r="N1063" s="70" t="s">
        <v>137</v>
      </c>
      <c r="O1063" s="65" t="s">
        <v>138</v>
      </c>
      <c r="P1063" s="70" t="s">
        <v>139</v>
      </c>
      <c r="Q1063" s="70" t="s">
        <v>140</v>
      </c>
      <c r="R1063" s="65" t="s">
        <v>122</v>
      </c>
      <c r="S1063" s="65" t="s">
        <v>141</v>
      </c>
      <c r="W1063" s="76" t="s">
        <v>142</v>
      </c>
      <c r="X1063" s="76" t="s">
        <v>142</v>
      </c>
      <c r="Y1063" s="76" t="s">
        <v>142</v>
      </c>
      <c r="Z1063" s="65"/>
      <c r="AJ1063" s="66"/>
      <c r="AK1063" s="65"/>
    </row>
    <row r="1064" spans="1:37" hidden="1">
      <c r="A1064" s="65" t="s">
        <v>143</v>
      </c>
      <c r="B1064" s="65" t="s">
        <v>144</v>
      </c>
      <c r="C1064" s="65" t="s">
        <v>145</v>
      </c>
      <c r="D1064" s="70" t="s">
        <v>146</v>
      </c>
      <c r="E1064" s="70" t="s">
        <v>147</v>
      </c>
      <c r="F1064" s="70" t="s">
        <v>148</v>
      </c>
      <c r="G1064" s="65" t="s">
        <v>149</v>
      </c>
      <c r="H1064" s="65" t="s">
        <v>150</v>
      </c>
      <c r="I1064" s="65" t="s">
        <v>151</v>
      </c>
      <c r="J1064" s="70" t="s">
        <v>152</v>
      </c>
      <c r="K1064" s="70" t="s">
        <v>153</v>
      </c>
      <c r="L1064" s="70" t="s">
        <v>154</v>
      </c>
      <c r="M1064" s="70" t="s">
        <v>155</v>
      </c>
      <c r="N1064" s="70" t="s">
        <v>156</v>
      </c>
      <c r="O1064" s="70" t="s">
        <v>157</v>
      </c>
      <c r="P1064" s="70" t="s">
        <v>158</v>
      </c>
      <c r="Q1064" s="70" t="s">
        <v>159</v>
      </c>
      <c r="R1064" s="70" t="s">
        <v>160</v>
      </c>
      <c r="S1064" s="70" t="s">
        <v>161</v>
      </c>
      <c r="U1064" s="65" t="s">
        <v>162</v>
      </c>
      <c r="W1064" s="77" t="s">
        <v>163</v>
      </c>
      <c r="X1064" s="77" t="s">
        <v>164</v>
      </c>
      <c r="Y1064" s="76" t="s">
        <v>165</v>
      </c>
      <c r="Z1064" s="70"/>
      <c r="AJ1064" s="66"/>
      <c r="AK1064" s="65"/>
    </row>
    <row r="1065" spans="1:37" hidden="1">
      <c r="A1065" s="66"/>
      <c r="U1065" s="66"/>
      <c r="V1065" s="66"/>
      <c r="AJ1065" s="66"/>
      <c r="AK1065" s="70"/>
    </row>
    <row r="1066" spans="1:37" hidden="1">
      <c r="A1066" s="66"/>
      <c r="U1066" s="66"/>
      <c r="V1066" s="66"/>
      <c r="AJ1066" s="66"/>
      <c r="AK1066" s="70"/>
    </row>
    <row r="1067" spans="1:37" hidden="1">
      <c r="B1067" s="65" t="s">
        <v>497</v>
      </c>
      <c r="C1067" s="79"/>
      <c r="D1067" s="79"/>
      <c r="E1067" s="79"/>
      <c r="F1067" s="79"/>
      <c r="G1067" s="79"/>
      <c r="H1067" s="79"/>
      <c r="I1067" s="79"/>
      <c r="J1067" s="79"/>
      <c r="K1067" s="79"/>
      <c r="L1067" s="79"/>
      <c r="M1067" s="79"/>
      <c r="N1067" s="79"/>
      <c r="O1067" s="79"/>
      <c r="P1067" s="79"/>
      <c r="Q1067" s="79"/>
      <c r="R1067" s="79"/>
      <c r="S1067" s="79"/>
      <c r="U1067" s="80"/>
      <c r="W1067" s="81" t="str">
        <f>IF((P1067+Q1067)=0," ",ROUND((P1067/(P1067+Q1067)),74))</f>
        <v xml:space="preserve"> </v>
      </c>
      <c r="X1067" s="81" t="str">
        <f>IF((C1067)=0," ",ROUND((P1067/(C1067)),74))</f>
        <v xml:space="preserve"> </v>
      </c>
      <c r="Y1067" s="81" t="str">
        <f>IF((C1067)=0," ",ROUND((R1067/(C1067)),7))</f>
        <v xml:space="preserve"> </v>
      </c>
      <c r="Z1067" s="79"/>
      <c r="AF1067" s="79"/>
      <c r="AJ1067" s="66"/>
      <c r="AK1067" s="65"/>
    </row>
    <row r="1068" spans="1:37" hidden="1">
      <c r="B1068" s="83" t="s">
        <v>170</v>
      </c>
      <c r="C1068" s="79"/>
      <c r="D1068" s="79"/>
      <c r="E1068" s="79"/>
      <c r="F1068" s="79"/>
      <c r="G1068" s="79"/>
      <c r="H1068" s="79"/>
      <c r="I1068" s="79"/>
      <c r="J1068" s="79"/>
      <c r="K1068" s="79"/>
      <c r="L1068" s="79"/>
      <c r="M1068" s="79"/>
      <c r="N1068" s="79"/>
      <c r="O1068" s="79"/>
      <c r="P1068" s="79"/>
      <c r="Q1068" s="79"/>
      <c r="R1068" s="79"/>
      <c r="S1068" s="79"/>
      <c r="U1068" s="80"/>
      <c r="W1068" s="81" t="str">
        <f>IF((P1068+Q1068)=0," ",ROUND((P1068/(P1068+Q1068)),74))</f>
        <v xml:space="preserve"> </v>
      </c>
      <c r="X1068" s="81" t="str">
        <f>IF((C1068)=0," ",ROUND((P1068/(C1068)),74))</f>
        <v xml:space="preserve"> </v>
      </c>
      <c r="Y1068" s="81" t="str">
        <f>IF((C1068)=0," ",ROUND((R1068/(C1068)),7))</f>
        <v xml:space="preserve"> </v>
      </c>
      <c r="Z1068" s="79"/>
      <c r="AF1068" s="79"/>
      <c r="AJ1068" s="66"/>
      <c r="AK1068" s="65"/>
    </row>
    <row r="1069" spans="1:37" hidden="1">
      <c r="C1069" s="79"/>
      <c r="D1069" s="79"/>
      <c r="E1069" s="79"/>
      <c r="F1069" s="79"/>
      <c r="G1069" s="79"/>
      <c r="H1069" s="79"/>
      <c r="I1069" s="79"/>
      <c r="J1069" s="79"/>
      <c r="K1069" s="79"/>
      <c r="L1069" s="79"/>
      <c r="M1069" s="79"/>
      <c r="N1069" s="79"/>
      <c r="O1069" s="79"/>
      <c r="P1069" s="79"/>
      <c r="Q1069" s="79"/>
      <c r="R1069" s="79"/>
      <c r="S1069" s="79"/>
      <c r="U1069" s="80"/>
      <c r="W1069" s="81" t="str">
        <f>IF((P1069+Q1069)=0," ",ROUND((P1069/(P1069+Q1069)),74))</f>
        <v xml:space="preserve"> </v>
      </c>
      <c r="X1069" s="81" t="str">
        <f>IF((C1069)=0," ",ROUND((P1069/(C1069)),74))</f>
        <v xml:space="preserve"> </v>
      </c>
      <c r="Y1069" s="81" t="str">
        <f>IF((C1069)=0," ",ROUND((R1069/(C1069)),7))</f>
        <v xml:space="preserve"> </v>
      </c>
      <c r="Z1069" s="79"/>
      <c r="AF1069" s="79"/>
      <c r="AJ1069" s="66"/>
      <c r="AK1069" s="65"/>
    </row>
    <row r="1070" spans="1:37" hidden="1">
      <c r="B1070" s="66" t="s">
        <v>498</v>
      </c>
      <c r="C1070" s="79"/>
      <c r="D1070" s="79"/>
      <c r="E1070" s="79"/>
      <c r="F1070" s="79"/>
      <c r="G1070" s="79"/>
      <c r="H1070" s="79"/>
      <c r="I1070" s="79"/>
      <c r="J1070" s="79"/>
      <c r="K1070" s="79"/>
      <c r="L1070" s="79"/>
      <c r="M1070" s="79"/>
      <c r="N1070" s="79"/>
      <c r="O1070" s="79"/>
      <c r="P1070" s="79"/>
      <c r="Q1070" s="79"/>
      <c r="R1070" s="79"/>
      <c r="S1070" s="79"/>
      <c r="U1070" s="80"/>
      <c r="W1070" s="81" t="str">
        <f>IF((P1070+Q1070)=0," ",ROUND((P1070/(P1070+Q1070)),74))</f>
        <v xml:space="preserve"> </v>
      </c>
      <c r="X1070" s="81" t="str">
        <f>IF((C1070)=0," ",ROUND((P1070/(C1070)),74))</f>
        <v xml:space="preserve"> </v>
      </c>
      <c r="Y1070" s="81" t="str">
        <f>IF((C1070)=0," ",ROUND((R1070/(C1070)),7))</f>
        <v xml:space="preserve"> </v>
      </c>
      <c r="Z1070" s="79"/>
      <c r="AF1070" s="79"/>
      <c r="AJ1070" s="66"/>
      <c r="AK1070" s="65"/>
    </row>
    <row r="1071" spans="1:37" hidden="1">
      <c r="A1071" s="65">
        <f>A1055+1</f>
        <v>164</v>
      </c>
      <c r="B1071" s="66" t="s">
        <v>499</v>
      </c>
      <c r="C1071" s="78">
        <f>J2078</f>
        <v>4033</v>
      </c>
      <c r="D1071" s="79">
        <f>SUM(D1073:D1074)</f>
        <v>1980</v>
      </c>
      <c r="E1071" s="79">
        <f>SUM(E1073:E1074)</f>
        <v>52</v>
      </c>
      <c r="F1071" s="79">
        <f>D1071+E1071</f>
        <v>2032</v>
      </c>
      <c r="G1071" s="79">
        <f t="shared" ref="G1071:L1071" si="513">SUM(G1073:G1074)</f>
        <v>100</v>
      </c>
      <c r="H1071" s="79">
        <f t="shared" si="513"/>
        <v>815</v>
      </c>
      <c r="I1071" s="79">
        <f t="shared" si="513"/>
        <v>479</v>
      </c>
      <c r="J1071" s="79">
        <f t="shared" si="513"/>
        <v>211</v>
      </c>
      <c r="K1071" s="79">
        <f t="shared" si="513"/>
        <v>15</v>
      </c>
      <c r="L1071" s="79">
        <f t="shared" si="513"/>
        <v>9</v>
      </c>
      <c r="M1071" s="79">
        <f>SUM(J1071:L1071)</f>
        <v>235</v>
      </c>
      <c r="N1071" s="79">
        <f>SUM(N1073:N1074)</f>
        <v>19</v>
      </c>
      <c r="O1071" s="79">
        <f>C1071-R1071-S1071</f>
        <v>3680</v>
      </c>
      <c r="P1071" s="79">
        <v>122</v>
      </c>
      <c r="Q1071" s="79">
        <v>14</v>
      </c>
      <c r="R1071" s="78">
        <f>P1071+Q1071</f>
        <v>136</v>
      </c>
      <c r="S1071" s="78">
        <f>I2078</f>
        <v>217</v>
      </c>
      <c r="U1071" s="80">
        <f>O1071+R1071+S1071-C1071</f>
        <v>0</v>
      </c>
      <c r="W1071" s="81">
        <f>IF((O1071+R1071)=0," ",ROUND((O1071/(O1071+R1071)),7))</f>
        <v>0.96436060000000001</v>
      </c>
      <c r="X1071" s="81">
        <f>IF((C1071)=0," ",ROUND((O1071/(C1071)),7))</f>
        <v>0.91247210000000001</v>
      </c>
      <c r="Y1071" s="81">
        <f>IF((C1071)=0," ",ROUND((S1071/(C1071)),7))</f>
        <v>5.3806100000000003E-2</v>
      </c>
      <c r="Z1071" s="79"/>
      <c r="AF1071" s="79"/>
      <c r="AJ1071" s="66"/>
      <c r="AK1071" s="65"/>
    </row>
    <row r="1072" spans="1:37" hidden="1">
      <c r="B1072" s="66" t="s">
        <v>167</v>
      </c>
      <c r="C1072" s="79"/>
      <c r="D1072" s="79"/>
      <c r="E1072" s="79"/>
      <c r="F1072" s="79"/>
      <c r="G1072" s="79"/>
      <c r="H1072" s="79"/>
      <c r="I1072" s="79"/>
      <c r="J1072" s="79"/>
      <c r="K1072" s="79"/>
      <c r="L1072" s="79"/>
      <c r="M1072" s="79"/>
      <c r="N1072" s="79"/>
      <c r="O1072" s="79"/>
      <c r="P1072" s="79"/>
      <c r="Q1072" s="79"/>
      <c r="R1072" s="79"/>
      <c r="S1072" s="79"/>
      <c r="U1072" s="80"/>
      <c r="W1072" s="81" t="str">
        <f>IF((P1072+Q1072)=0," ",ROUND((P1072/(P1072+Q1072)),74))</f>
        <v xml:space="preserve"> </v>
      </c>
      <c r="X1072" s="81" t="str">
        <f>IF((C1072)=0," ",ROUND((P1072/(C1072)),74))</f>
        <v xml:space="preserve"> </v>
      </c>
      <c r="Y1072" s="81" t="str">
        <f>IF((C1072)=0," ",ROUND((R1072/(C1072)),7))</f>
        <v xml:space="preserve"> </v>
      </c>
      <c r="Z1072" s="79"/>
      <c r="AF1072" s="79"/>
      <c r="AJ1072" s="66"/>
      <c r="AK1072" s="65"/>
    </row>
    <row r="1073" spans="1:37" hidden="1">
      <c r="A1073" s="65">
        <f>A1071+1</f>
        <v>165</v>
      </c>
      <c r="B1073" s="66" t="s">
        <v>390</v>
      </c>
      <c r="C1073" s="79"/>
      <c r="D1073" s="79">
        <f>O1073-E1073-SUM(G1073:I1073)-SUM(M1073:N1073)</f>
        <v>1848.9230769230771</v>
      </c>
      <c r="E1073" s="79">
        <v>47</v>
      </c>
      <c r="F1073" s="79">
        <f>D1073+E1073</f>
        <v>1895.9230769230771</v>
      </c>
      <c r="G1073" s="79">
        <v>93</v>
      </c>
      <c r="H1073" s="79">
        <v>749</v>
      </c>
      <c r="I1073" s="79">
        <v>435</v>
      </c>
      <c r="J1073" s="79">
        <v>187</v>
      </c>
      <c r="K1073" s="79">
        <v>14</v>
      </c>
      <c r="L1073" s="79">
        <v>8</v>
      </c>
      <c r="M1073" s="79">
        <f t="shared" ref="M1073:M1086" si="514">SUM(J1073:L1073)</f>
        <v>209</v>
      </c>
      <c r="N1073" s="79">
        <v>15</v>
      </c>
      <c r="O1073" s="79">
        <v>3396.9230769230771</v>
      </c>
      <c r="P1073" s="79"/>
      <c r="Q1073" s="79"/>
      <c r="R1073" s="79"/>
      <c r="S1073" s="79"/>
      <c r="U1073" s="80"/>
      <c r="W1073" s="81" t="str">
        <f>IF((P1073+Q1073)=0," ",ROUND((P1073/(P1073+Q1073)),74))</f>
        <v xml:space="preserve"> </v>
      </c>
      <c r="X1073" s="81" t="str">
        <f>IF((C1073)=0," ",ROUND((P1073/(C1073)),74))</f>
        <v xml:space="preserve"> </v>
      </c>
      <c r="Y1073" s="81" t="str">
        <f>IF((C1073)=0," ",ROUND((R1073/(C1073)),7))</f>
        <v xml:space="preserve"> </v>
      </c>
      <c r="Z1073" s="79"/>
      <c r="AF1073" s="79"/>
      <c r="AJ1073" s="66"/>
      <c r="AK1073" s="70"/>
    </row>
    <row r="1074" spans="1:37" hidden="1">
      <c r="A1074" s="65">
        <f>A1073+1</f>
        <v>166</v>
      </c>
      <c r="B1074" s="66" t="s">
        <v>391</v>
      </c>
      <c r="C1074" s="79"/>
      <c r="D1074" s="79">
        <f>O1074-E1074-SUM(G1074:I1074)-SUM(M1074:N1074)</f>
        <v>131.07692307692287</v>
      </c>
      <c r="E1074" s="79">
        <v>5</v>
      </c>
      <c r="F1074" s="79">
        <f>D1074+E1074</f>
        <v>136.07692307692287</v>
      </c>
      <c r="G1074" s="79">
        <v>7</v>
      </c>
      <c r="H1074" s="79">
        <v>66</v>
      </c>
      <c r="I1074" s="79">
        <v>44</v>
      </c>
      <c r="J1074" s="79">
        <v>24</v>
      </c>
      <c r="K1074" s="79">
        <v>1</v>
      </c>
      <c r="L1074" s="79">
        <v>1</v>
      </c>
      <c r="M1074" s="79">
        <f t="shared" si="514"/>
        <v>26</v>
      </c>
      <c r="N1074" s="79">
        <v>4</v>
      </c>
      <c r="O1074" s="79">
        <f>O1071-O1073</f>
        <v>283.07692307692287</v>
      </c>
      <c r="P1074" s="79"/>
      <c r="Q1074" s="79"/>
      <c r="R1074" s="79"/>
      <c r="S1074" s="79"/>
      <c r="U1074" s="80"/>
      <c r="W1074" s="81" t="str">
        <f>IF((P1074+Q1074)=0," ",ROUND((P1074/(P1074+Q1074)),74))</f>
        <v xml:space="preserve"> </v>
      </c>
      <c r="X1074" s="81" t="str">
        <f>IF((C1074)=0," ",ROUND((P1074/(C1074)),74))</f>
        <v xml:space="preserve"> </v>
      </c>
      <c r="Y1074" s="81" t="str">
        <f>IF((C1074)=0," ",ROUND((R1074/(C1074)),7))</f>
        <v xml:space="preserve"> </v>
      </c>
      <c r="Z1074" s="79"/>
      <c r="AF1074" s="79"/>
      <c r="AJ1074" s="66"/>
      <c r="AK1074" s="65"/>
    </row>
    <row r="1075" spans="1:37" hidden="1">
      <c r="A1075" s="65">
        <f>A1074+1</f>
        <v>167</v>
      </c>
      <c r="B1075" s="66" t="s">
        <v>500</v>
      </c>
      <c r="C1075" s="78">
        <f>J2080</f>
        <v>1666</v>
      </c>
      <c r="D1075" s="79">
        <f t="shared" ref="D1075:D1080" si="515">C1075-E1075-SUM(G1075:I1075)-SUM(M1075:N1075)-R1075-S1075</f>
        <v>881</v>
      </c>
      <c r="E1075" s="79">
        <f>ROUND((E$79/($C$79-$S79))*($C1075-$S1075),0)</f>
        <v>23</v>
      </c>
      <c r="F1075" s="79">
        <f>D1075+E1075</f>
        <v>904</v>
      </c>
      <c r="G1075" s="79">
        <f t="shared" ref="G1075:L1075" si="516">ROUND((G$79/($C$79-$S79))*($C1075-$S1075),0)</f>
        <v>44</v>
      </c>
      <c r="H1075" s="79">
        <f t="shared" si="516"/>
        <v>357</v>
      </c>
      <c r="I1075" s="79">
        <f t="shared" si="516"/>
        <v>204</v>
      </c>
      <c r="J1075" s="79">
        <f t="shared" si="516"/>
        <v>87</v>
      </c>
      <c r="K1075" s="79">
        <f t="shared" si="516"/>
        <v>6</v>
      </c>
      <c r="L1075" s="79">
        <f t="shared" si="516"/>
        <v>4</v>
      </c>
      <c r="M1075" s="79">
        <f t="shared" si="514"/>
        <v>97</v>
      </c>
      <c r="N1075" s="79">
        <f>ROUND((N$79/($C$79-$S79))*($C1075-$S1075),0)</f>
        <v>7</v>
      </c>
      <c r="O1075" s="79">
        <f>SUM(F1075:I1075)+SUM(M1075:N1075)</f>
        <v>1613</v>
      </c>
      <c r="P1075" s="79">
        <f>ROUND((P$79/($C$79-$S79))*($C1075-$S1075),0)</f>
        <v>48</v>
      </c>
      <c r="Q1075" s="79">
        <f>ROUND((Q$79/($C$79-$S79))*($C1075-$S1075),0)</f>
        <v>5</v>
      </c>
      <c r="R1075" s="78">
        <f>P1075+Q1075</f>
        <v>53</v>
      </c>
      <c r="S1075" s="78">
        <f>I2080</f>
        <v>0</v>
      </c>
      <c r="U1075" s="80">
        <f t="shared" ref="U1075:U1086" si="517">O1075+R1075+S1075-C1075</f>
        <v>0</v>
      </c>
      <c r="W1075" s="81">
        <f>IF((O1075+R1075)=0," ",ROUND((O1075/(O1075+R1075)),7))</f>
        <v>0.96818729999999997</v>
      </c>
      <c r="X1075" s="81">
        <f>IF((C1075)=0," ",ROUND((O1075/(C1075)),7))</f>
        <v>0.96818729999999997</v>
      </c>
      <c r="Y1075" s="81">
        <f>IF((C1075)=0," ",ROUND((S1075/(C1075)),7))</f>
        <v>0</v>
      </c>
      <c r="Z1075" s="79"/>
      <c r="AF1075" s="79"/>
      <c r="AJ1075" s="66"/>
      <c r="AK1075" s="65"/>
    </row>
    <row r="1076" spans="1:37" hidden="1">
      <c r="A1076" s="65">
        <f>A1075+1</f>
        <v>168</v>
      </c>
      <c r="B1076" s="66" t="s">
        <v>501</v>
      </c>
      <c r="C1076" s="78">
        <f>J2082</f>
        <v>5437</v>
      </c>
      <c r="D1076" s="79">
        <f t="shared" si="515"/>
        <v>3331</v>
      </c>
      <c r="E1076" s="79">
        <f>ROUND(E164/$C164*$C1076,0)</f>
        <v>100</v>
      </c>
      <c r="F1076" s="79">
        <f t="shared" ref="F1076:F1086" si="518">D1076+E1076</f>
        <v>3431</v>
      </c>
      <c r="G1076" s="79">
        <f t="shared" ref="G1076:L1077" si="519">ROUND(G164/$C164*$C1076,0)</f>
        <v>240</v>
      </c>
      <c r="H1076" s="79">
        <f t="shared" si="519"/>
        <v>877</v>
      </c>
      <c r="I1076" s="79">
        <f t="shared" si="519"/>
        <v>319</v>
      </c>
      <c r="J1076" s="79">
        <f t="shared" si="519"/>
        <v>132</v>
      </c>
      <c r="K1076" s="79">
        <f t="shared" si="519"/>
        <v>19</v>
      </c>
      <c r="L1076" s="79">
        <f t="shared" si="519"/>
        <v>5</v>
      </c>
      <c r="M1076" s="79">
        <f t="shared" si="514"/>
        <v>156</v>
      </c>
      <c r="N1076" s="79">
        <f>ROUND(N164/$C164*$C1076,0)</f>
        <v>390</v>
      </c>
      <c r="O1076" s="79">
        <f t="shared" ref="O1076:O1086" si="520">SUM(F1076:I1076)+SUM(M1076:N1076)</f>
        <v>5413</v>
      </c>
      <c r="P1076" s="79">
        <f>ROUND(P164/$C164*$C1076,0)</f>
        <v>22</v>
      </c>
      <c r="Q1076" s="79">
        <f>ROUND(Q164/$C164*$C1076,0)</f>
        <v>2</v>
      </c>
      <c r="R1076" s="78">
        <f t="shared" ref="R1076:R1086" si="521">P1076+Q1076</f>
        <v>24</v>
      </c>
      <c r="S1076" s="79">
        <v>0</v>
      </c>
      <c r="U1076" s="80">
        <f t="shared" si="517"/>
        <v>0</v>
      </c>
      <c r="W1076" s="81">
        <f t="shared" ref="W1076:W1086" si="522">IF((O1076+R1076)=0," ",ROUND((O1076/(O1076+R1076)),7))</f>
        <v>0.99558579999999997</v>
      </c>
      <c r="X1076" s="81">
        <f t="shared" ref="X1076:X1086" si="523">IF((C1076)=0," ",ROUND((O1076/(C1076)),7))</f>
        <v>0.99558579999999997</v>
      </c>
      <c r="Y1076" s="81">
        <f t="shared" ref="Y1076:Y1086" si="524">IF((C1076)=0," ",ROUND((S1076/(C1076)),7))</f>
        <v>0</v>
      </c>
      <c r="Z1076" s="79"/>
      <c r="AF1076" s="79"/>
      <c r="AJ1076" s="66"/>
      <c r="AK1076" s="65"/>
    </row>
    <row r="1077" spans="1:37" hidden="1">
      <c r="A1077" s="65">
        <f t="shared" ref="A1077:A1086" si="525">A1076+1</f>
        <v>169</v>
      </c>
      <c r="B1077" s="66" t="s">
        <v>390</v>
      </c>
      <c r="C1077" s="79">
        <f>ROUND((C165/C$164*C$1076),0)</f>
        <v>3407</v>
      </c>
      <c r="D1077" s="79">
        <f t="shared" si="515"/>
        <v>1934</v>
      </c>
      <c r="E1077" s="79">
        <f>ROUND(E165/$C165*$C1077,0)</f>
        <v>60</v>
      </c>
      <c r="F1077" s="79">
        <f t="shared" si="518"/>
        <v>1994</v>
      </c>
      <c r="G1077" s="79">
        <f t="shared" si="519"/>
        <v>101</v>
      </c>
      <c r="H1077" s="79">
        <f t="shared" si="519"/>
        <v>778</v>
      </c>
      <c r="I1077" s="79">
        <f t="shared" si="519"/>
        <v>315</v>
      </c>
      <c r="J1077" s="79">
        <f t="shared" si="519"/>
        <v>132</v>
      </c>
      <c r="K1077" s="79">
        <f t="shared" si="519"/>
        <v>18</v>
      </c>
      <c r="L1077" s="79">
        <f t="shared" si="519"/>
        <v>5</v>
      </c>
      <c r="M1077" s="79">
        <f t="shared" si="514"/>
        <v>155</v>
      </c>
      <c r="N1077" s="79">
        <f>ROUND(N165/$C165*$C1077,0)</f>
        <v>40</v>
      </c>
      <c r="O1077" s="79">
        <f t="shared" si="520"/>
        <v>3383</v>
      </c>
      <c r="P1077" s="79">
        <f>ROUND(P165/$C165*$C1077,0)</f>
        <v>22</v>
      </c>
      <c r="Q1077" s="79">
        <f>ROUND(Q165/$C165*$C1077,0)</f>
        <v>2</v>
      </c>
      <c r="R1077" s="78">
        <f t="shared" si="521"/>
        <v>24</v>
      </c>
      <c r="S1077" s="79">
        <v>0</v>
      </c>
      <c r="U1077" s="80">
        <f t="shared" si="517"/>
        <v>0</v>
      </c>
      <c r="W1077" s="81">
        <f t="shared" si="522"/>
        <v>0.9929557</v>
      </c>
      <c r="X1077" s="81">
        <f t="shared" si="523"/>
        <v>0.9929557</v>
      </c>
      <c r="Y1077" s="81">
        <f t="shared" si="524"/>
        <v>0</v>
      </c>
      <c r="Z1077" s="79"/>
      <c r="AF1077" s="79"/>
      <c r="AJ1077" s="66"/>
      <c r="AK1077" s="70"/>
    </row>
    <row r="1078" spans="1:37" hidden="1">
      <c r="A1078" s="65">
        <f t="shared" si="525"/>
        <v>170</v>
      </c>
      <c r="B1078" s="66" t="s">
        <v>502</v>
      </c>
      <c r="C1078" s="79">
        <f>C1076-C1077</f>
        <v>2030</v>
      </c>
      <c r="D1078" s="79">
        <f>D1076-D1077</f>
        <v>1397</v>
      </c>
      <c r="E1078" s="79">
        <f>E1076-E1077</f>
        <v>40</v>
      </c>
      <c r="F1078" s="79">
        <f t="shared" si="518"/>
        <v>1437</v>
      </c>
      <c r="G1078" s="79">
        <f t="shared" ref="G1078:L1078" si="526">G1076-G1077</f>
        <v>139</v>
      </c>
      <c r="H1078" s="79">
        <f t="shared" si="526"/>
        <v>99</v>
      </c>
      <c r="I1078" s="79">
        <f t="shared" si="526"/>
        <v>4</v>
      </c>
      <c r="J1078" s="79">
        <f t="shared" si="526"/>
        <v>0</v>
      </c>
      <c r="K1078" s="79">
        <f t="shared" si="526"/>
        <v>1</v>
      </c>
      <c r="L1078" s="79">
        <f t="shared" si="526"/>
        <v>0</v>
      </c>
      <c r="M1078" s="79">
        <f t="shared" si="514"/>
        <v>1</v>
      </c>
      <c r="N1078" s="79">
        <f>N1076-N1077</f>
        <v>350</v>
      </c>
      <c r="O1078" s="79">
        <f t="shared" si="520"/>
        <v>2030</v>
      </c>
      <c r="P1078" s="79">
        <f>P1076-P1077</f>
        <v>0</v>
      </c>
      <c r="Q1078" s="79">
        <f>Q1076-Q1077</f>
        <v>0</v>
      </c>
      <c r="R1078" s="78">
        <f t="shared" si="521"/>
        <v>0</v>
      </c>
      <c r="S1078" s="79">
        <v>0</v>
      </c>
      <c r="U1078" s="80">
        <f t="shared" si="517"/>
        <v>0</v>
      </c>
      <c r="W1078" s="81">
        <f t="shared" si="522"/>
        <v>1</v>
      </c>
      <c r="X1078" s="81">
        <f t="shared" si="523"/>
        <v>1</v>
      </c>
      <c r="Y1078" s="81">
        <f t="shared" si="524"/>
        <v>0</v>
      </c>
      <c r="Z1078" s="79"/>
      <c r="AF1078" s="79"/>
      <c r="AJ1078" s="66"/>
      <c r="AK1078" s="65"/>
    </row>
    <row r="1079" spans="1:37" hidden="1">
      <c r="A1079" s="65">
        <f t="shared" si="525"/>
        <v>171</v>
      </c>
      <c r="B1079" s="66" t="s">
        <v>503</v>
      </c>
      <c r="C1079" s="78">
        <f>J2084</f>
        <v>34</v>
      </c>
      <c r="D1079" s="79">
        <f t="shared" si="515"/>
        <v>29</v>
      </c>
      <c r="E1079" s="79">
        <f>ROUND(E1021/$C1021*$C1079,0)</f>
        <v>1</v>
      </c>
      <c r="F1079" s="79">
        <f t="shared" si="518"/>
        <v>30</v>
      </c>
      <c r="G1079" s="79">
        <f t="shared" ref="G1079:L1079" si="527">ROUND(G1021/$C1021*$C1079,0)</f>
        <v>2</v>
      </c>
      <c r="H1079" s="79">
        <f t="shared" si="527"/>
        <v>1</v>
      </c>
      <c r="I1079" s="79">
        <f t="shared" si="527"/>
        <v>0</v>
      </c>
      <c r="J1079" s="79">
        <f t="shared" si="527"/>
        <v>0</v>
      </c>
      <c r="K1079" s="79">
        <f t="shared" si="527"/>
        <v>0</v>
      </c>
      <c r="L1079" s="79">
        <f t="shared" si="527"/>
        <v>0</v>
      </c>
      <c r="M1079" s="79">
        <f t="shared" si="514"/>
        <v>0</v>
      </c>
      <c r="N1079" s="79">
        <f>ROUND(N1021/$C1021*$C1079,0)</f>
        <v>1</v>
      </c>
      <c r="O1079" s="79">
        <f t="shared" si="520"/>
        <v>34</v>
      </c>
      <c r="P1079" s="79">
        <f>ROUND(P1021/$C1021*$C1079,0)</f>
        <v>0</v>
      </c>
      <c r="Q1079" s="79">
        <f>ROUND(Q1021/$C1021*$C1079,0)</f>
        <v>0</v>
      </c>
      <c r="R1079" s="78">
        <f t="shared" si="521"/>
        <v>0</v>
      </c>
      <c r="S1079" s="79">
        <v>0</v>
      </c>
      <c r="U1079" s="80">
        <f t="shared" si="517"/>
        <v>0</v>
      </c>
      <c r="W1079" s="81">
        <f t="shared" si="522"/>
        <v>1</v>
      </c>
      <c r="X1079" s="81">
        <f t="shared" si="523"/>
        <v>1</v>
      </c>
      <c r="Y1079" s="81">
        <f t="shared" si="524"/>
        <v>0</v>
      </c>
      <c r="Z1079" s="79"/>
      <c r="AF1079" s="79"/>
      <c r="AJ1079" s="66"/>
      <c r="AK1079" s="65"/>
    </row>
    <row r="1080" spans="1:37" hidden="1">
      <c r="A1080" s="65">
        <f t="shared" si="525"/>
        <v>172</v>
      </c>
      <c r="B1080" s="66" t="s">
        <v>504</v>
      </c>
      <c r="C1080" s="78">
        <f>J2086</f>
        <v>37</v>
      </c>
      <c r="D1080" s="79">
        <f t="shared" si="515"/>
        <v>16</v>
      </c>
      <c r="E1080" s="79">
        <f>ROUND(E1055/$C1055*$C1080,0)</f>
        <v>0</v>
      </c>
      <c r="F1080" s="79">
        <f t="shared" si="518"/>
        <v>16</v>
      </c>
      <c r="G1080" s="79">
        <f t="shared" ref="G1080:L1080" si="528">ROUND(G1055/$C1055*$C1080,0)</f>
        <v>3</v>
      </c>
      <c r="H1080" s="79">
        <f t="shared" si="528"/>
        <v>3</v>
      </c>
      <c r="I1080" s="79">
        <f t="shared" si="528"/>
        <v>15</v>
      </c>
      <c r="J1080" s="79">
        <f t="shared" si="528"/>
        <v>0</v>
      </c>
      <c r="K1080" s="79">
        <f t="shared" si="528"/>
        <v>0</v>
      </c>
      <c r="L1080" s="79">
        <f t="shared" si="528"/>
        <v>0</v>
      </c>
      <c r="M1080" s="79">
        <f t="shared" si="514"/>
        <v>0</v>
      </c>
      <c r="N1080" s="79">
        <f>ROUND(N1055/$C1055*$C1080,0)</f>
        <v>0</v>
      </c>
      <c r="O1080" s="79">
        <f t="shared" si="520"/>
        <v>37</v>
      </c>
      <c r="P1080" s="79">
        <f>ROUND(P1055/$C1055*$C1080,0)</f>
        <v>0</v>
      </c>
      <c r="Q1080" s="79">
        <f>ROUND(Q1055/$C1055*$C1080,0)</f>
        <v>0</v>
      </c>
      <c r="R1080" s="78">
        <f t="shared" si="521"/>
        <v>0</v>
      </c>
      <c r="S1080" s="79">
        <v>0</v>
      </c>
      <c r="U1080" s="80">
        <f t="shared" si="517"/>
        <v>0</v>
      </c>
      <c r="W1080" s="81">
        <f t="shared" si="522"/>
        <v>1</v>
      </c>
      <c r="X1080" s="81">
        <f t="shared" si="523"/>
        <v>1</v>
      </c>
      <c r="Y1080" s="81">
        <f t="shared" si="524"/>
        <v>0</v>
      </c>
      <c r="Z1080" s="79"/>
      <c r="AF1080" s="79"/>
      <c r="AJ1080" s="66"/>
      <c r="AK1080" s="70"/>
    </row>
    <row r="1081" spans="1:37" hidden="1">
      <c r="A1081" s="65">
        <f t="shared" si="525"/>
        <v>173</v>
      </c>
      <c r="B1081" s="66" t="s">
        <v>502</v>
      </c>
      <c r="C1081" s="79">
        <f>C1080-C1082</f>
        <v>37</v>
      </c>
      <c r="D1081" s="79">
        <f>D1080-D1082</f>
        <v>16</v>
      </c>
      <c r="E1081" s="79">
        <f>E1080-E1082</f>
        <v>0</v>
      </c>
      <c r="F1081" s="79">
        <f t="shared" si="518"/>
        <v>16</v>
      </c>
      <c r="G1081" s="79">
        <f t="shared" ref="G1081:L1081" si="529">G1080-G1082</f>
        <v>3</v>
      </c>
      <c r="H1081" s="79">
        <f t="shared" si="529"/>
        <v>3</v>
      </c>
      <c r="I1081" s="79">
        <f t="shared" si="529"/>
        <v>15</v>
      </c>
      <c r="J1081" s="79">
        <f t="shared" si="529"/>
        <v>0</v>
      </c>
      <c r="K1081" s="79">
        <f t="shared" si="529"/>
        <v>0</v>
      </c>
      <c r="L1081" s="79">
        <f t="shared" si="529"/>
        <v>0</v>
      </c>
      <c r="M1081" s="79">
        <f t="shared" si="514"/>
        <v>0</v>
      </c>
      <c r="N1081" s="79">
        <f>N1080-N1082</f>
        <v>0</v>
      </c>
      <c r="O1081" s="79">
        <f t="shared" si="520"/>
        <v>37</v>
      </c>
      <c r="P1081" s="79">
        <f>P1080-P1082</f>
        <v>0</v>
      </c>
      <c r="Q1081" s="79">
        <f>Q1080-Q1082</f>
        <v>0</v>
      </c>
      <c r="R1081" s="78">
        <f t="shared" si="521"/>
        <v>0</v>
      </c>
      <c r="S1081" s="79">
        <v>0</v>
      </c>
      <c r="U1081" s="80">
        <f t="shared" si="517"/>
        <v>0</v>
      </c>
      <c r="W1081" s="81">
        <f t="shared" si="522"/>
        <v>1</v>
      </c>
      <c r="X1081" s="81">
        <f t="shared" si="523"/>
        <v>1</v>
      </c>
      <c r="Y1081" s="81">
        <f t="shared" si="524"/>
        <v>0</v>
      </c>
      <c r="Z1081" s="79"/>
      <c r="AF1081" s="79"/>
      <c r="AJ1081" s="66"/>
      <c r="AK1081" s="70"/>
    </row>
    <row r="1082" spans="1:37" hidden="1">
      <c r="A1082" s="65">
        <f t="shared" si="525"/>
        <v>174</v>
      </c>
      <c r="B1082" s="66" t="s">
        <v>391</v>
      </c>
      <c r="C1082" s="79">
        <f>ROUND(((C1053)/C1055)*C1080,0)</f>
        <v>0</v>
      </c>
      <c r="D1082" s="79">
        <f>ROUND(D1053/$C1053*$C1082,0)</f>
        <v>0</v>
      </c>
      <c r="E1082" s="79">
        <f>ROUND(E1053/$C1053*$C1082,0)</f>
        <v>0</v>
      </c>
      <c r="F1082" s="79">
        <f t="shared" si="518"/>
        <v>0</v>
      </c>
      <c r="G1082" s="79">
        <f t="shared" ref="G1082:L1082" si="530">ROUND(G1053/$C1053*$C1082,0)</f>
        <v>0</v>
      </c>
      <c r="H1082" s="79">
        <f t="shared" si="530"/>
        <v>0</v>
      </c>
      <c r="I1082" s="79">
        <f t="shared" si="530"/>
        <v>0</v>
      </c>
      <c r="J1082" s="79">
        <f t="shared" si="530"/>
        <v>0</v>
      </c>
      <c r="K1082" s="79">
        <f t="shared" si="530"/>
        <v>0</v>
      </c>
      <c r="L1082" s="79">
        <f t="shared" si="530"/>
        <v>0</v>
      </c>
      <c r="M1082" s="79">
        <f t="shared" si="514"/>
        <v>0</v>
      </c>
      <c r="N1082" s="79">
        <f>ROUND(N1053/$C1053*$C1082,0)</f>
        <v>0</v>
      </c>
      <c r="O1082" s="79">
        <f t="shared" si="520"/>
        <v>0</v>
      </c>
      <c r="P1082" s="79">
        <f>ROUND(P1053/$C1053*$C1082,0)</f>
        <v>0</v>
      </c>
      <c r="Q1082" s="79">
        <f>ROUND(Q1053/$C1053*$C1082,0)</f>
        <v>0</v>
      </c>
      <c r="R1082" s="78">
        <f t="shared" si="521"/>
        <v>0</v>
      </c>
      <c r="S1082" s="79">
        <v>0</v>
      </c>
      <c r="U1082" s="80">
        <f t="shared" si="517"/>
        <v>0</v>
      </c>
      <c r="W1082" s="81" t="str">
        <f t="shared" si="522"/>
        <v xml:space="preserve"> </v>
      </c>
      <c r="X1082" s="81" t="str">
        <f t="shared" si="523"/>
        <v xml:space="preserve"> </v>
      </c>
      <c r="Y1082" s="81" t="str">
        <f t="shared" si="524"/>
        <v xml:space="preserve"> </v>
      </c>
      <c r="Z1082" s="79"/>
      <c r="AF1082" s="79"/>
      <c r="AJ1082" s="66"/>
      <c r="AK1082" s="70"/>
    </row>
    <row r="1083" spans="1:37" hidden="1">
      <c r="A1083" s="65">
        <f t="shared" si="525"/>
        <v>175</v>
      </c>
      <c r="B1083" s="66" t="s">
        <v>505</v>
      </c>
      <c r="C1083" s="79">
        <f>O1083+R1083+S1083</f>
        <v>11207</v>
      </c>
      <c r="D1083" s="79">
        <f>SUM(D1084:D1086)</f>
        <v>6237</v>
      </c>
      <c r="E1083" s="79">
        <f>SUM(E1084:E1086)</f>
        <v>176</v>
      </c>
      <c r="F1083" s="79">
        <f t="shared" si="518"/>
        <v>6413</v>
      </c>
      <c r="G1083" s="79">
        <f t="shared" ref="G1083:L1083" si="531">SUM(G1084:G1086)</f>
        <v>389</v>
      </c>
      <c r="H1083" s="79">
        <f t="shared" si="531"/>
        <v>2053</v>
      </c>
      <c r="I1083" s="79">
        <f t="shared" si="531"/>
        <v>1017</v>
      </c>
      <c r="J1083" s="79">
        <f t="shared" si="531"/>
        <v>430</v>
      </c>
      <c r="K1083" s="79">
        <f t="shared" si="531"/>
        <v>40</v>
      </c>
      <c r="L1083" s="79">
        <f t="shared" si="531"/>
        <v>18</v>
      </c>
      <c r="M1083" s="79">
        <f t="shared" si="514"/>
        <v>488</v>
      </c>
      <c r="N1083" s="79">
        <f>SUM(N1084:N1086)</f>
        <v>417</v>
      </c>
      <c r="O1083" s="79">
        <f t="shared" si="520"/>
        <v>10777</v>
      </c>
      <c r="P1083" s="79">
        <f>SUM(P1084:P1086)</f>
        <v>192</v>
      </c>
      <c r="Q1083" s="79">
        <f>SUM(Q1084:Q1086)</f>
        <v>21</v>
      </c>
      <c r="R1083" s="78">
        <f t="shared" si="521"/>
        <v>213</v>
      </c>
      <c r="S1083" s="79">
        <f>SUM(S1084:S1086)</f>
        <v>217</v>
      </c>
      <c r="U1083" s="80">
        <f t="shared" si="517"/>
        <v>0</v>
      </c>
      <c r="W1083" s="81">
        <f t="shared" si="522"/>
        <v>0.98061869999999995</v>
      </c>
      <c r="X1083" s="81">
        <f t="shared" si="523"/>
        <v>0.96163109999999996</v>
      </c>
      <c r="Y1083" s="81">
        <f t="shared" si="524"/>
        <v>1.9362899999999999E-2</v>
      </c>
      <c r="Z1083" s="79"/>
      <c r="AF1083" s="79"/>
      <c r="AJ1083" s="66"/>
      <c r="AK1083" s="70"/>
    </row>
    <row r="1084" spans="1:37" hidden="1">
      <c r="A1084" s="65">
        <f t="shared" si="525"/>
        <v>176</v>
      </c>
      <c r="B1084" s="66" t="s">
        <v>39</v>
      </c>
      <c r="C1084" s="79">
        <f>O1084+R1084+S1084</f>
        <v>8822.923076923078</v>
      </c>
      <c r="D1084" s="79">
        <f>D1073+D1075+D1077</f>
        <v>4663.9230769230771</v>
      </c>
      <c r="E1084" s="79">
        <f>E1073+E1075+E1077</f>
        <v>130</v>
      </c>
      <c r="F1084" s="79">
        <f t="shared" si="518"/>
        <v>4793.9230769230771</v>
      </c>
      <c r="G1084" s="79">
        <f t="shared" ref="G1084:L1084" si="532">G1073+G1075+G1077</f>
        <v>238</v>
      </c>
      <c r="H1084" s="79">
        <f t="shared" si="532"/>
        <v>1884</v>
      </c>
      <c r="I1084" s="79">
        <f t="shared" si="532"/>
        <v>954</v>
      </c>
      <c r="J1084" s="79">
        <f t="shared" si="532"/>
        <v>406</v>
      </c>
      <c r="K1084" s="79">
        <f t="shared" si="532"/>
        <v>38</v>
      </c>
      <c r="L1084" s="79">
        <f t="shared" si="532"/>
        <v>17</v>
      </c>
      <c r="M1084" s="79">
        <f t="shared" si="514"/>
        <v>461</v>
      </c>
      <c r="N1084" s="79">
        <f>N1073+N1075+N1077</f>
        <v>62</v>
      </c>
      <c r="O1084" s="79">
        <f t="shared" si="520"/>
        <v>8392.923076923078</v>
      </c>
      <c r="P1084" s="79">
        <f>P1071+P1075+P1077</f>
        <v>192</v>
      </c>
      <c r="Q1084" s="79">
        <f>Q1071+Q1075+Q1077</f>
        <v>21</v>
      </c>
      <c r="R1084" s="78">
        <f>P1084+Q1084</f>
        <v>213</v>
      </c>
      <c r="S1084" s="79">
        <f>S1071+S1075+S1077</f>
        <v>217</v>
      </c>
      <c r="U1084" s="80">
        <f t="shared" si="517"/>
        <v>0</v>
      </c>
      <c r="W1084" s="81">
        <f t="shared" si="522"/>
        <v>0.97524960000000005</v>
      </c>
      <c r="X1084" s="81">
        <f t="shared" si="523"/>
        <v>0.95126330000000003</v>
      </c>
      <c r="Y1084" s="81">
        <f t="shared" si="524"/>
        <v>2.4594999999999999E-2</v>
      </c>
      <c r="Z1084" s="79"/>
      <c r="AF1084" s="79"/>
      <c r="AJ1084" s="66"/>
      <c r="AK1084" s="65"/>
    </row>
    <row r="1085" spans="1:37" hidden="1">
      <c r="A1085" s="65">
        <f t="shared" si="525"/>
        <v>177</v>
      </c>
      <c r="B1085" s="66" t="s">
        <v>44</v>
      </c>
      <c r="C1085" s="79">
        <f>O1085+R1085+S1085</f>
        <v>2101</v>
      </c>
      <c r="D1085" s="79">
        <f>D1079+D1081+D1078</f>
        <v>1442</v>
      </c>
      <c r="E1085" s="79">
        <f>E1079+E1081+E1078</f>
        <v>41</v>
      </c>
      <c r="F1085" s="79">
        <f t="shared" si="518"/>
        <v>1483</v>
      </c>
      <c r="G1085" s="79">
        <f t="shared" ref="G1085:L1085" si="533">G1079+G1081+G1078</f>
        <v>144</v>
      </c>
      <c r="H1085" s="79">
        <f t="shared" si="533"/>
        <v>103</v>
      </c>
      <c r="I1085" s="79">
        <f t="shared" si="533"/>
        <v>19</v>
      </c>
      <c r="J1085" s="79">
        <f t="shared" si="533"/>
        <v>0</v>
      </c>
      <c r="K1085" s="79">
        <f t="shared" si="533"/>
        <v>1</v>
      </c>
      <c r="L1085" s="79">
        <f t="shared" si="533"/>
        <v>0</v>
      </c>
      <c r="M1085" s="79">
        <f t="shared" si="514"/>
        <v>1</v>
      </c>
      <c r="N1085" s="79">
        <f>N1079+N1081+N1078</f>
        <v>351</v>
      </c>
      <c r="O1085" s="79">
        <f t="shared" si="520"/>
        <v>2101</v>
      </c>
      <c r="P1085" s="79">
        <f>P1079+P1081+P1078</f>
        <v>0</v>
      </c>
      <c r="Q1085" s="79">
        <f>Q1079+Q1081+Q1078</f>
        <v>0</v>
      </c>
      <c r="R1085" s="78">
        <f>P1085+Q1085</f>
        <v>0</v>
      </c>
      <c r="S1085" s="79">
        <f>S1079+S1081+S1078</f>
        <v>0</v>
      </c>
      <c r="U1085" s="80">
        <f t="shared" si="517"/>
        <v>0</v>
      </c>
      <c r="W1085" s="81">
        <f t="shared" si="522"/>
        <v>1</v>
      </c>
      <c r="X1085" s="81">
        <f t="shared" si="523"/>
        <v>1</v>
      </c>
      <c r="Y1085" s="81">
        <f t="shared" si="524"/>
        <v>0</v>
      </c>
      <c r="Z1085" s="79"/>
      <c r="AF1085" s="79"/>
      <c r="AJ1085" s="66"/>
      <c r="AK1085" s="65"/>
    </row>
    <row r="1086" spans="1:37" hidden="1">
      <c r="A1086" s="65">
        <f t="shared" si="525"/>
        <v>178</v>
      </c>
      <c r="B1086" s="66" t="s">
        <v>168</v>
      </c>
      <c r="C1086" s="79">
        <f>O1086+R1086+S1086</f>
        <v>283.07692307692287</v>
      </c>
      <c r="D1086" s="79">
        <f>D1082+D1074</f>
        <v>131.07692307692287</v>
      </c>
      <c r="E1086" s="79">
        <f>E1082+E1074</f>
        <v>5</v>
      </c>
      <c r="F1086" s="79">
        <f t="shared" si="518"/>
        <v>136.07692307692287</v>
      </c>
      <c r="G1086" s="79">
        <f t="shared" ref="G1086:L1086" si="534">G1082+G1074</f>
        <v>7</v>
      </c>
      <c r="H1086" s="79">
        <f t="shared" si="534"/>
        <v>66</v>
      </c>
      <c r="I1086" s="79">
        <f t="shared" si="534"/>
        <v>44</v>
      </c>
      <c r="J1086" s="79">
        <f t="shared" si="534"/>
        <v>24</v>
      </c>
      <c r="K1086" s="79">
        <f t="shared" si="534"/>
        <v>1</v>
      </c>
      <c r="L1086" s="79">
        <f t="shared" si="534"/>
        <v>1</v>
      </c>
      <c r="M1086" s="79">
        <f t="shared" si="514"/>
        <v>26</v>
      </c>
      <c r="N1086" s="79">
        <f>N1082+N1074</f>
        <v>4</v>
      </c>
      <c r="O1086" s="79">
        <f t="shared" si="520"/>
        <v>283.07692307692287</v>
      </c>
      <c r="P1086" s="79">
        <f>P1082</f>
        <v>0</v>
      </c>
      <c r="Q1086" s="79">
        <f>Q1082</f>
        <v>0</v>
      </c>
      <c r="R1086" s="78">
        <f t="shared" si="521"/>
        <v>0</v>
      </c>
      <c r="S1086" s="79">
        <f>S1082</f>
        <v>0</v>
      </c>
      <c r="U1086" s="80">
        <f t="shared" si="517"/>
        <v>0</v>
      </c>
      <c r="W1086" s="81">
        <f t="shared" si="522"/>
        <v>1</v>
      </c>
      <c r="X1086" s="81">
        <f t="shared" si="523"/>
        <v>1</v>
      </c>
      <c r="Y1086" s="81">
        <f t="shared" si="524"/>
        <v>0</v>
      </c>
      <c r="Z1086" s="79"/>
      <c r="AF1086" s="79"/>
      <c r="AJ1086" s="66"/>
      <c r="AK1086" s="70"/>
    </row>
    <row r="1087" spans="1:37" hidden="1">
      <c r="W1087" s="81" t="str">
        <f>IF((P1087+Q1087)=0," ",ROUND((P1087/(P1087+Q1087)),74))</f>
        <v xml:space="preserve"> </v>
      </c>
      <c r="X1087" s="81" t="str">
        <f>IF((C1087)=0," ",ROUND((P1087/(C1087)),74))</f>
        <v xml:space="preserve"> </v>
      </c>
      <c r="Y1087" s="81" t="str">
        <f>IF((C1087)=0," ",ROUND((R1087/(C1087)),7))</f>
        <v xml:space="preserve"> </v>
      </c>
      <c r="AJ1087" s="66"/>
      <c r="AK1087" s="65"/>
    </row>
    <row r="1088" spans="1:37" hidden="1">
      <c r="B1088" s="66" t="s">
        <v>506</v>
      </c>
      <c r="C1088" s="79"/>
      <c r="D1088" s="79"/>
      <c r="E1088" s="79"/>
      <c r="F1088" s="79"/>
      <c r="G1088" s="79"/>
      <c r="H1088" s="79"/>
      <c r="I1088" s="79"/>
      <c r="J1088" s="79"/>
      <c r="K1088" s="79"/>
      <c r="L1088" s="79"/>
      <c r="M1088" s="79"/>
      <c r="N1088" s="79"/>
      <c r="O1088" s="79"/>
      <c r="P1088" s="79"/>
      <c r="Q1088" s="79"/>
      <c r="R1088" s="79"/>
      <c r="S1088" s="79"/>
      <c r="U1088" s="80"/>
      <c r="W1088" s="81" t="str">
        <f>IF((P1088+Q1088)=0," ",ROUND((P1088/(P1088+Q1088)),74))</f>
        <v xml:space="preserve"> </v>
      </c>
      <c r="X1088" s="81" t="str">
        <f>IF((C1088)=0," ",ROUND((P1088/(C1088)),74))</f>
        <v xml:space="preserve"> </v>
      </c>
      <c r="Y1088" s="81" t="str">
        <f>IF((C1088)=0," ",ROUND((R1088/(C1088)),7))</f>
        <v xml:space="preserve"> </v>
      </c>
      <c r="Z1088" s="79"/>
      <c r="AF1088" s="79"/>
      <c r="AJ1088" s="66"/>
      <c r="AK1088" s="70"/>
    </row>
    <row r="1089" spans="1:37" hidden="1">
      <c r="A1089" s="65">
        <f>A1086+1</f>
        <v>179</v>
      </c>
      <c r="B1089" s="66" t="s">
        <v>507</v>
      </c>
      <c r="C1089" s="79">
        <f>O1089+R1089+S1089</f>
        <v>2014</v>
      </c>
      <c r="D1089" s="79">
        <f>C1089-E1089-SUM(G1089:I1089)-SUM(M1089:N1089)-R1089-S1089</f>
        <v>984</v>
      </c>
      <c r="E1089" s="79">
        <f>ROUND(((E623+E681)/($C623+$C681-$R623-$R681))*$O1089,0)</f>
        <v>31</v>
      </c>
      <c r="F1089" s="79">
        <f>D1089+E1089</f>
        <v>1015</v>
      </c>
      <c r="G1089" s="79">
        <f>ROUND(((G623+G681)/($C623+$C681-$R623-$R681))*$O1089,0)</f>
        <v>76</v>
      </c>
      <c r="H1089" s="79">
        <f>ROUND(((H623+H681)/($C623+$C681-$R623-$R681))*$O1089,0)</f>
        <v>349</v>
      </c>
      <c r="I1089" s="79">
        <f t="shared" ref="I1089:N1089" si="535">ROUND(((I623+I681)/($C623+$C681-$R623-$R681))*$O1089,0)</f>
        <v>169</v>
      </c>
      <c r="J1089" s="79">
        <f t="shared" si="535"/>
        <v>62</v>
      </c>
      <c r="K1089" s="79">
        <f t="shared" si="535"/>
        <v>5</v>
      </c>
      <c r="L1089" s="79">
        <f t="shared" si="535"/>
        <v>4</v>
      </c>
      <c r="M1089" s="79">
        <f t="shared" ref="M1089:M1093" si="536">SUM(J1089:L1089)</f>
        <v>71</v>
      </c>
      <c r="N1089" s="79">
        <f t="shared" si="535"/>
        <v>49</v>
      </c>
      <c r="O1089" s="78">
        <f>66+677+221+65+700</f>
        <v>1729</v>
      </c>
      <c r="P1089" s="78">
        <f>285/2</f>
        <v>142.5</v>
      </c>
      <c r="Q1089" s="78">
        <f>285/2</f>
        <v>142.5</v>
      </c>
      <c r="R1089" s="78">
        <f>P1089+Q1089</f>
        <v>285</v>
      </c>
      <c r="S1089" s="79">
        <v>0</v>
      </c>
      <c r="U1089" s="80">
        <f t="shared" ref="U1089:U1093" si="537">O1089+R1089+S1089-C1089</f>
        <v>0</v>
      </c>
      <c r="W1089" s="81">
        <f>IF((O1089+R1089)=0," ",ROUND((O1089/(O1089+R1089)),7))</f>
        <v>0.85849059999999999</v>
      </c>
      <c r="X1089" s="81">
        <f>IF((C1089)=0," ",ROUND((O1089/(C1089)),7))</f>
        <v>0.85849059999999999</v>
      </c>
      <c r="Y1089" s="81">
        <f>IF((C1089)=0," ",ROUND((S1089/(C1089)),7))</f>
        <v>0</v>
      </c>
      <c r="Z1089" s="79"/>
      <c r="AF1089" s="78"/>
      <c r="AJ1089" s="66"/>
      <c r="AK1089" s="65"/>
    </row>
    <row r="1090" spans="1:37" hidden="1">
      <c r="A1090" s="65">
        <f>A1089+1</f>
        <v>180</v>
      </c>
      <c r="B1090" s="66" t="s">
        <v>508</v>
      </c>
      <c r="C1090" s="78">
        <f>4349-206</f>
        <v>4143</v>
      </c>
      <c r="D1090" s="79">
        <f>C1090-E1090-SUM(G1090:I1090)-SUM(M1090:N1090)-R1090-S1090</f>
        <v>2361</v>
      </c>
      <c r="E1090" s="79">
        <f>ROUND(((E623+E681)/($C623+$C681-$R623-$R681))*$C1090,0)</f>
        <v>73</v>
      </c>
      <c r="F1090" s="79">
        <f>D1090+E1090</f>
        <v>2434</v>
      </c>
      <c r="G1090" s="79">
        <f t="shared" ref="G1090:N1090" si="538">ROUND(((G623+G681)/($C623+$C681-$R623-$R681))*$C1090,0)</f>
        <v>181</v>
      </c>
      <c r="H1090" s="79">
        <f t="shared" si="538"/>
        <v>835</v>
      </c>
      <c r="I1090" s="79">
        <f t="shared" si="538"/>
        <v>405</v>
      </c>
      <c r="J1090" s="79">
        <f t="shared" si="538"/>
        <v>149</v>
      </c>
      <c r="K1090" s="79">
        <f t="shared" si="538"/>
        <v>12</v>
      </c>
      <c r="L1090" s="79">
        <f t="shared" si="538"/>
        <v>9</v>
      </c>
      <c r="M1090" s="79">
        <f t="shared" si="536"/>
        <v>170</v>
      </c>
      <c r="N1090" s="79">
        <f t="shared" si="538"/>
        <v>118</v>
      </c>
      <c r="O1090" s="79">
        <f>SUM(F1090:I1090)+SUM(M1090:N1090)</f>
        <v>4143</v>
      </c>
      <c r="P1090" s="79">
        <v>0</v>
      </c>
      <c r="Q1090" s="79">
        <v>0</v>
      </c>
      <c r="R1090" s="78">
        <f>P1090+Q1090</f>
        <v>0</v>
      </c>
      <c r="S1090" s="79">
        <v>0</v>
      </c>
      <c r="U1090" s="80">
        <f t="shared" si="537"/>
        <v>0</v>
      </c>
      <c r="W1090" s="81">
        <f>IF((O1090+R1090)=0," ",ROUND((O1090/(O1090+R1090)),7))</f>
        <v>1</v>
      </c>
      <c r="X1090" s="81">
        <f>IF((C1090)=0," ",ROUND((O1090/(C1090)),7))</f>
        <v>1</v>
      </c>
      <c r="Y1090" s="81">
        <f>IF((C1090)=0," ",ROUND((S1090/(C1090)),7))</f>
        <v>0</v>
      </c>
      <c r="Z1090" s="79"/>
      <c r="AF1090" s="79"/>
      <c r="AJ1090" s="66"/>
      <c r="AK1090" s="70"/>
    </row>
    <row r="1091" spans="1:37" hidden="1">
      <c r="A1091" s="65">
        <f>A1090+1</f>
        <v>181</v>
      </c>
      <c r="B1091" s="66" t="s">
        <v>509</v>
      </c>
      <c r="C1091" s="79">
        <f>O1091+R1091+S1091</f>
        <v>6157</v>
      </c>
      <c r="D1091" s="79">
        <f>D1089+D1090</f>
        <v>3345</v>
      </c>
      <c r="E1091" s="79">
        <f>E1089+E1090</f>
        <v>104</v>
      </c>
      <c r="F1091" s="79">
        <f>D1091+E1091</f>
        <v>3449</v>
      </c>
      <c r="G1091" s="79">
        <f t="shared" ref="G1091:L1091" si="539">G1089+G1090</f>
        <v>257</v>
      </c>
      <c r="H1091" s="79">
        <f t="shared" si="539"/>
        <v>1184</v>
      </c>
      <c r="I1091" s="79">
        <f t="shared" si="539"/>
        <v>574</v>
      </c>
      <c r="J1091" s="79">
        <f t="shared" si="539"/>
        <v>211</v>
      </c>
      <c r="K1091" s="79">
        <f t="shared" si="539"/>
        <v>17</v>
      </c>
      <c r="L1091" s="79">
        <f t="shared" si="539"/>
        <v>13</v>
      </c>
      <c r="M1091" s="79">
        <f t="shared" si="536"/>
        <v>241</v>
      </c>
      <c r="N1091" s="79">
        <f>N1089+N1090</f>
        <v>167</v>
      </c>
      <c r="O1091" s="79">
        <f>SUM(F1091:I1091)+SUM(M1091:N1091)</f>
        <v>5872</v>
      </c>
      <c r="P1091" s="79">
        <f>P1089+P1090</f>
        <v>142.5</v>
      </c>
      <c r="Q1091" s="79">
        <f>Q1089+Q1090</f>
        <v>142.5</v>
      </c>
      <c r="R1091" s="78">
        <f>P1091+Q1091</f>
        <v>285</v>
      </c>
      <c r="S1091" s="79">
        <f>S1089+S1090</f>
        <v>0</v>
      </c>
      <c r="U1091" s="80">
        <f t="shared" si="537"/>
        <v>0</v>
      </c>
      <c r="W1091" s="81">
        <f>IF((O1091+R1091)=0," ",ROUND((O1091/(O1091+R1091)),7))</f>
        <v>0.95371119999999998</v>
      </c>
      <c r="X1091" s="81">
        <f>IF((C1091)=0," ",ROUND((O1091/(C1091)),7))</f>
        <v>0.95371119999999998</v>
      </c>
      <c r="Y1091" s="81">
        <f>IF((C1091)=0," ",ROUND((S1091/(C1091)),7))</f>
        <v>0</v>
      </c>
      <c r="Z1091" s="79"/>
      <c r="AF1091" s="79"/>
      <c r="AJ1091" s="66"/>
      <c r="AK1091" s="70"/>
    </row>
    <row r="1092" spans="1:37" hidden="1">
      <c r="W1092" s="81" t="str">
        <f>IF((P1092+Q1092)=0," ",ROUND((P1092/(P1092+Q1092)),74))</f>
        <v xml:space="preserve"> </v>
      </c>
      <c r="X1092" s="81" t="str">
        <f>IF((C1092)=0," ",ROUND((P1092/(C1092)),74))</f>
        <v xml:space="preserve"> </v>
      </c>
      <c r="Y1092" s="81" t="str">
        <f>IF((C1092)=0," ",ROUND((R1092/(C1092)),7))</f>
        <v xml:space="preserve"> </v>
      </c>
      <c r="AJ1092" s="66"/>
      <c r="AK1092" s="65"/>
    </row>
    <row r="1093" spans="1:37" hidden="1">
      <c r="A1093" s="65">
        <f>A1091+1</f>
        <v>182</v>
      </c>
      <c r="B1093" s="66" t="s">
        <v>510</v>
      </c>
      <c r="C1093" s="78">
        <f>658-2</f>
        <v>656</v>
      </c>
      <c r="D1093" s="79">
        <f>C1093-E1093-SUM(G1093:I1093)-SUM(M1093:N1093)-R1093-S1093</f>
        <v>301</v>
      </c>
      <c r="E1093" s="79">
        <v>11</v>
      </c>
      <c r="F1093" s="79">
        <f>D1093+E1093</f>
        <v>312</v>
      </c>
      <c r="G1093" s="79">
        <v>17</v>
      </c>
      <c r="H1093" s="79">
        <v>152</v>
      </c>
      <c r="I1093" s="79">
        <v>104</v>
      </c>
      <c r="J1093" s="79">
        <v>57</v>
      </c>
      <c r="K1093" s="79">
        <v>3</v>
      </c>
      <c r="L1093" s="79">
        <v>2</v>
      </c>
      <c r="M1093" s="79">
        <f t="shared" si="536"/>
        <v>62</v>
      </c>
      <c r="N1093" s="79">
        <v>9</v>
      </c>
      <c r="O1093" s="79">
        <f>SUM(F1093:I1093)+SUM(M1093:N1093)</f>
        <v>656</v>
      </c>
      <c r="P1093" s="79">
        <v>0</v>
      </c>
      <c r="Q1093" s="79">
        <v>0</v>
      </c>
      <c r="R1093" s="78">
        <f>P1093+Q1093</f>
        <v>0</v>
      </c>
      <c r="S1093" s="79">
        <v>0</v>
      </c>
      <c r="U1093" s="80">
        <f t="shared" si="537"/>
        <v>0</v>
      </c>
      <c r="W1093" s="81">
        <f>IF((O1093+R1093)=0," ",ROUND((O1093/(O1093+R1093)),7))</f>
        <v>1</v>
      </c>
      <c r="X1093" s="81">
        <f>IF((C1093)=0," ",ROUND((O1093/(C1093)),7))</f>
        <v>1</v>
      </c>
      <c r="Y1093" s="81">
        <f>IF((C1093)=0," ",ROUND((S1093/(C1093)),7))</f>
        <v>0</v>
      </c>
      <c r="Z1093" s="79"/>
      <c r="AF1093" s="79"/>
      <c r="AJ1093" s="66"/>
      <c r="AK1093" s="65"/>
    </row>
    <row r="1094" spans="1:37" hidden="1">
      <c r="B1094" s="72"/>
      <c r="C1094" s="79"/>
      <c r="H1094" s="65" t="s">
        <v>80</v>
      </c>
      <c r="I1094" s="79"/>
      <c r="J1094" s="79"/>
      <c r="K1094" s="79"/>
      <c r="L1094" s="79"/>
      <c r="M1094" s="79"/>
      <c r="Q1094" s="65" t="s">
        <v>80</v>
      </c>
      <c r="R1094" s="79"/>
      <c r="S1094" s="65"/>
      <c r="W1094" s="81"/>
      <c r="X1094" s="81"/>
      <c r="Y1094" s="81"/>
      <c r="Z1094" s="65"/>
      <c r="AJ1094" s="66"/>
      <c r="AK1094" s="65"/>
    </row>
    <row r="1095" spans="1:37" hidden="1">
      <c r="C1095" s="79"/>
      <c r="H1095" s="70" t="str">
        <f>$H$24</f>
        <v>12 MONTHS ENDING DECEMBER 31, 2012</v>
      </c>
      <c r="I1095" s="79"/>
      <c r="J1095" s="79"/>
      <c r="K1095" s="79"/>
      <c r="L1095" s="79"/>
      <c r="M1095" s="79"/>
      <c r="Q1095" s="70" t="str">
        <f>$H$24</f>
        <v>12 MONTHS ENDING DECEMBER 31, 2012</v>
      </c>
      <c r="R1095" s="79"/>
      <c r="S1095" s="79"/>
      <c r="U1095" s="80"/>
      <c r="W1095" s="81"/>
      <c r="X1095" s="81"/>
      <c r="Y1095" s="81"/>
      <c r="Z1095" s="70"/>
      <c r="AJ1095" s="66"/>
      <c r="AK1095" s="65"/>
    </row>
    <row r="1096" spans="1:37" hidden="1">
      <c r="C1096" s="79"/>
      <c r="H1096" s="70" t="str">
        <f>$H$25</f>
        <v>12/13 DEMAND ALLOCATION WITH MDS METHODOLOGY</v>
      </c>
      <c r="Q1096" s="70" t="str">
        <f>$H$25</f>
        <v>12/13 DEMAND ALLOCATION WITH MDS METHODOLOGY</v>
      </c>
      <c r="S1096" s="79"/>
      <c r="X1096" s="81"/>
      <c r="Y1096" s="81"/>
      <c r="Z1096" s="70"/>
      <c r="AJ1096" s="66"/>
      <c r="AK1096" s="65"/>
    </row>
    <row r="1097" spans="1:37" hidden="1">
      <c r="C1097" s="79"/>
      <c r="H1097" s="87" t="s">
        <v>104</v>
      </c>
      <c r="I1097" s="79"/>
      <c r="J1097" s="79"/>
      <c r="K1097" s="79"/>
      <c r="L1097" s="79"/>
      <c r="M1097" s="79"/>
      <c r="N1097" s="79"/>
      <c r="Q1097" s="87" t="s">
        <v>104</v>
      </c>
      <c r="S1097" s="79"/>
      <c r="U1097" s="80"/>
      <c r="X1097" s="81"/>
      <c r="Y1097" s="81"/>
      <c r="Z1097" s="87"/>
      <c r="AJ1097" s="66"/>
      <c r="AK1097" s="65"/>
    </row>
    <row r="1098" spans="1:37" hidden="1">
      <c r="C1098" s="79"/>
      <c r="H1098" s="87" t="s">
        <v>114</v>
      </c>
      <c r="J1098" s="79"/>
      <c r="K1098" s="79"/>
      <c r="L1098" s="79"/>
      <c r="M1098" s="79"/>
      <c r="N1098" s="79"/>
      <c r="Q1098" s="87" t="s">
        <v>114</v>
      </c>
      <c r="S1098" s="79"/>
      <c r="U1098" s="80"/>
      <c r="X1098" s="81"/>
      <c r="Y1098" s="81"/>
      <c r="Z1098" s="87"/>
      <c r="AJ1098" s="66"/>
      <c r="AK1098" s="65"/>
    </row>
    <row r="1099" spans="1:37" hidden="1">
      <c r="C1099" s="65" t="s">
        <v>59</v>
      </c>
      <c r="K1099" s="65"/>
      <c r="L1099" s="65"/>
      <c r="M1099" s="65"/>
      <c r="O1099" s="65" t="s">
        <v>59</v>
      </c>
      <c r="P1099" s="65"/>
      <c r="Q1099" s="65"/>
      <c r="R1099" s="65"/>
      <c r="S1099" s="65" t="s">
        <v>115</v>
      </c>
      <c r="W1099" s="76" t="s">
        <v>116</v>
      </c>
      <c r="X1099" s="76" t="s">
        <v>116</v>
      </c>
      <c r="Y1099" s="76" t="s">
        <v>117</v>
      </c>
      <c r="AJ1099" s="66"/>
      <c r="AK1099" s="65"/>
    </row>
    <row r="1100" spans="1:37" hidden="1">
      <c r="A1100" s="65" t="s">
        <v>118</v>
      </c>
      <c r="C1100" s="65" t="s">
        <v>58</v>
      </c>
      <c r="D1100" s="70" t="s">
        <v>119</v>
      </c>
      <c r="E1100" s="70" t="s">
        <v>119</v>
      </c>
      <c r="F1100" s="70" t="s">
        <v>119</v>
      </c>
      <c r="G1100" s="70" t="s">
        <v>119</v>
      </c>
      <c r="H1100" s="70" t="s">
        <v>119</v>
      </c>
      <c r="I1100" s="70" t="s">
        <v>119</v>
      </c>
      <c r="J1100" s="70" t="s">
        <v>119</v>
      </c>
      <c r="K1100" s="70" t="s">
        <v>119</v>
      </c>
      <c r="L1100" s="70" t="s">
        <v>119</v>
      </c>
      <c r="M1100" s="70" t="s">
        <v>119</v>
      </c>
      <c r="N1100" s="70" t="s">
        <v>119</v>
      </c>
      <c r="O1100" s="65" t="s">
        <v>116</v>
      </c>
      <c r="P1100" s="65"/>
      <c r="Q1100" s="70" t="s">
        <v>120</v>
      </c>
      <c r="R1100" s="65"/>
      <c r="S1100" s="65" t="s">
        <v>121</v>
      </c>
      <c r="W1100" s="76" t="s">
        <v>122</v>
      </c>
      <c r="X1100" s="76" t="s">
        <v>123</v>
      </c>
      <c r="Y1100" s="76" t="s">
        <v>124</v>
      </c>
      <c r="Z1100" s="65"/>
      <c r="AJ1100" s="66"/>
      <c r="AK1100" s="65"/>
    </row>
    <row r="1101" spans="1:37" hidden="1">
      <c r="A1101" s="65" t="s">
        <v>125</v>
      </c>
      <c r="B1101" s="65" t="s">
        <v>126</v>
      </c>
      <c r="C1101" s="65" t="s">
        <v>57</v>
      </c>
      <c r="D1101" s="70" t="s">
        <v>127</v>
      </c>
      <c r="E1101" s="70" t="s">
        <v>128</v>
      </c>
      <c r="F1101" s="70" t="s">
        <v>129</v>
      </c>
      <c r="G1101" s="70" t="s">
        <v>130</v>
      </c>
      <c r="H1101" s="70" t="s">
        <v>131</v>
      </c>
      <c r="I1101" s="65" t="s">
        <v>132</v>
      </c>
      <c r="J1101" s="70" t="s">
        <v>133</v>
      </c>
      <c r="K1101" s="70" t="s">
        <v>134</v>
      </c>
      <c r="L1101" s="70" t="s">
        <v>135</v>
      </c>
      <c r="M1101" s="70" t="s">
        <v>136</v>
      </c>
      <c r="N1101" s="70" t="s">
        <v>137</v>
      </c>
      <c r="O1101" s="65" t="s">
        <v>138</v>
      </c>
      <c r="P1101" s="70" t="s">
        <v>139</v>
      </c>
      <c r="Q1101" s="70" t="s">
        <v>140</v>
      </c>
      <c r="R1101" s="65" t="s">
        <v>122</v>
      </c>
      <c r="S1101" s="65" t="s">
        <v>141</v>
      </c>
      <c r="W1101" s="76" t="s">
        <v>142</v>
      </c>
      <c r="X1101" s="76" t="s">
        <v>142</v>
      </c>
      <c r="Y1101" s="76" t="s">
        <v>142</v>
      </c>
      <c r="Z1101" s="65"/>
      <c r="AJ1101" s="66"/>
      <c r="AK1101" s="65"/>
    </row>
    <row r="1102" spans="1:37" hidden="1">
      <c r="A1102" s="65" t="s">
        <v>143</v>
      </c>
      <c r="B1102" s="65" t="s">
        <v>144</v>
      </c>
      <c r="C1102" s="65" t="s">
        <v>145</v>
      </c>
      <c r="D1102" s="70" t="s">
        <v>146</v>
      </c>
      <c r="E1102" s="70" t="s">
        <v>147</v>
      </c>
      <c r="F1102" s="70" t="s">
        <v>148</v>
      </c>
      <c r="G1102" s="65" t="s">
        <v>149</v>
      </c>
      <c r="H1102" s="65" t="s">
        <v>150</v>
      </c>
      <c r="I1102" s="65" t="s">
        <v>151</v>
      </c>
      <c r="J1102" s="70" t="s">
        <v>152</v>
      </c>
      <c r="K1102" s="70" t="s">
        <v>153</v>
      </c>
      <c r="L1102" s="70" t="s">
        <v>154</v>
      </c>
      <c r="M1102" s="70" t="s">
        <v>155</v>
      </c>
      <c r="N1102" s="70" t="s">
        <v>156</v>
      </c>
      <c r="O1102" s="70" t="s">
        <v>157</v>
      </c>
      <c r="P1102" s="70" t="s">
        <v>158</v>
      </c>
      <c r="Q1102" s="70" t="s">
        <v>159</v>
      </c>
      <c r="R1102" s="70" t="s">
        <v>160</v>
      </c>
      <c r="S1102" s="70" t="s">
        <v>161</v>
      </c>
      <c r="U1102" s="65" t="s">
        <v>162</v>
      </c>
      <c r="W1102" s="77" t="s">
        <v>163</v>
      </c>
      <c r="X1102" s="77" t="s">
        <v>164</v>
      </c>
      <c r="Y1102" s="76" t="s">
        <v>165</v>
      </c>
      <c r="Z1102" s="70"/>
      <c r="AJ1102" s="66"/>
      <c r="AK1102" s="65"/>
    </row>
    <row r="1103" spans="1:37" hidden="1">
      <c r="A1103" s="66"/>
      <c r="C1103" s="79"/>
      <c r="U1103" s="66"/>
      <c r="V1103" s="66"/>
      <c r="AJ1103" s="66"/>
      <c r="AK1103" s="65"/>
    </row>
    <row r="1104" spans="1:37" hidden="1">
      <c r="A1104" s="66"/>
      <c r="C1104" s="79"/>
      <c r="U1104" s="66"/>
      <c r="V1104" s="66"/>
      <c r="AJ1104" s="66"/>
      <c r="AK1104" s="65"/>
    </row>
    <row r="1105" spans="1:37" hidden="1">
      <c r="A1105" s="65">
        <f>A1093+1</f>
        <v>183</v>
      </c>
      <c r="B1105" s="66" t="s">
        <v>511</v>
      </c>
      <c r="C1105" s="79">
        <f>C1794</f>
        <v>2</v>
      </c>
      <c r="D1105" s="79">
        <f>D1794</f>
        <v>2</v>
      </c>
      <c r="E1105" s="79">
        <f>E1794</f>
        <v>0</v>
      </c>
      <c r="F1105" s="79">
        <f>D1105+E1105</f>
        <v>2</v>
      </c>
      <c r="G1105" s="79">
        <f t="shared" ref="G1105:L1105" si="540">G1794</f>
        <v>0</v>
      </c>
      <c r="H1105" s="79">
        <f t="shared" si="540"/>
        <v>0</v>
      </c>
      <c r="I1105" s="79">
        <f t="shared" si="540"/>
        <v>0</v>
      </c>
      <c r="J1105" s="79">
        <f t="shared" si="540"/>
        <v>0</v>
      </c>
      <c r="K1105" s="79">
        <f t="shared" si="540"/>
        <v>0</v>
      </c>
      <c r="L1105" s="79">
        <f t="shared" si="540"/>
        <v>0</v>
      </c>
      <c r="M1105" s="79">
        <f>SUM(J1105:L1105)</f>
        <v>0</v>
      </c>
      <c r="N1105" s="79">
        <f>N1794</f>
        <v>0</v>
      </c>
      <c r="O1105" s="79">
        <f>SUM(F1105:I1105)+SUM(M1105:N1105)</f>
        <v>2</v>
      </c>
      <c r="P1105" s="79">
        <f>P1794</f>
        <v>0</v>
      </c>
      <c r="Q1105" s="79">
        <f>Q1794</f>
        <v>0</v>
      </c>
      <c r="R1105" s="78">
        <f>P1105+Q1105</f>
        <v>0</v>
      </c>
      <c r="S1105" s="79">
        <v>0</v>
      </c>
      <c r="U1105" s="80">
        <f>O1105+R1105+S1105-C1105</f>
        <v>0</v>
      </c>
      <c r="W1105" s="81">
        <f>IF((O1105+R1105)=0," ",ROUND((O1105/(O1105+R1105)),7))</f>
        <v>1</v>
      </c>
      <c r="X1105" s="81">
        <f>IF((C1105)=0," ",ROUND((O1105/(C1105)),7))</f>
        <v>1</v>
      </c>
      <c r="Y1105" s="81">
        <f>IF((C1105)=0," ",ROUND((S1105/(C1105)),7))</f>
        <v>0</v>
      </c>
      <c r="Z1105" s="79"/>
      <c r="AJ1105" s="66"/>
      <c r="AK1105" s="65"/>
    </row>
    <row r="1106" spans="1:37" hidden="1">
      <c r="C1106" s="79"/>
      <c r="D1106" s="79"/>
      <c r="E1106" s="79"/>
      <c r="F1106" s="79"/>
      <c r="G1106" s="79"/>
      <c r="H1106" s="79"/>
      <c r="I1106" s="79"/>
      <c r="J1106" s="79"/>
      <c r="K1106" s="79"/>
      <c r="L1106" s="79"/>
      <c r="M1106" s="79"/>
      <c r="N1106" s="79"/>
      <c r="O1106" s="79"/>
      <c r="P1106" s="79"/>
      <c r="Q1106" s="79"/>
      <c r="R1106" s="78"/>
      <c r="S1106" s="79"/>
      <c r="U1106" s="80"/>
      <c r="W1106" s="81"/>
      <c r="X1106" s="81"/>
      <c r="Y1106" s="81"/>
      <c r="Z1106" s="79"/>
      <c r="AJ1106" s="66"/>
      <c r="AK1106" s="65"/>
    </row>
    <row r="1107" spans="1:37" hidden="1">
      <c r="A1107" s="65">
        <f>A1105+1</f>
        <v>184</v>
      </c>
      <c r="B1107" s="71" t="s">
        <v>512</v>
      </c>
      <c r="C1107" s="79">
        <v>656</v>
      </c>
      <c r="D1107" s="79">
        <f>C1107-E1107-SUM(G1107:I1107)-SUM(M1107:N1107)-R1107-S1107</f>
        <v>0</v>
      </c>
      <c r="E1107" s="79">
        <v>0</v>
      </c>
      <c r="F1107" s="79">
        <f>D1107+E1107</f>
        <v>0</v>
      </c>
      <c r="G1107" s="79">
        <v>0</v>
      </c>
      <c r="H1107" s="79">
        <v>0</v>
      </c>
      <c r="I1107" s="79">
        <f>C1107</f>
        <v>656</v>
      </c>
      <c r="J1107" s="79">
        <v>0</v>
      </c>
      <c r="K1107" s="79">
        <v>0</v>
      </c>
      <c r="L1107" s="79">
        <v>0</v>
      </c>
      <c r="M1107" s="79">
        <f>SUM(J1107:L1107)</f>
        <v>0</v>
      </c>
      <c r="N1107" s="79">
        <v>0</v>
      </c>
      <c r="O1107" s="79">
        <f>SUM(F1107:I1107)+SUM(M1107:N1107)</f>
        <v>656</v>
      </c>
      <c r="P1107" s="79">
        <v>0</v>
      </c>
      <c r="Q1107" s="79">
        <v>0</v>
      </c>
      <c r="R1107" s="78">
        <f>P1107+Q1107</f>
        <v>0</v>
      </c>
      <c r="S1107" s="79">
        <v>0</v>
      </c>
      <c r="U1107" s="80"/>
      <c r="W1107" s="81"/>
      <c r="X1107" s="81"/>
      <c r="Y1107" s="81"/>
      <c r="Z1107" s="79"/>
      <c r="AJ1107" s="66"/>
      <c r="AK1107" s="65"/>
    </row>
    <row r="1108" spans="1:37" hidden="1">
      <c r="W1108" s="81" t="str">
        <f>IF((P1108+Q1108)=0," ",ROUND((P1108/(P1108+Q1108)),74))</f>
        <v xml:space="preserve"> </v>
      </c>
      <c r="X1108" s="81" t="str">
        <f>IF((C1108)=0," ",ROUND((P1108/(C1108)),74))</f>
        <v xml:space="preserve"> </v>
      </c>
      <c r="Y1108" s="81" t="str">
        <f>IF((C1108)=0," ",ROUND((R1108/(C1108)),7))</f>
        <v xml:space="preserve"> </v>
      </c>
      <c r="AJ1108" s="66"/>
      <c r="AK1108" s="65"/>
    </row>
    <row r="1109" spans="1:37" hidden="1">
      <c r="A1109" s="65">
        <f>A1107+1</f>
        <v>185</v>
      </c>
      <c r="B1109" s="66" t="s">
        <v>513</v>
      </c>
      <c r="C1109" s="79">
        <f>C1114-C1105-C1107</f>
        <v>66166</v>
      </c>
      <c r="D1109" s="79">
        <f>C1109-E1109-SUM(G1109:I1109)-SUM(M1109:N1109)-R1109-S1109</f>
        <v>38797</v>
      </c>
      <c r="E1109" s="79">
        <v>1057</v>
      </c>
      <c r="F1109" s="79">
        <f>D1109+E1109</f>
        <v>39854</v>
      </c>
      <c r="G1109" s="79">
        <v>3523</v>
      </c>
      <c r="H1109" s="79">
        <v>10861</v>
      </c>
      <c r="I1109" s="79">
        <v>5128</v>
      </c>
      <c r="J1109" s="79">
        <v>2181</v>
      </c>
      <c r="K1109" s="79">
        <v>190</v>
      </c>
      <c r="L1109" s="79">
        <v>92</v>
      </c>
      <c r="M1109" s="79">
        <f>SUM(J1109:L1109)</f>
        <v>2463</v>
      </c>
      <c r="N1109" s="79">
        <v>1151</v>
      </c>
      <c r="O1109" s="79">
        <f>SUM(F1109:I1109)+SUM(M1109:N1109)</f>
        <v>62980</v>
      </c>
      <c r="P1109" s="79">
        <v>1035</v>
      </c>
      <c r="Q1109" s="79">
        <v>120</v>
      </c>
      <c r="R1109" s="78">
        <f>P1109+Q1109</f>
        <v>1155</v>
      </c>
      <c r="S1109" s="78">
        <v>2031</v>
      </c>
      <c r="U1109" s="80">
        <f>O1109+R1109+S1109-C1109</f>
        <v>0</v>
      </c>
      <c r="W1109" s="81">
        <f>IF((O1109+R1109)=0," ",ROUND((O1109/(O1109+R1109)),7))</f>
        <v>0.98199110000000001</v>
      </c>
      <c r="X1109" s="81">
        <f>IF((C1109)=0," ",ROUND((O1109/(C1109)),7))</f>
        <v>0.95184840000000004</v>
      </c>
      <c r="Y1109" s="81">
        <f>IF((C1109)=0," ",ROUND((S1109/(C1109)),7))</f>
        <v>3.0695500000000001E-2</v>
      </c>
      <c r="Z1109" s="79"/>
      <c r="AJ1109" s="66"/>
      <c r="AK1109" s="65"/>
    </row>
    <row r="1110" spans="1:37" hidden="1">
      <c r="A1110" s="65">
        <f>A1109+1</f>
        <v>186</v>
      </c>
      <c r="B1110" s="66" t="s">
        <v>39</v>
      </c>
      <c r="C1110" s="79">
        <v>40494</v>
      </c>
      <c r="D1110" s="79">
        <f>C1110-E1110-SUM(G1110:I1110)-SUM(M1110:N1110)-R1110-S1110</f>
        <v>20541</v>
      </c>
      <c r="E1110" s="79">
        <v>551</v>
      </c>
      <c r="F1110" s="79">
        <f>D1110+E1110</f>
        <v>21092</v>
      </c>
      <c r="G1110" s="79">
        <v>1041</v>
      </c>
      <c r="H1110" s="79">
        <v>8305</v>
      </c>
      <c r="I1110" s="79">
        <v>4502</v>
      </c>
      <c r="J1110" s="79">
        <v>1900</v>
      </c>
      <c r="K1110" s="79">
        <v>167</v>
      </c>
      <c r="L1110" s="79">
        <v>80</v>
      </c>
      <c r="M1110" s="79">
        <f>SUM(J1110:L1110)</f>
        <v>2147</v>
      </c>
      <c r="N1110" s="79">
        <v>223</v>
      </c>
      <c r="O1110" s="79">
        <f>SUM(F1110:I1110)+SUM(M1110:N1110)</f>
        <v>37310</v>
      </c>
      <c r="P1110" s="79">
        <v>1034</v>
      </c>
      <c r="Q1110" s="79">
        <v>119</v>
      </c>
      <c r="R1110" s="78">
        <f>P1110+Q1110</f>
        <v>1153</v>
      </c>
      <c r="S1110" s="79">
        <f>S1109</f>
        <v>2031</v>
      </c>
      <c r="U1110" s="80">
        <f>O1110+R1110+S1110-C1110</f>
        <v>0</v>
      </c>
      <c r="W1110" s="81">
        <f>IF((O1110+R1110)=0," ",ROUND((O1110/(O1110+R1110)),7))</f>
        <v>0.97002310000000003</v>
      </c>
      <c r="X1110" s="81">
        <f>IF((C1110)=0," ",ROUND((O1110/(C1110)),7))</f>
        <v>0.9213711</v>
      </c>
      <c r="Y1110" s="81">
        <f>IF((C1110)=0," ",ROUND((S1110/(C1110)),7))</f>
        <v>5.0155600000000002E-2</v>
      </c>
      <c r="Z1110" s="79"/>
      <c r="AJ1110" s="66"/>
      <c r="AK1110" s="65"/>
    </row>
    <row r="1111" spans="1:37" hidden="1">
      <c r="A1111" s="65">
        <f>A1110+1</f>
        <v>187</v>
      </c>
      <c r="B1111" s="66" t="s">
        <v>44</v>
      </c>
      <c r="C1111" s="79">
        <v>23375</v>
      </c>
      <c r="D1111" s="79">
        <f>C1111-E1111-SUM(G1111:I1111)-SUM(M1111:N1111)-R1111-S1111</f>
        <v>17190</v>
      </c>
      <c r="E1111" s="79">
        <v>465</v>
      </c>
      <c r="F1111" s="79">
        <f>D1111+E1111</f>
        <v>17655</v>
      </c>
      <c r="G1111" s="79">
        <v>2424</v>
      </c>
      <c r="H1111" s="79">
        <v>2022</v>
      </c>
      <c r="I1111" s="79">
        <v>268</v>
      </c>
      <c r="J1111" s="79">
        <v>88</v>
      </c>
      <c r="K1111" s="79">
        <v>14</v>
      </c>
      <c r="L1111" s="79">
        <v>4</v>
      </c>
      <c r="M1111" s="79">
        <f>SUM(J1111:L1111)</f>
        <v>106</v>
      </c>
      <c r="N1111" s="79">
        <v>898</v>
      </c>
      <c r="O1111" s="79">
        <f>SUM(F1111:I1111)+SUM(M1111:N1111)</f>
        <v>23373</v>
      </c>
      <c r="P1111" s="79">
        <v>1</v>
      </c>
      <c r="Q1111" s="79">
        <v>1</v>
      </c>
      <c r="R1111" s="78">
        <f>P1111+Q1111</f>
        <v>2</v>
      </c>
      <c r="S1111" s="79">
        <v>0</v>
      </c>
      <c r="U1111" s="80">
        <f>O1111+R1111+S1111-C1111</f>
        <v>0</v>
      </c>
      <c r="W1111" s="81">
        <f>IF((O1111+R1111)=0," ",ROUND((O1111/(O1111+R1111)),7))</f>
        <v>0.99991439999999998</v>
      </c>
      <c r="X1111" s="81">
        <f>IF((C1111)=0," ",ROUND((O1111/(C1111)),7))</f>
        <v>0.99991439999999998</v>
      </c>
      <c r="Y1111" s="81">
        <f>IF((C1111)=0," ",ROUND((S1111/(C1111)),7))</f>
        <v>0</v>
      </c>
      <c r="Z1111" s="79"/>
      <c r="AJ1111" s="66"/>
      <c r="AK1111" s="65"/>
    </row>
    <row r="1112" spans="1:37" hidden="1">
      <c r="A1112" s="65">
        <f>A1111+1</f>
        <v>188</v>
      </c>
      <c r="B1112" s="66" t="s">
        <v>168</v>
      </c>
      <c r="C1112" s="79">
        <f>O1112+R1112+S1112</f>
        <v>2297</v>
      </c>
      <c r="D1112" s="79">
        <f>D1109-D1110-D1111</f>
        <v>1066</v>
      </c>
      <c r="E1112" s="79">
        <f>E1109-E1110-E1111</f>
        <v>41</v>
      </c>
      <c r="F1112" s="79">
        <f>D1112+E1112</f>
        <v>1107</v>
      </c>
      <c r="G1112" s="79">
        <f t="shared" ref="G1112:L1112" si="541">G1109-G1110-G1111</f>
        <v>58</v>
      </c>
      <c r="H1112" s="79">
        <f t="shared" si="541"/>
        <v>534</v>
      </c>
      <c r="I1112" s="79">
        <f t="shared" si="541"/>
        <v>358</v>
      </c>
      <c r="J1112" s="79">
        <f t="shared" si="541"/>
        <v>193</v>
      </c>
      <c r="K1112" s="79">
        <f t="shared" si="541"/>
        <v>9</v>
      </c>
      <c r="L1112" s="79">
        <f t="shared" si="541"/>
        <v>8</v>
      </c>
      <c r="M1112" s="79">
        <f>SUM(J1112:L1112)</f>
        <v>210</v>
      </c>
      <c r="N1112" s="79">
        <f>N1109-N1110-N1111</f>
        <v>30</v>
      </c>
      <c r="O1112" s="79">
        <f>SUM(F1112:I1112)+SUM(M1112:N1112)</f>
        <v>2297</v>
      </c>
      <c r="P1112" s="79">
        <f>P1109-P1110-P1111</f>
        <v>0</v>
      </c>
      <c r="Q1112" s="79">
        <f>Q1109-Q1110-Q1111</f>
        <v>0</v>
      </c>
      <c r="R1112" s="78">
        <f>P1112+Q1112</f>
        <v>0</v>
      </c>
      <c r="S1112" s="79">
        <f>S1109-S1110-S1111</f>
        <v>0</v>
      </c>
      <c r="U1112" s="80">
        <f>O1112+R1112+S1112-C1112</f>
        <v>0</v>
      </c>
      <c r="W1112" s="81">
        <f>IF((O1112+R1112)=0," ",ROUND((O1112/(O1112+R1112)),7))</f>
        <v>1</v>
      </c>
      <c r="X1112" s="81">
        <f>IF((C1112)=0," ",ROUND((O1112/(C1112)),7))</f>
        <v>1</v>
      </c>
      <c r="Y1112" s="81">
        <f>IF((C1112)=0," ",ROUND((S1112/(C1112)),7))</f>
        <v>0</v>
      </c>
      <c r="Z1112" s="79"/>
      <c r="AJ1112" s="66"/>
      <c r="AK1112" s="65"/>
    </row>
    <row r="1113" spans="1:37" hidden="1">
      <c r="O1113" s="79"/>
      <c r="Y1113" s="65"/>
      <c r="AJ1113" s="66"/>
      <c r="AK1113" s="65"/>
    </row>
    <row r="1114" spans="1:37" hidden="1">
      <c r="A1114" s="65">
        <f>A1112+1</f>
        <v>189</v>
      </c>
      <c r="B1114" s="66" t="s">
        <v>514</v>
      </c>
      <c r="C1114" s="78">
        <f>68108+2950-130-394-13-706-300-2691</f>
        <v>66824</v>
      </c>
      <c r="D1114" s="79">
        <f t="shared" ref="D1114:E1114" si="542">D1105+D1109+D1107</f>
        <v>38799</v>
      </c>
      <c r="E1114" s="79">
        <f t="shared" si="542"/>
        <v>1057</v>
      </c>
      <c r="F1114" s="79">
        <f>D1114+E1114</f>
        <v>39856</v>
      </c>
      <c r="G1114" s="79">
        <f>G1105+G1109+G1107</f>
        <v>3523</v>
      </c>
      <c r="H1114" s="79">
        <f t="shared" ref="H1114:N1114" si="543">H1105+H1109+H1107</f>
        <v>10861</v>
      </c>
      <c r="I1114" s="79">
        <f t="shared" si="543"/>
        <v>5784</v>
      </c>
      <c r="J1114" s="79">
        <f t="shared" si="543"/>
        <v>2181</v>
      </c>
      <c r="K1114" s="79">
        <f t="shared" si="543"/>
        <v>190</v>
      </c>
      <c r="L1114" s="79">
        <f>L1105+L1109+L1107</f>
        <v>92</v>
      </c>
      <c r="M1114" s="79">
        <f>SUM(J1114:L1114)</f>
        <v>2463</v>
      </c>
      <c r="N1114" s="79">
        <f t="shared" si="543"/>
        <v>1151</v>
      </c>
      <c r="O1114" s="79">
        <f>SUM(F1114:I1114)+SUM(M1114:N1114)</f>
        <v>63638</v>
      </c>
      <c r="P1114" s="79">
        <f>P1105+P1109+P1107</f>
        <v>1035</v>
      </c>
      <c r="Q1114" s="79">
        <f>Q1105+Q1109+Q1107</f>
        <v>120</v>
      </c>
      <c r="R1114" s="78">
        <f>P1114+Q1114</f>
        <v>1155</v>
      </c>
      <c r="S1114" s="79">
        <f>S1105+S1109+S1107</f>
        <v>2031</v>
      </c>
      <c r="U1114" s="80">
        <f t="shared" ref="U1114:U1125" si="544">O1114+R1114+S1114-C1114</f>
        <v>0</v>
      </c>
      <c r="W1114" s="81">
        <f>IF((O1114+R1114)=0," ",ROUND((O1114/(O1114+R1114)),7))</f>
        <v>0.98217399999999999</v>
      </c>
      <c r="X1114" s="81">
        <f>IF((C1114)=0," ",ROUND((O1114/(C1114)),7))</f>
        <v>0.95232249999999996</v>
      </c>
      <c r="Y1114" s="81">
        <f>IF((C1114)=0," ",ROUND((S1114/(C1114)),7))</f>
        <v>3.0393300000000002E-2</v>
      </c>
      <c r="Z1114" s="79"/>
      <c r="AJ1114" s="66"/>
      <c r="AK1114" s="65"/>
    </row>
    <row r="1115" spans="1:37" hidden="1">
      <c r="A1115" s="65">
        <f>A1114+1</f>
        <v>190</v>
      </c>
      <c r="B1115" s="66" t="s">
        <v>39</v>
      </c>
      <c r="C1115" s="79">
        <f>O1115+R1115+S1115</f>
        <v>40494</v>
      </c>
      <c r="D1115" s="79">
        <f>D1110</f>
        <v>20541</v>
      </c>
      <c r="E1115" s="79">
        <f>E1110</f>
        <v>551</v>
      </c>
      <c r="F1115" s="79">
        <f>D1115+E1115</f>
        <v>21092</v>
      </c>
      <c r="G1115" s="79">
        <f>G1110</f>
        <v>1041</v>
      </c>
      <c r="H1115" s="79">
        <f t="shared" ref="H1115:L1115" si="545">H1110</f>
        <v>8305</v>
      </c>
      <c r="I1115" s="79">
        <f t="shared" si="545"/>
        <v>4502</v>
      </c>
      <c r="J1115" s="79">
        <f t="shared" si="545"/>
        <v>1900</v>
      </c>
      <c r="K1115" s="79">
        <f t="shared" si="545"/>
        <v>167</v>
      </c>
      <c r="L1115" s="79">
        <f t="shared" si="545"/>
        <v>80</v>
      </c>
      <c r="M1115" s="79">
        <f>SUM(J1115:L1115)</f>
        <v>2147</v>
      </c>
      <c r="N1115" s="79">
        <f>N1110</f>
        <v>223</v>
      </c>
      <c r="O1115" s="79">
        <f>SUM(F1115:I1115)+SUM(M1115:N1115)</f>
        <v>37310</v>
      </c>
      <c r="P1115" s="79">
        <f>P1110</f>
        <v>1034</v>
      </c>
      <c r="Q1115" s="79">
        <f>Q1110</f>
        <v>119</v>
      </c>
      <c r="R1115" s="78">
        <f>P1115+Q1115</f>
        <v>1153</v>
      </c>
      <c r="S1115" s="79">
        <f>S1110</f>
        <v>2031</v>
      </c>
      <c r="U1115" s="80">
        <f t="shared" si="544"/>
        <v>0</v>
      </c>
      <c r="W1115" s="81">
        <f>IF((O1115+R1115)=0," ",ROUND((O1115/(O1115+R1115)),7))</f>
        <v>0.97002310000000003</v>
      </c>
      <c r="X1115" s="81">
        <f>IF((C1115)=0," ",ROUND((O1115/(C1115)),7))</f>
        <v>0.9213711</v>
      </c>
      <c r="Y1115" s="81">
        <f>IF((C1115)=0," ",ROUND((S1115/(C1115)),7))</f>
        <v>5.0155600000000002E-2</v>
      </c>
      <c r="Z1115" s="79"/>
      <c r="AJ1115" s="66"/>
      <c r="AK1115" s="65"/>
    </row>
    <row r="1116" spans="1:37" hidden="1">
      <c r="A1116" s="65">
        <f>A1115+1</f>
        <v>191</v>
      </c>
      <c r="B1116" s="66" t="s">
        <v>44</v>
      </c>
      <c r="C1116" s="79">
        <f>O1116+R1116+S1116</f>
        <v>24033</v>
      </c>
      <c r="D1116" s="79">
        <f>D1105+D1111+D1107</f>
        <v>17192</v>
      </c>
      <c r="E1116" s="79">
        <f>E1105+E1111+E1107</f>
        <v>465</v>
      </c>
      <c r="F1116" s="79">
        <f>D1116+E1116</f>
        <v>17657</v>
      </c>
      <c r="G1116" s="79">
        <f t="shared" ref="G1116:L1116" si="546">G1105+G1111+G1107</f>
        <v>2424</v>
      </c>
      <c r="H1116" s="79">
        <f t="shared" si="546"/>
        <v>2022</v>
      </c>
      <c r="I1116" s="79">
        <f t="shared" si="546"/>
        <v>924</v>
      </c>
      <c r="J1116" s="79">
        <f t="shared" si="546"/>
        <v>88</v>
      </c>
      <c r="K1116" s="79">
        <f t="shared" si="546"/>
        <v>14</v>
      </c>
      <c r="L1116" s="79">
        <f t="shared" si="546"/>
        <v>4</v>
      </c>
      <c r="M1116" s="79">
        <f>SUM(J1116:L1116)</f>
        <v>106</v>
      </c>
      <c r="N1116" s="79">
        <f>N1105+N1111+N1107</f>
        <v>898</v>
      </c>
      <c r="O1116" s="79">
        <f>SUM(F1116:I1116)+SUM(M1116:N1116)</f>
        <v>24031</v>
      </c>
      <c r="P1116" s="79">
        <f>P1105+P1111+P1107</f>
        <v>1</v>
      </c>
      <c r="Q1116" s="79">
        <f>Q1105+Q1111+Q1107</f>
        <v>1</v>
      </c>
      <c r="R1116" s="78">
        <f>P1116+Q1116</f>
        <v>2</v>
      </c>
      <c r="S1116" s="79">
        <f>S1105+S1111+S1107</f>
        <v>0</v>
      </c>
      <c r="U1116" s="80">
        <f t="shared" si="544"/>
        <v>0</v>
      </c>
      <c r="W1116" s="81">
        <f>IF((O1116+R1116)=0," ",ROUND((O1116/(O1116+R1116)),7))</f>
        <v>0.99991680000000005</v>
      </c>
      <c r="X1116" s="81">
        <f>IF((C1116)=0," ",ROUND((O1116/(C1116)),7))</f>
        <v>0.99991680000000005</v>
      </c>
      <c r="Y1116" s="81">
        <f>IF((C1116)=0," ",ROUND((S1116/(C1116)),7))</f>
        <v>0</v>
      </c>
      <c r="Z1116" s="79"/>
      <c r="AJ1116" s="66"/>
      <c r="AK1116" s="65"/>
    </row>
    <row r="1117" spans="1:37" hidden="1">
      <c r="A1117" s="65">
        <f>A1116+1</f>
        <v>192</v>
      </c>
      <c r="B1117" s="66" t="s">
        <v>168</v>
      </c>
      <c r="C1117" s="79">
        <f>O1117+R1117+S1117</f>
        <v>2297</v>
      </c>
      <c r="D1117" s="79">
        <f>D1112</f>
        <v>1066</v>
      </c>
      <c r="E1117" s="79">
        <f>E1112</f>
        <v>41</v>
      </c>
      <c r="F1117" s="79">
        <f>D1117+E1117</f>
        <v>1107</v>
      </c>
      <c r="G1117" s="79">
        <f>G1112</f>
        <v>58</v>
      </c>
      <c r="H1117" s="79">
        <f t="shared" ref="H1117:L1117" si="547">H1112</f>
        <v>534</v>
      </c>
      <c r="I1117" s="79">
        <f t="shared" si="547"/>
        <v>358</v>
      </c>
      <c r="J1117" s="79">
        <f t="shared" si="547"/>
        <v>193</v>
      </c>
      <c r="K1117" s="79">
        <f t="shared" si="547"/>
        <v>9</v>
      </c>
      <c r="L1117" s="79">
        <f t="shared" si="547"/>
        <v>8</v>
      </c>
      <c r="M1117" s="79">
        <f>SUM(J1117:L1117)</f>
        <v>210</v>
      </c>
      <c r="N1117" s="79">
        <f>N1112</f>
        <v>30</v>
      </c>
      <c r="O1117" s="79">
        <f>SUM(F1117:I1117)+SUM(M1117:N1117)</f>
        <v>2297</v>
      </c>
      <c r="P1117" s="79">
        <f>P1112</f>
        <v>0</v>
      </c>
      <c r="Q1117" s="79">
        <f>Q1112</f>
        <v>0</v>
      </c>
      <c r="R1117" s="78">
        <f>P1117+Q1117</f>
        <v>0</v>
      </c>
      <c r="S1117" s="79">
        <f>S1112</f>
        <v>0</v>
      </c>
      <c r="U1117" s="80">
        <f t="shared" si="544"/>
        <v>0</v>
      </c>
      <c r="W1117" s="81">
        <f>IF((O1117+R1117)=0," ",ROUND((O1117/(O1117+R1117)),7))</f>
        <v>1</v>
      </c>
      <c r="X1117" s="81">
        <f>IF((C1117)=0," ",ROUND((O1117/(C1117)),7))</f>
        <v>1</v>
      </c>
      <c r="Y1117" s="81">
        <f>IF((C1117)=0," ",ROUND((S1117/(C1117)),7))</f>
        <v>0</v>
      </c>
      <c r="Z1117" s="79"/>
      <c r="AJ1117" s="66"/>
      <c r="AK1117" s="65"/>
    </row>
    <row r="1118" spans="1:37" hidden="1">
      <c r="W1118" s="81" t="str">
        <f>IF((P1118+Q1118)=0," ",ROUND((P1118/(P1118+Q1118)),74))</f>
        <v xml:space="preserve"> </v>
      </c>
      <c r="X1118" s="81" t="str">
        <f>IF((C1118)=0," ",ROUND((P1118/(C1118)),74))</f>
        <v xml:space="preserve"> </v>
      </c>
      <c r="Y1118" s="81" t="str">
        <f>IF((C1118)=0," ",ROUND((R1118/(C1118)),7))</f>
        <v xml:space="preserve"> </v>
      </c>
      <c r="AJ1118" s="66"/>
      <c r="AK1118" s="65"/>
    </row>
    <row r="1119" spans="1:37" hidden="1">
      <c r="A1119" s="65">
        <f>A1117+1</f>
        <v>193</v>
      </c>
      <c r="B1119" s="66" t="s">
        <v>515</v>
      </c>
      <c r="C1119" s="79">
        <f>O1119+R1119+S1119</f>
        <v>84844</v>
      </c>
      <c r="D1119" s="79">
        <f>D1083+SUM(D1091:D1109)</f>
        <v>48682</v>
      </c>
      <c r="E1119" s="79">
        <f>E1083+E1091+E1093+E1105+E1109+E1107</f>
        <v>1348</v>
      </c>
      <c r="F1119" s="79">
        <f>D1119+E1119</f>
        <v>50030</v>
      </c>
      <c r="G1119" s="79">
        <f t="shared" ref="G1119:L1119" si="548">G1083+G1091+G1093+G1105+G1109+G1107</f>
        <v>4186</v>
      </c>
      <c r="H1119" s="79">
        <f t="shared" si="548"/>
        <v>14250</v>
      </c>
      <c r="I1119" s="79">
        <f t="shared" si="548"/>
        <v>7479</v>
      </c>
      <c r="J1119" s="79">
        <f t="shared" si="548"/>
        <v>2879</v>
      </c>
      <c r="K1119" s="79">
        <f t="shared" si="548"/>
        <v>250</v>
      </c>
      <c r="L1119" s="79">
        <f t="shared" si="548"/>
        <v>125</v>
      </c>
      <c r="M1119" s="79">
        <f>SUM(J1119:L1119)</f>
        <v>3254</v>
      </c>
      <c r="N1119" s="79">
        <f>N1083+N1091+N1093+N1105+N1109+N1107</f>
        <v>1744</v>
      </c>
      <c r="O1119" s="79">
        <f>SUM(F1119:I1119)+SUM(M1119:N1119)</f>
        <v>80943</v>
      </c>
      <c r="P1119" s="79">
        <f>P1083+P1091+P1093+P1105+P1109+P1107</f>
        <v>1369.5</v>
      </c>
      <c r="Q1119" s="79">
        <f>Q1083+Q1091+Q1093+Q1105+Q1109+Q1107</f>
        <v>283.5</v>
      </c>
      <c r="R1119" s="78">
        <f>P1119+Q1119</f>
        <v>1653</v>
      </c>
      <c r="S1119" s="79">
        <f>S1083+S1091+S1093+S1105+S1109+S1107</f>
        <v>2248</v>
      </c>
      <c r="U1119" s="80">
        <f t="shared" si="544"/>
        <v>0</v>
      </c>
      <c r="W1119" s="81">
        <f>IF((O1119+R1119)=0," ",ROUND((O1119/(O1119+R1119)),7))</f>
        <v>0.97998689999999999</v>
      </c>
      <c r="X1119" s="81">
        <f>IF((C1119)=0," ",ROUND((O1119/(C1119)),7))</f>
        <v>0.95402149999999997</v>
      </c>
      <c r="Y1119" s="81">
        <f>IF((C1119)=0," ",ROUND((S1119/(C1119)),7))</f>
        <v>2.6495700000000001E-2</v>
      </c>
      <c r="Z1119" s="79"/>
      <c r="AJ1119" s="66"/>
      <c r="AK1119" s="65"/>
    </row>
    <row r="1120" spans="1:37" hidden="1">
      <c r="C1120" s="79"/>
      <c r="D1120" s="79"/>
      <c r="E1120" s="79"/>
      <c r="F1120" s="79"/>
      <c r="G1120" s="79"/>
      <c r="H1120" s="79"/>
      <c r="I1120" s="79"/>
      <c r="J1120" s="79"/>
      <c r="K1120" s="79"/>
      <c r="L1120" s="79"/>
      <c r="M1120" s="79"/>
      <c r="N1120" s="79"/>
      <c r="O1120" s="79"/>
      <c r="P1120" s="79"/>
      <c r="Q1120" s="79"/>
      <c r="R1120" s="79"/>
      <c r="S1120" s="79"/>
      <c r="U1120" s="80"/>
      <c r="W1120" s="81" t="str">
        <f>IF((P1120+Q1120)=0," ",ROUND((P1120/(P1120+Q1120)),74))</f>
        <v xml:space="preserve"> </v>
      </c>
      <c r="X1120" s="81" t="str">
        <f>IF((C1120)=0," ",ROUND((P1120/(C1120)),74))</f>
        <v xml:space="preserve"> </v>
      </c>
      <c r="Y1120" s="81" t="str">
        <f>IF((C1120)=0," ",ROUND((R1120/(C1120)),7))</f>
        <v xml:space="preserve"> </v>
      </c>
      <c r="Z1120" s="79"/>
      <c r="AJ1120" s="66"/>
      <c r="AK1120" s="65"/>
    </row>
    <row r="1121" spans="1:37" hidden="1">
      <c r="A1121" s="65">
        <f>A1119+1</f>
        <v>194</v>
      </c>
      <c r="B1121" s="66" t="s">
        <v>516</v>
      </c>
      <c r="C1121" s="79">
        <f>O1121+R1121+S1121</f>
        <v>300853.74250000005</v>
      </c>
      <c r="D1121" s="79">
        <f>SUM(D1122:D1125)</f>
        <v>161530.853</v>
      </c>
      <c r="E1121" s="79">
        <f>SUM(E1122:E1125)</f>
        <v>4643.0505000000003</v>
      </c>
      <c r="F1121" s="79">
        <f>D1121+E1121</f>
        <v>166173.90350000001</v>
      </c>
      <c r="G1121" s="79">
        <f t="shared" ref="G1121:L1121" si="549">SUM(G1122:G1125)</f>
        <v>13009</v>
      </c>
      <c r="H1121" s="79">
        <f t="shared" si="549"/>
        <v>50059</v>
      </c>
      <c r="I1121" s="79">
        <f t="shared" si="549"/>
        <v>34728</v>
      </c>
      <c r="J1121" s="79">
        <f t="shared" si="549"/>
        <v>11726</v>
      </c>
      <c r="K1121" s="79">
        <f t="shared" si="549"/>
        <v>882</v>
      </c>
      <c r="L1121" s="79">
        <f t="shared" si="549"/>
        <v>487</v>
      </c>
      <c r="M1121" s="79">
        <f>SUM(J1121:L1121)</f>
        <v>13095</v>
      </c>
      <c r="N1121" s="79">
        <f>SUM(N1122:N1125)</f>
        <v>5666</v>
      </c>
      <c r="O1121" s="79">
        <f>SUM(F1121:I1121)+SUM(M1121:N1121)</f>
        <v>282730.90350000001</v>
      </c>
      <c r="P1121" s="79">
        <f>SUM(P1122:P1125)</f>
        <v>5039.2420000000002</v>
      </c>
      <c r="Q1121" s="79">
        <f>SUM(Q1122:Q1125)</f>
        <v>703.5</v>
      </c>
      <c r="R1121" s="78">
        <f>P1121+Q1121</f>
        <v>5742.7420000000002</v>
      </c>
      <c r="S1121" s="79">
        <f>SUM(S1122:S1125)</f>
        <v>12380.096999999998</v>
      </c>
      <c r="U1121" s="80">
        <f t="shared" si="544"/>
        <v>0</v>
      </c>
      <c r="W1121" s="81">
        <f>IF((O1121+R1121)=0," ",ROUND((O1121/(O1121+R1121)),7))</f>
        <v>0.98009270000000004</v>
      </c>
      <c r="X1121" s="81">
        <f>IF((C1121)=0," ",ROUND((O1121/(C1121)),7))</f>
        <v>0.93976199999999999</v>
      </c>
      <c r="Y1121" s="81">
        <f>IF((C1121)=0," ",ROUND((S1121/(C1121)),7))</f>
        <v>4.1149900000000003E-2</v>
      </c>
      <c r="Z1121" s="79"/>
      <c r="AJ1121" s="66"/>
      <c r="AK1121" s="65"/>
    </row>
    <row r="1122" spans="1:37" hidden="1">
      <c r="A1122" s="65">
        <f>A1121+1</f>
        <v>195</v>
      </c>
      <c r="B1122" s="66" t="s">
        <v>229</v>
      </c>
      <c r="C1122" s="79">
        <f>O1122+R1122+S1122</f>
        <v>146401.92307692309</v>
      </c>
      <c r="D1122" s="79">
        <f>D850+D901+D1018+D1115+D1084</f>
        <v>75520.924076923082</v>
      </c>
      <c r="E1122" s="79">
        <f>E850+E901+E1018+E1115+E1084</f>
        <v>2047</v>
      </c>
      <c r="F1122" s="79">
        <f>D1122+E1122</f>
        <v>77567.924076923082</v>
      </c>
      <c r="G1122" s="79">
        <f t="shared" ref="G1122:L1122" si="550">G850+G901+G1018+G1115+G1084</f>
        <v>3832</v>
      </c>
      <c r="H1122" s="79">
        <f t="shared" si="550"/>
        <v>30529</v>
      </c>
      <c r="I1122" s="79">
        <f t="shared" si="550"/>
        <v>16272</v>
      </c>
      <c r="J1122" s="79">
        <f t="shared" si="550"/>
        <v>6845</v>
      </c>
      <c r="K1122" s="79">
        <f t="shared" si="550"/>
        <v>626</v>
      </c>
      <c r="L1122" s="79">
        <f t="shared" si="550"/>
        <v>291</v>
      </c>
      <c r="M1122" s="79">
        <f>SUM(J1122:L1122)</f>
        <v>7762</v>
      </c>
      <c r="N1122" s="79">
        <f>N850+N901+N1018+N1115+N1084</f>
        <v>871</v>
      </c>
      <c r="O1122" s="79">
        <f>SUM(F1122:I1122)+SUM(M1122:N1122)</f>
        <v>136833.92407692308</v>
      </c>
      <c r="P1122" s="79">
        <f>P850+P901+P1018+P1115+P1084</f>
        <v>3437</v>
      </c>
      <c r="Q1122" s="79">
        <f>Q850+Q901+Q1018+Q1115+Q1084</f>
        <v>392</v>
      </c>
      <c r="R1122" s="78">
        <f>P1122+Q1122</f>
        <v>3829</v>
      </c>
      <c r="S1122" s="79">
        <f>S850+S901+S1018+S1115+S1084</f>
        <v>5738.9989999999998</v>
      </c>
      <c r="U1122" s="80">
        <f t="shared" si="544"/>
        <v>0</v>
      </c>
      <c r="W1122" s="81">
        <f>IF((O1122+R1122)=0," ",ROUND((O1122/(O1122+R1122)),7))</f>
        <v>0.9727789</v>
      </c>
      <c r="X1122" s="81">
        <f>IF((C1122)=0," ",ROUND((O1122/(C1122)),7))</f>
        <v>0.93464570000000002</v>
      </c>
      <c r="Y1122" s="81">
        <f>IF((C1122)=0," ",ROUND((S1122/(C1122)),7))</f>
        <v>3.92003E-2</v>
      </c>
      <c r="Z1122" s="79"/>
      <c r="AJ1122" s="66"/>
      <c r="AK1122" s="65"/>
    </row>
    <row r="1123" spans="1:37" hidden="1">
      <c r="A1123" s="65">
        <f>A1122+1</f>
        <v>196</v>
      </c>
      <c r="B1123" s="66" t="s">
        <v>230</v>
      </c>
      <c r="C1123" s="79">
        <f>O1123+R1123+S1123</f>
        <v>60909.076923076907</v>
      </c>
      <c r="D1123" s="79">
        <f>D851+D1053+D1117+D1093+D1086</f>
        <v>24377.978923076913</v>
      </c>
      <c r="E1123" s="79">
        <f>E851+E1053+E1117+E1093+E1086</f>
        <v>921</v>
      </c>
      <c r="F1123" s="79">
        <f>D1123+E1123</f>
        <v>25298.978923076913</v>
      </c>
      <c r="G1123" s="79">
        <f t="shared" ref="G1123:L1123" si="551">G851+G1053+G1117+G1093+G1086</f>
        <v>1337</v>
      </c>
      <c r="H1123" s="79">
        <f t="shared" si="551"/>
        <v>12256</v>
      </c>
      <c r="I1123" s="79">
        <f t="shared" si="551"/>
        <v>8214</v>
      </c>
      <c r="J1123" s="79">
        <f t="shared" si="551"/>
        <v>4447</v>
      </c>
      <c r="K1123" s="79">
        <f t="shared" si="551"/>
        <v>202</v>
      </c>
      <c r="L1123" s="79">
        <f t="shared" si="551"/>
        <v>172</v>
      </c>
      <c r="M1123" s="79">
        <f>SUM(J1123:L1123)</f>
        <v>4821</v>
      </c>
      <c r="N1123" s="79">
        <f>N851+N1053+N1117+N1093+N1086</f>
        <v>718</v>
      </c>
      <c r="O1123" s="79">
        <f>SUM(F1123:I1123)+SUM(M1123:N1123)</f>
        <v>52644.978923076909</v>
      </c>
      <c r="P1123" s="79">
        <f>P851+P1053+P1117+P1093+P1086</f>
        <v>1457</v>
      </c>
      <c r="Q1123" s="79">
        <f>Q851+Q1053+Q1117+Q1093+Q1086</f>
        <v>166</v>
      </c>
      <c r="R1123" s="78">
        <f>P1123+Q1123</f>
        <v>1623</v>
      </c>
      <c r="S1123" s="79">
        <f>S851+S1053+S1117+S1093+S1086</f>
        <v>6641.0979999999981</v>
      </c>
      <c r="U1123" s="80">
        <f t="shared" si="544"/>
        <v>0</v>
      </c>
      <c r="W1123" s="81">
        <f>IF((O1123+R1123)=0," ",ROUND((O1123/(O1123+R1123)),7))</f>
        <v>0.97009290000000004</v>
      </c>
      <c r="X1123" s="81">
        <f>IF((C1123)=0," ",ROUND((O1123/(C1123)),7))</f>
        <v>0.86432070000000005</v>
      </c>
      <c r="Y1123" s="81">
        <f>IF((C1123)=0," ",ROUND((S1123/(C1123)),7))</f>
        <v>0.109033</v>
      </c>
      <c r="Z1123" s="79"/>
      <c r="AJ1123" s="66"/>
      <c r="AK1123" s="70"/>
    </row>
    <row r="1124" spans="1:37" hidden="1">
      <c r="A1124" s="65">
        <f>A1123+1</f>
        <v>197</v>
      </c>
      <c r="B1124" s="66" t="s">
        <v>253</v>
      </c>
      <c r="C1124" s="79">
        <f>O1124+R1124+S1124</f>
        <v>87385.742499999993</v>
      </c>
      <c r="D1124" s="79">
        <f>D1019+D1021+D1055-D1053+D1116+D1085</f>
        <v>58286.95</v>
      </c>
      <c r="E1124" s="79">
        <f>E1019+E1021+E1055-E1053+E1116+E1085</f>
        <v>1571.0505000000001</v>
      </c>
      <c r="F1124" s="79">
        <f>D1124+E1124</f>
        <v>59858.000499999995</v>
      </c>
      <c r="G1124" s="79">
        <f t="shared" ref="G1124:L1124" si="552">G1019+G1021+G1055-G1053+G1116+G1085</f>
        <v>7583</v>
      </c>
      <c r="H1124" s="79">
        <f t="shared" si="552"/>
        <v>6090</v>
      </c>
      <c r="I1124" s="79">
        <f t="shared" si="552"/>
        <v>9668</v>
      </c>
      <c r="J1124" s="79">
        <f t="shared" si="552"/>
        <v>223</v>
      </c>
      <c r="K1124" s="79">
        <f t="shared" si="552"/>
        <v>37</v>
      </c>
      <c r="L1124" s="79">
        <f t="shared" si="552"/>
        <v>11</v>
      </c>
      <c r="M1124" s="79">
        <f>SUM(J1124:L1124)</f>
        <v>271</v>
      </c>
      <c r="N1124" s="79">
        <f>N1019+N1021+N1055-N1053+N1116+N1085</f>
        <v>3910</v>
      </c>
      <c r="O1124" s="79">
        <f>SUM(F1124:I1124)+SUM(M1124:N1124)</f>
        <v>87380.000499999995</v>
      </c>
      <c r="P1124" s="79">
        <f>P1019+P1021+P1055-P1053+P1116+P1085</f>
        <v>2.742</v>
      </c>
      <c r="Q1124" s="79">
        <f>Q1019+Q1021+Q1055-Q1053+Q1116+Q1085</f>
        <v>3</v>
      </c>
      <c r="R1124" s="78">
        <f>P1124+Q1124</f>
        <v>5.742</v>
      </c>
      <c r="S1124" s="79">
        <f>S1019+S1021+S1055-S1053+S1116+S1085</f>
        <v>0</v>
      </c>
      <c r="U1124" s="80">
        <f t="shared" si="544"/>
        <v>0</v>
      </c>
      <c r="W1124" s="81">
        <f>IF((O1124+R1124)=0," ",ROUND((O1124/(O1124+R1124)),7))</f>
        <v>0.99993430000000005</v>
      </c>
      <c r="X1124" s="81">
        <f>IF((C1124)=0," ",ROUND((O1124/(C1124)),7))</f>
        <v>0.99993430000000005</v>
      </c>
      <c r="Y1124" s="81">
        <f>IF((C1124)=0," ",ROUND((S1124/(C1124)),7))</f>
        <v>0</v>
      </c>
      <c r="Z1124" s="79"/>
      <c r="AJ1124" s="66"/>
      <c r="AK1124" s="70"/>
    </row>
    <row r="1125" spans="1:37" hidden="1">
      <c r="A1125" s="65">
        <f>A1124+1</f>
        <v>198</v>
      </c>
      <c r="B1125" s="66" t="s">
        <v>517</v>
      </c>
      <c r="C1125" s="79">
        <f>O1125+R1125+S1125</f>
        <v>6157</v>
      </c>
      <c r="D1125" s="79">
        <f>D1091</f>
        <v>3345</v>
      </c>
      <c r="E1125" s="79">
        <f>E1091</f>
        <v>104</v>
      </c>
      <c r="F1125" s="79">
        <f>D1125+E1125</f>
        <v>3449</v>
      </c>
      <c r="G1125" s="79">
        <f t="shared" ref="G1125:L1125" si="553">G1091</f>
        <v>257</v>
      </c>
      <c r="H1125" s="79">
        <f t="shared" si="553"/>
        <v>1184</v>
      </c>
      <c r="I1125" s="79">
        <f t="shared" si="553"/>
        <v>574</v>
      </c>
      <c r="J1125" s="79">
        <f t="shared" si="553"/>
        <v>211</v>
      </c>
      <c r="K1125" s="79">
        <f t="shared" si="553"/>
        <v>17</v>
      </c>
      <c r="L1125" s="79">
        <f t="shared" si="553"/>
        <v>13</v>
      </c>
      <c r="M1125" s="79">
        <f>SUM(J1125:L1125)</f>
        <v>241</v>
      </c>
      <c r="N1125" s="79">
        <f>N1091</f>
        <v>167</v>
      </c>
      <c r="O1125" s="79">
        <f>SUM(F1125:I1125)+SUM(M1125:N1125)</f>
        <v>5872</v>
      </c>
      <c r="P1125" s="79">
        <f>P1091</f>
        <v>142.5</v>
      </c>
      <c r="Q1125" s="79">
        <f>Q1091</f>
        <v>142.5</v>
      </c>
      <c r="R1125" s="78">
        <f>P1125+Q1125</f>
        <v>285</v>
      </c>
      <c r="S1125" s="79">
        <f>S1091</f>
        <v>0</v>
      </c>
      <c r="U1125" s="80">
        <f t="shared" si="544"/>
        <v>0</v>
      </c>
      <c r="W1125" s="81">
        <f>IF((O1125+R1125)=0," ",ROUND((O1125/(O1125+R1125)),7))</f>
        <v>0.95371119999999998</v>
      </c>
      <c r="X1125" s="81">
        <f>IF((C1125)=0," ",ROUND((O1125/(C1125)),7))</f>
        <v>0.95371119999999998</v>
      </c>
      <c r="Y1125" s="81">
        <f>IF((C1125)=0," ",ROUND((S1125/(C1125)),7))</f>
        <v>0</v>
      </c>
      <c r="Z1125" s="79"/>
      <c r="AJ1125" s="66"/>
      <c r="AK1125" s="70"/>
    </row>
    <row r="1126" spans="1:37" hidden="1">
      <c r="A1126" s="66"/>
      <c r="B1126" s="72"/>
      <c r="C1126" s="79"/>
      <c r="H1126" s="65" t="s">
        <v>80</v>
      </c>
      <c r="I1126" s="79"/>
      <c r="J1126" s="79"/>
      <c r="K1126" s="79"/>
      <c r="L1126" s="79"/>
      <c r="M1126" s="79"/>
      <c r="Q1126" s="65" t="s">
        <v>80</v>
      </c>
      <c r="R1126" s="79"/>
      <c r="S1126" s="65"/>
      <c r="W1126" s="81"/>
      <c r="X1126" s="81"/>
      <c r="Y1126" s="81"/>
      <c r="Z1126" s="65"/>
      <c r="AJ1126" s="66"/>
      <c r="AK1126" s="65"/>
    </row>
    <row r="1127" spans="1:37" hidden="1">
      <c r="C1127" s="79"/>
      <c r="H1127" s="70" t="str">
        <f>$H$24</f>
        <v>12 MONTHS ENDING DECEMBER 31, 2012</v>
      </c>
      <c r="I1127" s="79"/>
      <c r="J1127" s="79"/>
      <c r="K1127" s="79"/>
      <c r="L1127" s="79"/>
      <c r="M1127" s="79"/>
      <c r="N1127" s="79"/>
      <c r="Q1127" s="70" t="str">
        <f>$H$24</f>
        <v>12 MONTHS ENDING DECEMBER 31, 2012</v>
      </c>
      <c r="R1127" s="79"/>
      <c r="S1127" s="79"/>
      <c r="U1127" s="80"/>
      <c r="W1127" s="81"/>
      <c r="X1127" s="81"/>
      <c r="Y1127" s="81"/>
      <c r="Z1127" s="70"/>
      <c r="AJ1127" s="66"/>
      <c r="AK1127" s="65"/>
    </row>
    <row r="1128" spans="1:37" hidden="1">
      <c r="C1128" s="79"/>
      <c r="H1128" s="70" t="str">
        <f>$H$25</f>
        <v>12/13 DEMAND ALLOCATION WITH MDS METHODOLOGY</v>
      </c>
      <c r="Q1128" s="70" t="str">
        <f>$H$25</f>
        <v>12/13 DEMAND ALLOCATION WITH MDS METHODOLOGY</v>
      </c>
      <c r="R1128" s="79"/>
      <c r="S1128" s="79"/>
      <c r="W1128" s="81"/>
      <c r="X1128" s="81"/>
      <c r="Y1128" s="81"/>
      <c r="Z1128" s="70"/>
      <c r="AJ1128" s="66"/>
      <c r="AK1128" s="65"/>
    </row>
    <row r="1129" spans="1:37" hidden="1">
      <c r="C1129" s="79"/>
      <c r="H1129" s="87" t="s">
        <v>106</v>
      </c>
      <c r="J1129" s="79"/>
      <c r="K1129" s="79"/>
      <c r="L1129" s="79"/>
      <c r="M1129" s="79"/>
      <c r="N1129" s="79"/>
      <c r="Q1129" s="87" t="s">
        <v>106</v>
      </c>
      <c r="S1129" s="79"/>
      <c r="U1129" s="80"/>
      <c r="X1129" s="81"/>
      <c r="Y1129" s="81"/>
      <c r="Z1129" s="87"/>
      <c r="AF1129" s="79"/>
      <c r="AJ1129" s="66"/>
      <c r="AK1129" s="65"/>
    </row>
    <row r="1130" spans="1:37" hidden="1">
      <c r="C1130" s="79"/>
      <c r="H1130" s="87" t="s">
        <v>114</v>
      </c>
      <c r="J1130" s="79"/>
      <c r="K1130" s="79"/>
      <c r="L1130" s="79"/>
      <c r="M1130" s="79"/>
      <c r="N1130" s="79"/>
      <c r="Q1130" s="87" t="s">
        <v>114</v>
      </c>
      <c r="S1130" s="79"/>
      <c r="U1130" s="80"/>
      <c r="X1130" s="81"/>
      <c r="Y1130" s="81"/>
      <c r="Z1130" s="87"/>
      <c r="AF1130" s="79"/>
      <c r="AJ1130" s="66"/>
      <c r="AK1130" s="65"/>
    </row>
    <row r="1131" spans="1:37" hidden="1">
      <c r="C1131" s="65" t="s">
        <v>59</v>
      </c>
      <c r="K1131" s="65"/>
      <c r="L1131" s="65"/>
      <c r="M1131" s="65"/>
      <c r="O1131" s="65" t="s">
        <v>59</v>
      </c>
      <c r="P1131" s="65"/>
      <c r="Q1131" s="65"/>
      <c r="R1131" s="65"/>
      <c r="S1131" s="65" t="s">
        <v>115</v>
      </c>
      <c r="W1131" s="76" t="s">
        <v>116</v>
      </c>
      <c r="X1131" s="76" t="s">
        <v>116</v>
      </c>
      <c r="Y1131" s="76" t="s">
        <v>117</v>
      </c>
      <c r="AF1131" s="65"/>
      <c r="AJ1131" s="66"/>
      <c r="AK1131" s="65"/>
    </row>
    <row r="1132" spans="1:37" hidden="1">
      <c r="A1132" s="65" t="s">
        <v>118</v>
      </c>
      <c r="C1132" s="65" t="s">
        <v>58</v>
      </c>
      <c r="D1132" s="70" t="s">
        <v>119</v>
      </c>
      <c r="E1132" s="70" t="s">
        <v>119</v>
      </c>
      <c r="F1132" s="70" t="s">
        <v>119</v>
      </c>
      <c r="G1132" s="70" t="s">
        <v>119</v>
      </c>
      <c r="H1132" s="70" t="s">
        <v>119</v>
      </c>
      <c r="I1132" s="70" t="s">
        <v>119</v>
      </c>
      <c r="J1132" s="70" t="s">
        <v>119</v>
      </c>
      <c r="K1132" s="70" t="s">
        <v>119</v>
      </c>
      <c r="L1132" s="70" t="s">
        <v>119</v>
      </c>
      <c r="M1132" s="70" t="s">
        <v>119</v>
      </c>
      <c r="N1132" s="70" t="s">
        <v>119</v>
      </c>
      <c r="O1132" s="65" t="s">
        <v>116</v>
      </c>
      <c r="P1132" s="65"/>
      <c r="Q1132" s="70" t="s">
        <v>120</v>
      </c>
      <c r="R1132" s="65"/>
      <c r="S1132" s="65" t="s">
        <v>121</v>
      </c>
      <c r="W1132" s="76" t="s">
        <v>122</v>
      </c>
      <c r="X1132" s="76" t="s">
        <v>123</v>
      </c>
      <c r="Y1132" s="76" t="s">
        <v>124</v>
      </c>
      <c r="Z1132" s="65"/>
      <c r="AF1132" s="70"/>
      <c r="AJ1132" s="66"/>
      <c r="AK1132" s="65"/>
    </row>
    <row r="1133" spans="1:37" hidden="1">
      <c r="A1133" s="65" t="s">
        <v>125</v>
      </c>
      <c r="B1133" s="65" t="s">
        <v>126</v>
      </c>
      <c r="C1133" s="65" t="s">
        <v>57</v>
      </c>
      <c r="D1133" s="70" t="s">
        <v>127</v>
      </c>
      <c r="E1133" s="70" t="s">
        <v>128</v>
      </c>
      <c r="F1133" s="70" t="s">
        <v>129</v>
      </c>
      <c r="G1133" s="70" t="s">
        <v>130</v>
      </c>
      <c r="H1133" s="70" t="s">
        <v>131</v>
      </c>
      <c r="I1133" s="65" t="s">
        <v>132</v>
      </c>
      <c r="J1133" s="70" t="s">
        <v>133</v>
      </c>
      <c r="K1133" s="70" t="s">
        <v>134</v>
      </c>
      <c r="L1133" s="70" t="s">
        <v>135</v>
      </c>
      <c r="M1133" s="70" t="s">
        <v>136</v>
      </c>
      <c r="N1133" s="70" t="s">
        <v>137</v>
      </c>
      <c r="O1133" s="65" t="s">
        <v>138</v>
      </c>
      <c r="P1133" s="70" t="s">
        <v>139</v>
      </c>
      <c r="Q1133" s="70" t="s">
        <v>140</v>
      </c>
      <c r="R1133" s="65" t="s">
        <v>122</v>
      </c>
      <c r="S1133" s="65" t="s">
        <v>141</v>
      </c>
      <c r="U1133" s="65" t="s">
        <v>162</v>
      </c>
      <c r="W1133" s="76" t="s">
        <v>142</v>
      </c>
      <c r="X1133" s="76" t="s">
        <v>142</v>
      </c>
      <c r="Y1133" s="76" t="s">
        <v>142</v>
      </c>
      <c r="Z1133" s="65"/>
      <c r="AF1133" s="70"/>
      <c r="AJ1133" s="66"/>
      <c r="AK1133" s="65"/>
    </row>
    <row r="1134" spans="1:37" hidden="1">
      <c r="A1134" s="65" t="s">
        <v>143</v>
      </c>
      <c r="B1134" s="65" t="s">
        <v>144</v>
      </c>
      <c r="C1134" s="65" t="s">
        <v>145</v>
      </c>
      <c r="D1134" s="70" t="s">
        <v>146</v>
      </c>
      <c r="E1134" s="70" t="s">
        <v>147</v>
      </c>
      <c r="F1134" s="70" t="s">
        <v>148</v>
      </c>
      <c r="G1134" s="65" t="s">
        <v>149</v>
      </c>
      <c r="H1134" s="65" t="s">
        <v>150</v>
      </c>
      <c r="I1134" s="65" t="s">
        <v>151</v>
      </c>
      <c r="J1134" s="70" t="s">
        <v>152</v>
      </c>
      <c r="K1134" s="70" t="s">
        <v>153</v>
      </c>
      <c r="L1134" s="70" t="s">
        <v>154</v>
      </c>
      <c r="M1134" s="70" t="s">
        <v>155</v>
      </c>
      <c r="N1134" s="70" t="s">
        <v>156</v>
      </c>
      <c r="O1134" s="70" t="s">
        <v>157</v>
      </c>
      <c r="P1134" s="70" t="s">
        <v>158</v>
      </c>
      <c r="Q1134" s="70" t="s">
        <v>159</v>
      </c>
      <c r="R1134" s="70" t="s">
        <v>160</v>
      </c>
      <c r="S1134" s="70" t="s">
        <v>161</v>
      </c>
      <c r="W1134" s="77" t="s">
        <v>163</v>
      </c>
      <c r="X1134" s="77" t="s">
        <v>164</v>
      </c>
      <c r="Y1134" s="76" t="s">
        <v>165</v>
      </c>
      <c r="Z1134" s="70"/>
      <c r="AF1134" s="76"/>
      <c r="AJ1134" s="66"/>
      <c r="AK1134" s="70"/>
    </row>
    <row r="1135" spans="1:37" hidden="1">
      <c r="C1135" s="79"/>
      <c r="D1135" s="79"/>
      <c r="E1135" s="79"/>
      <c r="F1135" s="79"/>
      <c r="G1135" s="79"/>
      <c r="H1135" s="79"/>
      <c r="I1135" s="79"/>
      <c r="J1135" s="79"/>
      <c r="K1135" s="79"/>
      <c r="L1135" s="79"/>
      <c r="M1135" s="79"/>
      <c r="N1135" s="79"/>
      <c r="O1135" s="79"/>
      <c r="P1135" s="79"/>
      <c r="Q1135" s="79"/>
      <c r="R1135" s="79"/>
      <c r="S1135" s="79"/>
      <c r="U1135" s="80"/>
      <c r="W1135" s="81"/>
      <c r="X1135" s="81"/>
      <c r="Y1135" s="81" t="str">
        <f>IF((C1135)=0," ",ROUND((R1135/(C1135)),7))</f>
        <v xml:space="preserve"> </v>
      </c>
      <c r="Z1135" s="79"/>
      <c r="AF1135" s="79"/>
      <c r="AJ1135" s="66"/>
      <c r="AK1135" s="65"/>
    </row>
    <row r="1136" spans="1:37" hidden="1">
      <c r="A1136" s="65">
        <f>A1135+1</f>
        <v>1</v>
      </c>
      <c r="B1136" s="66" t="s">
        <v>518</v>
      </c>
      <c r="C1136" s="78">
        <f>79170+7028-39029-264-4</f>
        <v>46901</v>
      </c>
      <c r="D1136" s="79">
        <f>SUM(D1139:D1140)</f>
        <v>20483.042999999998</v>
      </c>
      <c r="E1136" s="79">
        <f>SUM(E1139:E1140)</f>
        <v>540</v>
      </c>
      <c r="F1136" s="79">
        <f>D1136+E1136</f>
        <v>21023.042999999998</v>
      </c>
      <c r="G1136" s="79">
        <f t="shared" ref="G1136:L1136" si="554">SUM(G1139:G1140)</f>
        <v>1032</v>
      </c>
      <c r="H1136" s="79">
        <f t="shared" si="554"/>
        <v>8423</v>
      </c>
      <c r="I1136" s="79">
        <f t="shared" si="554"/>
        <v>4954</v>
      </c>
      <c r="J1136" s="79">
        <f t="shared" si="554"/>
        <v>2180</v>
      </c>
      <c r="K1136" s="79">
        <f t="shared" si="554"/>
        <v>151</v>
      </c>
      <c r="L1136" s="79">
        <f t="shared" si="554"/>
        <v>90</v>
      </c>
      <c r="M1136" s="79">
        <f>SUM(J1136:L1136)</f>
        <v>2421</v>
      </c>
      <c r="N1136" s="79">
        <f>SUM(N1139:N1140)</f>
        <v>191</v>
      </c>
      <c r="O1136" s="79">
        <f>C1136-P1136-Q1136-S1136</f>
        <v>38044.042999999998</v>
      </c>
      <c r="P1136" s="79">
        <v>1193</v>
      </c>
      <c r="Q1136" s="79">
        <v>137</v>
      </c>
      <c r="R1136" s="78">
        <f>P1136+Q1136</f>
        <v>1330</v>
      </c>
      <c r="S1136" s="78">
        <v>7526.9570000000003</v>
      </c>
      <c r="U1136" s="80">
        <f>O1136+R1136+S1136-C1136</f>
        <v>0</v>
      </c>
      <c r="W1136" s="81">
        <f>IF((O1136+R1136)=0," ",ROUND((O1136/(O1136+R1136)),7))</f>
        <v>0.96622140000000001</v>
      </c>
      <c r="X1136" s="81">
        <f>IF((C1136)=0," ",ROUND((O1136/(C1136)),7))</f>
        <v>0.81115630000000005</v>
      </c>
      <c r="Y1136" s="81">
        <f>IF((C1136)=0," ",ROUND((S1136/(C1136)),7))</f>
        <v>0.16048609999999999</v>
      </c>
      <c r="Z1136" s="79"/>
      <c r="AF1136" s="79"/>
      <c r="AJ1136" s="66"/>
      <c r="AK1136" s="70"/>
    </row>
    <row r="1137" spans="1:37" hidden="1">
      <c r="C1137" s="79"/>
      <c r="D1137" s="79"/>
      <c r="E1137" s="79"/>
      <c r="F1137" s="79"/>
      <c r="G1137" s="79"/>
      <c r="H1137" s="79"/>
      <c r="I1137" s="79"/>
      <c r="J1137" s="79"/>
      <c r="K1137" s="79"/>
      <c r="L1137" s="79"/>
      <c r="M1137" s="79"/>
      <c r="N1137" s="79"/>
      <c r="O1137" s="79"/>
      <c r="P1137" s="79"/>
      <c r="Q1137" s="79"/>
      <c r="R1137" s="79"/>
      <c r="S1137" s="79"/>
      <c r="U1137" s="80"/>
      <c r="W1137" s="81" t="str">
        <f t="shared" ref="W1137:W1144" si="555">IF((P1137+Q1137)=0," ",ROUND((P1137/(P1137+Q1137)),74))</f>
        <v xml:space="preserve"> </v>
      </c>
      <c r="X1137" s="81" t="str">
        <f t="shared" ref="X1137:X1144" si="556">IF((C1137)=0," ",ROUND((P1137/(C1137)),74))</f>
        <v xml:space="preserve"> </v>
      </c>
      <c r="Y1137" s="81" t="str">
        <f t="shared" ref="Y1137:Y1144" si="557">IF((C1137)=0," ",ROUND((R1137/(C1137)),7))</f>
        <v xml:space="preserve"> </v>
      </c>
      <c r="Z1137" s="79"/>
      <c r="AF1137" s="79"/>
      <c r="AJ1137" s="66"/>
      <c r="AK1137" s="65"/>
    </row>
    <row r="1138" spans="1:37" hidden="1">
      <c r="B1138" s="66" t="s">
        <v>275</v>
      </c>
      <c r="C1138" s="79"/>
      <c r="D1138" s="79"/>
      <c r="E1138" s="79"/>
      <c r="F1138" s="79"/>
      <c r="G1138" s="79"/>
      <c r="H1138" s="79"/>
      <c r="I1138" s="79"/>
      <c r="J1138" s="79"/>
      <c r="K1138" s="79"/>
      <c r="L1138" s="79"/>
      <c r="M1138" s="79"/>
      <c r="N1138" s="79"/>
      <c r="O1138" s="79"/>
      <c r="P1138" s="79"/>
      <c r="Q1138" s="79"/>
      <c r="R1138" s="79"/>
      <c r="S1138" s="79"/>
      <c r="U1138" s="80"/>
      <c r="W1138" s="81" t="str">
        <f t="shared" si="555"/>
        <v xml:space="preserve"> </v>
      </c>
      <c r="X1138" s="81" t="str">
        <f t="shared" si="556"/>
        <v xml:space="preserve"> </v>
      </c>
      <c r="Y1138" s="81" t="str">
        <f t="shared" si="557"/>
        <v xml:space="preserve"> </v>
      </c>
      <c r="Z1138" s="79"/>
      <c r="AF1138" s="79"/>
      <c r="AJ1138" s="66"/>
      <c r="AK1138" s="65"/>
    </row>
    <row r="1139" spans="1:37" hidden="1">
      <c r="A1139" s="65">
        <f>A1136+1</f>
        <v>2</v>
      </c>
      <c r="B1139" s="66" t="s">
        <v>39</v>
      </c>
      <c r="C1139" s="79"/>
      <c r="D1139" s="79">
        <f>O1139-E1139-SUM(G1139:I1139)-SUM(M1139:N1139)</f>
        <v>19127</v>
      </c>
      <c r="E1139" s="79">
        <v>489</v>
      </c>
      <c r="F1139" s="79">
        <f>D1139+E1139</f>
        <v>19616</v>
      </c>
      <c r="G1139" s="79">
        <v>958</v>
      </c>
      <c r="H1139" s="79">
        <v>7742</v>
      </c>
      <c r="I1139" s="79">
        <v>4498</v>
      </c>
      <c r="J1139" s="79">
        <v>1933</v>
      </c>
      <c r="K1139" s="79">
        <v>140</v>
      </c>
      <c r="L1139" s="79">
        <v>80</v>
      </c>
      <c r="M1139" s="79">
        <f>SUM(J1139:L1139)</f>
        <v>2153</v>
      </c>
      <c r="N1139" s="79">
        <v>151</v>
      </c>
      <c r="O1139" s="79">
        <v>35118</v>
      </c>
      <c r="P1139" s="79"/>
      <c r="Q1139" s="79"/>
      <c r="R1139" s="79"/>
      <c r="S1139" s="79"/>
      <c r="U1139" s="80"/>
      <c r="W1139" s="81" t="str">
        <f t="shared" si="555"/>
        <v xml:space="preserve"> </v>
      </c>
      <c r="X1139" s="81" t="str">
        <f t="shared" si="556"/>
        <v xml:space="preserve"> </v>
      </c>
      <c r="Y1139" s="81" t="str">
        <f t="shared" si="557"/>
        <v xml:space="preserve"> </v>
      </c>
      <c r="Z1139" s="79"/>
      <c r="AF1139" s="79"/>
      <c r="AJ1139" s="66"/>
      <c r="AK1139" s="70"/>
    </row>
    <row r="1140" spans="1:37" hidden="1">
      <c r="A1140" s="65">
        <f>A1139+1</f>
        <v>3</v>
      </c>
      <c r="B1140" s="66" t="s">
        <v>168</v>
      </c>
      <c r="C1140" s="79"/>
      <c r="D1140" s="79">
        <f>O1140-E1140-SUM(G1140:I1140)-SUM(M1140:N1140)</f>
        <v>1356.0429999999978</v>
      </c>
      <c r="E1140" s="79">
        <v>51</v>
      </c>
      <c r="F1140" s="79">
        <f>D1140+E1140</f>
        <v>1407.0429999999978</v>
      </c>
      <c r="G1140" s="79">
        <v>74</v>
      </c>
      <c r="H1140" s="79">
        <v>681</v>
      </c>
      <c r="I1140" s="79">
        <v>456</v>
      </c>
      <c r="J1140" s="79">
        <v>247</v>
      </c>
      <c r="K1140" s="79">
        <v>11</v>
      </c>
      <c r="L1140" s="79">
        <v>10</v>
      </c>
      <c r="M1140" s="79">
        <f>SUM(J1140:L1140)</f>
        <v>268</v>
      </c>
      <c r="N1140" s="79">
        <v>40</v>
      </c>
      <c r="O1140" s="79">
        <f>O1136-O1139</f>
        <v>2926.0429999999978</v>
      </c>
      <c r="P1140" s="79"/>
      <c r="Q1140" s="79"/>
      <c r="R1140" s="79"/>
      <c r="S1140" s="79"/>
      <c r="U1140" s="80"/>
      <c r="W1140" s="81" t="str">
        <f t="shared" si="555"/>
        <v xml:space="preserve"> </v>
      </c>
      <c r="X1140" s="81" t="str">
        <f t="shared" si="556"/>
        <v xml:space="preserve"> </v>
      </c>
      <c r="Y1140" s="81" t="str">
        <f t="shared" si="557"/>
        <v xml:space="preserve"> </v>
      </c>
      <c r="Z1140" s="79"/>
      <c r="AF1140" s="79"/>
      <c r="AJ1140" s="66"/>
      <c r="AK1140" s="70"/>
    </row>
    <row r="1141" spans="1:37" hidden="1">
      <c r="W1141" s="81" t="str">
        <f t="shared" si="555"/>
        <v xml:space="preserve"> </v>
      </c>
      <c r="X1141" s="81" t="str">
        <f t="shared" si="556"/>
        <v xml:space="preserve"> </v>
      </c>
      <c r="Y1141" s="81" t="str">
        <f t="shared" si="557"/>
        <v xml:space="preserve"> </v>
      </c>
      <c r="AJ1141" s="66"/>
      <c r="AK1141" s="65"/>
    </row>
    <row r="1142" spans="1:37" hidden="1">
      <c r="B1142" s="65" t="s">
        <v>231</v>
      </c>
      <c r="C1142" s="79"/>
      <c r="D1142" s="79"/>
      <c r="E1142" s="79"/>
      <c r="F1142" s="79"/>
      <c r="G1142" s="79"/>
      <c r="H1142" s="79"/>
      <c r="I1142" s="79"/>
      <c r="J1142" s="79"/>
      <c r="K1142" s="79"/>
      <c r="L1142" s="79"/>
      <c r="M1142" s="79"/>
      <c r="N1142" s="79"/>
      <c r="O1142" s="79"/>
      <c r="P1142" s="79"/>
      <c r="Q1142" s="79"/>
      <c r="R1142" s="79"/>
      <c r="S1142" s="79"/>
      <c r="U1142" s="80"/>
      <c r="W1142" s="81" t="str">
        <f t="shared" si="555"/>
        <v xml:space="preserve"> </v>
      </c>
      <c r="X1142" s="81" t="str">
        <f t="shared" si="556"/>
        <v xml:space="preserve"> </v>
      </c>
      <c r="Y1142" s="81" t="str">
        <f t="shared" si="557"/>
        <v xml:space="preserve"> </v>
      </c>
      <c r="Z1142" s="79"/>
      <c r="AF1142" s="79"/>
      <c r="AJ1142" s="66"/>
      <c r="AK1142" s="65"/>
    </row>
    <row r="1143" spans="1:37" hidden="1">
      <c r="B1143" s="83" t="s">
        <v>170</v>
      </c>
      <c r="C1143" s="79"/>
      <c r="D1143" s="79"/>
      <c r="E1143" s="79"/>
      <c r="F1143" s="79"/>
      <c r="G1143" s="79"/>
      <c r="H1143" s="79"/>
      <c r="I1143" s="79"/>
      <c r="J1143" s="79"/>
      <c r="K1143" s="79"/>
      <c r="L1143" s="79"/>
      <c r="M1143" s="79"/>
      <c r="N1143" s="79"/>
      <c r="O1143" s="79"/>
      <c r="P1143" s="79"/>
      <c r="Q1143" s="79"/>
      <c r="R1143" s="79"/>
      <c r="S1143" s="79"/>
      <c r="U1143" s="80"/>
      <c r="W1143" s="81" t="str">
        <f t="shared" si="555"/>
        <v xml:space="preserve"> </v>
      </c>
      <c r="X1143" s="81" t="str">
        <f t="shared" si="556"/>
        <v xml:space="preserve"> </v>
      </c>
      <c r="Y1143" s="81" t="str">
        <f t="shared" si="557"/>
        <v xml:space="preserve"> </v>
      </c>
      <c r="Z1143" s="79"/>
      <c r="AF1143" s="79"/>
      <c r="AJ1143" s="66"/>
      <c r="AK1143" s="65"/>
    </row>
    <row r="1144" spans="1:37" hidden="1">
      <c r="C1144" s="79"/>
      <c r="D1144" s="79"/>
      <c r="E1144" s="79"/>
      <c r="F1144" s="79"/>
      <c r="G1144" s="79"/>
      <c r="H1144" s="79"/>
      <c r="I1144" s="79"/>
      <c r="J1144" s="79"/>
      <c r="K1144" s="79"/>
      <c r="L1144" s="79"/>
      <c r="M1144" s="79"/>
      <c r="N1144" s="79"/>
      <c r="O1144" s="79"/>
      <c r="P1144" s="79"/>
      <c r="Q1144" s="79"/>
      <c r="R1144" s="79"/>
      <c r="S1144" s="79"/>
      <c r="U1144" s="80"/>
      <c r="W1144" s="81" t="str">
        <f t="shared" si="555"/>
        <v xml:space="preserve"> </v>
      </c>
      <c r="X1144" s="81" t="str">
        <f t="shared" si="556"/>
        <v xml:space="preserve"> </v>
      </c>
      <c r="Y1144" s="81" t="str">
        <f t="shared" si="557"/>
        <v xml:space="preserve"> </v>
      </c>
      <c r="Z1144" s="79"/>
      <c r="AF1144" s="79"/>
      <c r="AJ1144" s="66"/>
      <c r="AK1144" s="65"/>
    </row>
    <row r="1145" spans="1:37" hidden="1">
      <c r="A1145" s="65">
        <f>A1140+1</f>
        <v>4</v>
      </c>
      <c r="B1145" s="71" t="s">
        <v>232</v>
      </c>
      <c r="C1145" s="78">
        <v>216</v>
      </c>
      <c r="D1145" s="79">
        <f t="shared" ref="D1145:D1159" si="558">C1145-E1145-SUM(G1145:I1145)-SUM(M1145:N1145)-R1145-S1145</f>
        <v>114</v>
      </c>
      <c r="E1145" s="79">
        <f>ROUND(E$49/($C$49-$S$49)*($C1145-$S1145),0)</f>
        <v>3</v>
      </c>
      <c r="F1145" s="79">
        <f t="shared" ref="F1145:F1161" si="559">D1145+E1145</f>
        <v>117</v>
      </c>
      <c r="G1145" s="79">
        <f t="shared" ref="G1145:L1145" si="560">ROUND(G$49/($C$49-$S$49)*($C1145-$S1145),0)</f>
        <v>6</v>
      </c>
      <c r="H1145" s="79">
        <f t="shared" si="560"/>
        <v>46</v>
      </c>
      <c r="I1145" s="79">
        <f t="shared" si="560"/>
        <v>27</v>
      </c>
      <c r="J1145" s="79">
        <f t="shared" si="560"/>
        <v>11</v>
      </c>
      <c r="K1145" s="79">
        <f>ROUND(K$48/($C$49-$S$49)*($C1145-$S1145),0)</f>
        <v>0</v>
      </c>
      <c r="L1145" s="79">
        <f t="shared" si="560"/>
        <v>0</v>
      </c>
      <c r="M1145" s="79">
        <f t="shared" ref="M1145:M1161" si="561">SUM(J1145:L1145)</f>
        <v>11</v>
      </c>
      <c r="N1145" s="79">
        <f>ROUND(N$49/($C$49-$S$49)*($C1145-$S1145),0)</f>
        <v>1</v>
      </c>
      <c r="O1145" s="79">
        <f>SUM(F1145:I1145)+SUM(M1145:N1145)</f>
        <v>208</v>
      </c>
      <c r="P1145" s="79">
        <f>ROUND(P$49/($C$49-$S$49)*($C1145-$S1145),0)</f>
        <v>7</v>
      </c>
      <c r="Q1145" s="79">
        <f>ROUND(Q$49/($C$49-$S$49)*($C1145-$S1145),0)</f>
        <v>1</v>
      </c>
      <c r="R1145" s="78">
        <f>P1145+Q1145</f>
        <v>8</v>
      </c>
      <c r="S1145" s="78">
        <v>0</v>
      </c>
      <c r="U1145" s="80">
        <f t="shared" ref="U1145:U1161" si="562">O1145+R1145+S1145-C1145</f>
        <v>0</v>
      </c>
      <c r="W1145" s="81">
        <f>IF((O1145+R1145)=0," ",ROUND((O1145/(O1145+R1145)),7))</f>
        <v>0.96296300000000001</v>
      </c>
      <c r="X1145" s="81">
        <f>IF((C1145)=0," ",ROUND((O1145/(C1145)),7))</f>
        <v>0.96296300000000001</v>
      </c>
      <c r="Y1145" s="81">
        <f>IF((C1145)=0," ",ROUND((S1145/(C1145)),7))</f>
        <v>0</v>
      </c>
      <c r="Z1145" s="79"/>
      <c r="AF1145" s="79"/>
      <c r="AJ1145" s="66"/>
      <c r="AK1145" s="70"/>
    </row>
    <row r="1146" spans="1:37" hidden="1">
      <c r="W1146" s="81" t="str">
        <f>IF((P1146+Q1146)=0," ",ROUND((P1146/(P1146+Q1146)),74))</f>
        <v xml:space="preserve"> </v>
      </c>
      <c r="X1146" s="81" t="str">
        <f>IF((C1146)=0," ",ROUND((P1146/(C1146)),74))</f>
        <v xml:space="preserve"> </v>
      </c>
      <c r="Y1146" s="81" t="str">
        <f>IF((C1146)=0," ",ROUND((R1146/(C1146)),7))</f>
        <v xml:space="preserve"> </v>
      </c>
      <c r="AJ1146" s="66"/>
      <c r="AK1146" s="65"/>
    </row>
    <row r="1147" spans="1:37" hidden="1">
      <c r="A1147" s="65">
        <f>A1145+1</f>
        <v>5</v>
      </c>
      <c r="B1147" s="66" t="s">
        <v>233</v>
      </c>
      <c r="C1147" s="78">
        <f>286+5-3</f>
        <v>288</v>
      </c>
      <c r="D1147" s="79">
        <f t="shared" si="558"/>
        <v>152</v>
      </c>
      <c r="E1147" s="79">
        <f>ROUND(E$56/($C$56-$S$56)*($C1147-$S1147),0)</f>
        <v>4</v>
      </c>
      <c r="F1147" s="79">
        <f t="shared" si="559"/>
        <v>156</v>
      </c>
      <c r="G1147" s="79">
        <f t="shared" ref="G1147:L1147" si="563">ROUND(G$56/($C$56-$S$56)*($C1147-$S1147),0)</f>
        <v>8</v>
      </c>
      <c r="H1147" s="79">
        <f t="shared" si="563"/>
        <v>62</v>
      </c>
      <c r="I1147" s="79">
        <f t="shared" si="563"/>
        <v>35</v>
      </c>
      <c r="J1147" s="79">
        <f t="shared" si="563"/>
        <v>15</v>
      </c>
      <c r="K1147" s="79">
        <f t="shared" si="563"/>
        <v>1</v>
      </c>
      <c r="L1147" s="79">
        <f t="shared" si="563"/>
        <v>1</v>
      </c>
      <c r="M1147" s="79">
        <f t="shared" si="561"/>
        <v>17</v>
      </c>
      <c r="N1147" s="79">
        <f>ROUND(N$56/($C$56-$S$56)*($C1147-$S1147),0)</f>
        <v>1</v>
      </c>
      <c r="O1147" s="79">
        <f>SUM(F1147:I1147)+SUM(M1147:N1147)</f>
        <v>279</v>
      </c>
      <c r="P1147" s="79">
        <f>ROUND(P$56/($C$56-$S$56)*($C1147-$S1147),0)</f>
        <v>8</v>
      </c>
      <c r="Q1147" s="79">
        <f>ROUND(Q$56/($C$56-$S$56)*($C1147-$S1147),0)</f>
        <v>1</v>
      </c>
      <c r="R1147" s="78">
        <f>P1147+Q1147</f>
        <v>9</v>
      </c>
      <c r="S1147" s="78">
        <v>0</v>
      </c>
      <c r="U1147" s="80">
        <f t="shared" si="562"/>
        <v>0</v>
      </c>
      <c r="W1147" s="81">
        <f>IF((O1147+R1147)=0," ",ROUND((O1147/(O1147+R1147)),7))</f>
        <v>0.96875</v>
      </c>
      <c r="X1147" s="81">
        <f>IF((C1147)=0," ",ROUND((O1147/(C1147)),7))</f>
        <v>0.96875</v>
      </c>
      <c r="Y1147" s="81">
        <f>IF((C1147)=0," ",ROUND((S1147/(C1147)),7))</f>
        <v>0</v>
      </c>
      <c r="Z1147" s="79"/>
      <c r="AF1147" s="79"/>
      <c r="AJ1147" s="66"/>
      <c r="AK1147" s="70"/>
    </row>
    <row r="1148" spans="1:37" hidden="1">
      <c r="W1148" s="81" t="str">
        <f>IF((P1148+Q1148)=0," ",ROUND((P1148/(P1148+Q1148)),74))</f>
        <v xml:space="preserve"> </v>
      </c>
      <c r="X1148" s="81" t="str">
        <f>IF((C1148)=0," ",ROUND((P1148/(C1148)),74))</f>
        <v xml:space="preserve"> </v>
      </c>
      <c r="Y1148" s="81" t="str">
        <f>IF((C1148)=0," ",ROUND((R1148/(C1148)),7))</f>
        <v xml:space="preserve"> </v>
      </c>
      <c r="AJ1148" s="66"/>
      <c r="AK1148" s="65"/>
    </row>
    <row r="1149" spans="1:37" hidden="1">
      <c r="A1149" s="65">
        <f>A1147+1</f>
        <v>6</v>
      </c>
      <c r="B1149" s="66" t="s">
        <v>234</v>
      </c>
      <c r="C1149" s="78">
        <f>3288+102-72</f>
        <v>3318</v>
      </c>
      <c r="D1149" s="79">
        <f t="shared" si="558"/>
        <v>1740.91</v>
      </c>
      <c r="E1149" s="79">
        <f>ROUND(E$62/($C$62-$S$62)*($C1149-$S1149),0)</f>
        <v>44</v>
      </c>
      <c r="F1149" s="79">
        <f t="shared" si="559"/>
        <v>1784.91</v>
      </c>
      <c r="G1149" s="79">
        <f t="shared" ref="G1149:L1149" si="564">ROUND(G$62/($C$62-$S$62)*($C1149-$S1149),0)</f>
        <v>87</v>
      </c>
      <c r="H1149" s="79">
        <f t="shared" si="564"/>
        <v>704</v>
      </c>
      <c r="I1149" s="79">
        <f t="shared" si="564"/>
        <v>390</v>
      </c>
      <c r="J1149" s="79">
        <f t="shared" si="564"/>
        <v>166</v>
      </c>
      <c r="K1149" s="79">
        <f t="shared" si="564"/>
        <v>13</v>
      </c>
      <c r="L1149" s="79">
        <f t="shared" si="564"/>
        <v>7</v>
      </c>
      <c r="M1149" s="79">
        <f t="shared" si="561"/>
        <v>186</v>
      </c>
      <c r="N1149" s="79">
        <f>ROUND(N$62/($C$62-$S$62)*($C1149-$S1149),0)</f>
        <v>14</v>
      </c>
      <c r="O1149" s="79">
        <f>SUM(F1149:I1149)+SUM(M1149:N1149)</f>
        <v>3165.91</v>
      </c>
      <c r="P1149" s="79">
        <f>ROUND(P$62/($C$62-$S$62)*($C1149-$S1149),0)</f>
        <v>83</v>
      </c>
      <c r="Q1149" s="79">
        <f>ROUND(Q$62/($C$62-$S$62)*($C1149-$S1149),0)</f>
        <v>9</v>
      </c>
      <c r="R1149" s="78">
        <f>P1149+Q1149</f>
        <v>92</v>
      </c>
      <c r="S1149" s="78">
        <v>60.09</v>
      </c>
      <c r="U1149" s="80">
        <f t="shared" si="562"/>
        <v>0</v>
      </c>
      <c r="W1149" s="81">
        <f>IF((O1149+R1149)=0," ",ROUND((O1149/(O1149+R1149)),7))</f>
        <v>0.97176099999999999</v>
      </c>
      <c r="X1149" s="81">
        <f>IF((C1149)=0," ",ROUND((O1149/(C1149)),7))</f>
        <v>0.95416210000000001</v>
      </c>
      <c r="Y1149" s="81">
        <f>IF((C1149)=0," ",ROUND((S1149/(C1149)),7))</f>
        <v>1.8110299999999999E-2</v>
      </c>
      <c r="Z1149" s="79"/>
      <c r="AF1149" s="79"/>
      <c r="AJ1149" s="66"/>
      <c r="AK1149" s="70"/>
    </row>
    <row r="1150" spans="1:37" hidden="1">
      <c r="B1150" s="66" t="s">
        <v>519</v>
      </c>
      <c r="W1150" s="81" t="str">
        <f>IF((P1150+Q1150)=0," ",ROUND((P1150/(P1150+Q1150)),74))</f>
        <v xml:space="preserve"> </v>
      </c>
      <c r="X1150" s="81" t="str">
        <f>IF((C1150)=0," ",ROUND((P1150/(C1150)),74))</f>
        <v xml:space="preserve"> </v>
      </c>
      <c r="Y1150" s="81" t="str">
        <f>IF((C1150)=0," ",ROUND((R1150/(C1150)),7))</f>
        <v xml:space="preserve"> </v>
      </c>
      <c r="AJ1150" s="66"/>
      <c r="AK1150" s="65"/>
    </row>
    <row r="1151" spans="1:37" hidden="1">
      <c r="A1151" s="65">
        <f>A1149+1</f>
        <v>7</v>
      </c>
      <c r="B1151" s="66" t="s">
        <v>235</v>
      </c>
      <c r="C1151" s="78">
        <f>1301-12</f>
        <v>1289</v>
      </c>
      <c r="D1151" s="79">
        <f t="shared" si="558"/>
        <v>678</v>
      </c>
      <c r="E1151" s="79">
        <f>ROUND(E$65/($C$65-$S$65)*($C1151-$S1151),0)</f>
        <v>17</v>
      </c>
      <c r="F1151" s="79">
        <f t="shared" si="559"/>
        <v>695</v>
      </c>
      <c r="G1151" s="79">
        <f t="shared" ref="G1151:L1151" si="565">ROUND(G$65/($C$65-$S$65)*($C1151-$S1151),0)</f>
        <v>34</v>
      </c>
      <c r="H1151" s="79">
        <f t="shared" si="565"/>
        <v>275</v>
      </c>
      <c r="I1151" s="79">
        <f t="shared" si="565"/>
        <v>160</v>
      </c>
      <c r="J1151" s="79">
        <f t="shared" si="565"/>
        <v>69</v>
      </c>
      <c r="K1151" s="79">
        <f t="shared" si="565"/>
        <v>5</v>
      </c>
      <c r="L1151" s="79">
        <f t="shared" si="565"/>
        <v>3</v>
      </c>
      <c r="M1151" s="79">
        <f t="shared" si="561"/>
        <v>77</v>
      </c>
      <c r="N1151" s="79">
        <f>ROUND(N$65/($C$65-$S$65)*($C1151-$S1151),0)</f>
        <v>5</v>
      </c>
      <c r="O1151" s="79">
        <f>SUM(F1151:I1151)+SUM(M1151:N1151)</f>
        <v>1246</v>
      </c>
      <c r="P1151" s="79">
        <f>ROUND(P$65/($C$65-$S$65)*($C1151-$S1151),0)</f>
        <v>39</v>
      </c>
      <c r="Q1151" s="79">
        <f>ROUND(Q$65/($C$65-$S$65)*($C1151-$S1151),0)</f>
        <v>4</v>
      </c>
      <c r="R1151" s="78">
        <f>P1151+Q1151</f>
        <v>43</v>
      </c>
      <c r="S1151" s="78">
        <v>0</v>
      </c>
      <c r="U1151" s="80">
        <f t="shared" si="562"/>
        <v>0</v>
      </c>
      <c r="W1151" s="81">
        <f>IF((O1151+R1151)=0," ",ROUND((O1151/(O1151+R1151)),7))</f>
        <v>0.96664079999999997</v>
      </c>
      <c r="X1151" s="81">
        <f>IF((C1151)=0," ",ROUND((O1151/(C1151)),7))</f>
        <v>0.96664079999999997</v>
      </c>
      <c r="Y1151" s="81">
        <f>IF((C1151)=0," ",ROUND((S1151/(C1151)),7))</f>
        <v>0</v>
      </c>
      <c r="Z1151" s="79"/>
      <c r="AF1151" s="79"/>
      <c r="AJ1151" s="66"/>
      <c r="AK1151" s="70"/>
    </row>
    <row r="1152" spans="1:37" hidden="1">
      <c r="W1152" s="81" t="str">
        <f>IF((P1152+Q1152)=0," ",ROUND((P1152/(P1152+Q1152)),74))</f>
        <v xml:space="preserve"> </v>
      </c>
      <c r="X1152" s="81" t="str">
        <f>IF((C1152)=0," ",ROUND((P1152/(C1152)),74))</f>
        <v xml:space="preserve"> </v>
      </c>
      <c r="Y1152" s="81" t="str">
        <f>IF((C1152)=0," ",ROUND((R1152/(C1152)),7))</f>
        <v xml:space="preserve"> </v>
      </c>
      <c r="AJ1152" s="66"/>
      <c r="AK1152" s="65"/>
    </row>
    <row r="1153" spans="1:37" hidden="1">
      <c r="A1153" s="65">
        <f>A1151+1</f>
        <v>8</v>
      </c>
      <c r="B1153" s="66" t="s">
        <v>236</v>
      </c>
      <c r="C1153" s="78">
        <f>2568-18</f>
        <v>2550</v>
      </c>
      <c r="D1153" s="79">
        <f t="shared" si="558"/>
        <v>1341</v>
      </c>
      <c r="E1153" s="79">
        <f>ROUND(E$68/($C$68-$S$68)*($C1153-$S1153),0)</f>
        <v>34</v>
      </c>
      <c r="F1153" s="79">
        <f t="shared" si="559"/>
        <v>1375</v>
      </c>
      <c r="G1153" s="79">
        <f t="shared" ref="G1153:L1153" si="566">ROUND(G$68/($C$68-$S$68)*($C1153-$S1153),0)</f>
        <v>67</v>
      </c>
      <c r="H1153" s="79">
        <f t="shared" si="566"/>
        <v>543</v>
      </c>
      <c r="I1153" s="79">
        <f t="shared" si="566"/>
        <v>316</v>
      </c>
      <c r="J1153" s="79">
        <f t="shared" si="566"/>
        <v>136</v>
      </c>
      <c r="K1153" s="79">
        <f t="shared" si="566"/>
        <v>10</v>
      </c>
      <c r="L1153" s="79">
        <f t="shared" si="566"/>
        <v>6</v>
      </c>
      <c r="M1153" s="79">
        <f t="shared" si="561"/>
        <v>152</v>
      </c>
      <c r="N1153" s="79">
        <f>ROUND(N$68/($C$68-$S$68)*($C1153-$S1153),0)</f>
        <v>11</v>
      </c>
      <c r="O1153" s="79">
        <f>SUM(F1153:I1153)+SUM(M1153:N1153)</f>
        <v>2464</v>
      </c>
      <c r="P1153" s="79">
        <f>ROUND(P$68/($C$68-$S$68)*($C1153-$S1153),0)</f>
        <v>77</v>
      </c>
      <c r="Q1153" s="79">
        <f>ROUND(Q$68/($C$68-$S$68)*($C1153-$S1153),0)</f>
        <v>9</v>
      </c>
      <c r="R1153" s="78">
        <f>P1153+Q1153</f>
        <v>86</v>
      </c>
      <c r="S1153" s="78">
        <v>0</v>
      </c>
      <c r="U1153" s="80">
        <f t="shared" si="562"/>
        <v>0</v>
      </c>
      <c r="W1153" s="81">
        <f>IF((O1153+R1153)=0," ",ROUND((O1153/(O1153+R1153)),7))</f>
        <v>0.96627450000000004</v>
      </c>
      <c r="X1153" s="81">
        <f>IF((C1153)=0," ",ROUND((O1153/(C1153)),7))</f>
        <v>0.96627450000000004</v>
      </c>
      <c r="Y1153" s="81">
        <f>IF((C1153)=0," ",ROUND((S1153/(C1153)),7))</f>
        <v>0</v>
      </c>
      <c r="Z1153" s="79"/>
      <c r="AF1153" s="79"/>
      <c r="AJ1153" s="66"/>
      <c r="AK1153" s="70"/>
    </row>
    <row r="1154" spans="1:37" hidden="1">
      <c r="W1154" s="81" t="str">
        <f>IF((P1154+Q1154)=0," ",ROUND((P1154/(P1154+Q1154)),74))</f>
        <v xml:space="preserve"> </v>
      </c>
      <c r="X1154" s="81" t="str">
        <f>IF((C1154)=0," ",ROUND((P1154/(C1154)),74))</f>
        <v xml:space="preserve"> </v>
      </c>
      <c r="Y1154" s="81" t="str">
        <f>IF((C1154)=0," ",ROUND((R1154/(C1154)),7))</f>
        <v xml:space="preserve"> </v>
      </c>
      <c r="AJ1154" s="66"/>
      <c r="AK1154" s="65"/>
    </row>
    <row r="1155" spans="1:37" hidden="1">
      <c r="A1155" s="65">
        <f>A1153+1</f>
        <v>9</v>
      </c>
      <c r="B1155" s="66" t="s">
        <v>237</v>
      </c>
      <c r="C1155" s="78">
        <f>2110-12</f>
        <v>2098</v>
      </c>
      <c r="D1155" s="79">
        <f t="shared" si="558"/>
        <v>1103</v>
      </c>
      <c r="E1155" s="79">
        <f>ROUND(E$71/($C$71-$S$71)*($C1155-$S1155),0)</f>
        <v>28</v>
      </c>
      <c r="F1155" s="79">
        <f t="shared" si="559"/>
        <v>1131</v>
      </c>
      <c r="G1155" s="79">
        <f t="shared" ref="G1155:L1155" si="567">ROUND(G$71/($C$71-$S$71)*($C1155-$S1155),0)</f>
        <v>55</v>
      </c>
      <c r="H1155" s="79">
        <f t="shared" si="567"/>
        <v>447</v>
      </c>
      <c r="I1155" s="79">
        <f t="shared" si="567"/>
        <v>260</v>
      </c>
      <c r="J1155" s="79">
        <f t="shared" si="567"/>
        <v>112</v>
      </c>
      <c r="K1155" s="79">
        <f t="shared" si="567"/>
        <v>8</v>
      </c>
      <c r="L1155" s="79">
        <f t="shared" si="567"/>
        <v>5</v>
      </c>
      <c r="M1155" s="79">
        <f t="shared" si="561"/>
        <v>125</v>
      </c>
      <c r="N1155" s="79">
        <f>ROUND(N$71/($C$71-$S$71)*($C1155-$S1155),0)</f>
        <v>9</v>
      </c>
      <c r="O1155" s="79">
        <f>SUM(F1155:I1155)+SUM(M1155:N1155)</f>
        <v>2027</v>
      </c>
      <c r="P1155" s="79">
        <f>ROUND(P$71/($C$71-$S$71)*($C1155-$S1155),0)</f>
        <v>64</v>
      </c>
      <c r="Q1155" s="79">
        <f>ROUND(Q$71/($C$71-$S$71)*($C1155-$S1155),0)</f>
        <v>7</v>
      </c>
      <c r="R1155" s="78">
        <f>P1155+Q1155</f>
        <v>71</v>
      </c>
      <c r="S1155" s="78">
        <v>0</v>
      </c>
      <c r="U1155" s="80">
        <f t="shared" si="562"/>
        <v>0</v>
      </c>
      <c r="W1155" s="81">
        <f>IF((O1155+R1155)=0," ",ROUND((O1155/(O1155+R1155)),7))</f>
        <v>0.96615819999999997</v>
      </c>
      <c r="X1155" s="81">
        <f>IF((C1155)=0," ",ROUND((O1155/(C1155)),7))</f>
        <v>0.96615819999999997</v>
      </c>
      <c r="Y1155" s="81">
        <f>IF((C1155)=0," ",ROUND((S1155/(C1155)),7))</f>
        <v>0</v>
      </c>
      <c r="Z1155" s="79"/>
      <c r="AF1155" s="79"/>
      <c r="AJ1155" s="66"/>
      <c r="AK1155" s="70"/>
    </row>
    <row r="1156" spans="1:37" hidden="1">
      <c r="W1156" s="81" t="str">
        <f>IF((P1156+Q1156)=0," ",ROUND((P1156/(P1156+Q1156)),74))</f>
        <v xml:space="preserve"> </v>
      </c>
      <c r="X1156" s="81" t="str">
        <f>IF((C1156)=0," ",ROUND((P1156/(C1156)),74))</f>
        <v xml:space="preserve"> </v>
      </c>
      <c r="Y1156" s="81" t="str">
        <f>IF((C1156)=0," ",ROUND((R1156/(C1156)),7))</f>
        <v xml:space="preserve"> </v>
      </c>
      <c r="AJ1156" s="66"/>
      <c r="AK1156" s="65"/>
    </row>
    <row r="1157" spans="1:37" hidden="1">
      <c r="A1157" s="65">
        <f>A1155+1</f>
        <v>10</v>
      </c>
      <c r="B1157" s="66" t="s">
        <v>238</v>
      </c>
      <c r="C1157" s="78">
        <v>444</v>
      </c>
      <c r="D1157" s="79">
        <f t="shared" si="558"/>
        <v>232</v>
      </c>
      <c r="E1157" s="79">
        <f>ROUND(E$74/($C$74-$S$74)*($C1157-$S1157),0)</f>
        <v>6</v>
      </c>
      <c r="F1157" s="79">
        <f t="shared" si="559"/>
        <v>238</v>
      </c>
      <c r="G1157" s="79">
        <f t="shared" ref="G1157:L1157" si="568">ROUND(G$74/($C$74-$S$74)*($C1157-$S1157),0)</f>
        <v>12</v>
      </c>
      <c r="H1157" s="79">
        <f t="shared" si="568"/>
        <v>95</v>
      </c>
      <c r="I1157" s="79">
        <f t="shared" si="568"/>
        <v>55</v>
      </c>
      <c r="J1157" s="79">
        <f t="shared" si="568"/>
        <v>24</v>
      </c>
      <c r="K1157" s="79">
        <f t="shared" si="568"/>
        <v>2</v>
      </c>
      <c r="L1157" s="79">
        <f t="shared" si="568"/>
        <v>1</v>
      </c>
      <c r="M1157" s="79">
        <f t="shared" si="561"/>
        <v>27</v>
      </c>
      <c r="N1157" s="79">
        <f>ROUND(N$74/($C$74-$S$74)*($C1157-$S1157),0)</f>
        <v>2</v>
      </c>
      <c r="O1157" s="79">
        <f>SUM(F1157:I1157)+SUM(M1157:N1157)</f>
        <v>429</v>
      </c>
      <c r="P1157" s="79">
        <f>ROUND(P$74/($C$74-$S$74)*($C1157-$S1157),0)</f>
        <v>13</v>
      </c>
      <c r="Q1157" s="79">
        <f>ROUND(Q$74/($C$74-$S$74)*($C1157-$S1157),0)</f>
        <v>2</v>
      </c>
      <c r="R1157" s="78">
        <f>P1157+Q1157</f>
        <v>15</v>
      </c>
      <c r="S1157" s="79">
        <v>0</v>
      </c>
      <c r="U1157" s="80">
        <f t="shared" si="562"/>
        <v>0</v>
      </c>
      <c r="W1157" s="81">
        <f>IF((O1157+R1157)=0," ",ROUND((O1157/(O1157+R1157)),7))</f>
        <v>0.96621619999999997</v>
      </c>
      <c r="X1157" s="81">
        <f>IF((C1157)=0," ",ROUND((O1157/(C1157)),7))</f>
        <v>0.96621619999999997</v>
      </c>
      <c r="Y1157" s="81">
        <f>IF((C1157)=0," ",ROUND((S1157/(C1157)),7))</f>
        <v>0</v>
      </c>
      <c r="Z1157" s="79"/>
      <c r="AF1157" s="79"/>
      <c r="AJ1157" s="66"/>
      <c r="AK1157" s="70"/>
    </row>
    <row r="1158" spans="1:37" hidden="1">
      <c r="W1158" s="81" t="str">
        <f>IF((P1158+Q1158)=0," ",ROUND((P1158/(P1158+Q1158)),74))</f>
        <v xml:space="preserve"> </v>
      </c>
      <c r="X1158" s="81" t="str">
        <f>IF((C1158)=0," ",ROUND((P1158/(C1158)),74))</f>
        <v xml:space="preserve"> </v>
      </c>
      <c r="Y1158" s="81" t="str">
        <f>IF((C1158)=0," ",ROUND((R1158/(C1158)),7))</f>
        <v xml:space="preserve"> </v>
      </c>
      <c r="AJ1158" s="66"/>
      <c r="AK1158" s="65"/>
    </row>
    <row r="1159" spans="1:37" hidden="1">
      <c r="A1159" s="65">
        <f>A1157+1</f>
        <v>11</v>
      </c>
      <c r="B1159" s="66" t="s">
        <v>239</v>
      </c>
      <c r="C1159" s="78">
        <v>2</v>
      </c>
      <c r="D1159" s="79">
        <f t="shared" si="558"/>
        <v>2</v>
      </c>
      <c r="E1159" s="79">
        <f>ROUND(E$77/($C$77-$S$77)*($C1159-$S1159),0)</f>
        <v>0</v>
      </c>
      <c r="F1159" s="79">
        <f t="shared" si="559"/>
        <v>2</v>
      </c>
      <c r="G1159" s="79">
        <f t="shared" ref="G1159:L1159" si="569">ROUND(G$77/($C$77-$S$77)*($C1159-$S1159),0)</f>
        <v>0</v>
      </c>
      <c r="H1159" s="79">
        <f t="shared" si="569"/>
        <v>0</v>
      </c>
      <c r="I1159" s="79">
        <f t="shared" si="569"/>
        <v>0</v>
      </c>
      <c r="J1159" s="79">
        <f t="shared" si="569"/>
        <v>0</v>
      </c>
      <c r="K1159" s="79">
        <f t="shared" si="569"/>
        <v>0</v>
      </c>
      <c r="L1159" s="79">
        <f t="shared" si="569"/>
        <v>0</v>
      </c>
      <c r="M1159" s="79">
        <f t="shared" si="561"/>
        <v>0</v>
      </c>
      <c r="N1159" s="79">
        <f>ROUND(N$77/($C$77-$S$77)*($C1159-$S1159),0)</f>
        <v>0</v>
      </c>
      <c r="O1159" s="79">
        <f>SUM(F1159:I1159)+SUM(M1159:N1159)</f>
        <v>2</v>
      </c>
      <c r="P1159" s="79">
        <f>ROUND(P$77/($C$77-$S$77)*($C1159-$S1159),0)</f>
        <v>0</v>
      </c>
      <c r="Q1159" s="79">
        <f>ROUND(Q$77/($C$77-$S$77)*($C1159-$S1159),0)</f>
        <v>0</v>
      </c>
      <c r="R1159" s="78">
        <f>P1159+Q1159</f>
        <v>0</v>
      </c>
      <c r="S1159" s="79">
        <v>0</v>
      </c>
      <c r="U1159" s="80">
        <f t="shared" si="562"/>
        <v>0</v>
      </c>
      <c r="W1159" s="81">
        <f>IF((O1159+R1159)=0," ",ROUND((O1159/(O1159+R1159)),7))</f>
        <v>1</v>
      </c>
      <c r="X1159" s="81">
        <f>IF((C1159)=0," ",ROUND((O1159/(C1159)),7))</f>
        <v>1</v>
      </c>
      <c r="Y1159" s="81">
        <f>IF((C1159)=0," ",ROUND((S1159/(C1159)),7))</f>
        <v>0</v>
      </c>
      <c r="Z1159" s="79"/>
      <c r="AF1159" s="79"/>
      <c r="AJ1159" s="66"/>
      <c r="AK1159" s="70"/>
    </row>
    <row r="1160" spans="1:37" hidden="1">
      <c r="C1160" s="79"/>
      <c r="D1160" s="79"/>
      <c r="E1160" s="79"/>
      <c r="F1160" s="79"/>
      <c r="G1160" s="79"/>
      <c r="H1160" s="79"/>
      <c r="I1160" s="79"/>
      <c r="J1160" s="79"/>
      <c r="K1160" s="79"/>
      <c r="L1160" s="79"/>
      <c r="M1160" s="79"/>
      <c r="N1160" s="79"/>
      <c r="O1160" s="79"/>
      <c r="P1160" s="79"/>
      <c r="Q1160" s="79"/>
      <c r="R1160" s="79"/>
      <c r="S1160" s="79"/>
      <c r="U1160" s="80"/>
      <c r="W1160" s="81" t="str">
        <f>IF((P1160+Q1160)=0," ",ROUND((P1160/(P1160+Q1160)),74))</f>
        <v xml:space="preserve"> </v>
      </c>
      <c r="X1160" s="81" t="str">
        <f>IF((C1160)=0," ",ROUND((P1160/(C1160)),74))</f>
        <v xml:space="preserve"> </v>
      </c>
      <c r="Y1160" s="81" t="str">
        <f>IF((C1160)=0," ",ROUND((R1160/(C1160)),7))</f>
        <v xml:space="preserve"> </v>
      </c>
      <c r="Z1160" s="79"/>
      <c r="AF1160" s="79"/>
      <c r="AJ1160" s="66"/>
      <c r="AK1160" s="65"/>
    </row>
    <row r="1161" spans="1:37" hidden="1">
      <c r="A1161" s="65">
        <f>A1159+1</f>
        <v>12</v>
      </c>
      <c r="B1161" s="66" t="s">
        <v>240</v>
      </c>
      <c r="C1161" s="79">
        <f>O1161+R1161+S1161</f>
        <v>10205</v>
      </c>
      <c r="D1161" s="79">
        <f>SUM(D1145:D1159)</f>
        <v>5362.91</v>
      </c>
      <c r="E1161" s="79">
        <f>SUM(E1145:E1159)</f>
        <v>136</v>
      </c>
      <c r="F1161" s="79">
        <f t="shared" si="559"/>
        <v>5498.91</v>
      </c>
      <c r="G1161" s="79">
        <f t="shared" ref="G1161:L1161" si="570">SUM(G1145:G1159)</f>
        <v>269</v>
      </c>
      <c r="H1161" s="79">
        <f t="shared" si="570"/>
        <v>2172</v>
      </c>
      <c r="I1161" s="79">
        <f t="shared" si="570"/>
        <v>1243</v>
      </c>
      <c r="J1161" s="79">
        <f t="shared" si="570"/>
        <v>533</v>
      </c>
      <c r="K1161" s="79">
        <f t="shared" si="570"/>
        <v>39</v>
      </c>
      <c r="L1161" s="79">
        <f t="shared" si="570"/>
        <v>23</v>
      </c>
      <c r="M1161" s="79">
        <f t="shared" si="561"/>
        <v>595</v>
      </c>
      <c r="N1161" s="79">
        <f t="shared" ref="N1161:S1161" si="571">SUM(N1145:N1159)</f>
        <v>43</v>
      </c>
      <c r="O1161" s="79">
        <f>SUM(F1161:I1161)+SUM(M1161:N1161)</f>
        <v>9820.91</v>
      </c>
      <c r="P1161" s="79">
        <f t="shared" si="571"/>
        <v>291</v>
      </c>
      <c r="Q1161" s="79">
        <f t="shared" si="571"/>
        <v>33</v>
      </c>
      <c r="R1161" s="79">
        <f t="shared" si="571"/>
        <v>324</v>
      </c>
      <c r="S1161" s="79">
        <f t="shared" si="571"/>
        <v>60.09</v>
      </c>
      <c r="U1161" s="80">
        <f t="shared" si="562"/>
        <v>0</v>
      </c>
      <c r="W1161" s="81">
        <f>IF((O1161+R1161)=0," ",ROUND((O1161/(O1161+R1161)),7))</f>
        <v>0.9680628</v>
      </c>
      <c r="X1161" s="81">
        <f>IF((C1161)=0," ",ROUND((O1161/(C1161)),7))</f>
        <v>0.96236259999999996</v>
      </c>
      <c r="Y1161" s="81">
        <f>IF((C1161)=0," ",ROUND((S1161/(C1161)),7))</f>
        <v>5.8883E-3</v>
      </c>
      <c r="Z1161" s="79"/>
      <c r="AF1161" s="79"/>
      <c r="AJ1161" s="66"/>
      <c r="AK1161" s="65"/>
    </row>
    <row r="1162" spans="1:37" hidden="1">
      <c r="W1162" s="81" t="str">
        <f>IF((P1162+Q1162)=0," ",ROUND((P1162/(P1162+Q1162)),74))</f>
        <v xml:space="preserve"> </v>
      </c>
      <c r="X1162" s="81" t="str">
        <f>IF((C1162)=0," ",ROUND((P1162/(C1162)),74))</f>
        <v xml:space="preserve"> </v>
      </c>
      <c r="Y1162" s="81" t="str">
        <f>IF((C1162)=0," ",ROUND((R1162/(C1162)),7))</f>
        <v xml:space="preserve"> </v>
      </c>
      <c r="AJ1162" s="66"/>
      <c r="AK1162" s="65"/>
    </row>
    <row r="1163" spans="1:37" hidden="1">
      <c r="B1163" s="65" t="s">
        <v>241</v>
      </c>
      <c r="C1163" s="79"/>
      <c r="D1163" s="79"/>
      <c r="E1163" s="79"/>
      <c r="F1163" s="79"/>
      <c r="G1163" s="79"/>
      <c r="H1163" s="79"/>
      <c r="I1163" s="79"/>
      <c r="J1163" s="79"/>
      <c r="K1163" s="79"/>
      <c r="L1163" s="79"/>
      <c r="M1163" s="79"/>
      <c r="N1163" s="79"/>
      <c r="O1163" s="79"/>
      <c r="P1163" s="79"/>
      <c r="Q1163" s="79"/>
      <c r="R1163" s="79"/>
      <c r="S1163" s="79"/>
      <c r="U1163" s="80"/>
      <c r="W1163" s="81" t="str">
        <f>IF((P1163+Q1163)=0," ",ROUND((P1163/(P1163+Q1163)),74))</f>
        <v xml:space="preserve"> </v>
      </c>
      <c r="X1163" s="81" t="str">
        <f>IF((C1163)=0," ",ROUND((P1163/(C1163)),74))</f>
        <v xml:space="preserve"> </v>
      </c>
      <c r="Y1163" s="81" t="str">
        <f>IF((C1163)=0," ",ROUND((R1163/(C1163)),7))</f>
        <v xml:space="preserve"> </v>
      </c>
      <c r="Z1163" s="79"/>
      <c r="AF1163" s="79"/>
      <c r="AJ1163" s="66"/>
      <c r="AK1163" s="65"/>
    </row>
    <row r="1164" spans="1:37" hidden="1">
      <c r="B1164" s="83" t="s">
        <v>170</v>
      </c>
      <c r="C1164" s="79"/>
      <c r="D1164" s="79"/>
      <c r="E1164" s="79"/>
      <c r="F1164" s="79"/>
      <c r="G1164" s="79"/>
      <c r="H1164" s="79"/>
      <c r="I1164" s="79"/>
      <c r="J1164" s="79"/>
      <c r="K1164" s="79"/>
      <c r="L1164" s="79"/>
      <c r="M1164" s="79"/>
      <c r="N1164" s="79"/>
      <c r="O1164" s="79"/>
      <c r="P1164" s="79"/>
      <c r="Q1164" s="79"/>
      <c r="R1164" s="79"/>
      <c r="S1164" s="79"/>
      <c r="U1164" s="80"/>
      <c r="W1164" s="81" t="str">
        <f>IF((P1164+Q1164)=0," ",ROUND((P1164/(P1164+Q1164)),74))</f>
        <v xml:space="preserve"> </v>
      </c>
      <c r="X1164" s="81" t="str">
        <f>IF((C1164)=0," ",ROUND((P1164/(C1164)),74))</f>
        <v xml:space="preserve"> </v>
      </c>
      <c r="Y1164" s="81" t="str">
        <f>IF((C1164)=0," ",ROUND((R1164/(C1164)),7))</f>
        <v xml:space="preserve"> </v>
      </c>
      <c r="Z1164" s="79"/>
      <c r="AF1164" s="79"/>
      <c r="AJ1164" s="66"/>
      <c r="AK1164" s="65"/>
    </row>
    <row r="1165" spans="1:37" hidden="1">
      <c r="C1165" s="79"/>
      <c r="D1165" s="79"/>
      <c r="E1165" s="79"/>
      <c r="F1165" s="79"/>
      <c r="G1165" s="79"/>
      <c r="H1165" s="79"/>
      <c r="I1165" s="79"/>
      <c r="J1165" s="79"/>
      <c r="K1165" s="79"/>
      <c r="L1165" s="79"/>
      <c r="M1165" s="79"/>
      <c r="N1165" s="79"/>
      <c r="O1165" s="79"/>
      <c r="P1165" s="79"/>
      <c r="Q1165" s="79"/>
      <c r="R1165" s="79"/>
      <c r="S1165" s="79"/>
      <c r="U1165" s="80"/>
      <c r="W1165" s="81" t="str">
        <f>IF((P1165+Q1165)=0," ",ROUND((P1165/(P1165+Q1165)),74))</f>
        <v xml:space="preserve"> </v>
      </c>
      <c r="X1165" s="81" t="str">
        <f>IF((C1165)=0," ",ROUND((P1165/(C1165)),74))</f>
        <v xml:space="preserve"> </v>
      </c>
      <c r="Y1165" s="81" t="str">
        <f>IF((C1165)=0," ",ROUND((R1165/(C1165)),7))</f>
        <v xml:space="preserve"> </v>
      </c>
      <c r="Z1165" s="79"/>
      <c r="AF1165" s="79"/>
      <c r="AJ1165" s="66"/>
      <c r="AK1165" s="65"/>
    </row>
    <row r="1166" spans="1:37" hidden="1">
      <c r="A1166" s="65">
        <f>A1161+1</f>
        <v>13</v>
      </c>
      <c r="B1166" s="71" t="s">
        <v>193</v>
      </c>
      <c r="C1166" s="78">
        <v>8</v>
      </c>
      <c r="D1166" s="79">
        <f>C1166-E1166-SUM(G1166:I1166)-SUM(M1166:N1166)-R1166-S1166</f>
        <v>5</v>
      </c>
      <c r="E1166" s="79">
        <f>ROUND(E96/$C96*$C1166,0)</f>
        <v>0</v>
      </c>
      <c r="F1166" s="79">
        <f t="shared" ref="F1166:F1175" si="572">D1166+E1166</f>
        <v>5</v>
      </c>
      <c r="G1166" s="79">
        <f t="shared" ref="G1166:L1166" si="573">ROUND(G96/$C96*$C1166,0)</f>
        <v>0</v>
      </c>
      <c r="H1166" s="79">
        <f t="shared" si="573"/>
        <v>2</v>
      </c>
      <c r="I1166" s="79">
        <f t="shared" si="573"/>
        <v>1</v>
      </c>
      <c r="J1166" s="79">
        <f t="shared" si="573"/>
        <v>0</v>
      </c>
      <c r="K1166" s="79">
        <f t="shared" si="573"/>
        <v>0</v>
      </c>
      <c r="L1166" s="79">
        <f t="shared" si="573"/>
        <v>0</v>
      </c>
      <c r="M1166" s="79">
        <f>SUM(J1166:L1166)</f>
        <v>0</v>
      </c>
      <c r="N1166" s="79">
        <f>ROUND(N96/$C96*$C1166,0)</f>
        <v>0</v>
      </c>
      <c r="O1166" s="79">
        <f>SUM(F1166:I1166)+SUM(M1166:N1166)</f>
        <v>8</v>
      </c>
      <c r="P1166" s="79">
        <f>ROUND(P96/$C96*$C1166,0)</f>
        <v>0</v>
      </c>
      <c r="Q1166" s="79">
        <f>ROUND(Q96/$C96*$C1166,0)</f>
        <v>0</v>
      </c>
      <c r="R1166" s="79">
        <f>P1166+Q1166</f>
        <v>0</v>
      </c>
      <c r="S1166" s="79">
        <v>0</v>
      </c>
      <c r="U1166" s="80">
        <f>O1166+R1166+S1166-C1166</f>
        <v>0</v>
      </c>
      <c r="W1166" s="81">
        <f>IF((O1166+R1166)=0," ",ROUND((O1166/(O1166+R1166)),7))</f>
        <v>1</v>
      </c>
      <c r="X1166" s="81">
        <f>IF((C1166)=0," ",ROUND((O1166/(C1166)),7))</f>
        <v>1</v>
      </c>
      <c r="Y1166" s="81">
        <f>IF((C1166)=0," ",ROUND((S1166/(C1166)),7))</f>
        <v>0</v>
      </c>
      <c r="Z1166" s="79"/>
      <c r="AF1166" s="79"/>
      <c r="AJ1166" s="66"/>
      <c r="AK1166" s="70"/>
    </row>
    <row r="1167" spans="1:37" hidden="1">
      <c r="W1167" s="81" t="str">
        <f>IF((P1167+Q1167)=0," ",ROUND((P1167/(P1167+Q1167)),74))</f>
        <v xml:space="preserve"> </v>
      </c>
      <c r="X1167" s="81" t="str">
        <f>IF((C1167)=0," ",ROUND((P1167/(C1167)),74))</f>
        <v xml:space="preserve"> </v>
      </c>
      <c r="Y1167" s="81" t="str">
        <f>IF((C1167)=0," ",ROUND((R1167/(C1167)),7))</f>
        <v xml:space="preserve"> </v>
      </c>
      <c r="AJ1167" s="66"/>
      <c r="AK1167" s="65"/>
    </row>
    <row r="1168" spans="1:37" hidden="1">
      <c r="A1168" s="65">
        <f>A1166+1</f>
        <v>14</v>
      </c>
      <c r="B1168" s="66" t="s">
        <v>197</v>
      </c>
      <c r="C1168" s="78">
        <v>688</v>
      </c>
      <c r="D1168" s="79">
        <f>C1168-E1168-SUM(G1168:I1168)-SUM(M1168:N1168)-R1168-S1168</f>
        <v>361</v>
      </c>
      <c r="E1168" s="79">
        <f>ROUND(E102/$C102*$C1168,0)</f>
        <v>9</v>
      </c>
      <c r="F1168" s="79">
        <f t="shared" si="572"/>
        <v>370</v>
      </c>
      <c r="G1168" s="79">
        <f t="shared" ref="G1168:L1168" si="574">ROUND(G102/$C102*$C1168,0)</f>
        <v>18</v>
      </c>
      <c r="H1168" s="79">
        <f t="shared" si="574"/>
        <v>146</v>
      </c>
      <c r="I1168" s="79">
        <f t="shared" si="574"/>
        <v>81</v>
      </c>
      <c r="J1168" s="79">
        <f t="shared" si="574"/>
        <v>48</v>
      </c>
      <c r="K1168" s="79">
        <f t="shared" si="574"/>
        <v>3</v>
      </c>
      <c r="L1168" s="79">
        <f t="shared" si="574"/>
        <v>2</v>
      </c>
      <c r="M1168" s="79">
        <f>SUM(J1168:L1168)</f>
        <v>53</v>
      </c>
      <c r="N1168" s="79">
        <f>ROUND(N102/$C102*$C1168,0)</f>
        <v>3</v>
      </c>
      <c r="O1168" s="79">
        <f>SUM(F1168:I1168)+SUM(M1168:N1168)</f>
        <v>671</v>
      </c>
      <c r="P1168" s="79">
        <f>ROUND(P102/$C102*$C1168,0)</f>
        <v>15</v>
      </c>
      <c r="Q1168" s="79">
        <f>ROUND(Q102/$C102*$C1168,0)</f>
        <v>2</v>
      </c>
      <c r="R1168" s="79">
        <f>P1168+Q1168</f>
        <v>17</v>
      </c>
      <c r="S1168" s="79">
        <v>0</v>
      </c>
      <c r="U1168" s="80">
        <f>O1168+R1168+S1168-C1168</f>
        <v>0</v>
      </c>
      <c r="W1168" s="81">
        <f>IF((O1168+R1168)=0," ",ROUND((O1168/(O1168+R1168)),7))</f>
        <v>0.97529069999999995</v>
      </c>
      <c r="X1168" s="81">
        <f>IF((C1168)=0," ",ROUND((O1168/(C1168)),7))</f>
        <v>0.97529069999999995</v>
      </c>
      <c r="Y1168" s="81">
        <f>IF((C1168)=0," ",ROUND((S1168/(C1168)),7))</f>
        <v>0</v>
      </c>
      <c r="Z1168" s="79"/>
      <c r="AF1168" s="79"/>
      <c r="AJ1168" s="66"/>
      <c r="AK1168" s="70"/>
    </row>
    <row r="1169" spans="1:37" hidden="1">
      <c r="W1169" s="81" t="str">
        <f>IF((P1169+Q1169)=0," ",ROUND((P1169/(P1169+Q1169)),74))</f>
        <v xml:space="preserve"> </v>
      </c>
      <c r="X1169" s="81" t="str">
        <f>IF((C1169)=0," ",ROUND((P1169/(C1169)),74))</f>
        <v xml:space="preserve"> </v>
      </c>
      <c r="Y1169" s="81" t="str">
        <f>IF((C1169)=0," ",ROUND((R1169/(C1169)),7))</f>
        <v xml:space="preserve"> </v>
      </c>
      <c r="AJ1169" s="66"/>
      <c r="AK1169" s="65"/>
    </row>
    <row r="1170" spans="1:37" hidden="1">
      <c r="A1170" s="65">
        <f>A1168+1</f>
        <v>15</v>
      </c>
      <c r="B1170" s="66" t="s">
        <v>199</v>
      </c>
      <c r="C1170" s="78">
        <f>6189-28</f>
        <v>6161</v>
      </c>
      <c r="D1170" s="79">
        <f>C1170-E1170-SUM(G1170:I1170)-SUM(M1170:N1170)-R1170-S1170</f>
        <v>3250</v>
      </c>
      <c r="E1170" s="79">
        <f>ROUND(E108/$C108*$C1170,0)</f>
        <v>83</v>
      </c>
      <c r="F1170" s="79">
        <f t="shared" si="572"/>
        <v>3333</v>
      </c>
      <c r="G1170" s="79">
        <f t="shared" ref="G1170:L1170" si="575">ROUND(G108/$C108*$C1170,0)</f>
        <v>163</v>
      </c>
      <c r="H1170" s="79">
        <f t="shared" si="575"/>
        <v>1316</v>
      </c>
      <c r="I1170" s="79">
        <f t="shared" si="575"/>
        <v>682</v>
      </c>
      <c r="J1170" s="79">
        <f t="shared" si="575"/>
        <v>464</v>
      </c>
      <c r="K1170" s="79">
        <f t="shared" si="575"/>
        <v>23</v>
      </c>
      <c r="L1170" s="79">
        <f t="shared" si="575"/>
        <v>14</v>
      </c>
      <c r="M1170" s="79">
        <f>SUM(J1170:L1170)</f>
        <v>501</v>
      </c>
      <c r="N1170" s="79">
        <f>ROUND(N108/$C108*$C1170,0)</f>
        <v>26</v>
      </c>
      <c r="O1170" s="79">
        <f>SUM(F1170:I1170)+SUM(M1170:N1170)</f>
        <v>6021</v>
      </c>
      <c r="P1170" s="79">
        <f>ROUND(P108/$C108*$C1170,0)</f>
        <v>129</v>
      </c>
      <c r="Q1170" s="79">
        <f>ROUND(Q108/$C108*$C1170,0)</f>
        <v>11</v>
      </c>
      <c r="R1170" s="79">
        <f>P1170+Q1170</f>
        <v>140</v>
      </c>
      <c r="S1170" s="79">
        <v>0</v>
      </c>
      <c r="U1170" s="80">
        <f>O1170+R1170+S1170-C1170</f>
        <v>0</v>
      </c>
      <c r="W1170" s="81">
        <f>IF((O1170+R1170)=0," ",ROUND((O1170/(O1170+R1170)),7))</f>
        <v>0.97727640000000005</v>
      </c>
      <c r="X1170" s="81">
        <f>IF((C1170)=0," ",ROUND((O1170/(C1170)),7))</f>
        <v>0.97727640000000005</v>
      </c>
      <c r="Y1170" s="81">
        <f>IF((C1170)=0," ",ROUND((S1170/(C1170)),7))</f>
        <v>0</v>
      </c>
      <c r="Z1170" s="79"/>
      <c r="AF1170" s="79"/>
      <c r="AJ1170" s="66"/>
      <c r="AK1170" s="70"/>
    </row>
    <row r="1171" spans="1:37" hidden="1">
      <c r="W1171" s="81" t="str">
        <f>IF((P1171+Q1171)=0," ",ROUND((P1171/(P1171+Q1171)),74))</f>
        <v xml:space="preserve"> </v>
      </c>
      <c r="X1171" s="81" t="str">
        <f>IF((C1171)=0," ",ROUND((P1171/(C1171)),74))</f>
        <v xml:space="preserve"> </v>
      </c>
      <c r="Y1171" s="81" t="str">
        <f>IF((C1171)=0," ",ROUND((R1171/(C1171)),7))</f>
        <v xml:space="preserve"> </v>
      </c>
      <c r="AJ1171" s="66"/>
      <c r="AK1171" s="65"/>
    </row>
    <row r="1172" spans="1:37" hidden="1">
      <c r="B1172" s="66" t="s">
        <v>245</v>
      </c>
      <c r="C1172" s="79"/>
      <c r="D1172" s="79"/>
      <c r="E1172" s="79"/>
      <c r="F1172" s="79"/>
      <c r="G1172" s="79"/>
      <c r="H1172" s="79"/>
      <c r="I1172" s="79"/>
      <c r="J1172" s="79"/>
      <c r="K1172" s="79"/>
      <c r="L1172" s="79"/>
      <c r="M1172" s="79"/>
      <c r="N1172" s="79"/>
      <c r="O1172" s="79"/>
      <c r="P1172" s="79"/>
      <c r="Q1172" s="79"/>
      <c r="R1172" s="79"/>
      <c r="S1172" s="79"/>
      <c r="U1172" s="80"/>
      <c r="W1172" s="81" t="str">
        <f>IF((P1172+Q1172)=0," ",ROUND((P1172/(P1172+Q1172)),74))</f>
        <v xml:space="preserve"> </v>
      </c>
      <c r="X1172" s="81" t="str">
        <f>IF((C1172)=0," ",ROUND((P1172/(C1172)),74))</f>
        <v xml:space="preserve"> </v>
      </c>
      <c r="Y1172" s="81" t="str">
        <f>IF((C1172)=0," ",ROUND((R1172/(C1172)),7))</f>
        <v xml:space="preserve"> </v>
      </c>
      <c r="Z1172" s="79"/>
      <c r="AF1172" s="79"/>
      <c r="AJ1172" s="66"/>
      <c r="AK1172" s="65"/>
    </row>
    <row r="1173" spans="1:37" hidden="1">
      <c r="A1173" s="65">
        <f>A1170+1</f>
        <v>16</v>
      </c>
      <c r="B1173" s="66" t="s">
        <v>246</v>
      </c>
      <c r="C1173" s="79">
        <f>ROUND((C111+C113)/C115*C1175,0)</f>
        <v>1643</v>
      </c>
      <c r="D1173" s="79">
        <f>C1173-E1173-SUM(G1173:I1173)-SUM(M1173:N1173)-R1173-S1173</f>
        <v>942</v>
      </c>
      <c r="E1173" s="79">
        <f>ROUND((E111+E113)/($C111+$C113)*$C1173,0)</f>
        <v>31</v>
      </c>
      <c r="F1173" s="79">
        <f t="shared" si="572"/>
        <v>973</v>
      </c>
      <c r="G1173" s="79">
        <f t="shared" ref="G1173:L1173" si="576">ROUND((G111+G113)/($C111+$C113)*$C1173,0)</f>
        <v>50</v>
      </c>
      <c r="H1173" s="79">
        <f t="shared" si="576"/>
        <v>379</v>
      </c>
      <c r="I1173" s="79">
        <f t="shared" si="576"/>
        <v>145</v>
      </c>
      <c r="J1173" s="79">
        <f t="shared" si="576"/>
        <v>54</v>
      </c>
      <c r="K1173" s="79">
        <f t="shared" si="576"/>
        <v>15</v>
      </c>
      <c r="L1173" s="79">
        <f t="shared" si="576"/>
        <v>3</v>
      </c>
      <c r="M1173" s="79">
        <f>SUM(J1173:L1173)</f>
        <v>72</v>
      </c>
      <c r="N1173" s="79">
        <f>ROUND((N111+N113)/($C111+$C113)*$C1173,0)</f>
        <v>24</v>
      </c>
      <c r="O1173" s="79">
        <f>SUM(F1173:I1173)+SUM(M1173:N1173)</f>
        <v>1643</v>
      </c>
      <c r="P1173" s="79">
        <f>ROUND((P111+P113)/($C111+$C113)*$C1173,0)</f>
        <v>0</v>
      </c>
      <c r="Q1173" s="79">
        <f>ROUND((Q111+Q113)/($C111+$C113)*$C1173,0)</f>
        <v>0</v>
      </c>
      <c r="R1173" s="79">
        <f>P1173+Q1173</f>
        <v>0</v>
      </c>
      <c r="S1173" s="79">
        <v>0</v>
      </c>
      <c r="U1173" s="80">
        <f>O1173+R1173+S1173-C1173</f>
        <v>0</v>
      </c>
      <c r="W1173" s="81">
        <f>IF((O1173+R1173)=0," ",ROUND((O1173/(O1173+R1173)),7))</f>
        <v>1</v>
      </c>
      <c r="X1173" s="81">
        <f>IF((C1173)=0," ",ROUND((O1173/(C1173)),7))</f>
        <v>1</v>
      </c>
      <c r="Y1173" s="81">
        <f>IF((C1173)=0," ",ROUND((S1173/(C1173)),7))</f>
        <v>0</v>
      </c>
      <c r="Z1173" s="79"/>
      <c r="AF1173" s="79"/>
      <c r="AJ1173" s="66"/>
      <c r="AK1173" s="70"/>
    </row>
    <row r="1174" spans="1:37" hidden="1">
      <c r="A1174" s="65">
        <f>A1173+1</f>
        <v>17</v>
      </c>
      <c r="B1174" s="66" t="s">
        <v>44</v>
      </c>
      <c r="C1174" s="79">
        <f>C1175-C1173</f>
        <v>3077</v>
      </c>
      <c r="D1174" s="79">
        <f>C1174-E1174-SUM(G1174:I1174)-SUM(M1174:N1174)-R1174-S1174</f>
        <v>2600</v>
      </c>
      <c r="E1174" s="79">
        <f>E1175-E1173</f>
        <v>73</v>
      </c>
      <c r="F1174" s="79">
        <f t="shared" si="572"/>
        <v>2673</v>
      </c>
      <c r="G1174" s="79">
        <f t="shared" ref="G1174:I1174" si="577">G1175-G1173</f>
        <v>206</v>
      </c>
      <c r="H1174" s="79">
        <f t="shared" si="577"/>
        <v>123</v>
      </c>
      <c r="I1174" s="79">
        <f t="shared" si="577"/>
        <v>2</v>
      </c>
      <c r="J1174" s="79">
        <f>J1175-J1173</f>
        <v>0</v>
      </c>
      <c r="K1174" s="79">
        <f>K1175-K1173</f>
        <v>0</v>
      </c>
      <c r="L1174" s="79">
        <f>L1175-L1173</f>
        <v>0</v>
      </c>
      <c r="M1174" s="79">
        <f>SUM(J1174:L1174)</f>
        <v>0</v>
      </c>
      <c r="N1174" s="79">
        <f>N1175-N1173</f>
        <v>73</v>
      </c>
      <c r="O1174" s="79">
        <f>SUM(F1174:I1174)+SUM(M1174:N1174)</f>
        <v>3077</v>
      </c>
      <c r="P1174" s="79">
        <f>P1175-P1173</f>
        <v>0</v>
      </c>
      <c r="Q1174" s="79">
        <f>Q1175-Q1173</f>
        <v>0</v>
      </c>
      <c r="R1174" s="79">
        <f>P1174+Q1174</f>
        <v>0</v>
      </c>
      <c r="S1174" s="79">
        <v>0</v>
      </c>
      <c r="U1174" s="80">
        <f>O1174+R1174+S1174-C1174</f>
        <v>0</v>
      </c>
      <c r="W1174" s="81">
        <f>IF((O1174+R1174)=0," ",ROUND((O1174/(O1174+R1174)),7))</f>
        <v>1</v>
      </c>
      <c r="X1174" s="81">
        <f>IF((C1174)=0," ",ROUND((O1174/(C1174)),7))</f>
        <v>1</v>
      </c>
      <c r="Y1174" s="81">
        <f>IF((C1174)=0," ",ROUND((S1174/(C1174)),7))</f>
        <v>0</v>
      </c>
      <c r="Z1174" s="79"/>
      <c r="AF1174" s="79"/>
      <c r="AJ1174" s="66"/>
      <c r="AK1174" s="70"/>
    </row>
    <row r="1175" spans="1:37" hidden="1">
      <c r="A1175" s="65">
        <f>A1174+1</f>
        <v>18</v>
      </c>
      <c r="B1175" s="66" t="s">
        <v>55</v>
      </c>
      <c r="C1175" s="78">
        <v>4720</v>
      </c>
      <c r="D1175" s="79">
        <f>C1175-E1175-SUM(G1175:I1175)-SUM(M1175:N1175)-R1175-S1175</f>
        <v>3542</v>
      </c>
      <c r="E1175" s="79">
        <f>ROUND(E115/$C115*$C1175,0)</f>
        <v>104</v>
      </c>
      <c r="F1175" s="79">
        <f t="shared" si="572"/>
        <v>3646</v>
      </c>
      <c r="G1175" s="79">
        <f t="shared" ref="G1175:L1175" si="578">ROUND(G115/$C115*$C1175,0)</f>
        <v>256</v>
      </c>
      <c r="H1175" s="79">
        <f t="shared" si="578"/>
        <v>502</v>
      </c>
      <c r="I1175" s="79">
        <f t="shared" si="578"/>
        <v>147</v>
      </c>
      <c r="J1175" s="79">
        <f t="shared" si="578"/>
        <v>54</v>
      </c>
      <c r="K1175" s="79">
        <f t="shared" si="578"/>
        <v>15</v>
      </c>
      <c r="L1175" s="79">
        <f t="shared" si="578"/>
        <v>3</v>
      </c>
      <c r="M1175" s="79">
        <f>SUM(J1175:L1175)</f>
        <v>72</v>
      </c>
      <c r="N1175" s="79">
        <f>ROUND(N115/$C115*$C1175,0)</f>
        <v>97</v>
      </c>
      <c r="O1175" s="79">
        <f>SUM(F1175:I1175)+SUM(M1175:N1175)</f>
        <v>4720</v>
      </c>
      <c r="P1175" s="79">
        <f>ROUND(P115/$C115*$C1175,0)</f>
        <v>0</v>
      </c>
      <c r="Q1175" s="79">
        <f>ROUND(Q115/$C115*$C1175,0)</f>
        <v>0</v>
      </c>
      <c r="R1175" s="79">
        <f>P1175+Q1175</f>
        <v>0</v>
      </c>
      <c r="S1175" s="79">
        <v>0</v>
      </c>
      <c r="U1175" s="80">
        <f>O1175+R1175+S1175-C1175</f>
        <v>0</v>
      </c>
      <c r="W1175" s="81">
        <f>IF((O1175+R1175)=0," ",ROUND((O1175/(O1175+R1175)),7))</f>
        <v>1</v>
      </c>
      <c r="X1175" s="81">
        <f>IF((C1175)=0," ",ROUND((O1175/(C1175)),7))</f>
        <v>1</v>
      </c>
      <c r="Y1175" s="81">
        <f>IF((C1175)=0," ",ROUND((S1175/(C1175)),7))</f>
        <v>0</v>
      </c>
      <c r="Z1175" s="79"/>
      <c r="AF1175" s="79"/>
      <c r="AJ1175" s="66"/>
      <c r="AK1175" s="65"/>
    </row>
    <row r="1176" spans="1:37" hidden="1">
      <c r="B1176" s="72"/>
      <c r="C1176" s="79"/>
      <c r="H1176" s="65" t="s">
        <v>80</v>
      </c>
      <c r="I1176" s="79"/>
      <c r="J1176" s="79"/>
      <c r="K1176" s="79"/>
      <c r="L1176" s="79"/>
      <c r="M1176" s="79"/>
      <c r="Q1176" s="65" t="s">
        <v>80</v>
      </c>
      <c r="R1176" s="79"/>
      <c r="S1176" s="65"/>
      <c r="W1176" s="81"/>
      <c r="X1176" s="81"/>
      <c r="Y1176" s="81"/>
      <c r="Z1176" s="65"/>
      <c r="AJ1176" s="66"/>
      <c r="AK1176" s="65"/>
    </row>
    <row r="1177" spans="1:37" hidden="1">
      <c r="C1177" s="79"/>
      <c r="H1177" s="70" t="str">
        <f>$H$24</f>
        <v>12 MONTHS ENDING DECEMBER 31, 2012</v>
      </c>
      <c r="I1177" s="79"/>
      <c r="J1177" s="79"/>
      <c r="K1177" s="79"/>
      <c r="L1177" s="79"/>
      <c r="M1177" s="79"/>
      <c r="N1177" s="79"/>
      <c r="Q1177" s="70" t="str">
        <f>$H$24</f>
        <v>12 MONTHS ENDING DECEMBER 31, 2012</v>
      </c>
      <c r="R1177" s="79"/>
      <c r="S1177" s="79"/>
      <c r="U1177" s="80"/>
      <c r="W1177" s="81"/>
      <c r="X1177" s="81"/>
      <c r="Y1177" s="81"/>
      <c r="Z1177" s="70"/>
      <c r="AJ1177" s="66"/>
      <c r="AK1177" s="65"/>
    </row>
    <row r="1178" spans="1:37" hidden="1">
      <c r="C1178" s="79"/>
      <c r="H1178" s="70" t="str">
        <f>$H$25</f>
        <v>12/13 DEMAND ALLOCATION WITH MDS METHODOLOGY</v>
      </c>
      <c r="Q1178" s="70" t="str">
        <f>$H$25</f>
        <v>12/13 DEMAND ALLOCATION WITH MDS METHODOLOGY</v>
      </c>
      <c r="R1178" s="79"/>
      <c r="S1178" s="79"/>
      <c r="W1178" s="81"/>
      <c r="X1178" s="81"/>
      <c r="Y1178" s="81"/>
      <c r="Z1178" s="70"/>
      <c r="AJ1178" s="66"/>
      <c r="AK1178" s="65"/>
    </row>
    <row r="1179" spans="1:37" hidden="1">
      <c r="C1179" s="79"/>
      <c r="H1179" s="87" t="s">
        <v>106</v>
      </c>
      <c r="J1179" s="79"/>
      <c r="K1179" s="79"/>
      <c r="L1179" s="79"/>
      <c r="M1179" s="79"/>
      <c r="N1179" s="79"/>
      <c r="Q1179" s="87" t="s">
        <v>106</v>
      </c>
      <c r="S1179" s="79"/>
      <c r="U1179" s="80"/>
      <c r="X1179" s="81"/>
      <c r="Y1179" s="81"/>
      <c r="Z1179" s="87"/>
      <c r="AF1179" s="79"/>
      <c r="AJ1179" s="66"/>
      <c r="AK1179" s="65"/>
    </row>
    <row r="1180" spans="1:37" hidden="1">
      <c r="C1180" s="79"/>
      <c r="H1180" s="87" t="s">
        <v>114</v>
      </c>
      <c r="J1180" s="79"/>
      <c r="K1180" s="79"/>
      <c r="L1180" s="79"/>
      <c r="M1180" s="79"/>
      <c r="N1180" s="79"/>
      <c r="Q1180" s="87" t="s">
        <v>114</v>
      </c>
      <c r="S1180" s="79"/>
      <c r="U1180" s="80"/>
      <c r="X1180" s="81"/>
      <c r="Y1180" s="81"/>
      <c r="Z1180" s="87"/>
      <c r="AF1180" s="79"/>
      <c r="AJ1180" s="66"/>
      <c r="AK1180" s="65"/>
    </row>
    <row r="1181" spans="1:37" hidden="1">
      <c r="C1181" s="65" t="s">
        <v>59</v>
      </c>
      <c r="K1181" s="65"/>
      <c r="L1181" s="65"/>
      <c r="M1181" s="65"/>
      <c r="O1181" s="65" t="s">
        <v>59</v>
      </c>
      <c r="P1181" s="65"/>
      <c r="Q1181" s="65"/>
      <c r="R1181" s="65"/>
      <c r="S1181" s="65" t="s">
        <v>115</v>
      </c>
      <c r="W1181" s="76" t="s">
        <v>116</v>
      </c>
      <c r="X1181" s="76" t="s">
        <v>116</v>
      </c>
      <c r="Y1181" s="76" t="s">
        <v>117</v>
      </c>
      <c r="AF1181" s="65"/>
      <c r="AJ1181" s="66"/>
      <c r="AK1181" s="65"/>
    </row>
    <row r="1182" spans="1:37" hidden="1">
      <c r="A1182" s="65" t="s">
        <v>118</v>
      </c>
      <c r="C1182" s="65" t="s">
        <v>58</v>
      </c>
      <c r="D1182" s="70" t="s">
        <v>119</v>
      </c>
      <c r="E1182" s="70" t="s">
        <v>119</v>
      </c>
      <c r="F1182" s="70" t="s">
        <v>119</v>
      </c>
      <c r="G1182" s="70" t="s">
        <v>119</v>
      </c>
      <c r="H1182" s="70" t="s">
        <v>119</v>
      </c>
      <c r="I1182" s="70" t="s">
        <v>119</v>
      </c>
      <c r="J1182" s="70" t="s">
        <v>119</v>
      </c>
      <c r="K1182" s="70" t="s">
        <v>119</v>
      </c>
      <c r="L1182" s="70" t="s">
        <v>119</v>
      </c>
      <c r="M1182" s="70" t="s">
        <v>119</v>
      </c>
      <c r="N1182" s="70" t="s">
        <v>119</v>
      </c>
      <c r="O1182" s="65" t="s">
        <v>116</v>
      </c>
      <c r="P1182" s="65"/>
      <c r="Q1182" s="70" t="s">
        <v>120</v>
      </c>
      <c r="R1182" s="65"/>
      <c r="S1182" s="65" t="s">
        <v>121</v>
      </c>
      <c r="W1182" s="76" t="s">
        <v>122</v>
      </c>
      <c r="X1182" s="76" t="s">
        <v>123</v>
      </c>
      <c r="Y1182" s="76" t="s">
        <v>124</v>
      </c>
      <c r="Z1182" s="65"/>
      <c r="AF1182" s="70"/>
      <c r="AJ1182" s="66"/>
      <c r="AK1182" s="65"/>
    </row>
    <row r="1183" spans="1:37" hidden="1">
      <c r="A1183" s="65" t="s">
        <v>125</v>
      </c>
      <c r="B1183" s="65" t="s">
        <v>126</v>
      </c>
      <c r="C1183" s="65" t="s">
        <v>57</v>
      </c>
      <c r="D1183" s="70" t="s">
        <v>127</v>
      </c>
      <c r="E1183" s="70" t="s">
        <v>128</v>
      </c>
      <c r="F1183" s="70" t="s">
        <v>129</v>
      </c>
      <c r="G1183" s="70" t="s">
        <v>130</v>
      </c>
      <c r="H1183" s="70" t="s">
        <v>131</v>
      </c>
      <c r="I1183" s="65" t="s">
        <v>132</v>
      </c>
      <c r="J1183" s="70" t="s">
        <v>133</v>
      </c>
      <c r="K1183" s="70" t="s">
        <v>134</v>
      </c>
      <c r="L1183" s="70" t="s">
        <v>135</v>
      </c>
      <c r="M1183" s="70" t="s">
        <v>136</v>
      </c>
      <c r="N1183" s="70" t="s">
        <v>137</v>
      </c>
      <c r="O1183" s="65" t="s">
        <v>138</v>
      </c>
      <c r="P1183" s="70" t="s">
        <v>139</v>
      </c>
      <c r="Q1183" s="70" t="s">
        <v>140</v>
      </c>
      <c r="R1183" s="65" t="s">
        <v>122</v>
      </c>
      <c r="S1183" s="65" t="s">
        <v>141</v>
      </c>
      <c r="U1183" s="65" t="s">
        <v>162</v>
      </c>
      <c r="W1183" s="76" t="s">
        <v>142</v>
      </c>
      <c r="X1183" s="76" t="s">
        <v>142</v>
      </c>
      <c r="Y1183" s="76" t="s">
        <v>142</v>
      </c>
      <c r="Z1183" s="65"/>
      <c r="AF1183" s="70"/>
      <c r="AJ1183" s="66"/>
      <c r="AK1183" s="65"/>
    </row>
    <row r="1184" spans="1:37" hidden="1">
      <c r="A1184" s="65" t="s">
        <v>143</v>
      </c>
      <c r="B1184" s="65" t="s">
        <v>144</v>
      </c>
      <c r="C1184" s="65" t="s">
        <v>145</v>
      </c>
      <c r="D1184" s="70" t="s">
        <v>146</v>
      </c>
      <c r="E1184" s="70" t="s">
        <v>147</v>
      </c>
      <c r="F1184" s="70" t="s">
        <v>148</v>
      </c>
      <c r="G1184" s="65" t="s">
        <v>149</v>
      </c>
      <c r="H1184" s="65" t="s">
        <v>150</v>
      </c>
      <c r="I1184" s="65" t="s">
        <v>151</v>
      </c>
      <c r="J1184" s="70" t="s">
        <v>152</v>
      </c>
      <c r="K1184" s="70" t="s">
        <v>153</v>
      </c>
      <c r="L1184" s="70" t="s">
        <v>154</v>
      </c>
      <c r="M1184" s="70" t="s">
        <v>155</v>
      </c>
      <c r="N1184" s="70" t="s">
        <v>156</v>
      </c>
      <c r="O1184" s="70" t="s">
        <v>157</v>
      </c>
      <c r="P1184" s="70" t="s">
        <v>158</v>
      </c>
      <c r="Q1184" s="70" t="s">
        <v>159</v>
      </c>
      <c r="R1184" s="70" t="s">
        <v>160</v>
      </c>
      <c r="S1184" s="70" t="s">
        <v>161</v>
      </c>
      <c r="W1184" s="77" t="s">
        <v>163</v>
      </c>
      <c r="X1184" s="77" t="s">
        <v>164</v>
      </c>
      <c r="Y1184" s="76" t="s">
        <v>165</v>
      </c>
      <c r="Z1184" s="70"/>
      <c r="AF1184" s="76"/>
      <c r="AJ1184" s="66"/>
      <c r="AK1184" s="70"/>
    </row>
    <row r="1185" spans="1:37" hidden="1">
      <c r="C1185" s="79"/>
      <c r="D1185" s="79"/>
      <c r="E1185" s="79"/>
      <c r="F1185" s="79"/>
      <c r="G1185" s="79"/>
      <c r="H1185" s="79"/>
      <c r="I1185" s="79"/>
      <c r="J1185" s="79"/>
      <c r="K1185" s="79"/>
      <c r="L1185" s="79"/>
      <c r="M1185" s="79"/>
      <c r="N1185" s="79"/>
      <c r="O1185" s="79"/>
      <c r="P1185" s="79"/>
      <c r="Q1185" s="79"/>
      <c r="R1185" s="79"/>
      <c r="S1185" s="79"/>
      <c r="U1185" s="80"/>
      <c r="W1185" s="81" t="str">
        <f>IF((P1185+Q1185)=0," ",ROUND((P1185/(P1185+Q1185)),74))</f>
        <v xml:space="preserve"> </v>
      </c>
      <c r="X1185" s="81" t="str">
        <f>IF((C1185)=0," ",ROUND((P1185/(C1185)),74))</f>
        <v xml:space="preserve"> </v>
      </c>
      <c r="Y1185" s="81" t="str">
        <f>IF((C1185)=0," ",ROUND((R1185/(C1185)),7))</f>
        <v xml:space="preserve"> </v>
      </c>
      <c r="Z1185" s="79"/>
      <c r="AF1185" s="79"/>
      <c r="AJ1185" s="66"/>
      <c r="AK1185" s="65"/>
    </row>
    <row r="1186" spans="1:37" hidden="1">
      <c r="B1186" s="66" t="s">
        <v>247</v>
      </c>
      <c r="Y1186" s="65"/>
      <c r="AJ1186" s="66"/>
    </row>
    <row r="1187" spans="1:37" hidden="1">
      <c r="A1187" s="65">
        <f>A1175+1</f>
        <v>19</v>
      </c>
      <c r="B1187" s="66" t="s">
        <v>39</v>
      </c>
      <c r="C1187" s="79">
        <f>ROUND((C118+C120)/$C$122*C1189,0)</f>
        <v>3988</v>
      </c>
      <c r="D1187" s="79">
        <f>C1187-E1187-SUM(G1187:I1187)-SUM(M1187:N1187)-R1187-S1187</f>
        <v>2287</v>
      </c>
      <c r="E1187" s="79">
        <f>ROUND((E118+E120)/($C118+$C$120)*$C1187,0)</f>
        <v>76</v>
      </c>
      <c r="F1187" s="79">
        <f>D1187+E1187</f>
        <v>2363</v>
      </c>
      <c r="G1187" s="79">
        <f t="shared" ref="G1187:L1187" si="579">ROUND((G118+G120)/($C118+$C$120)*$C1187,0)</f>
        <v>122</v>
      </c>
      <c r="H1187" s="79">
        <f t="shared" si="579"/>
        <v>920</v>
      </c>
      <c r="I1187" s="79">
        <f t="shared" si="579"/>
        <v>352</v>
      </c>
      <c r="J1187" s="79">
        <f t="shared" si="579"/>
        <v>131</v>
      </c>
      <c r="K1187" s="79">
        <f t="shared" si="579"/>
        <v>35</v>
      </c>
      <c r="L1187" s="79">
        <f t="shared" si="579"/>
        <v>6</v>
      </c>
      <c r="M1187" s="79">
        <f>SUM(J1187:L1187)</f>
        <v>172</v>
      </c>
      <c r="N1187" s="79">
        <f>ROUND((N118+N120)/($C118+$C$120)*$C1187,0)</f>
        <v>59</v>
      </c>
      <c r="O1187" s="79">
        <f>SUM(F1187:I1187)+SUM(M1187:N1187)</f>
        <v>3988</v>
      </c>
      <c r="P1187" s="79">
        <f>ROUND((P118+P120)/($C118+$C$120)*$C1187,0)</f>
        <v>0</v>
      </c>
      <c r="Q1187" s="79">
        <f>ROUND((Q118+Q120)/($C118+$C$120)*$C1187,0)</f>
        <v>0</v>
      </c>
      <c r="R1187" s="79">
        <f>P1187+Q1187</f>
        <v>0</v>
      </c>
      <c r="S1187" s="79">
        <v>0</v>
      </c>
      <c r="U1187" s="80">
        <f>O1187+R1187+S1187-C1187</f>
        <v>0</v>
      </c>
      <c r="W1187" s="81">
        <f>IF((O1187+R1187)=0," ",ROUND((O1187/(O1187+R1187)),7))</f>
        <v>1</v>
      </c>
      <c r="X1187" s="81">
        <f>IF((C1187)=0," ",ROUND((O1187/(C1187)),7))</f>
        <v>1</v>
      </c>
      <c r="Y1187" s="81">
        <f>IF((C1187)=0," ",ROUND((S1187/(C1187)),7))</f>
        <v>0</v>
      </c>
      <c r="Z1187" s="79"/>
      <c r="AF1187" s="79"/>
      <c r="AJ1187" s="66"/>
      <c r="AK1187" s="70"/>
    </row>
    <row r="1188" spans="1:37" hidden="1">
      <c r="A1188" s="65">
        <f>A1187+1</f>
        <v>20</v>
      </c>
      <c r="B1188" s="66" t="s">
        <v>44</v>
      </c>
      <c r="C1188" s="79">
        <f>C1189-C1187</f>
        <v>606</v>
      </c>
      <c r="D1188" s="79">
        <f>C1188-E1188-SUM(G1188:I1188)-SUM(M1188:N1188)-R1188-S1188</f>
        <v>514</v>
      </c>
      <c r="E1188" s="79">
        <f>E1189-E1187</f>
        <v>14</v>
      </c>
      <c r="F1188" s="79">
        <f>D1188+E1188</f>
        <v>528</v>
      </c>
      <c r="G1188" s="79">
        <f t="shared" ref="G1188:L1188" si="580">G1189-G1187</f>
        <v>40</v>
      </c>
      <c r="H1188" s="79">
        <f t="shared" si="580"/>
        <v>24</v>
      </c>
      <c r="I1188" s="79">
        <f t="shared" si="580"/>
        <v>0</v>
      </c>
      <c r="J1188" s="79">
        <f t="shared" si="580"/>
        <v>0</v>
      </c>
      <c r="K1188" s="79">
        <f t="shared" si="580"/>
        <v>0</v>
      </c>
      <c r="L1188" s="79">
        <f t="shared" si="580"/>
        <v>0</v>
      </c>
      <c r="M1188" s="79">
        <f>SUM(J1188:L1188)</f>
        <v>0</v>
      </c>
      <c r="N1188" s="79">
        <f>N1189-N1187</f>
        <v>14</v>
      </c>
      <c r="O1188" s="79">
        <f>SUM(F1188:I1188)+SUM(M1188:N1188)</f>
        <v>606</v>
      </c>
      <c r="P1188" s="79">
        <f>P1189-P1187</f>
        <v>0</v>
      </c>
      <c r="Q1188" s="79">
        <f>Q1189-Q1187</f>
        <v>0</v>
      </c>
      <c r="R1188" s="79">
        <f>P1188+Q1188</f>
        <v>0</v>
      </c>
      <c r="S1188" s="79">
        <v>0</v>
      </c>
      <c r="U1188" s="80">
        <f>O1188+R1188+S1188-C1188</f>
        <v>0</v>
      </c>
      <c r="W1188" s="81">
        <f>IF((O1188+R1188)=0," ",ROUND((O1188/(O1188+R1188)),7))</f>
        <v>1</v>
      </c>
      <c r="X1188" s="81">
        <f>IF((C1188)=0," ",ROUND((O1188/(C1188)),7))</f>
        <v>1</v>
      </c>
      <c r="Y1188" s="81">
        <f>IF((C1188)=0," ",ROUND((S1188/(C1188)),7))</f>
        <v>0</v>
      </c>
      <c r="Z1188" s="79"/>
      <c r="AF1188" s="79"/>
      <c r="AJ1188" s="66"/>
      <c r="AK1188" s="70"/>
    </row>
    <row r="1189" spans="1:37" hidden="1">
      <c r="A1189" s="65">
        <f>A1188+1</f>
        <v>21</v>
      </c>
      <c r="B1189" s="66" t="s">
        <v>53</v>
      </c>
      <c r="C1189" s="78">
        <v>4594</v>
      </c>
      <c r="D1189" s="79">
        <f>C1189-E1189-SUM(G1189:I1189)-SUM(M1189:N1189)-R1189-S1189</f>
        <v>2801</v>
      </c>
      <c r="E1189" s="79">
        <f>ROUND(E122/$C122*$C1189,0)</f>
        <v>90</v>
      </c>
      <c r="F1189" s="79">
        <f>D1189+E1189</f>
        <v>2891</v>
      </c>
      <c r="G1189" s="79">
        <f t="shared" ref="G1189:L1189" si="581">ROUND(G122/$C122*$C1189,0)</f>
        <v>162</v>
      </c>
      <c r="H1189" s="79">
        <f t="shared" si="581"/>
        <v>944</v>
      </c>
      <c r="I1189" s="79">
        <f t="shared" si="581"/>
        <v>352</v>
      </c>
      <c r="J1189" s="79">
        <f t="shared" si="581"/>
        <v>131</v>
      </c>
      <c r="K1189" s="79">
        <f t="shared" si="581"/>
        <v>35</v>
      </c>
      <c r="L1189" s="79">
        <f t="shared" si="581"/>
        <v>6</v>
      </c>
      <c r="M1189" s="79">
        <f>SUM(J1189:L1189)</f>
        <v>172</v>
      </c>
      <c r="N1189" s="79">
        <f>ROUND(N122/$C122*$C1189,0)</f>
        <v>73</v>
      </c>
      <c r="O1189" s="79">
        <f>SUM(F1189:I1189)+SUM(M1189:N1189)</f>
        <v>4594</v>
      </c>
      <c r="P1189" s="79">
        <f>ROUND(P122/$C122*$C1189,0)</f>
        <v>0</v>
      </c>
      <c r="Q1189" s="79">
        <f>ROUND(Q122/$C122*$C1189,0)</f>
        <v>0</v>
      </c>
      <c r="R1189" s="79">
        <f>P1189+Q1189</f>
        <v>0</v>
      </c>
      <c r="S1189" s="79">
        <v>0</v>
      </c>
      <c r="U1189" s="80">
        <f>O1189+R1189+S1189-C1189</f>
        <v>0</v>
      </c>
      <c r="W1189" s="81">
        <f>IF((O1189+R1189)=0," ",ROUND((O1189/(O1189+R1189)),7))</f>
        <v>1</v>
      </c>
      <c r="X1189" s="81">
        <f>IF((C1189)=0," ",ROUND((O1189/(C1189)),7))</f>
        <v>1</v>
      </c>
      <c r="Y1189" s="81">
        <f>IF((C1189)=0," ",ROUND((S1189/(C1189)),7))</f>
        <v>0</v>
      </c>
      <c r="Z1189" s="79"/>
      <c r="AF1189" s="79"/>
      <c r="AJ1189" s="66"/>
      <c r="AK1189" s="65"/>
    </row>
    <row r="1190" spans="1:37" hidden="1">
      <c r="W1190" s="81" t="str">
        <f>IF((P1190+Q1190)=0," ",ROUND((P1190/(P1190+Q1190)),74))</f>
        <v xml:space="preserve"> </v>
      </c>
      <c r="X1190" s="81" t="str">
        <f>IF((C1190)=0," ",ROUND((P1190/(C1190)),74))</f>
        <v xml:space="preserve"> </v>
      </c>
      <c r="Y1190" s="81" t="str">
        <f>IF((C1190)=0," ",ROUND((R1190/(C1190)),7))</f>
        <v xml:space="preserve"> </v>
      </c>
      <c r="AJ1190" s="66"/>
      <c r="AK1190" s="65"/>
    </row>
    <row r="1191" spans="1:37" hidden="1">
      <c r="B1191" s="66" t="s">
        <v>248</v>
      </c>
      <c r="C1191" s="79"/>
      <c r="D1191" s="79"/>
      <c r="E1191" s="79"/>
      <c r="F1191" s="79"/>
      <c r="G1191" s="79"/>
      <c r="H1191" s="79"/>
      <c r="I1191" s="79"/>
      <c r="J1191" s="79"/>
      <c r="K1191" s="79"/>
      <c r="L1191" s="79"/>
      <c r="M1191" s="79"/>
      <c r="N1191" s="79"/>
      <c r="O1191" s="79"/>
      <c r="P1191" s="79"/>
      <c r="Q1191" s="79"/>
      <c r="R1191" s="79"/>
      <c r="S1191" s="79"/>
      <c r="U1191" s="80"/>
      <c r="W1191" s="81" t="str">
        <f>IF((P1191+Q1191)=0," ",ROUND((P1191/(P1191+Q1191)),74))</f>
        <v xml:space="preserve"> </v>
      </c>
      <c r="X1191" s="81" t="str">
        <f>IF((C1191)=0," ",ROUND((P1191/(C1191)),74))</f>
        <v xml:space="preserve"> </v>
      </c>
      <c r="Y1191" s="81" t="str">
        <f>IF((C1191)=0," ",ROUND((R1191/(C1191)),7))</f>
        <v xml:space="preserve"> </v>
      </c>
      <c r="Z1191" s="79"/>
      <c r="AF1191" s="79"/>
      <c r="AJ1191" s="66"/>
      <c r="AK1191" s="65"/>
    </row>
    <row r="1192" spans="1:37" hidden="1">
      <c r="A1192" s="65">
        <f>A1189+1</f>
        <v>22</v>
      </c>
      <c r="B1192" s="66" t="s">
        <v>246</v>
      </c>
      <c r="C1192" s="79">
        <f>ROUND((C125+C127)/C129*C1194,0)</f>
        <v>44</v>
      </c>
      <c r="D1192" s="79">
        <f>C1192-E1192-SUM(G1192:I1192)-SUM(M1192:N1192)-R1192-S1192</f>
        <v>26</v>
      </c>
      <c r="E1192" s="79">
        <f>ROUND((E125+E127)/($C125+$C$127)*$C1192,0)</f>
        <v>1</v>
      </c>
      <c r="F1192" s="79">
        <f>D1192+E1192</f>
        <v>27</v>
      </c>
      <c r="G1192" s="79">
        <f t="shared" ref="G1192:L1192" si="582">ROUND((G125+G127)/($C125+$C$127)*$C1192,0)</f>
        <v>1</v>
      </c>
      <c r="H1192" s="79">
        <f t="shared" si="582"/>
        <v>10</v>
      </c>
      <c r="I1192" s="79">
        <f t="shared" si="582"/>
        <v>4</v>
      </c>
      <c r="J1192" s="79">
        <f t="shared" si="582"/>
        <v>1</v>
      </c>
      <c r="K1192" s="79">
        <f t="shared" si="582"/>
        <v>0</v>
      </c>
      <c r="L1192" s="79">
        <f t="shared" si="582"/>
        <v>0</v>
      </c>
      <c r="M1192" s="79">
        <f>SUM(J1192:L1192)</f>
        <v>1</v>
      </c>
      <c r="N1192" s="79">
        <f>ROUND((N125+N127)/($C125+$C$127)*$C1192,0)</f>
        <v>1</v>
      </c>
      <c r="O1192" s="79">
        <f>SUM(F1192:I1192)+SUM(M1192:N1192)</f>
        <v>44</v>
      </c>
      <c r="P1192" s="79">
        <f>ROUND((P125+P127)/($C125+$C$127)*$C1192,0)</f>
        <v>0</v>
      </c>
      <c r="Q1192" s="79">
        <f>ROUND((Q125+Q127)/($C125+$C$127)*$C1192,0)</f>
        <v>0</v>
      </c>
      <c r="R1192" s="79">
        <f>P1192+Q1192</f>
        <v>0</v>
      </c>
      <c r="S1192" s="79">
        <f>ROUND((S125+S127)/($C125+$C$127)*$C1192,0)</f>
        <v>0</v>
      </c>
      <c r="U1192" s="80">
        <f>O1192+R1192+S1192-C1192</f>
        <v>0</v>
      </c>
      <c r="W1192" s="81">
        <f>IF((O1192+R1192)=0," ",ROUND((O1192/(O1192+R1192)),7))</f>
        <v>1</v>
      </c>
      <c r="X1192" s="81">
        <f>IF((C1192)=0," ",ROUND((O1192/(C1192)),7))</f>
        <v>1</v>
      </c>
      <c r="Y1192" s="81">
        <f>IF((C1192)=0," ",ROUND((S1192/(C1192)),7))</f>
        <v>0</v>
      </c>
      <c r="Z1192" s="79"/>
      <c r="AF1192" s="79"/>
      <c r="AJ1192" s="66"/>
      <c r="AK1192" s="70"/>
    </row>
    <row r="1193" spans="1:37" hidden="1">
      <c r="A1193" s="65">
        <f>A1192+1</f>
        <v>23</v>
      </c>
      <c r="B1193" s="66" t="s">
        <v>44</v>
      </c>
      <c r="C1193" s="79">
        <f>C1194-C1192</f>
        <v>2</v>
      </c>
      <c r="D1193" s="79">
        <f>C1193-E1193-SUM(G1193:I1193)-SUM(M1193:N1193)-R1193-S1193</f>
        <v>2</v>
      </c>
      <c r="E1193" s="79">
        <f>E1194-E1192</f>
        <v>0</v>
      </c>
      <c r="F1193" s="79">
        <f>D1193+E1193</f>
        <v>2</v>
      </c>
      <c r="G1193" s="79">
        <f t="shared" ref="G1193:L1193" si="583">G1194-G1192</f>
        <v>0</v>
      </c>
      <c r="H1193" s="79">
        <f t="shared" si="583"/>
        <v>0</v>
      </c>
      <c r="I1193" s="79">
        <f t="shared" si="583"/>
        <v>0</v>
      </c>
      <c r="J1193" s="79">
        <f t="shared" si="583"/>
        <v>0</v>
      </c>
      <c r="K1193" s="79">
        <f t="shared" si="583"/>
        <v>0</v>
      </c>
      <c r="L1193" s="79">
        <f t="shared" si="583"/>
        <v>0</v>
      </c>
      <c r="M1193" s="79">
        <f>SUM(J1193:L1193)</f>
        <v>0</v>
      </c>
      <c r="N1193" s="79">
        <f>N1194-N1192</f>
        <v>0</v>
      </c>
      <c r="O1193" s="79">
        <f>SUM(F1193:I1193)+SUM(M1193:N1193)</f>
        <v>2</v>
      </c>
      <c r="P1193" s="79">
        <f>P1194-P1192</f>
        <v>0</v>
      </c>
      <c r="Q1193" s="79">
        <f>Q1194-Q1192</f>
        <v>0</v>
      </c>
      <c r="R1193" s="79">
        <f>P1193+Q1193</f>
        <v>0</v>
      </c>
      <c r="S1193" s="79">
        <f>S1194-S1192</f>
        <v>0</v>
      </c>
      <c r="U1193" s="80">
        <f>O1193+R1193+S1193-C1193</f>
        <v>0</v>
      </c>
      <c r="W1193" s="81">
        <f>IF((O1193+R1193)=0," ",ROUND((O1193/(O1193+R1193)),7))</f>
        <v>1</v>
      </c>
      <c r="X1193" s="81">
        <f>IF((C1193)=0," ",ROUND((O1193/(C1193)),7))</f>
        <v>1</v>
      </c>
      <c r="Y1193" s="81">
        <f>IF((C1193)=0," ",ROUND((S1193/(C1193)),7))</f>
        <v>0</v>
      </c>
      <c r="Z1193" s="79"/>
      <c r="AF1193" s="79"/>
      <c r="AJ1193" s="66"/>
      <c r="AK1193" s="70"/>
    </row>
    <row r="1194" spans="1:37" hidden="1">
      <c r="A1194" s="65">
        <f>A1193+1</f>
        <v>24</v>
      </c>
      <c r="B1194" s="66" t="s">
        <v>51</v>
      </c>
      <c r="C1194" s="78">
        <v>46</v>
      </c>
      <c r="D1194" s="79">
        <f>C1194-E1194-SUM(G1194:I1194)-SUM(M1194:N1194)-R1194-S1194</f>
        <v>28</v>
      </c>
      <c r="E1194" s="79">
        <f>ROUND(E129/$C129*$C1194,0)</f>
        <v>1</v>
      </c>
      <c r="F1194" s="79">
        <f>D1194+E1194</f>
        <v>29</v>
      </c>
      <c r="G1194" s="79">
        <f t="shared" ref="G1194:L1194" si="584">ROUND(G129/$C129*$C1194,0)</f>
        <v>1</v>
      </c>
      <c r="H1194" s="79">
        <f t="shared" si="584"/>
        <v>10</v>
      </c>
      <c r="I1194" s="79">
        <f t="shared" si="584"/>
        <v>4</v>
      </c>
      <c r="J1194" s="79">
        <f t="shared" si="584"/>
        <v>1</v>
      </c>
      <c r="K1194" s="79">
        <f t="shared" si="584"/>
        <v>0</v>
      </c>
      <c r="L1194" s="79">
        <f t="shared" si="584"/>
        <v>0</v>
      </c>
      <c r="M1194" s="79">
        <f>SUM(J1194:L1194)</f>
        <v>1</v>
      </c>
      <c r="N1194" s="79">
        <f>ROUND(N129/$C129*$C1194,0)</f>
        <v>1</v>
      </c>
      <c r="O1194" s="79">
        <f>SUM(F1194:I1194)+SUM(M1194:N1194)</f>
        <v>46</v>
      </c>
      <c r="P1194" s="79">
        <f>ROUND(P129/$C129*$C1194,0)</f>
        <v>0</v>
      </c>
      <c r="Q1194" s="79">
        <f>ROUND(Q129/$C129*$C1194,0)</f>
        <v>0</v>
      </c>
      <c r="R1194" s="79">
        <f>P1194+Q1194</f>
        <v>0</v>
      </c>
      <c r="S1194" s="79">
        <v>0</v>
      </c>
      <c r="U1194" s="80">
        <f>O1194+R1194+S1194-C1194</f>
        <v>0</v>
      </c>
      <c r="W1194" s="81">
        <f>IF((O1194+R1194)=0," ",ROUND((O1194/(O1194+R1194)),7))</f>
        <v>1</v>
      </c>
      <c r="X1194" s="81">
        <f>IF((C1194)=0," ",ROUND((O1194/(C1194)),7))</f>
        <v>1</v>
      </c>
      <c r="Y1194" s="81">
        <f>IF((C1194)=0," ",ROUND((S1194/(C1194)),7))</f>
        <v>0</v>
      </c>
      <c r="Z1194" s="79"/>
      <c r="AF1194" s="79"/>
      <c r="AJ1194" s="66"/>
      <c r="AK1194" s="65"/>
    </row>
    <row r="1195" spans="1:37" hidden="1">
      <c r="Y1195" s="65"/>
    </row>
    <row r="1196" spans="1:37" hidden="1">
      <c r="B1196" s="71" t="s">
        <v>207</v>
      </c>
      <c r="C1196" s="79"/>
      <c r="D1196" s="79"/>
      <c r="E1196" s="79"/>
      <c r="F1196" s="79"/>
      <c r="G1196" s="79"/>
      <c r="H1196" s="79"/>
      <c r="I1196" s="79"/>
      <c r="J1196" s="79"/>
      <c r="K1196" s="79"/>
      <c r="L1196" s="79"/>
      <c r="M1196" s="79"/>
      <c r="N1196" s="79"/>
      <c r="O1196" s="79"/>
      <c r="P1196" s="79"/>
      <c r="Q1196" s="79"/>
      <c r="R1196" s="79"/>
      <c r="S1196" s="79"/>
      <c r="U1196" s="80"/>
      <c r="W1196" s="81" t="str">
        <f>IF((P1196+Q1196)=0," ",ROUND((P1196/(P1196+Q1196)),74))</f>
        <v xml:space="preserve"> </v>
      </c>
      <c r="X1196" s="81" t="str">
        <f>IF((C1196)=0," ",ROUND((P1196/(C1196)),74))</f>
        <v xml:space="preserve"> </v>
      </c>
      <c r="Y1196" s="81" t="str">
        <f>IF((C1196)=0," ",ROUND((R1196/(C1196)),7))</f>
        <v xml:space="preserve"> </v>
      </c>
      <c r="Z1196" s="79"/>
      <c r="AF1196" s="79"/>
      <c r="AJ1196" s="66"/>
      <c r="AK1196" s="65"/>
    </row>
    <row r="1197" spans="1:37" hidden="1">
      <c r="A1197" s="65">
        <f>A1194+1</f>
        <v>25</v>
      </c>
      <c r="B1197" s="66" t="s">
        <v>246</v>
      </c>
      <c r="C1197" s="79">
        <f>ROUND((C132+C134)/$C$136*C1199,0)</f>
        <v>4243</v>
      </c>
      <c r="D1197" s="79">
        <f>C1197-E1197-SUM(G1197:I1197)-SUM(M1197:N1197)-R1197-S1197</f>
        <v>2447</v>
      </c>
      <c r="E1197" s="79">
        <f>ROUND((E132+E134)/($C132+$C$134)*$C1197,0)</f>
        <v>81</v>
      </c>
      <c r="F1197" s="79">
        <f>D1197+E1197</f>
        <v>2528</v>
      </c>
      <c r="G1197" s="79">
        <f t="shared" ref="G1197:L1197" si="585">ROUND((G132+G134)/($C132+$C$134)*$C1197,0)</f>
        <v>131</v>
      </c>
      <c r="H1197" s="79">
        <f t="shared" si="585"/>
        <v>984</v>
      </c>
      <c r="I1197" s="79">
        <f t="shared" si="585"/>
        <v>369</v>
      </c>
      <c r="J1197" s="79">
        <f t="shared" si="585"/>
        <v>128</v>
      </c>
      <c r="K1197" s="79">
        <f t="shared" si="585"/>
        <v>34</v>
      </c>
      <c r="L1197" s="79">
        <f t="shared" si="585"/>
        <v>6</v>
      </c>
      <c r="M1197" s="79">
        <f>SUM(J1197:L1197)</f>
        <v>168</v>
      </c>
      <c r="N1197" s="79">
        <f>ROUND((N132+N134)/($C132+$C$134)*$C1197,0)</f>
        <v>63</v>
      </c>
      <c r="O1197" s="79">
        <f>SUM(F1197:I1197)+SUM(M1197:N1197)</f>
        <v>4243</v>
      </c>
      <c r="P1197" s="79">
        <f>ROUND((P132+P134)/($C132+$C$134)*$C1197,0)</f>
        <v>0</v>
      </c>
      <c r="Q1197" s="79">
        <f>ROUND((Q132+Q134)/($C132+$C$134)*$C1197,0)</f>
        <v>0</v>
      </c>
      <c r="R1197" s="79">
        <f>P1197+Q1197</f>
        <v>0</v>
      </c>
      <c r="S1197" s="79">
        <f>ROUND((S132+S134)/($C132+$C$134)*$C1197,0)</f>
        <v>0</v>
      </c>
      <c r="U1197" s="80">
        <f>O1197+R1197+S1197-C1197</f>
        <v>0</v>
      </c>
      <c r="W1197" s="81">
        <f>IF((O1197+R1197)=0," ",ROUND((O1197/(O1197+R1197)),7))</f>
        <v>1</v>
      </c>
      <c r="X1197" s="81">
        <f>IF((C1197)=0," ",ROUND((O1197/(C1197)),7))</f>
        <v>1</v>
      </c>
      <c r="Y1197" s="81">
        <f>IF((C1197)=0," ",ROUND((S1197/(C1197)),7))</f>
        <v>0</v>
      </c>
      <c r="Z1197" s="79"/>
      <c r="AF1197" s="79"/>
      <c r="AJ1197" s="66"/>
      <c r="AK1197" s="70"/>
    </row>
    <row r="1198" spans="1:37" hidden="1">
      <c r="A1198" s="65">
        <f>A1197+1</f>
        <v>26</v>
      </c>
      <c r="B1198" s="66" t="s">
        <v>44</v>
      </c>
      <c r="C1198" s="79">
        <f>C1199-C1197</f>
        <v>214</v>
      </c>
      <c r="D1198" s="79">
        <f>C1198-E1198-SUM(G1198:I1198)-SUM(M1198:N1198)-R1198-S1198</f>
        <v>180</v>
      </c>
      <c r="E1198" s="79">
        <f>E1199-E1197</f>
        <v>5</v>
      </c>
      <c r="F1198" s="79">
        <f>D1198+E1198</f>
        <v>185</v>
      </c>
      <c r="G1198" s="79">
        <f t="shared" ref="G1198:L1198" si="586">G1199-G1197</f>
        <v>14</v>
      </c>
      <c r="H1198" s="79">
        <f t="shared" si="586"/>
        <v>9</v>
      </c>
      <c r="I1198" s="79">
        <f t="shared" si="586"/>
        <v>1</v>
      </c>
      <c r="J1198" s="79">
        <f t="shared" si="586"/>
        <v>0</v>
      </c>
      <c r="K1198" s="79">
        <f t="shared" si="586"/>
        <v>0</v>
      </c>
      <c r="L1198" s="79">
        <f t="shared" si="586"/>
        <v>0</v>
      </c>
      <c r="M1198" s="79">
        <f>SUM(J1198:L1198)</f>
        <v>0</v>
      </c>
      <c r="N1198" s="79">
        <f>N1199-N1197</f>
        <v>5</v>
      </c>
      <c r="O1198" s="79">
        <f>SUM(F1198:I1198)+SUM(M1198:N1198)</f>
        <v>214</v>
      </c>
      <c r="P1198" s="79">
        <f>P1199-P1197</f>
        <v>0</v>
      </c>
      <c r="Q1198" s="79">
        <f>Q1199-Q1197</f>
        <v>0</v>
      </c>
      <c r="R1198" s="79">
        <f>P1198+Q1198</f>
        <v>0</v>
      </c>
      <c r="S1198" s="79">
        <f>S1199-S1197</f>
        <v>0</v>
      </c>
      <c r="U1198" s="80">
        <f>O1198+R1198+S1198-C1198</f>
        <v>0</v>
      </c>
      <c r="W1198" s="81">
        <f>IF((O1198+R1198)=0," ",ROUND((O1198/(O1198+R1198)),7))</f>
        <v>1</v>
      </c>
      <c r="X1198" s="81">
        <f>IF((C1198)=0," ",ROUND((O1198/(C1198)),7))</f>
        <v>1</v>
      </c>
      <c r="Y1198" s="81">
        <f>IF((C1198)=0," ",ROUND((S1198/(C1198)),7))</f>
        <v>0</v>
      </c>
      <c r="Z1198" s="79"/>
      <c r="AF1198" s="79"/>
      <c r="AJ1198" s="66"/>
      <c r="AK1198" s="70"/>
    </row>
    <row r="1199" spans="1:37" hidden="1">
      <c r="A1199" s="65">
        <f>A1198+1</f>
        <v>27</v>
      </c>
      <c r="B1199" s="66" t="s">
        <v>49</v>
      </c>
      <c r="C1199" s="78">
        <v>4457</v>
      </c>
      <c r="D1199" s="79">
        <f>C1199-E1199-SUM(G1199:I1199)-SUM(M1199:N1199)-R1199-S1199</f>
        <v>2627</v>
      </c>
      <c r="E1199" s="79">
        <f>ROUND(E136/$C136*$C1199,0)</f>
        <v>86</v>
      </c>
      <c r="F1199" s="79">
        <f>D1199+E1199</f>
        <v>2713</v>
      </c>
      <c r="G1199" s="79">
        <f t="shared" ref="G1199:L1199" si="587">ROUND(G136/$C136*$C1199,0)</f>
        <v>145</v>
      </c>
      <c r="H1199" s="79">
        <f t="shared" si="587"/>
        <v>993</v>
      </c>
      <c r="I1199" s="79">
        <f t="shared" si="587"/>
        <v>370</v>
      </c>
      <c r="J1199" s="79">
        <f t="shared" si="587"/>
        <v>128</v>
      </c>
      <c r="K1199" s="79">
        <f t="shared" si="587"/>
        <v>34</v>
      </c>
      <c r="L1199" s="79">
        <f t="shared" si="587"/>
        <v>6</v>
      </c>
      <c r="M1199" s="79">
        <f>SUM(J1199:L1199)</f>
        <v>168</v>
      </c>
      <c r="N1199" s="79">
        <f>ROUND(N136/$C136*$C1199,0)</f>
        <v>68</v>
      </c>
      <c r="O1199" s="79">
        <f>SUM(F1199:I1199)+SUM(M1199:N1199)</f>
        <v>4457</v>
      </c>
      <c r="P1199" s="79">
        <f>ROUND(P136/$C136*$C1199,0)</f>
        <v>0</v>
      </c>
      <c r="Q1199" s="79">
        <f>ROUND(Q136/$C136*$C1199,0)</f>
        <v>0</v>
      </c>
      <c r="R1199" s="79">
        <f>P1199+Q1199</f>
        <v>0</v>
      </c>
      <c r="S1199" s="79">
        <v>0</v>
      </c>
      <c r="U1199" s="80">
        <f>O1199+R1199+S1199-C1199</f>
        <v>0</v>
      </c>
      <c r="W1199" s="81">
        <f>IF((O1199+R1199)=0," ",ROUND((O1199/(O1199+R1199)),7))</f>
        <v>1</v>
      </c>
      <c r="X1199" s="81">
        <f>IF((C1199)=0," ",ROUND((O1199/(C1199)),7))</f>
        <v>1</v>
      </c>
      <c r="Y1199" s="81">
        <f>IF((C1199)=0," ",ROUND((S1199/(C1199)),7))</f>
        <v>0</v>
      </c>
      <c r="Z1199" s="79"/>
      <c r="AF1199" s="79"/>
      <c r="AJ1199" s="66"/>
      <c r="AK1199" s="65"/>
    </row>
    <row r="1200" spans="1:37" hidden="1">
      <c r="C1200" s="79"/>
      <c r="D1200" s="79"/>
      <c r="E1200" s="79"/>
      <c r="F1200" s="79"/>
      <c r="G1200" s="79"/>
      <c r="H1200" s="79"/>
      <c r="I1200" s="79"/>
      <c r="J1200" s="79"/>
      <c r="K1200" s="79"/>
      <c r="L1200" s="79"/>
      <c r="M1200" s="79"/>
      <c r="N1200" s="79"/>
      <c r="O1200" s="79"/>
      <c r="P1200" s="79"/>
      <c r="Q1200" s="79"/>
      <c r="R1200" s="79"/>
      <c r="S1200" s="79"/>
      <c r="U1200" s="80"/>
      <c r="W1200" s="81" t="str">
        <f>IF((P1200+Q1200)=0," ",ROUND((P1200/(P1200+Q1200)),74))</f>
        <v xml:space="preserve"> </v>
      </c>
      <c r="X1200" s="81" t="str">
        <f>IF((C1200)=0," ",ROUND((P1200/(C1200)),74))</f>
        <v xml:space="preserve"> </v>
      </c>
      <c r="Y1200" s="81" t="str">
        <f>IF((C1200)=0," ",ROUND((R1200/(C1200)),7))</f>
        <v xml:space="preserve"> </v>
      </c>
      <c r="Z1200" s="79"/>
      <c r="AF1200" s="79"/>
      <c r="AJ1200" s="66"/>
      <c r="AK1200" s="65"/>
    </row>
    <row r="1201" spans="1:37" hidden="1">
      <c r="B1201" s="66" t="s">
        <v>208</v>
      </c>
      <c r="C1201" s="79"/>
      <c r="D1201" s="79"/>
      <c r="E1201" s="79"/>
      <c r="F1201" s="79"/>
      <c r="G1201" s="79"/>
      <c r="H1201" s="79"/>
      <c r="I1201" s="79"/>
      <c r="J1201" s="79"/>
      <c r="K1201" s="79"/>
      <c r="L1201" s="79"/>
      <c r="M1201" s="79"/>
      <c r="N1201" s="79"/>
      <c r="O1201" s="79"/>
      <c r="P1201" s="79"/>
      <c r="Q1201" s="79"/>
      <c r="R1201" s="79"/>
      <c r="S1201" s="79"/>
      <c r="U1201" s="80"/>
      <c r="W1201" s="81" t="str">
        <f>IF((P1201+Q1201)=0," ",ROUND((P1201/(P1201+Q1201)),74))</f>
        <v xml:space="preserve"> </v>
      </c>
      <c r="X1201" s="81" t="str">
        <f>IF((C1201)=0," ",ROUND((P1201/(C1201)),74))</f>
        <v xml:space="preserve"> </v>
      </c>
      <c r="Y1201" s="81" t="str">
        <f>IF((C1201)=0," ",ROUND((R1201/(C1201)),7))</f>
        <v xml:space="preserve"> </v>
      </c>
      <c r="Z1201" s="79"/>
      <c r="AF1201" s="79"/>
      <c r="AJ1201" s="66"/>
      <c r="AK1201" s="65"/>
    </row>
    <row r="1202" spans="1:37" hidden="1">
      <c r="A1202" s="65">
        <f>A1199+1</f>
        <v>28</v>
      </c>
      <c r="B1202" s="66" t="s">
        <v>246</v>
      </c>
      <c r="C1202" s="79">
        <f>ROUND((C149+C151)/C153*C1204,0)</f>
        <v>6186</v>
      </c>
      <c r="D1202" s="79">
        <f t="shared" ref="D1202:D1210" si="588">C1202-E1202-SUM(G1202:I1202)-SUM(M1202:N1202)-R1202-S1202</f>
        <v>3711</v>
      </c>
      <c r="E1202" s="79">
        <f>ROUND((E149+E151)/($C$149+$C151)*$C1202,0)</f>
        <v>123</v>
      </c>
      <c r="F1202" s="79">
        <f t="shared" ref="F1202:F1210" si="589">D1202+E1202</f>
        <v>3834</v>
      </c>
      <c r="G1202" s="79">
        <f t="shared" ref="G1202:L1202" si="590">ROUND((G149+G151)/($C$149+$C151)*$C1202,0)</f>
        <v>198</v>
      </c>
      <c r="H1202" s="79">
        <f t="shared" si="590"/>
        <v>1489</v>
      </c>
      <c r="I1202" s="79">
        <f t="shared" si="590"/>
        <v>487</v>
      </c>
      <c r="J1202" s="79">
        <f t="shared" si="590"/>
        <v>64</v>
      </c>
      <c r="K1202" s="79">
        <f t="shared" si="590"/>
        <v>15</v>
      </c>
      <c r="L1202" s="79">
        <f t="shared" si="590"/>
        <v>3</v>
      </c>
      <c r="M1202" s="79">
        <f>SUM(J1202:L1202)</f>
        <v>82</v>
      </c>
      <c r="N1202" s="79">
        <f>ROUND((N149+N151)/($C$149+$C151)*$C1202,0)</f>
        <v>96</v>
      </c>
      <c r="O1202" s="79">
        <f>SUM(F1202:I1202)+SUM(M1202:N1202)</f>
        <v>6186</v>
      </c>
      <c r="P1202" s="79">
        <f>ROUND((P149+P151)/($C$149+$C151)*$C1202,0)</f>
        <v>0</v>
      </c>
      <c r="Q1202" s="79">
        <f>ROUND((Q149+Q151)/($C$149+$C151)*$C1202,0)</f>
        <v>0</v>
      </c>
      <c r="R1202" s="79">
        <f t="shared" ref="R1202:R1224" si="591">P1202+Q1202</f>
        <v>0</v>
      </c>
      <c r="S1202" s="79">
        <f>ROUND((S149+S151)/($C$149+$C151)*$C1202,0)</f>
        <v>0</v>
      </c>
      <c r="U1202" s="80">
        <f t="shared" ref="U1202:U1224" si="592">O1202+R1202+S1202-C1202</f>
        <v>0</v>
      </c>
      <c r="W1202" s="81">
        <f>IF((O1202+R1202)=0," ",ROUND((O1202/(O1202+R1202)),7))</f>
        <v>1</v>
      </c>
      <c r="X1202" s="81">
        <f>IF((C1202)=0," ",ROUND((O1202/(C1202)),7))</f>
        <v>1</v>
      </c>
      <c r="Y1202" s="81">
        <f>IF((C1202)=0," ",ROUND((S1202/(C1202)),7))</f>
        <v>0</v>
      </c>
      <c r="Z1202" s="79"/>
      <c r="AF1202" s="79"/>
      <c r="AJ1202" s="66"/>
      <c r="AK1202" s="70"/>
    </row>
    <row r="1203" spans="1:37" hidden="1">
      <c r="A1203" s="65">
        <f>A1202+1</f>
        <v>29</v>
      </c>
      <c r="B1203" s="66" t="s">
        <v>44</v>
      </c>
      <c r="C1203" s="79">
        <f>C1204-C1202</f>
        <v>2106</v>
      </c>
      <c r="D1203" s="79">
        <f t="shared" si="588"/>
        <v>1783</v>
      </c>
      <c r="E1203" s="79">
        <f>E1204-E1202</f>
        <v>49</v>
      </c>
      <c r="F1203" s="79">
        <f t="shared" si="589"/>
        <v>1832</v>
      </c>
      <c r="G1203" s="79">
        <f t="shared" ref="G1203:L1203" si="593">G1204-G1202</f>
        <v>141</v>
      </c>
      <c r="H1203" s="79">
        <f t="shared" si="593"/>
        <v>83</v>
      </c>
      <c r="I1203" s="79">
        <f t="shared" si="593"/>
        <v>1</v>
      </c>
      <c r="J1203" s="79">
        <f t="shared" si="593"/>
        <v>0</v>
      </c>
      <c r="K1203" s="79">
        <f t="shared" si="593"/>
        <v>0</v>
      </c>
      <c r="L1203" s="79">
        <f t="shared" si="593"/>
        <v>0</v>
      </c>
      <c r="M1203" s="79">
        <f t="shared" ref="M1203:M1224" si="594">SUM(J1203:L1203)</f>
        <v>0</v>
      </c>
      <c r="N1203" s="79">
        <f>N1204-N1202</f>
        <v>49</v>
      </c>
      <c r="O1203" s="79">
        <f>SUM(F1203:I1203)+SUM(M1203:N1203)</f>
        <v>2106</v>
      </c>
      <c r="P1203" s="79">
        <f>P1204-P1202</f>
        <v>0</v>
      </c>
      <c r="Q1203" s="79">
        <f>Q1204-Q1202</f>
        <v>0</v>
      </c>
      <c r="R1203" s="79">
        <f t="shared" si="591"/>
        <v>0</v>
      </c>
      <c r="S1203" s="79">
        <f>S1204-S1202</f>
        <v>0</v>
      </c>
      <c r="U1203" s="80">
        <f t="shared" si="592"/>
        <v>0</v>
      </c>
      <c r="W1203" s="81">
        <f>IF((O1203+R1203)=0," ",ROUND((O1203/(O1203+R1203)),7))</f>
        <v>1</v>
      </c>
      <c r="X1203" s="81">
        <f>IF((C1203)=0," ",ROUND((O1203/(C1203)),7))</f>
        <v>1</v>
      </c>
      <c r="Y1203" s="81">
        <f>IF((C1203)=0," ",ROUND((S1203/(C1203)),7))</f>
        <v>0</v>
      </c>
      <c r="Z1203" s="79"/>
      <c r="AF1203" s="79"/>
      <c r="AJ1203" s="66"/>
      <c r="AK1203" s="70"/>
    </row>
    <row r="1204" spans="1:37" hidden="1">
      <c r="A1204" s="65">
        <f>A1203+1</f>
        <v>30</v>
      </c>
      <c r="B1204" s="66" t="s">
        <v>37</v>
      </c>
      <c r="C1204" s="78">
        <v>8292</v>
      </c>
      <c r="D1204" s="79">
        <f t="shared" si="588"/>
        <v>5494</v>
      </c>
      <c r="E1204" s="79">
        <f>ROUND(E153/$C153*$C1204,0)</f>
        <v>172</v>
      </c>
      <c r="F1204" s="79">
        <f t="shared" si="589"/>
        <v>5666</v>
      </c>
      <c r="G1204" s="79">
        <f t="shared" ref="G1204:L1204" si="595">ROUND(G153/$C153*$C1204,0)</f>
        <v>339</v>
      </c>
      <c r="H1204" s="79">
        <f t="shared" si="595"/>
        <v>1572</v>
      </c>
      <c r="I1204" s="79">
        <f t="shared" si="595"/>
        <v>488</v>
      </c>
      <c r="J1204" s="79">
        <f t="shared" si="595"/>
        <v>64</v>
      </c>
      <c r="K1204" s="79">
        <f t="shared" si="595"/>
        <v>15</v>
      </c>
      <c r="L1204" s="79">
        <f t="shared" si="595"/>
        <v>3</v>
      </c>
      <c r="M1204" s="79">
        <f t="shared" si="594"/>
        <v>82</v>
      </c>
      <c r="N1204" s="79">
        <f>ROUND(N153/$C153*$C1204,0)</f>
        <v>145</v>
      </c>
      <c r="O1204" s="79">
        <f>SUM(F1204:I1204)+SUM(M1204:N1204)</f>
        <v>8292</v>
      </c>
      <c r="P1204" s="79">
        <f>ROUND(P153/$C153*$C1204,0)</f>
        <v>0</v>
      </c>
      <c r="Q1204" s="79">
        <f>ROUND(Q153/$C153*$C1204,0)</f>
        <v>0</v>
      </c>
      <c r="R1204" s="79">
        <f t="shared" si="591"/>
        <v>0</v>
      </c>
      <c r="S1204" s="79">
        <v>0</v>
      </c>
      <c r="U1204" s="80">
        <f t="shared" si="592"/>
        <v>0</v>
      </c>
      <c r="W1204" s="81">
        <f>IF((O1204+R1204)=0," ",ROUND((O1204/(O1204+R1204)),7))</f>
        <v>1</v>
      </c>
      <c r="X1204" s="81">
        <f>IF((C1204)=0," ",ROUND((O1204/(C1204)),7))</f>
        <v>1</v>
      </c>
      <c r="Y1204" s="81">
        <f>IF((C1204)=0," ",ROUND((S1204/(C1204)),7))</f>
        <v>0</v>
      </c>
      <c r="Z1204" s="79"/>
      <c r="AF1204" s="79"/>
      <c r="AJ1204" s="66"/>
      <c r="AK1204" s="65"/>
    </row>
    <row r="1205" spans="1:37" hidden="1">
      <c r="W1205" s="81" t="str">
        <f>IF((P1205+Q1205)=0," ",ROUND((P1205/(P1205+Q1205)),74))</f>
        <v xml:space="preserve"> </v>
      </c>
      <c r="X1205" s="81" t="str">
        <f>IF((C1205)=0," ",ROUND((P1205/(C1205)),74))</f>
        <v xml:space="preserve"> </v>
      </c>
      <c r="Y1205" s="81" t="str">
        <f>IF((C1205)=0," ",ROUND((R1205/(C1205)),7))</f>
        <v xml:space="preserve"> </v>
      </c>
      <c r="AJ1205" s="66"/>
      <c r="AK1205" s="65"/>
    </row>
    <row r="1206" spans="1:37" hidden="1">
      <c r="A1206" s="65">
        <f>A1204+1</f>
        <v>31</v>
      </c>
      <c r="B1206" s="66" t="s">
        <v>249</v>
      </c>
      <c r="C1206" s="78">
        <f>1906+1599</f>
        <v>3505</v>
      </c>
      <c r="D1206" s="79">
        <f t="shared" si="588"/>
        <v>3036</v>
      </c>
      <c r="E1206" s="79">
        <f>ROUND(E158/$C158*$C1206,0)</f>
        <v>84</v>
      </c>
      <c r="F1206" s="79">
        <f t="shared" si="589"/>
        <v>3120</v>
      </c>
      <c r="G1206" s="79">
        <f t="shared" ref="G1206:L1206" si="596">ROUND(G158/$C158*$C1206,0)</f>
        <v>240</v>
      </c>
      <c r="H1206" s="79">
        <f t="shared" si="596"/>
        <v>143</v>
      </c>
      <c r="I1206" s="79">
        <f t="shared" si="596"/>
        <v>2</v>
      </c>
      <c r="J1206" s="79">
        <f t="shared" si="596"/>
        <v>0</v>
      </c>
      <c r="K1206" s="79">
        <f t="shared" si="596"/>
        <v>0</v>
      </c>
      <c r="L1206" s="79">
        <f t="shared" si="596"/>
        <v>0</v>
      </c>
      <c r="M1206" s="79">
        <f t="shared" si="594"/>
        <v>0</v>
      </c>
      <c r="N1206" s="79">
        <f>ROUND(N158/$C158*$C1206,0)</f>
        <v>0</v>
      </c>
      <c r="O1206" s="79">
        <f>SUM(F1206:I1206)+SUM(M1206:N1206)</f>
        <v>3505</v>
      </c>
      <c r="P1206" s="79">
        <f>ROUND(P158/$C158*$C1206,0)</f>
        <v>0</v>
      </c>
      <c r="Q1206" s="79">
        <f>ROUND(Q158/$C158*$C1206,0)</f>
        <v>0</v>
      </c>
      <c r="R1206" s="79">
        <f t="shared" si="591"/>
        <v>0</v>
      </c>
      <c r="S1206" s="79">
        <v>0</v>
      </c>
      <c r="U1206" s="80">
        <f t="shared" si="592"/>
        <v>0</v>
      </c>
      <c r="W1206" s="81">
        <f>IF((O1206+R1206)=0," ",ROUND((O1206/(O1206+R1206)),7))</f>
        <v>1</v>
      </c>
      <c r="X1206" s="81">
        <f>IF((C1206)=0," ",ROUND((O1206/(C1206)),7))</f>
        <v>1</v>
      </c>
      <c r="Y1206" s="81">
        <f>IF((C1206)=0," ",ROUND((S1206/(C1206)),7))</f>
        <v>0</v>
      </c>
      <c r="Z1206" s="79"/>
      <c r="AF1206" s="79"/>
      <c r="AJ1206" s="66"/>
      <c r="AK1206" s="70"/>
    </row>
    <row r="1207" spans="1:37" hidden="1">
      <c r="C1207" s="79"/>
      <c r="D1207" s="79"/>
      <c r="E1207" s="79"/>
      <c r="F1207" s="79"/>
      <c r="G1207" s="79"/>
      <c r="H1207" s="79"/>
      <c r="I1207" s="79"/>
      <c r="J1207" s="79"/>
      <c r="K1207" s="79"/>
      <c r="L1207" s="79"/>
      <c r="M1207" s="79"/>
      <c r="N1207" s="79"/>
      <c r="O1207" s="79"/>
      <c r="P1207" s="79"/>
      <c r="Q1207" s="79"/>
      <c r="R1207" s="79"/>
      <c r="S1207" s="79"/>
      <c r="U1207" s="80"/>
      <c r="W1207" s="81" t="str">
        <f>IF((P1207+Q1207)=0," ",ROUND((P1207/(P1207+Q1207)),74))</f>
        <v xml:space="preserve"> </v>
      </c>
      <c r="X1207" s="81" t="str">
        <f>IF((C1207)=0," ",ROUND((P1207/(C1207)),74))</f>
        <v xml:space="preserve"> </v>
      </c>
      <c r="Y1207" s="81" t="str">
        <f>IF((C1207)=0," ",ROUND((R1207/(C1207)),7))</f>
        <v xml:space="preserve"> </v>
      </c>
      <c r="Z1207" s="79"/>
      <c r="AF1207" s="79"/>
      <c r="AJ1207" s="66"/>
      <c r="AK1207" s="65"/>
    </row>
    <row r="1208" spans="1:37" hidden="1">
      <c r="A1208" s="65">
        <f>A1206+1</f>
        <v>32</v>
      </c>
      <c r="B1208" s="66" t="s">
        <v>213</v>
      </c>
      <c r="C1208" s="78">
        <f>1877-352+1772+1327</f>
        <v>4624</v>
      </c>
      <c r="D1208" s="79">
        <f t="shared" si="588"/>
        <v>3087</v>
      </c>
      <c r="E1208" s="79">
        <f>ROUND(E160/$C160*$C1208,0)</f>
        <v>112</v>
      </c>
      <c r="F1208" s="79">
        <f t="shared" si="589"/>
        <v>3199</v>
      </c>
      <c r="G1208" s="79">
        <f t="shared" ref="G1208:L1208" si="597">ROUND(G160/$C160*$C1208,0)</f>
        <v>683</v>
      </c>
      <c r="H1208" s="79">
        <f t="shared" si="597"/>
        <v>648</v>
      </c>
      <c r="I1208" s="79">
        <f t="shared" si="597"/>
        <v>52</v>
      </c>
      <c r="J1208" s="79">
        <f t="shared" si="597"/>
        <v>4</v>
      </c>
      <c r="K1208" s="79">
        <f t="shared" si="597"/>
        <v>0</v>
      </c>
      <c r="L1208" s="79">
        <f t="shared" si="597"/>
        <v>0</v>
      </c>
      <c r="M1208" s="79">
        <f t="shared" si="594"/>
        <v>4</v>
      </c>
      <c r="N1208" s="79">
        <f>ROUND(N160/$C160*$C1208,0)</f>
        <v>38</v>
      </c>
      <c r="O1208" s="79">
        <f>SUM(F1208:I1208)+SUM(M1208:N1208)</f>
        <v>4624</v>
      </c>
      <c r="P1208" s="79">
        <f>ROUND(P160/$C160*$C1208,0)</f>
        <v>0</v>
      </c>
      <c r="Q1208" s="79">
        <f>ROUND(Q160/$C160*$C1208,0)</f>
        <v>0</v>
      </c>
      <c r="R1208" s="79">
        <f t="shared" si="591"/>
        <v>0</v>
      </c>
      <c r="S1208" s="79">
        <v>0</v>
      </c>
      <c r="U1208" s="80">
        <f t="shared" si="592"/>
        <v>0</v>
      </c>
      <c r="W1208" s="81">
        <f>IF((O1208+R1208)=0," ",ROUND((O1208/(O1208+R1208)),7))</f>
        <v>1</v>
      </c>
      <c r="X1208" s="81">
        <f>IF((C1208)=0," ",ROUND((O1208/(C1208)),7))</f>
        <v>1</v>
      </c>
      <c r="Y1208" s="81">
        <f>IF((C1208)=0," ",ROUND((S1208/(C1208)),7))</f>
        <v>0</v>
      </c>
      <c r="Z1208" s="79"/>
      <c r="AF1208" s="79"/>
      <c r="AJ1208" s="66"/>
      <c r="AK1208" s="70"/>
    </row>
    <row r="1209" spans="1:37" hidden="1">
      <c r="W1209" s="81" t="str">
        <f>IF((P1209+Q1209)=0," ",ROUND((P1209/(P1209+Q1209)),74))</f>
        <v xml:space="preserve"> </v>
      </c>
      <c r="X1209" s="81" t="str">
        <f>IF((C1209)=0," ",ROUND((P1209/(C1209)),74))</f>
        <v xml:space="preserve"> </v>
      </c>
      <c r="Y1209" s="81" t="str">
        <f>IF((C1209)=0," ",ROUND((R1209/(C1209)),7))</f>
        <v xml:space="preserve"> </v>
      </c>
      <c r="AJ1209" s="66"/>
      <c r="AK1209" s="65"/>
    </row>
    <row r="1210" spans="1:37" hidden="1">
      <c r="A1210" s="65">
        <f>A1208+1</f>
        <v>33</v>
      </c>
      <c r="B1210" s="66" t="s">
        <v>214</v>
      </c>
      <c r="C1210" s="78">
        <v>2213</v>
      </c>
      <c r="D1210" s="79">
        <f t="shared" si="588"/>
        <v>0</v>
      </c>
      <c r="E1210" s="79">
        <f>ROUND(E162/$C162*$C1210,0)</f>
        <v>0</v>
      </c>
      <c r="F1210" s="79">
        <f t="shared" si="589"/>
        <v>0</v>
      </c>
      <c r="G1210" s="79">
        <f t="shared" ref="G1210:L1210" si="598">ROUND(G162/$C162*$C1210,0)</f>
        <v>0</v>
      </c>
      <c r="H1210" s="79">
        <f t="shared" si="598"/>
        <v>0</v>
      </c>
      <c r="I1210" s="79">
        <f t="shared" si="598"/>
        <v>0</v>
      </c>
      <c r="J1210" s="79">
        <f t="shared" si="598"/>
        <v>0</v>
      </c>
      <c r="K1210" s="79">
        <f t="shared" si="598"/>
        <v>0</v>
      </c>
      <c r="L1210" s="79">
        <f t="shared" si="598"/>
        <v>0</v>
      </c>
      <c r="M1210" s="79">
        <f t="shared" si="594"/>
        <v>0</v>
      </c>
      <c r="N1210" s="79">
        <f>ROUND(N162/$C162*$C1210,0)</f>
        <v>2213</v>
      </c>
      <c r="O1210" s="79">
        <f>SUM(F1210:I1210)+SUM(M1210:N1210)</f>
        <v>2213</v>
      </c>
      <c r="P1210" s="79">
        <f>ROUND(P162/$C162*$C1210,0)</f>
        <v>0</v>
      </c>
      <c r="Q1210" s="79">
        <f>ROUND(Q162/$C162*$C1210,0)</f>
        <v>0</v>
      </c>
      <c r="R1210" s="79">
        <f t="shared" si="591"/>
        <v>0</v>
      </c>
      <c r="S1210" s="79">
        <v>0</v>
      </c>
      <c r="U1210" s="80">
        <f t="shared" si="592"/>
        <v>0</v>
      </c>
      <c r="W1210" s="81">
        <f>IF((O1210+R1210)=0," ",ROUND((O1210/(O1210+R1210)),7))</f>
        <v>1</v>
      </c>
      <c r="X1210" s="81">
        <f>IF((C1210)=0," ",ROUND((O1210/(C1210)),7))</f>
        <v>1</v>
      </c>
      <c r="Y1210" s="81">
        <f>IF((C1210)=0," ",ROUND((S1210/(C1210)),7))</f>
        <v>0</v>
      </c>
      <c r="Z1210" s="79"/>
      <c r="AF1210" s="79"/>
      <c r="AJ1210" s="66"/>
      <c r="AK1210" s="70"/>
    </row>
    <row r="1211" spans="1:37" hidden="1">
      <c r="W1211" s="81" t="str">
        <f>IF((P1211+Q1211)=0," ",ROUND((P1211/(P1211+Q1211)),74))</f>
        <v xml:space="preserve"> </v>
      </c>
      <c r="X1211" s="81" t="str">
        <f>IF((C1211)=0," ",ROUND((P1211/(C1211)),74))</f>
        <v xml:space="preserve"> </v>
      </c>
      <c r="Y1211" s="81" t="str">
        <f>IF((C1211)=0," ",ROUND((R1211/(C1211)),7))</f>
        <v xml:space="preserve"> </v>
      </c>
      <c r="AJ1211" s="66"/>
      <c r="AK1211" s="65"/>
    </row>
    <row r="1212" spans="1:37" hidden="1">
      <c r="A1212" s="65">
        <f>A1210+1</f>
        <v>34</v>
      </c>
      <c r="B1212" s="66" t="s">
        <v>250</v>
      </c>
      <c r="C1212" s="79">
        <f>O1212+R1212+S1212</f>
        <v>39308</v>
      </c>
      <c r="D1212" s="79">
        <f>SUM(D1166:D1170)+D1175+D1189+D1194+D1199+SUM(D1204:D1210)</f>
        <v>24231</v>
      </c>
      <c r="E1212" s="79">
        <f>SUM(E1166:E1170)+E1175+E1189+E1194+E1199+SUM(E1204:E1210)</f>
        <v>741</v>
      </c>
      <c r="F1212" s="79">
        <f>D1212+E1212</f>
        <v>24972</v>
      </c>
      <c r="G1212" s="79">
        <f t="shared" ref="G1212:L1212" si="599">SUM(G1166:G1170)+G1175+G1189+G1194+G1199+SUM(G1204:G1210)</f>
        <v>2007</v>
      </c>
      <c r="H1212" s="79">
        <f t="shared" si="599"/>
        <v>6276</v>
      </c>
      <c r="I1212" s="79">
        <f t="shared" si="599"/>
        <v>2179</v>
      </c>
      <c r="J1212" s="79">
        <f t="shared" si="599"/>
        <v>894</v>
      </c>
      <c r="K1212" s="79">
        <f t="shared" si="599"/>
        <v>125</v>
      </c>
      <c r="L1212" s="79">
        <f t="shared" si="599"/>
        <v>34</v>
      </c>
      <c r="M1212" s="79">
        <f t="shared" si="594"/>
        <v>1053</v>
      </c>
      <c r="N1212" s="79">
        <f>SUM(N1166:N1170)+N1175+N1189+N1194+N1199+SUM(N1204:N1210)</f>
        <v>2664</v>
      </c>
      <c r="O1212" s="79">
        <f>SUM(F1212:I1212)+SUM(M1212:N1212)</f>
        <v>39151</v>
      </c>
      <c r="P1212" s="79">
        <f>SUM(P1166:P1170)+P1175+P1189+P1194+P1199+SUM(P1204:P1210)</f>
        <v>144</v>
      </c>
      <c r="Q1212" s="79">
        <f>SUM(Q1166:Q1170)+Q1175+Q1189+Q1194+Q1199+SUM(Q1204:Q1210)</f>
        <v>13</v>
      </c>
      <c r="R1212" s="79">
        <f t="shared" si="591"/>
        <v>157</v>
      </c>
      <c r="S1212" s="79">
        <f>SUM(S1166:S1170)+S1175+S1189+S1194+S1199+SUM(S1204:S1210)</f>
        <v>0</v>
      </c>
      <c r="U1212" s="80">
        <f t="shared" si="592"/>
        <v>0</v>
      </c>
      <c r="W1212" s="81">
        <f>IF((O1212+R1212)=0," ",ROUND((O1212/(O1212+R1212)),7))</f>
        <v>0.9960059</v>
      </c>
      <c r="X1212" s="81">
        <f>IF((C1212)=0," ",ROUND((O1212/(C1212)),7))</f>
        <v>0.9960059</v>
      </c>
      <c r="Y1212" s="81">
        <f>IF((C1212)=0," ",ROUND((S1212/(C1212)),7))</f>
        <v>0</v>
      </c>
      <c r="Z1212" s="79"/>
      <c r="AF1212" s="79"/>
      <c r="AJ1212" s="66"/>
      <c r="AK1212" s="65"/>
    </row>
    <row r="1213" spans="1:37" hidden="1">
      <c r="A1213" s="65">
        <f>A1212+1</f>
        <v>35</v>
      </c>
      <c r="B1213" s="66" t="s">
        <v>229</v>
      </c>
      <c r="C1213" s="79">
        <f>O1213+R1213+S1213</f>
        <v>22961</v>
      </c>
      <c r="D1213" s="79">
        <f>D1166+D1168+D1170+D1173+D1187+D1192+D1197+D1202</f>
        <v>13029</v>
      </c>
      <c r="E1213" s="79">
        <f>E1166+E1168+E1170+E1173+E1187+E1192+E1197+E1202</f>
        <v>404</v>
      </c>
      <c r="F1213" s="79">
        <f>D1213+E1213</f>
        <v>13433</v>
      </c>
      <c r="G1213" s="79">
        <f t="shared" ref="G1213:L1213" si="600">G1166+G1168+G1170+G1173+G1187+G1192+G1197+G1202</f>
        <v>683</v>
      </c>
      <c r="H1213" s="79">
        <f t="shared" si="600"/>
        <v>5246</v>
      </c>
      <c r="I1213" s="79">
        <f t="shared" si="600"/>
        <v>2121</v>
      </c>
      <c r="J1213" s="79">
        <f t="shared" si="600"/>
        <v>890</v>
      </c>
      <c r="K1213" s="79">
        <f t="shared" si="600"/>
        <v>125</v>
      </c>
      <c r="L1213" s="79">
        <f t="shared" si="600"/>
        <v>34</v>
      </c>
      <c r="M1213" s="79">
        <f t="shared" si="594"/>
        <v>1049</v>
      </c>
      <c r="N1213" s="79">
        <f>N1166+N1168+N1170+N1173+N1187+N1192+N1197+N1202</f>
        <v>272</v>
      </c>
      <c r="O1213" s="79">
        <f>SUM(F1213:I1213)+SUM(M1213:N1213)</f>
        <v>22804</v>
      </c>
      <c r="P1213" s="79">
        <f>P1166+P1168+P1170+P1173+P1187+P1192+P1197+P1202</f>
        <v>144</v>
      </c>
      <c r="Q1213" s="79">
        <f>Q1166+Q1168+Q1170+Q1173+Q1187+Q1192+Q1197+Q1202</f>
        <v>13</v>
      </c>
      <c r="R1213" s="79">
        <f t="shared" si="591"/>
        <v>157</v>
      </c>
      <c r="S1213" s="79">
        <f>S1166+S1168+S1170+S1173+S1187+S1192+S1197+S1202</f>
        <v>0</v>
      </c>
      <c r="U1213" s="80">
        <f t="shared" si="592"/>
        <v>0</v>
      </c>
      <c r="W1213" s="81">
        <f>IF((O1213+R1213)=0," ",ROUND((O1213/(O1213+R1213)),7))</f>
        <v>0.99316230000000005</v>
      </c>
      <c r="X1213" s="81">
        <f>IF((C1213)=0," ",ROUND((O1213/(C1213)),7))</f>
        <v>0.99316230000000005</v>
      </c>
      <c r="Y1213" s="81">
        <f>IF((C1213)=0," ",ROUND((S1213/(C1213)),7))</f>
        <v>0</v>
      </c>
      <c r="Z1213" s="79"/>
      <c r="AF1213" s="79"/>
      <c r="AJ1213" s="66"/>
      <c r="AK1213" s="65"/>
    </row>
    <row r="1214" spans="1:37" hidden="1">
      <c r="A1214" s="65">
        <f>A1213+1</f>
        <v>36</v>
      </c>
      <c r="B1214" s="66" t="s">
        <v>253</v>
      </c>
      <c r="C1214" s="79">
        <f>O1214+R1214+S1214</f>
        <v>16347</v>
      </c>
      <c r="D1214" s="79">
        <f>D1212-D1213</f>
        <v>11202</v>
      </c>
      <c r="E1214" s="79">
        <f>E1212-E1213</f>
        <v>337</v>
      </c>
      <c r="F1214" s="79">
        <f>D1214+E1214</f>
        <v>11539</v>
      </c>
      <c r="G1214" s="79">
        <f t="shared" ref="G1214:L1214" si="601">G1212-G1213</f>
        <v>1324</v>
      </c>
      <c r="H1214" s="79">
        <f t="shared" si="601"/>
        <v>1030</v>
      </c>
      <c r="I1214" s="79">
        <f t="shared" si="601"/>
        <v>58</v>
      </c>
      <c r="J1214" s="79">
        <f t="shared" si="601"/>
        <v>4</v>
      </c>
      <c r="K1214" s="79">
        <f t="shared" si="601"/>
        <v>0</v>
      </c>
      <c r="L1214" s="79">
        <f t="shared" si="601"/>
        <v>0</v>
      </c>
      <c r="M1214" s="79">
        <f t="shared" si="594"/>
        <v>4</v>
      </c>
      <c r="N1214" s="79">
        <f>N1212-N1213</f>
        <v>2392</v>
      </c>
      <c r="O1214" s="79">
        <f>SUM(F1214:I1214)+SUM(M1214:N1214)</f>
        <v>16347</v>
      </c>
      <c r="P1214" s="79">
        <f>P1212-P1213</f>
        <v>0</v>
      </c>
      <c r="Q1214" s="79">
        <f>Q1212-Q1213</f>
        <v>0</v>
      </c>
      <c r="R1214" s="79">
        <f t="shared" si="591"/>
        <v>0</v>
      </c>
      <c r="S1214" s="79">
        <f>S1212-S1213</f>
        <v>0</v>
      </c>
      <c r="U1214" s="80">
        <f t="shared" si="592"/>
        <v>0</v>
      </c>
      <c r="W1214" s="81">
        <f>IF((O1214+R1214)=0," ",ROUND((O1214/(O1214+R1214)),7))</f>
        <v>1</v>
      </c>
      <c r="X1214" s="81">
        <f>IF((C1214)=0," ",ROUND((O1214/(C1214)),7))</f>
        <v>1</v>
      </c>
      <c r="Y1214" s="81">
        <f>IF((C1214)=0," ",ROUND((S1214/(C1214)),7))</f>
        <v>0</v>
      </c>
      <c r="Z1214" s="79"/>
      <c r="AF1214" s="79"/>
      <c r="AJ1214" s="66"/>
      <c r="AK1214" s="65"/>
    </row>
    <row r="1215" spans="1:37" hidden="1">
      <c r="C1215" s="79"/>
      <c r="D1215" s="79"/>
      <c r="E1215" s="79"/>
      <c r="F1215" s="79"/>
      <c r="G1215" s="79"/>
      <c r="H1215" s="79"/>
      <c r="I1215" s="79"/>
      <c r="J1215" s="79"/>
      <c r="K1215" s="79"/>
      <c r="L1215" s="79"/>
      <c r="M1215" s="79"/>
      <c r="N1215" s="79"/>
      <c r="O1215" s="79"/>
      <c r="P1215" s="79"/>
      <c r="Q1215" s="79"/>
      <c r="R1215" s="79"/>
      <c r="S1215" s="79"/>
      <c r="U1215" s="80"/>
      <c r="W1215" s="81" t="str">
        <f>IF((P1215+Q1215)=0," ",ROUND((P1215/(P1215+Q1215)),74))</f>
        <v xml:space="preserve"> </v>
      </c>
      <c r="X1215" s="81" t="str">
        <f>IF((C1215)=0," ",ROUND((P1215/(C1215)),74))</f>
        <v xml:space="preserve"> </v>
      </c>
      <c r="Y1215" s="81" t="str">
        <f>IF((C1215)=0," ",ROUND((R1215/(C1215)),7))</f>
        <v xml:space="preserve"> </v>
      </c>
      <c r="Z1215" s="79"/>
      <c r="AF1215" s="79"/>
      <c r="AJ1215" s="66"/>
      <c r="AK1215" s="65"/>
    </row>
    <row r="1216" spans="1:37" hidden="1">
      <c r="A1216" s="65">
        <f>A1214+1</f>
        <v>37</v>
      </c>
      <c r="B1216" s="66" t="s">
        <v>520</v>
      </c>
      <c r="C1216" s="78">
        <f>2961+7613+327-2573</f>
        <v>8328</v>
      </c>
      <c r="D1216" s="79">
        <v>5029</v>
      </c>
      <c r="E1216" s="79">
        <v>137</v>
      </c>
      <c r="F1216" s="79">
        <f>D1216+E1216</f>
        <v>5166</v>
      </c>
      <c r="G1216" s="79">
        <v>457</v>
      </c>
      <c r="H1216" s="79">
        <v>1407</v>
      </c>
      <c r="I1216" s="79">
        <v>665</v>
      </c>
      <c r="J1216" s="79">
        <v>283</v>
      </c>
      <c r="K1216" s="79">
        <v>25</v>
      </c>
      <c r="L1216" s="79">
        <v>12</v>
      </c>
      <c r="M1216" s="79">
        <f>SUM(J1216:L1216)</f>
        <v>320</v>
      </c>
      <c r="N1216" s="79">
        <v>149</v>
      </c>
      <c r="O1216" s="79">
        <f>SUM(F1216:I1216)+SUM(M1216:N1216)</f>
        <v>8164</v>
      </c>
      <c r="P1216" s="79">
        <v>134</v>
      </c>
      <c r="Q1216" s="79">
        <v>16</v>
      </c>
      <c r="R1216" s="79">
        <f>P1216+Q1216</f>
        <v>150</v>
      </c>
      <c r="S1216" s="78">
        <v>16.850000000000001</v>
      </c>
      <c r="U1216" s="80">
        <f>O1216+R1216+S1216-C1216</f>
        <v>2.8500000000003638</v>
      </c>
      <c r="W1216" s="81">
        <f>IF((O1216+R1216)=0," ",ROUND((O1216/(O1216+R1216)),7))</f>
        <v>0.98195809999999994</v>
      </c>
      <c r="X1216" s="81">
        <f>IF((C1216)=0," ",ROUND((O1216/(C1216)),7))</f>
        <v>0.98030740000000005</v>
      </c>
      <c r="Y1216" s="81">
        <f>IF((C1216)=0," ",ROUND((S1216/(C1216)),7))</f>
        <v>2.0233E-3</v>
      </c>
      <c r="Z1216" s="79"/>
      <c r="AF1216" s="79"/>
      <c r="AJ1216" s="66"/>
      <c r="AK1216" s="70"/>
    </row>
    <row r="1217" spans="1:37" hidden="1">
      <c r="A1217" s="65">
        <f>A1216+1</f>
        <v>38</v>
      </c>
      <c r="B1217" s="66" t="s">
        <v>39</v>
      </c>
      <c r="C1217" s="79">
        <f>C1216-C1218-C1219</f>
        <v>5001</v>
      </c>
      <c r="D1217" s="79">
        <f>D1216-D1218-D1219</f>
        <v>2662</v>
      </c>
      <c r="E1217" s="79">
        <f>E1216-E1218-E1219</f>
        <v>72</v>
      </c>
      <c r="F1217" s="79">
        <f>D1217+E1217</f>
        <v>2734</v>
      </c>
      <c r="G1217" s="79">
        <f t="shared" ref="G1217:L1217" si="602">G1216-G1218-G1219</f>
        <v>135</v>
      </c>
      <c r="H1217" s="79">
        <f t="shared" si="602"/>
        <v>1076</v>
      </c>
      <c r="I1217" s="79">
        <f t="shared" si="602"/>
        <v>584</v>
      </c>
      <c r="J1217" s="79">
        <f t="shared" si="602"/>
        <v>247</v>
      </c>
      <c r="K1217" s="79">
        <f t="shared" si="602"/>
        <v>22</v>
      </c>
      <c r="L1217" s="79">
        <f t="shared" si="602"/>
        <v>10</v>
      </c>
      <c r="M1217" s="79">
        <f>SUM(J1217:L1217)</f>
        <v>279</v>
      </c>
      <c r="N1217" s="79">
        <f>N1216-N1218-N1219</f>
        <v>29</v>
      </c>
      <c r="O1217" s="79">
        <f>SUM(F1217:I1217)+SUM(M1217:N1217)</f>
        <v>4837</v>
      </c>
      <c r="P1217" s="79">
        <f>P1216-P1218-P1219</f>
        <v>134</v>
      </c>
      <c r="Q1217" s="79">
        <f>Q1216-Q1218-Q1219</f>
        <v>16</v>
      </c>
      <c r="R1217" s="79">
        <f>P1217+Q1217</f>
        <v>150</v>
      </c>
      <c r="S1217" s="79">
        <f>S1216</f>
        <v>16.850000000000001</v>
      </c>
      <c r="U1217" s="80">
        <f>O1217+R1217+S1217-C1217</f>
        <v>2.8500000000003638</v>
      </c>
      <c r="W1217" s="81">
        <f>IF((O1217+R1217)=0," ",ROUND((O1217/(O1217+R1217)),7))</f>
        <v>0.96992179999999995</v>
      </c>
      <c r="X1217" s="81">
        <f>IF((C1217)=0," ",ROUND((O1217/(C1217)),7))</f>
        <v>0.96720660000000003</v>
      </c>
      <c r="Y1217" s="81">
        <f>IF((C1217)=0," ",ROUND((S1217/(C1217)),7))</f>
        <v>3.3693E-3</v>
      </c>
      <c r="Z1217" s="79"/>
      <c r="AF1217" s="79"/>
      <c r="AJ1217" s="66"/>
      <c r="AK1217" s="70"/>
    </row>
    <row r="1218" spans="1:37" hidden="1">
      <c r="A1218" s="65">
        <f>A1217+1</f>
        <v>39</v>
      </c>
      <c r="B1218" s="66" t="s">
        <v>44</v>
      </c>
      <c r="C1218" s="79">
        <v>3029</v>
      </c>
      <c r="D1218" s="79">
        <v>2229</v>
      </c>
      <c r="E1218" s="79">
        <v>60</v>
      </c>
      <c r="F1218" s="79">
        <f>D1218+E1218</f>
        <v>2289</v>
      </c>
      <c r="G1218" s="79">
        <v>314</v>
      </c>
      <c r="H1218" s="79">
        <v>262</v>
      </c>
      <c r="I1218" s="79">
        <v>35</v>
      </c>
      <c r="J1218" s="79">
        <v>11</v>
      </c>
      <c r="K1218" s="79">
        <v>2</v>
      </c>
      <c r="L1218" s="79">
        <v>1</v>
      </c>
      <c r="M1218" s="79">
        <f>SUM(J1218:L1218)</f>
        <v>14</v>
      </c>
      <c r="N1218" s="79">
        <v>116</v>
      </c>
      <c r="O1218" s="79">
        <f>SUM(F1218:I1218)+SUM(M1218:N1218)</f>
        <v>3030</v>
      </c>
      <c r="P1218" s="79">
        <v>0</v>
      </c>
      <c r="Q1218" s="79">
        <v>0</v>
      </c>
      <c r="R1218" s="79">
        <f>P1218+Q1218</f>
        <v>0</v>
      </c>
      <c r="S1218" s="79">
        <v>0</v>
      </c>
      <c r="U1218" s="80">
        <f>O1218+R1218+S1218-C1218</f>
        <v>1</v>
      </c>
      <c r="W1218" s="81">
        <f>IF((O1218+R1218)=0," ",ROUND((O1218/(O1218+R1218)),7))</f>
        <v>1</v>
      </c>
      <c r="X1218" s="81">
        <f>IF((C1218)=0," ",ROUND((O1218/(C1218)),7))</f>
        <v>1.0003301</v>
      </c>
      <c r="Y1218" s="81">
        <f>IF((C1218)=0," ",ROUND((S1218/(C1218)),7))</f>
        <v>0</v>
      </c>
      <c r="Z1218" s="79"/>
      <c r="AF1218" s="79"/>
      <c r="AJ1218" s="66"/>
      <c r="AK1218" s="70"/>
    </row>
    <row r="1219" spans="1:37" hidden="1">
      <c r="A1219" s="65">
        <f>A1218+1</f>
        <v>40</v>
      </c>
      <c r="B1219" s="66" t="s">
        <v>168</v>
      </c>
      <c r="C1219" s="79">
        <v>298</v>
      </c>
      <c r="D1219" s="79">
        <v>138</v>
      </c>
      <c r="E1219" s="79">
        <v>5</v>
      </c>
      <c r="F1219" s="79">
        <f>D1219+E1219</f>
        <v>143</v>
      </c>
      <c r="G1219" s="79">
        <v>8</v>
      </c>
      <c r="H1219" s="79">
        <v>69</v>
      </c>
      <c r="I1219" s="79">
        <v>46</v>
      </c>
      <c r="J1219" s="79">
        <v>25</v>
      </c>
      <c r="K1219" s="79">
        <v>1</v>
      </c>
      <c r="L1219" s="79">
        <v>1</v>
      </c>
      <c r="M1219" s="79">
        <f>SUM(J1219:L1219)</f>
        <v>27</v>
      </c>
      <c r="N1219" s="79">
        <v>4</v>
      </c>
      <c r="O1219" s="79">
        <f>SUM(F1219:I1219)+SUM(M1219:N1219)</f>
        <v>297</v>
      </c>
      <c r="P1219" s="79">
        <v>0</v>
      </c>
      <c r="Q1219" s="79">
        <v>0</v>
      </c>
      <c r="R1219" s="79">
        <f>P1219+Q1219</f>
        <v>0</v>
      </c>
      <c r="S1219" s="79">
        <v>0</v>
      </c>
      <c r="U1219" s="80">
        <f>O1219+R1219+S1219-C1219</f>
        <v>-1</v>
      </c>
      <c r="W1219" s="81">
        <f>IF((O1219+R1219)=0," ",ROUND((O1219/(O1219+R1219)),7))</f>
        <v>1</v>
      </c>
      <c r="X1219" s="81">
        <f>IF((C1219)=0," ",ROUND((O1219/(C1219)),7))</f>
        <v>0.99664430000000004</v>
      </c>
      <c r="Y1219" s="81">
        <f>IF((C1219)=0," ",ROUND((S1219/(C1219)),7))</f>
        <v>0</v>
      </c>
      <c r="Z1219" s="79"/>
      <c r="AF1219" s="79"/>
      <c r="AJ1219" s="66"/>
      <c r="AK1219" s="70"/>
    </row>
    <row r="1220" spans="1:37" hidden="1">
      <c r="C1220" s="79"/>
      <c r="D1220" s="79"/>
      <c r="E1220" s="79"/>
      <c r="F1220" s="79"/>
      <c r="G1220" s="79"/>
      <c r="H1220" s="79"/>
      <c r="I1220" s="79"/>
      <c r="J1220" s="79"/>
      <c r="K1220" s="79"/>
      <c r="L1220" s="79"/>
      <c r="M1220" s="79"/>
      <c r="N1220" s="79"/>
      <c r="O1220" s="79"/>
      <c r="P1220" s="79"/>
      <c r="Q1220" s="79"/>
      <c r="R1220" s="79"/>
      <c r="S1220" s="79"/>
      <c r="U1220" s="80"/>
      <c r="W1220" s="81" t="str">
        <f>IF((P1220+Q1220)=0," ",ROUND((P1220/(P1220+Q1220)),74))</f>
        <v xml:space="preserve"> </v>
      </c>
      <c r="X1220" s="81" t="str">
        <f>IF((C1220)=0," ",ROUND((P1220/(C1220)),74))</f>
        <v xml:space="preserve"> </v>
      </c>
      <c r="Y1220" s="81" t="str">
        <f>IF((C1220)=0," ",ROUND((R1220/(C1220)),7))</f>
        <v xml:space="preserve"> </v>
      </c>
      <c r="Z1220" s="79"/>
      <c r="AF1220" s="79"/>
      <c r="AJ1220" s="66"/>
      <c r="AK1220" s="65"/>
    </row>
    <row r="1221" spans="1:37" hidden="1">
      <c r="A1221" s="65">
        <f>A1219+1</f>
        <v>41</v>
      </c>
      <c r="B1221" s="66" t="s">
        <v>521</v>
      </c>
      <c r="C1221" s="79">
        <f>O1221+R1221+S1221</f>
        <v>104744.85</v>
      </c>
      <c r="D1221" s="79">
        <f>SUM(D1222:D1224)</f>
        <v>55105.953000000001</v>
      </c>
      <c r="E1221" s="79">
        <f>SUM(E1222:E1224)</f>
        <v>1554</v>
      </c>
      <c r="F1221" s="79">
        <f>D1221+E1221</f>
        <v>56659.953000000001</v>
      </c>
      <c r="G1221" s="79">
        <f t="shared" ref="G1221:L1221" si="603">SUM(G1222:G1224)</f>
        <v>3765</v>
      </c>
      <c r="H1221" s="79">
        <f t="shared" si="603"/>
        <v>18278</v>
      </c>
      <c r="I1221" s="79">
        <f t="shared" si="603"/>
        <v>9041</v>
      </c>
      <c r="J1221" s="79">
        <f t="shared" si="603"/>
        <v>3890</v>
      </c>
      <c r="K1221" s="79">
        <f t="shared" si="603"/>
        <v>340</v>
      </c>
      <c r="L1221" s="79">
        <f t="shared" si="603"/>
        <v>159</v>
      </c>
      <c r="M1221" s="79">
        <f t="shared" si="594"/>
        <v>4389</v>
      </c>
      <c r="N1221" s="79">
        <f>SUM(N1222:N1224)</f>
        <v>3047</v>
      </c>
      <c r="O1221" s="79">
        <f>SUM(F1221:I1221)+SUM(M1221:N1221)</f>
        <v>95179.953000000009</v>
      </c>
      <c r="P1221" s="79">
        <f>SUM(P1222:P1224)</f>
        <v>1762</v>
      </c>
      <c r="Q1221" s="79">
        <f>SUM(Q1222:Q1224)</f>
        <v>199</v>
      </c>
      <c r="R1221" s="79">
        <f t="shared" si="591"/>
        <v>1961</v>
      </c>
      <c r="S1221" s="79">
        <f>SUM(S1222:S1224)</f>
        <v>7603.8970000000008</v>
      </c>
      <c r="U1221" s="80">
        <f t="shared" si="592"/>
        <v>0</v>
      </c>
      <c r="W1221" s="81">
        <f>IF((O1221+R1221)=0," ",ROUND((O1221/(O1221+R1221)),7))</f>
        <v>0.97981280000000004</v>
      </c>
      <c r="X1221" s="81">
        <f>IF((C1221)=0," ",ROUND((O1221/(C1221)),7))</f>
        <v>0.90868380000000004</v>
      </c>
      <c r="Y1221" s="81">
        <f>IF((C1221)=0," ",ROUND((S1221/(C1221)),7))</f>
        <v>7.2594500000000006E-2</v>
      </c>
      <c r="Z1221" s="79"/>
      <c r="AF1221" s="79"/>
      <c r="AJ1221" s="66"/>
      <c r="AK1221" s="65"/>
    </row>
    <row r="1222" spans="1:37" hidden="1">
      <c r="A1222" s="65">
        <f>A1221+1</f>
        <v>42</v>
      </c>
      <c r="B1222" s="66" t="s">
        <v>229</v>
      </c>
      <c r="C1222" s="79">
        <f>O1222+R1222+S1222</f>
        <v>82144.807000000001</v>
      </c>
      <c r="D1222" s="79">
        <f>D1139+D1161+D1213+D1217</f>
        <v>40180.910000000003</v>
      </c>
      <c r="E1222" s="79">
        <f>E1139+E1161+E1213+E1217</f>
        <v>1101</v>
      </c>
      <c r="F1222" s="79">
        <f>D1222+E1222</f>
        <v>41281.910000000003</v>
      </c>
      <c r="G1222" s="79">
        <f t="shared" ref="G1222:L1222" si="604">G1139+G1161+G1213+G1217</f>
        <v>2045</v>
      </c>
      <c r="H1222" s="79">
        <f t="shared" si="604"/>
        <v>16236</v>
      </c>
      <c r="I1222" s="79">
        <f t="shared" si="604"/>
        <v>8446</v>
      </c>
      <c r="J1222" s="79">
        <f t="shared" si="604"/>
        <v>3603</v>
      </c>
      <c r="K1222" s="79">
        <f t="shared" si="604"/>
        <v>326</v>
      </c>
      <c r="L1222" s="79">
        <f t="shared" si="604"/>
        <v>147</v>
      </c>
      <c r="M1222" s="79">
        <f t="shared" si="594"/>
        <v>4076</v>
      </c>
      <c r="N1222" s="79">
        <f>N1139+N1161+N1213+N1217</f>
        <v>495</v>
      </c>
      <c r="O1222" s="79">
        <f>SUM(F1222:I1222)+SUM(M1222:N1222)</f>
        <v>72579.91</v>
      </c>
      <c r="P1222" s="79">
        <f>P1136+P1161+P1213+P1217</f>
        <v>1762</v>
      </c>
      <c r="Q1222" s="79">
        <f>Q1136+Q1161+Q1213+Q1217</f>
        <v>199</v>
      </c>
      <c r="R1222" s="79">
        <f t="shared" si="591"/>
        <v>1961</v>
      </c>
      <c r="S1222" s="79">
        <f>S1136+S1161+S1213+S1217</f>
        <v>7603.8970000000008</v>
      </c>
      <c r="U1222" s="80">
        <f t="shared" si="592"/>
        <v>0</v>
      </c>
      <c r="W1222" s="81">
        <f>IF((O1222+R1222)=0," ",ROUND((O1222/(O1222+R1222)),7))</f>
        <v>0.97369229999999996</v>
      </c>
      <c r="X1222" s="81">
        <f>IF((C1222)=0," ",ROUND((O1222/(C1222)),7))</f>
        <v>0.88356049999999997</v>
      </c>
      <c r="Y1222" s="81">
        <f>IF((C1222)=0," ",ROUND((S1222/(C1222)),7))</f>
        <v>9.2566999999999997E-2</v>
      </c>
      <c r="Z1222" s="79"/>
      <c r="AF1222" s="79"/>
      <c r="AJ1222" s="66"/>
      <c r="AK1222" s="65"/>
    </row>
    <row r="1223" spans="1:37" hidden="1">
      <c r="A1223" s="65">
        <f>A1222+1</f>
        <v>43</v>
      </c>
      <c r="B1223" s="66" t="s">
        <v>253</v>
      </c>
      <c r="C1223" s="79">
        <f>O1223+R1223+S1223</f>
        <v>19377</v>
      </c>
      <c r="D1223" s="79">
        <f>D1218+D1214</f>
        <v>13431</v>
      </c>
      <c r="E1223" s="79">
        <f>E1218+E1214</f>
        <v>397</v>
      </c>
      <c r="F1223" s="79">
        <f>D1223+E1223</f>
        <v>13828</v>
      </c>
      <c r="G1223" s="79">
        <f t="shared" ref="G1223:L1223" si="605">G1218+G1214</f>
        <v>1638</v>
      </c>
      <c r="H1223" s="79">
        <f t="shared" si="605"/>
        <v>1292</v>
      </c>
      <c r="I1223" s="79">
        <f t="shared" si="605"/>
        <v>93</v>
      </c>
      <c r="J1223" s="79">
        <f t="shared" si="605"/>
        <v>15</v>
      </c>
      <c r="K1223" s="79">
        <f t="shared" si="605"/>
        <v>2</v>
      </c>
      <c r="L1223" s="79">
        <f t="shared" si="605"/>
        <v>1</v>
      </c>
      <c r="M1223" s="79">
        <f t="shared" si="594"/>
        <v>18</v>
      </c>
      <c r="N1223" s="79">
        <f>N1218+N1214</f>
        <v>2508</v>
      </c>
      <c r="O1223" s="79">
        <f>SUM(F1223:I1223)+SUM(M1223:N1223)</f>
        <v>19377</v>
      </c>
      <c r="P1223" s="79">
        <f>P1218+P1214</f>
        <v>0</v>
      </c>
      <c r="Q1223" s="79">
        <f>Q1218+Q1214</f>
        <v>0</v>
      </c>
      <c r="R1223" s="79">
        <f t="shared" si="591"/>
        <v>0</v>
      </c>
      <c r="S1223" s="79">
        <f>S1218+S1214</f>
        <v>0</v>
      </c>
      <c r="U1223" s="80">
        <f t="shared" si="592"/>
        <v>0</v>
      </c>
      <c r="W1223" s="81">
        <f>IF((O1223+R1223)=0," ",ROUND((O1223/(O1223+R1223)),7))</f>
        <v>1</v>
      </c>
      <c r="X1223" s="81">
        <f>IF((C1223)=0," ",ROUND((O1223/(C1223)),7))</f>
        <v>1</v>
      </c>
      <c r="Y1223" s="81">
        <f>IF((C1223)=0," ",ROUND((S1223/(C1223)),7))</f>
        <v>0</v>
      </c>
      <c r="Z1223" s="79"/>
      <c r="AF1223" s="79"/>
      <c r="AJ1223" s="66"/>
      <c r="AK1223" s="65"/>
    </row>
    <row r="1224" spans="1:37" hidden="1">
      <c r="A1224" s="65">
        <f>A1223+1</f>
        <v>44</v>
      </c>
      <c r="B1224" s="66" t="s">
        <v>230</v>
      </c>
      <c r="C1224" s="79">
        <f>O1224+R1224+S1224</f>
        <v>3223.0429999999978</v>
      </c>
      <c r="D1224" s="79">
        <f>D1219+D1140</f>
        <v>1494.0429999999978</v>
      </c>
      <c r="E1224" s="79">
        <f>E1219+E1140</f>
        <v>56</v>
      </c>
      <c r="F1224" s="79">
        <f>D1224+E1224</f>
        <v>1550.0429999999978</v>
      </c>
      <c r="G1224" s="79">
        <f t="shared" ref="G1224:L1224" si="606">G1219+G1140</f>
        <v>82</v>
      </c>
      <c r="H1224" s="79">
        <f t="shared" si="606"/>
        <v>750</v>
      </c>
      <c r="I1224" s="79">
        <f t="shared" si="606"/>
        <v>502</v>
      </c>
      <c r="J1224" s="79">
        <f t="shared" si="606"/>
        <v>272</v>
      </c>
      <c r="K1224" s="79">
        <f t="shared" si="606"/>
        <v>12</v>
      </c>
      <c r="L1224" s="79">
        <f t="shared" si="606"/>
        <v>11</v>
      </c>
      <c r="M1224" s="79">
        <f t="shared" si="594"/>
        <v>295</v>
      </c>
      <c r="N1224" s="79">
        <f>N1219+N1140</f>
        <v>44</v>
      </c>
      <c r="O1224" s="79">
        <f>SUM(F1224:I1224)+SUM(M1224:N1224)</f>
        <v>3223.0429999999978</v>
      </c>
      <c r="P1224" s="79">
        <f>P1219+P1140</f>
        <v>0</v>
      </c>
      <c r="Q1224" s="79">
        <f>Q1219+Q1140</f>
        <v>0</v>
      </c>
      <c r="R1224" s="79">
        <f t="shared" si="591"/>
        <v>0</v>
      </c>
      <c r="S1224" s="79">
        <f>S1219+S1140</f>
        <v>0</v>
      </c>
      <c r="U1224" s="80">
        <f t="shared" si="592"/>
        <v>0</v>
      </c>
      <c r="W1224" s="81">
        <f>IF((O1224+R1224)=0," ",ROUND((O1224/(O1224+R1224)),7))</f>
        <v>1</v>
      </c>
      <c r="X1224" s="81">
        <f>IF((C1224)=0," ",ROUND((O1224/(C1224)),7))</f>
        <v>1</v>
      </c>
      <c r="Y1224" s="81">
        <f>IF((C1224)=0," ",ROUND((S1224/(C1224)),7))</f>
        <v>0</v>
      </c>
      <c r="Z1224" s="79"/>
      <c r="AF1224" s="79"/>
      <c r="AJ1224" s="66"/>
      <c r="AK1224" s="65"/>
    </row>
    <row r="1225" spans="1:37" hidden="1">
      <c r="B1225" s="72"/>
      <c r="C1225" s="79"/>
      <c r="H1225" s="65" t="s">
        <v>80</v>
      </c>
      <c r="I1225" s="79"/>
      <c r="J1225" s="79"/>
      <c r="K1225" s="79"/>
      <c r="L1225" s="79"/>
      <c r="M1225" s="79"/>
      <c r="Q1225" s="65" t="s">
        <v>80</v>
      </c>
      <c r="R1225" s="79"/>
      <c r="S1225" s="65"/>
      <c r="W1225" s="81"/>
      <c r="X1225" s="81"/>
      <c r="Y1225" s="81"/>
      <c r="Z1225" s="65"/>
      <c r="AJ1225" s="66"/>
      <c r="AK1225" s="65"/>
    </row>
    <row r="1226" spans="1:37" hidden="1">
      <c r="C1226" s="79"/>
      <c r="H1226" s="70" t="str">
        <f>$H$24</f>
        <v>12 MONTHS ENDING DECEMBER 31, 2012</v>
      </c>
      <c r="I1226" s="79"/>
      <c r="J1226" s="79"/>
      <c r="K1226" s="79"/>
      <c r="L1226" s="79"/>
      <c r="M1226" s="79"/>
      <c r="Q1226" s="70" t="str">
        <f>$H$24</f>
        <v>12 MONTHS ENDING DECEMBER 31, 2012</v>
      </c>
      <c r="R1226" s="79"/>
      <c r="S1226" s="79"/>
      <c r="U1226" s="80"/>
      <c r="W1226" s="81"/>
      <c r="X1226" s="81"/>
      <c r="Y1226" s="81"/>
      <c r="Z1226" s="70"/>
      <c r="AJ1226" s="66"/>
      <c r="AK1226" s="65"/>
    </row>
    <row r="1227" spans="1:37" hidden="1">
      <c r="C1227" s="79"/>
      <c r="H1227" s="70" t="str">
        <f>$H$25</f>
        <v>12/13 DEMAND ALLOCATION WITH MDS METHODOLOGY</v>
      </c>
      <c r="Q1227" s="70" t="str">
        <f>$H$25</f>
        <v>12/13 DEMAND ALLOCATION WITH MDS METHODOLOGY</v>
      </c>
      <c r="S1227" s="79"/>
      <c r="X1227" s="81"/>
      <c r="Y1227" s="81"/>
      <c r="Z1227" s="70"/>
      <c r="AF1227" s="79"/>
      <c r="AJ1227" s="66"/>
      <c r="AK1227" s="65"/>
    </row>
    <row r="1228" spans="1:37" hidden="1">
      <c r="C1228" s="79"/>
      <c r="H1228" s="87" t="s">
        <v>108</v>
      </c>
      <c r="I1228" s="79"/>
      <c r="J1228" s="79"/>
      <c r="K1228" s="79"/>
      <c r="L1228" s="79"/>
      <c r="M1228" s="79"/>
      <c r="N1228" s="79"/>
      <c r="Q1228" s="87" t="s">
        <v>108</v>
      </c>
      <c r="S1228" s="79"/>
      <c r="U1228" s="80"/>
      <c r="X1228" s="81"/>
      <c r="Y1228" s="81"/>
      <c r="Z1228" s="87"/>
      <c r="AF1228" s="79"/>
      <c r="AJ1228" s="66"/>
      <c r="AK1228" s="65"/>
    </row>
    <row r="1229" spans="1:37" hidden="1">
      <c r="C1229" s="79"/>
      <c r="H1229" s="87" t="s">
        <v>114</v>
      </c>
      <c r="J1229" s="79"/>
      <c r="K1229" s="79"/>
      <c r="L1229" s="79"/>
      <c r="M1229" s="79"/>
      <c r="N1229" s="79"/>
      <c r="Q1229" s="87" t="s">
        <v>114</v>
      </c>
      <c r="S1229" s="79"/>
      <c r="U1229" s="80"/>
      <c r="X1229" s="81"/>
      <c r="Y1229" s="81"/>
      <c r="Z1229" s="87"/>
      <c r="AF1229" s="79"/>
      <c r="AJ1229" s="66"/>
      <c r="AK1229" s="65"/>
    </row>
    <row r="1230" spans="1:37" hidden="1">
      <c r="C1230" s="65" t="s">
        <v>59</v>
      </c>
      <c r="K1230" s="65"/>
      <c r="L1230" s="65"/>
      <c r="M1230" s="65"/>
      <c r="O1230" s="65" t="s">
        <v>59</v>
      </c>
      <c r="P1230" s="65"/>
      <c r="Q1230" s="65"/>
      <c r="R1230" s="65"/>
      <c r="S1230" s="65" t="s">
        <v>115</v>
      </c>
      <c r="W1230" s="76" t="s">
        <v>116</v>
      </c>
      <c r="X1230" s="76" t="s">
        <v>116</v>
      </c>
      <c r="Y1230" s="76" t="s">
        <v>117</v>
      </c>
      <c r="AF1230" s="65"/>
      <c r="AJ1230" s="66"/>
      <c r="AK1230" s="65"/>
    </row>
    <row r="1231" spans="1:37" hidden="1">
      <c r="A1231" s="65" t="s">
        <v>118</v>
      </c>
      <c r="C1231" s="65" t="s">
        <v>58</v>
      </c>
      <c r="D1231" s="70" t="s">
        <v>119</v>
      </c>
      <c r="E1231" s="70" t="s">
        <v>119</v>
      </c>
      <c r="F1231" s="70" t="s">
        <v>119</v>
      </c>
      <c r="G1231" s="70" t="s">
        <v>119</v>
      </c>
      <c r="H1231" s="70" t="s">
        <v>119</v>
      </c>
      <c r="I1231" s="70" t="s">
        <v>119</v>
      </c>
      <c r="J1231" s="70" t="s">
        <v>119</v>
      </c>
      <c r="K1231" s="70" t="s">
        <v>119</v>
      </c>
      <c r="L1231" s="70" t="s">
        <v>119</v>
      </c>
      <c r="M1231" s="70" t="s">
        <v>119</v>
      </c>
      <c r="N1231" s="70" t="s">
        <v>119</v>
      </c>
      <c r="O1231" s="65" t="s">
        <v>116</v>
      </c>
      <c r="P1231" s="65"/>
      <c r="Q1231" s="70" t="s">
        <v>120</v>
      </c>
      <c r="R1231" s="65"/>
      <c r="S1231" s="65" t="s">
        <v>121</v>
      </c>
      <c r="W1231" s="76" t="s">
        <v>122</v>
      </c>
      <c r="X1231" s="76" t="s">
        <v>123</v>
      </c>
      <c r="Y1231" s="76" t="s">
        <v>124</v>
      </c>
      <c r="Z1231" s="65"/>
      <c r="AF1231" s="70"/>
      <c r="AJ1231" s="66"/>
      <c r="AK1231" s="65"/>
    </row>
    <row r="1232" spans="1:37" hidden="1">
      <c r="A1232" s="65" t="s">
        <v>125</v>
      </c>
      <c r="B1232" s="65" t="s">
        <v>126</v>
      </c>
      <c r="C1232" s="65" t="s">
        <v>57</v>
      </c>
      <c r="D1232" s="70" t="s">
        <v>127</v>
      </c>
      <c r="E1232" s="70" t="s">
        <v>128</v>
      </c>
      <c r="F1232" s="70" t="s">
        <v>129</v>
      </c>
      <c r="G1232" s="70" t="s">
        <v>130</v>
      </c>
      <c r="H1232" s="70" t="s">
        <v>131</v>
      </c>
      <c r="I1232" s="65" t="s">
        <v>132</v>
      </c>
      <c r="J1232" s="70" t="s">
        <v>133</v>
      </c>
      <c r="K1232" s="70" t="s">
        <v>134</v>
      </c>
      <c r="L1232" s="70" t="s">
        <v>135</v>
      </c>
      <c r="M1232" s="70" t="s">
        <v>136</v>
      </c>
      <c r="N1232" s="70" t="s">
        <v>137</v>
      </c>
      <c r="O1232" s="65" t="s">
        <v>138</v>
      </c>
      <c r="P1232" s="70" t="s">
        <v>139</v>
      </c>
      <c r="Q1232" s="70" t="s">
        <v>140</v>
      </c>
      <c r="R1232" s="65" t="s">
        <v>122</v>
      </c>
      <c r="S1232" s="65" t="s">
        <v>141</v>
      </c>
      <c r="U1232" s="65" t="s">
        <v>162</v>
      </c>
      <c r="W1232" s="76" t="s">
        <v>142</v>
      </c>
      <c r="X1232" s="76" t="s">
        <v>142</v>
      </c>
      <c r="Y1232" s="76" t="s">
        <v>142</v>
      </c>
      <c r="Z1232" s="65"/>
      <c r="AF1232" s="70"/>
      <c r="AJ1232" s="66"/>
      <c r="AK1232" s="65"/>
    </row>
    <row r="1233" spans="1:37" hidden="1">
      <c r="A1233" s="65" t="s">
        <v>143</v>
      </c>
      <c r="B1233" s="65" t="s">
        <v>144</v>
      </c>
      <c r="C1233" s="65" t="s">
        <v>145</v>
      </c>
      <c r="D1233" s="70" t="s">
        <v>146</v>
      </c>
      <c r="E1233" s="70" t="s">
        <v>147</v>
      </c>
      <c r="F1233" s="70" t="s">
        <v>148</v>
      </c>
      <c r="G1233" s="65" t="s">
        <v>149</v>
      </c>
      <c r="H1233" s="65" t="s">
        <v>150</v>
      </c>
      <c r="I1233" s="65" t="s">
        <v>151</v>
      </c>
      <c r="J1233" s="70" t="s">
        <v>152</v>
      </c>
      <c r="K1233" s="70" t="s">
        <v>153</v>
      </c>
      <c r="L1233" s="70" t="s">
        <v>154</v>
      </c>
      <c r="M1233" s="70" t="s">
        <v>155</v>
      </c>
      <c r="N1233" s="70" t="s">
        <v>156</v>
      </c>
      <c r="O1233" s="70" t="s">
        <v>157</v>
      </c>
      <c r="P1233" s="70" t="s">
        <v>158</v>
      </c>
      <c r="Q1233" s="70" t="s">
        <v>159</v>
      </c>
      <c r="R1233" s="70" t="s">
        <v>160</v>
      </c>
      <c r="S1233" s="70" t="s">
        <v>161</v>
      </c>
      <c r="W1233" s="77" t="s">
        <v>163</v>
      </c>
      <c r="X1233" s="77" t="s">
        <v>164</v>
      </c>
      <c r="Y1233" s="76" t="s">
        <v>165</v>
      </c>
      <c r="Z1233" s="70"/>
      <c r="AF1233" s="76"/>
      <c r="AJ1233" s="66"/>
      <c r="AK1233" s="70"/>
    </row>
    <row r="1234" spans="1:37" hidden="1">
      <c r="C1234" s="79"/>
      <c r="D1234" s="79"/>
      <c r="E1234" s="79"/>
      <c r="F1234" s="79"/>
      <c r="G1234" s="79"/>
      <c r="H1234" s="79"/>
      <c r="I1234" s="79"/>
      <c r="J1234" s="79"/>
      <c r="K1234" s="79"/>
      <c r="L1234" s="79"/>
      <c r="M1234" s="79"/>
      <c r="N1234" s="79"/>
      <c r="O1234" s="79"/>
      <c r="P1234" s="79"/>
      <c r="Q1234" s="79"/>
      <c r="R1234" s="79"/>
      <c r="S1234" s="79"/>
      <c r="U1234" s="80"/>
      <c r="W1234" s="81" t="str">
        <f>IF((P1234+Q1234)=0," ",ROUND((P1234/(P1234+Q1234)),74))</f>
        <v xml:space="preserve"> </v>
      </c>
      <c r="X1234" s="81" t="str">
        <f>IF((C1234)=0," ",ROUND((P1234/(C1234)),74))</f>
        <v xml:space="preserve"> </v>
      </c>
      <c r="Y1234" s="81" t="str">
        <f>IF((C1234)=0," ",ROUND((R1234/(C1234)),7))</f>
        <v xml:space="preserve"> </v>
      </c>
      <c r="Z1234" s="79"/>
      <c r="AF1234" s="79"/>
      <c r="AJ1234" s="66"/>
      <c r="AK1234" s="65"/>
    </row>
    <row r="1235" spans="1:37" hidden="1">
      <c r="B1235" s="65" t="s">
        <v>522</v>
      </c>
      <c r="C1235" s="79"/>
      <c r="D1235" s="79"/>
      <c r="E1235" s="79"/>
      <c r="F1235" s="79"/>
      <c r="G1235" s="79"/>
      <c r="H1235" s="79"/>
      <c r="I1235" s="79"/>
      <c r="J1235" s="79"/>
      <c r="K1235" s="79"/>
      <c r="L1235" s="79"/>
      <c r="M1235" s="79"/>
      <c r="N1235" s="79"/>
      <c r="O1235" s="79"/>
      <c r="P1235" s="79"/>
      <c r="Q1235" s="79"/>
      <c r="R1235" s="79"/>
      <c r="S1235" s="79"/>
      <c r="U1235" s="80"/>
      <c r="W1235" s="81" t="str">
        <f>IF((P1235+Q1235)=0," ",ROUND((P1235/(P1235+Q1235)),74))</f>
        <v xml:space="preserve"> </v>
      </c>
      <c r="X1235" s="81" t="str">
        <f>IF((C1235)=0," ",ROUND((P1235/(C1235)),74))</f>
        <v xml:space="preserve"> </v>
      </c>
      <c r="Y1235" s="81" t="str">
        <f>IF((C1235)=0," ",ROUND((R1235/(C1235)),7))</f>
        <v xml:space="preserve"> </v>
      </c>
      <c r="Z1235" s="79"/>
      <c r="AF1235" s="79"/>
      <c r="AJ1235" s="66"/>
      <c r="AK1235" s="65"/>
    </row>
    <row r="1236" spans="1:37" hidden="1">
      <c r="B1236" s="83" t="s">
        <v>170</v>
      </c>
      <c r="C1236" s="79"/>
      <c r="D1236" s="79"/>
      <c r="E1236" s="79"/>
      <c r="F1236" s="79"/>
      <c r="G1236" s="79"/>
      <c r="H1236" s="79"/>
      <c r="I1236" s="79"/>
      <c r="J1236" s="79"/>
      <c r="K1236" s="79"/>
      <c r="L1236" s="79"/>
      <c r="M1236" s="79"/>
      <c r="N1236" s="79"/>
      <c r="O1236" s="79"/>
      <c r="P1236" s="79"/>
      <c r="Q1236" s="79"/>
      <c r="R1236" s="79"/>
      <c r="S1236" s="79"/>
      <c r="U1236" s="80"/>
      <c r="W1236" s="81" t="str">
        <f>IF((P1236+Q1236)=0," ",ROUND((P1236/(P1236+Q1236)),74))</f>
        <v xml:space="preserve"> </v>
      </c>
      <c r="X1236" s="81" t="str">
        <f>IF((C1236)=0," ",ROUND((P1236/(C1236)),74))</f>
        <v xml:space="preserve"> </v>
      </c>
      <c r="Y1236" s="81" t="str">
        <f>IF((C1236)=0," ",ROUND((R1236/(C1236)),7))</f>
        <v xml:space="preserve"> </v>
      </c>
      <c r="Z1236" s="79"/>
      <c r="AF1236" s="79"/>
      <c r="AJ1236" s="66"/>
      <c r="AK1236" s="65"/>
    </row>
    <row r="1237" spans="1:37" hidden="1">
      <c r="C1237" s="79"/>
      <c r="D1237" s="79"/>
      <c r="E1237" s="79"/>
      <c r="F1237" s="79"/>
      <c r="G1237" s="79"/>
      <c r="H1237" s="79"/>
      <c r="I1237" s="79"/>
      <c r="J1237" s="79"/>
      <c r="K1237" s="79"/>
      <c r="L1237" s="79"/>
      <c r="M1237" s="79"/>
      <c r="N1237" s="79"/>
      <c r="O1237" s="79"/>
      <c r="P1237" s="79"/>
      <c r="Q1237" s="79"/>
      <c r="R1237" s="79"/>
      <c r="S1237" s="79"/>
      <c r="U1237" s="80"/>
      <c r="W1237" s="81" t="str">
        <f>IF((P1237+Q1237)=0," ",ROUND((P1237/(P1237+Q1237)),74))</f>
        <v xml:space="preserve"> </v>
      </c>
      <c r="X1237" s="81" t="str">
        <f>IF((C1237)=0," ",ROUND((P1237/(C1237)),74))</f>
        <v xml:space="preserve"> </v>
      </c>
      <c r="Y1237" s="81" t="str">
        <f>IF((C1237)=0," ",ROUND((R1237/(C1237)),7))</f>
        <v xml:space="preserve"> </v>
      </c>
      <c r="Z1237" s="79"/>
      <c r="AF1237" s="79"/>
      <c r="AJ1237" s="66"/>
      <c r="AK1237" s="65"/>
    </row>
    <row r="1238" spans="1:37" hidden="1">
      <c r="A1238" s="65">
        <f>A1237+1</f>
        <v>1</v>
      </c>
      <c r="B1238" s="66" t="s">
        <v>274</v>
      </c>
      <c r="C1238" s="78">
        <f>L2110</f>
        <v>16040</v>
      </c>
      <c r="D1238" s="79">
        <f t="shared" ref="D1238:I1238" si="607">SUM(D1240:D1241)</f>
        <v>7579</v>
      </c>
      <c r="E1238" s="79">
        <f>SUM(E1240:E1241)</f>
        <v>200</v>
      </c>
      <c r="F1238" s="79">
        <f>D1238+E1238</f>
        <v>7779</v>
      </c>
      <c r="G1238" s="79">
        <f t="shared" si="607"/>
        <v>382</v>
      </c>
      <c r="H1238" s="79">
        <f t="shared" si="607"/>
        <v>3116</v>
      </c>
      <c r="I1238" s="79">
        <f t="shared" si="607"/>
        <v>1833</v>
      </c>
      <c r="J1238" s="79">
        <f>SUM(J1240:J1241)</f>
        <v>806</v>
      </c>
      <c r="K1238" s="79">
        <f>SUM(K1240:K1241)</f>
        <v>56</v>
      </c>
      <c r="L1238" s="79">
        <f>SUM(L1240:L1241)</f>
        <v>34</v>
      </c>
      <c r="M1238" s="79">
        <f>SUM(J1238:L1238)</f>
        <v>896</v>
      </c>
      <c r="N1238" s="79">
        <f>SUM(N1240:N1241)</f>
        <v>71</v>
      </c>
      <c r="O1238" s="79">
        <f>C1238-P1238-Q1238-S1238</f>
        <v>14077</v>
      </c>
      <c r="P1238" s="79">
        <f>ROUND((P34/($C34-$S34))*($C1238-$S1238),0)</f>
        <v>442</v>
      </c>
      <c r="Q1238" s="79">
        <f>ROUND((Q34/($C34-$S34))*($C1238-$S1238),0)</f>
        <v>51</v>
      </c>
      <c r="R1238" s="79">
        <f>P1238+Q1238</f>
        <v>493</v>
      </c>
      <c r="S1238" s="78">
        <f>J2110</f>
        <v>1470</v>
      </c>
      <c r="U1238" s="80">
        <f>O1238+R1238+S1238-C1238</f>
        <v>0</v>
      </c>
      <c r="W1238" s="81">
        <f>IF((O1238+R1238)=0," ",ROUND((O1238/(O1238+R1238)),7))</f>
        <v>0.96616329999999995</v>
      </c>
      <c r="X1238" s="81">
        <f>IF((C1238)=0," ",ROUND((O1238/(C1238)),7))</f>
        <v>0.87761849999999997</v>
      </c>
      <c r="Y1238" s="81">
        <f>IF((C1238)=0," ",ROUND((S1238/(C1238)),7))</f>
        <v>9.1645900000000002E-2</v>
      </c>
      <c r="Z1238" s="79"/>
      <c r="AF1238" s="79"/>
      <c r="AJ1238" s="66"/>
      <c r="AK1238" s="70"/>
    </row>
    <row r="1239" spans="1:37" hidden="1">
      <c r="B1239" s="66" t="s">
        <v>275</v>
      </c>
      <c r="C1239" s="79"/>
      <c r="D1239" s="79"/>
      <c r="E1239" s="79"/>
      <c r="F1239" s="79"/>
      <c r="G1239" s="79"/>
      <c r="H1239" s="79"/>
      <c r="I1239" s="79"/>
      <c r="J1239" s="79"/>
      <c r="K1239" s="79"/>
      <c r="L1239" s="79"/>
      <c r="M1239" s="79"/>
      <c r="N1239" s="79"/>
      <c r="O1239" s="79"/>
      <c r="P1239" s="79"/>
      <c r="Q1239" s="79"/>
      <c r="R1239" s="79"/>
      <c r="S1239" s="79"/>
      <c r="U1239" s="80"/>
      <c r="W1239" s="81" t="str">
        <f>IF((P1239+Q1239)=0," ",ROUND((P1239/(P1239+Q1239)),74))</f>
        <v xml:space="preserve"> </v>
      </c>
      <c r="X1239" s="81" t="str">
        <f>IF((C1239)=0," ",ROUND((P1239/(C1239)),74))</f>
        <v xml:space="preserve"> </v>
      </c>
      <c r="Y1239" s="81" t="str">
        <f>IF((C1239)=0," ",ROUND((R1239/(C1239)),7))</f>
        <v xml:space="preserve"> </v>
      </c>
      <c r="Z1239" s="79"/>
      <c r="AF1239" s="79"/>
      <c r="AJ1239" s="66"/>
      <c r="AK1239" s="65"/>
    </row>
    <row r="1240" spans="1:37" hidden="1">
      <c r="A1240" s="65">
        <f>A1238+1</f>
        <v>2</v>
      </c>
      <c r="B1240" s="66" t="s">
        <v>39</v>
      </c>
      <c r="C1240" s="79"/>
      <c r="D1240" s="79">
        <f>O1240-E1240-SUM(G1240:I1240)-SUM(M1240:N1240)</f>
        <v>7078</v>
      </c>
      <c r="E1240" s="79">
        <v>181</v>
      </c>
      <c r="F1240" s="79">
        <f t="shared" ref="F1240:F1252" si="608">D1240+E1240</f>
        <v>7259</v>
      </c>
      <c r="G1240" s="79">
        <v>354</v>
      </c>
      <c r="H1240" s="79">
        <v>2864</v>
      </c>
      <c r="I1240" s="79">
        <v>1664</v>
      </c>
      <c r="J1240" s="79">
        <v>715</v>
      </c>
      <c r="K1240" s="79">
        <v>52</v>
      </c>
      <c r="L1240" s="79">
        <v>30</v>
      </c>
      <c r="M1240" s="79">
        <f>SUM(J1240:L1240)</f>
        <v>797</v>
      </c>
      <c r="N1240" s="79">
        <v>56</v>
      </c>
      <c r="O1240" s="79">
        <v>12994</v>
      </c>
      <c r="P1240" s="79"/>
      <c r="Q1240" s="79"/>
      <c r="R1240" s="79"/>
      <c r="S1240" s="79"/>
      <c r="U1240" s="80"/>
      <c r="W1240" s="81" t="str">
        <f>IF((P1240+Q1240)=0," ",ROUND((P1240/(P1240+Q1240)),74))</f>
        <v xml:space="preserve"> </v>
      </c>
      <c r="X1240" s="81" t="str">
        <f>IF((C1240)=0," ",ROUND((P1240/(C1240)),74))</f>
        <v xml:space="preserve"> </v>
      </c>
      <c r="Y1240" s="81" t="str">
        <f>IF((C1240)=0," ",ROUND((R1240/(C1240)),7))</f>
        <v xml:space="preserve"> </v>
      </c>
      <c r="Z1240" s="79"/>
      <c r="AF1240" s="79"/>
      <c r="AJ1240" s="66"/>
      <c r="AK1240" s="70"/>
    </row>
    <row r="1241" spans="1:37" hidden="1">
      <c r="A1241" s="65">
        <f t="shared" ref="A1241:A1253" si="609">A1240+1</f>
        <v>3</v>
      </c>
      <c r="B1241" s="66" t="s">
        <v>168</v>
      </c>
      <c r="C1241" s="79"/>
      <c r="D1241" s="79">
        <f>O1241-E1241-SUM(G1241:I1241)-SUM(M1241:N1241)</f>
        <v>501</v>
      </c>
      <c r="E1241" s="79">
        <v>19</v>
      </c>
      <c r="F1241" s="79">
        <f t="shared" si="608"/>
        <v>520</v>
      </c>
      <c r="G1241" s="79">
        <v>28</v>
      </c>
      <c r="H1241" s="79">
        <v>252</v>
      </c>
      <c r="I1241" s="79">
        <v>169</v>
      </c>
      <c r="J1241" s="79">
        <v>91</v>
      </c>
      <c r="K1241" s="79">
        <v>4</v>
      </c>
      <c r="L1241" s="79">
        <v>4</v>
      </c>
      <c r="M1241" s="79">
        <f>SUM(J1241:L1241)</f>
        <v>99</v>
      </c>
      <c r="N1241" s="79">
        <v>15</v>
      </c>
      <c r="O1241" s="79">
        <f>O1238-O1240</f>
        <v>1083</v>
      </c>
      <c r="P1241" s="79"/>
      <c r="Q1241" s="79"/>
      <c r="R1241" s="79"/>
      <c r="S1241" s="79"/>
      <c r="U1241" s="80"/>
      <c r="W1241" s="81" t="str">
        <f>IF((P1241+Q1241)=0," ",ROUND((P1241/(P1241+Q1241)),74))</f>
        <v xml:space="preserve"> </v>
      </c>
      <c r="X1241" s="81" t="str">
        <f>IF((C1241)=0," ",ROUND((P1241/(C1241)),74))</f>
        <v xml:space="preserve"> </v>
      </c>
      <c r="Y1241" s="81" t="str">
        <f>IF((C1241)=0," ",ROUND((R1241/(C1241)),7))</f>
        <v xml:space="preserve"> </v>
      </c>
      <c r="Z1241" s="79"/>
      <c r="AF1241" s="79"/>
      <c r="AJ1241" s="66"/>
      <c r="AK1241" s="70"/>
    </row>
    <row r="1242" spans="1:37" hidden="1">
      <c r="A1242" s="65">
        <f t="shared" si="609"/>
        <v>4</v>
      </c>
      <c r="B1242" s="66" t="s">
        <v>276</v>
      </c>
      <c r="C1242" s="78">
        <f>L2112</f>
        <v>2015</v>
      </c>
      <c r="D1242" s="79">
        <f>ROUND((D79/($C79-$S79))*($C1242-$S1242),0)+1</f>
        <v>1060</v>
      </c>
      <c r="E1242" s="79">
        <f>ROUND((E79/($C79-$S79))*($C1242-$S1242),0)-1</f>
        <v>26</v>
      </c>
      <c r="F1242" s="79">
        <f t="shared" si="608"/>
        <v>1086</v>
      </c>
      <c r="G1242" s="79">
        <f t="shared" ref="G1242:L1242" si="610">ROUND((G79/($C79-$S79))*($C1242-$S1242),0)</f>
        <v>53</v>
      </c>
      <c r="H1242" s="79">
        <f t="shared" si="610"/>
        <v>429</v>
      </c>
      <c r="I1242" s="79">
        <f t="shared" si="610"/>
        <v>245</v>
      </c>
      <c r="J1242" s="79">
        <f t="shared" si="610"/>
        <v>105</v>
      </c>
      <c r="K1242" s="79">
        <f t="shared" si="610"/>
        <v>8</v>
      </c>
      <c r="L1242" s="79">
        <f t="shared" si="610"/>
        <v>4</v>
      </c>
      <c r="M1242" s="79">
        <f>SUM(J1242:L1242)</f>
        <v>117</v>
      </c>
      <c r="N1242" s="79">
        <f>ROUND((N79/($C79-$S79))*($C1242-$S1242),0)</f>
        <v>8</v>
      </c>
      <c r="O1242" s="79">
        <f>SUM(F1242:I1242)+SUM(M1242:N1242)</f>
        <v>1938</v>
      </c>
      <c r="P1242" s="79">
        <f>ROUND((P79/($C79-$S79))*($C1242-$S1242),0)</f>
        <v>57</v>
      </c>
      <c r="Q1242" s="79">
        <f>ROUND((Q79/($C79-$S79))*($C1242-$S1242),0)</f>
        <v>7</v>
      </c>
      <c r="R1242" s="79">
        <f t="shared" ref="R1242:R1253" si="611">P1242+Q1242</f>
        <v>64</v>
      </c>
      <c r="S1242" s="78">
        <f>J2112</f>
        <v>12</v>
      </c>
      <c r="U1242" s="80">
        <f>O1242+R1242+S1242-C1242</f>
        <v>-1</v>
      </c>
      <c r="W1242" s="81">
        <f t="shared" ref="W1242:W1253" si="612">IF((O1242+R1242)=0," ",ROUND((O1242/(O1242+R1242)),7))</f>
        <v>0.968032</v>
      </c>
      <c r="X1242" s="81">
        <f t="shared" ref="X1242:X1253" si="613">IF((C1242)=0," ",ROUND((O1242/(C1242)),7))</f>
        <v>0.96178660000000005</v>
      </c>
      <c r="Y1242" s="81">
        <f t="shared" ref="Y1242:Y1253" si="614">IF((C1242)=0," ",ROUND((S1242/(C1242)),7))</f>
        <v>5.9553000000000002E-3</v>
      </c>
      <c r="Z1242" s="79"/>
      <c r="AF1242" s="79"/>
      <c r="AJ1242" s="66"/>
      <c r="AK1242" s="70"/>
    </row>
    <row r="1243" spans="1:37" hidden="1">
      <c r="A1243" s="65">
        <f t="shared" si="609"/>
        <v>5</v>
      </c>
      <c r="B1243" s="66" t="s">
        <v>277</v>
      </c>
      <c r="C1243" s="78">
        <f>L2114</f>
        <v>5678</v>
      </c>
      <c r="D1243" s="79">
        <f>ROUND((D164/$C164)*$C1243,0)</f>
        <v>3479</v>
      </c>
      <c r="E1243" s="79">
        <f>ROUND((E164/$C164)*$C1243,0)</f>
        <v>105</v>
      </c>
      <c r="F1243" s="79">
        <f t="shared" si="608"/>
        <v>3584</v>
      </c>
      <c r="G1243" s="79">
        <f t="shared" ref="G1243:L1243" si="615">ROUND((G164/$C164)*$C1243,0)</f>
        <v>251</v>
      </c>
      <c r="H1243" s="79">
        <f t="shared" si="615"/>
        <v>915</v>
      </c>
      <c r="I1243" s="79">
        <f t="shared" si="615"/>
        <v>333</v>
      </c>
      <c r="J1243" s="79">
        <f t="shared" si="615"/>
        <v>138</v>
      </c>
      <c r="K1243" s="79">
        <f t="shared" si="615"/>
        <v>19</v>
      </c>
      <c r="L1243" s="79">
        <f t="shared" si="615"/>
        <v>5</v>
      </c>
      <c r="M1243" s="79">
        <f t="shared" ref="M1243:M1253" si="616">SUM(J1243:L1243)</f>
        <v>162</v>
      </c>
      <c r="N1243" s="79">
        <f>ROUND((N164/$C164)*$C1243,0)</f>
        <v>408</v>
      </c>
      <c r="O1243" s="79">
        <f t="shared" ref="O1243:O1253" si="617">SUM(F1243:I1243)+SUM(M1243:N1243)</f>
        <v>5653</v>
      </c>
      <c r="P1243" s="79">
        <f>ROUND((P164/$C164)*$C1243,0)</f>
        <v>23</v>
      </c>
      <c r="Q1243" s="79">
        <f>ROUND((Q164/$C164)*$C1243,0)</f>
        <v>2</v>
      </c>
      <c r="R1243" s="79">
        <f t="shared" si="611"/>
        <v>25</v>
      </c>
      <c r="S1243" s="79">
        <v>0</v>
      </c>
      <c r="U1243" s="80">
        <f t="shared" ref="U1243:U1253" si="618">O1243+R1243+S1243-C1243</f>
        <v>0</v>
      </c>
      <c r="W1243" s="81">
        <f t="shared" si="612"/>
        <v>0.99559699999999995</v>
      </c>
      <c r="X1243" s="81">
        <f t="shared" si="613"/>
        <v>0.99559699999999995</v>
      </c>
      <c r="Y1243" s="81">
        <f t="shared" si="614"/>
        <v>0</v>
      </c>
      <c r="Z1243" s="79"/>
      <c r="AF1243" s="79"/>
      <c r="AJ1243" s="66"/>
      <c r="AK1243" s="70"/>
    </row>
    <row r="1244" spans="1:37" hidden="1">
      <c r="A1244" s="65">
        <f t="shared" si="609"/>
        <v>6</v>
      </c>
      <c r="B1244" s="66" t="s">
        <v>39</v>
      </c>
      <c r="C1244" s="79">
        <f>ROUND(C165/C164*C1243,0)</f>
        <v>3558</v>
      </c>
      <c r="D1244" s="79">
        <f>ROUND(D165/$C165*$C1244,0)+1</f>
        <v>2020</v>
      </c>
      <c r="E1244" s="79">
        <f>ROUND(E165/$C165*$C1244,0)</f>
        <v>63</v>
      </c>
      <c r="F1244" s="79">
        <f t="shared" si="608"/>
        <v>2083</v>
      </c>
      <c r="G1244" s="79">
        <f t="shared" ref="G1244:L1244" si="619">ROUND(G165/$C165*$C1244,0)</f>
        <v>106</v>
      </c>
      <c r="H1244" s="79">
        <f t="shared" si="619"/>
        <v>813</v>
      </c>
      <c r="I1244" s="79">
        <f t="shared" si="619"/>
        <v>329</v>
      </c>
      <c r="J1244" s="79">
        <f t="shared" si="619"/>
        <v>138</v>
      </c>
      <c r="K1244" s="79">
        <f t="shared" si="619"/>
        <v>19</v>
      </c>
      <c r="L1244" s="79">
        <f t="shared" si="619"/>
        <v>5</v>
      </c>
      <c r="M1244" s="79">
        <f t="shared" si="616"/>
        <v>162</v>
      </c>
      <c r="N1244" s="79">
        <f>ROUND(N165/$C165*$C1244,0)</f>
        <v>42</v>
      </c>
      <c r="O1244" s="79">
        <f t="shared" si="617"/>
        <v>3535</v>
      </c>
      <c r="P1244" s="79">
        <f>ROUND(P165/$C165*$C1244,0)</f>
        <v>23</v>
      </c>
      <c r="Q1244" s="79">
        <f>ROUND(Q165/$C165*$C1244,0)</f>
        <v>2</v>
      </c>
      <c r="R1244" s="79">
        <f t="shared" si="611"/>
        <v>25</v>
      </c>
      <c r="S1244" s="79">
        <v>0</v>
      </c>
      <c r="U1244" s="80">
        <f t="shared" si="618"/>
        <v>2</v>
      </c>
      <c r="W1244" s="81">
        <f t="shared" si="612"/>
        <v>0.99297749999999996</v>
      </c>
      <c r="X1244" s="81">
        <f t="shared" si="613"/>
        <v>0.99353570000000002</v>
      </c>
      <c r="Y1244" s="81">
        <f t="shared" si="614"/>
        <v>0</v>
      </c>
      <c r="Z1244" s="79"/>
      <c r="AF1244" s="79"/>
      <c r="AJ1244" s="66"/>
      <c r="AK1244" s="70"/>
    </row>
    <row r="1245" spans="1:37" hidden="1">
      <c r="A1245" s="65">
        <f t="shared" si="609"/>
        <v>7</v>
      </c>
      <c r="B1245" s="66" t="s">
        <v>44</v>
      </c>
      <c r="C1245" s="79">
        <f>O1245+R1245+S1245</f>
        <v>2118</v>
      </c>
      <c r="D1245" s="79">
        <f>D1243-D1244</f>
        <v>1459</v>
      </c>
      <c r="E1245" s="79">
        <f>E1243-E1244</f>
        <v>42</v>
      </c>
      <c r="F1245" s="79">
        <f t="shared" si="608"/>
        <v>1501</v>
      </c>
      <c r="G1245" s="79">
        <f t="shared" ref="G1245:L1245" si="620">G1243-G1244</f>
        <v>145</v>
      </c>
      <c r="H1245" s="79">
        <f t="shared" si="620"/>
        <v>102</v>
      </c>
      <c r="I1245" s="79">
        <f t="shared" si="620"/>
        <v>4</v>
      </c>
      <c r="J1245" s="79">
        <f t="shared" si="620"/>
        <v>0</v>
      </c>
      <c r="K1245" s="79">
        <f t="shared" si="620"/>
        <v>0</v>
      </c>
      <c r="L1245" s="79">
        <f t="shared" si="620"/>
        <v>0</v>
      </c>
      <c r="M1245" s="79">
        <f t="shared" si="616"/>
        <v>0</v>
      </c>
      <c r="N1245" s="79">
        <f>N1243-N1244</f>
        <v>366</v>
      </c>
      <c r="O1245" s="79">
        <f t="shared" si="617"/>
        <v>2118</v>
      </c>
      <c r="P1245" s="79">
        <f>P1243-P1244</f>
        <v>0</v>
      </c>
      <c r="Q1245" s="79">
        <f>Q1243-Q1244</f>
        <v>0</v>
      </c>
      <c r="R1245" s="79">
        <f t="shared" si="611"/>
        <v>0</v>
      </c>
      <c r="S1245" s="79">
        <v>0</v>
      </c>
      <c r="U1245" s="80">
        <f t="shared" si="618"/>
        <v>0</v>
      </c>
      <c r="W1245" s="81">
        <f t="shared" si="612"/>
        <v>1</v>
      </c>
      <c r="X1245" s="81">
        <f t="shared" si="613"/>
        <v>1</v>
      </c>
      <c r="Y1245" s="81">
        <f t="shared" si="614"/>
        <v>0</v>
      </c>
      <c r="Z1245" s="79"/>
      <c r="AF1245" s="79"/>
      <c r="AJ1245" s="66"/>
      <c r="AK1245" s="70"/>
    </row>
    <row r="1246" spans="1:37" hidden="1">
      <c r="A1246" s="65">
        <f t="shared" si="609"/>
        <v>8</v>
      </c>
      <c r="B1246" s="66" t="s">
        <v>278</v>
      </c>
      <c r="C1246" s="78">
        <f>L2116</f>
        <v>102</v>
      </c>
      <c r="D1246" s="79">
        <f>ROUND(D1021/$C1021*$C1246,0)</f>
        <v>86</v>
      </c>
      <c r="E1246" s="79">
        <f>ROUND(E1021/$C1021*$C1246,0)</f>
        <v>2</v>
      </c>
      <c r="F1246" s="79">
        <f t="shared" si="608"/>
        <v>88</v>
      </c>
      <c r="G1246" s="79">
        <f t="shared" ref="G1246:L1246" si="621">ROUND(G1021/$C1021*$C1246,0)</f>
        <v>7</v>
      </c>
      <c r="H1246" s="79">
        <f t="shared" si="621"/>
        <v>4</v>
      </c>
      <c r="I1246" s="79">
        <f t="shared" si="621"/>
        <v>0</v>
      </c>
      <c r="J1246" s="79">
        <f t="shared" si="621"/>
        <v>0</v>
      </c>
      <c r="K1246" s="79">
        <f t="shared" si="621"/>
        <v>0</v>
      </c>
      <c r="L1246" s="79">
        <f t="shared" si="621"/>
        <v>0</v>
      </c>
      <c r="M1246" s="79">
        <f t="shared" si="616"/>
        <v>0</v>
      </c>
      <c r="N1246" s="79">
        <f>ROUND(N1021/$C1021*$C1246,0)</f>
        <v>2</v>
      </c>
      <c r="O1246" s="79">
        <f t="shared" si="617"/>
        <v>101</v>
      </c>
      <c r="P1246" s="79">
        <f>ROUND(P1021/$C1021*$C1246,0)</f>
        <v>0</v>
      </c>
      <c r="Q1246" s="79">
        <f>ROUND(Q1021/$C1021*$C1246,0)</f>
        <v>0</v>
      </c>
      <c r="R1246" s="79">
        <f t="shared" si="611"/>
        <v>0</v>
      </c>
      <c r="S1246" s="79">
        <v>0</v>
      </c>
      <c r="U1246" s="80">
        <f t="shared" si="618"/>
        <v>-1</v>
      </c>
      <c r="W1246" s="81">
        <f t="shared" si="612"/>
        <v>1</v>
      </c>
      <c r="X1246" s="81">
        <f t="shared" si="613"/>
        <v>0.99019610000000002</v>
      </c>
      <c r="Y1246" s="81">
        <f t="shared" si="614"/>
        <v>0</v>
      </c>
      <c r="Z1246" s="79"/>
      <c r="AF1246" s="79"/>
      <c r="AJ1246" s="66"/>
      <c r="AK1246" s="70"/>
    </row>
    <row r="1247" spans="1:37" hidden="1">
      <c r="A1247" s="65">
        <f t="shared" si="609"/>
        <v>9</v>
      </c>
      <c r="B1247" s="66" t="s">
        <v>283</v>
      </c>
      <c r="C1247" s="78">
        <f>L2118</f>
        <v>111</v>
      </c>
      <c r="D1247" s="79">
        <f>ROUND(D1055/$C1055*$C1247,0)</f>
        <v>44</v>
      </c>
      <c r="E1247" s="79">
        <f>ROUND(E1055/$C1055*$C1247,0)</f>
        <v>1</v>
      </c>
      <c r="F1247" s="79">
        <f t="shared" si="608"/>
        <v>45</v>
      </c>
      <c r="G1247" s="79">
        <f t="shared" ref="G1247:L1247" si="622">ROUND(G1055/$C1055*$C1247,0)</f>
        <v>10</v>
      </c>
      <c r="H1247" s="79">
        <f t="shared" si="622"/>
        <v>10</v>
      </c>
      <c r="I1247" s="79">
        <f t="shared" si="622"/>
        <v>44</v>
      </c>
      <c r="J1247" s="79">
        <f t="shared" si="622"/>
        <v>1</v>
      </c>
      <c r="K1247" s="79">
        <f t="shared" si="622"/>
        <v>0</v>
      </c>
      <c r="L1247" s="79">
        <f t="shared" si="622"/>
        <v>0</v>
      </c>
      <c r="M1247" s="79">
        <f t="shared" si="616"/>
        <v>1</v>
      </c>
      <c r="N1247" s="79">
        <f>ROUND(N1055/$C1055*$C1247,0)</f>
        <v>0</v>
      </c>
      <c r="O1247" s="79">
        <f t="shared" si="617"/>
        <v>110</v>
      </c>
      <c r="P1247" s="79">
        <f>ROUND(P1055/$C1055*$C1247,0)</f>
        <v>0</v>
      </c>
      <c r="Q1247" s="79">
        <f>ROUND(Q1055/$C1055*$C1247,0)</f>
        <v>0</v>
      </c>
      <c r="R1247" s="79">
        <f t="shared" si="611"/>
        <v>0</v>
      </c>
      <c r="S1247" s="79">
        <v>0</v>
      </c>
      <c r="U1247" s="80">
        <f t="shared" si="618"/>
        <v>-1</v>
      </c>
      <c r="W1247" s="81">
        <f t="shared" si="612"/>
        <v>1</v>
      </c>
      <c r="X1247" s="81">
        <f t="shared" si="613"/>
        <v>0.99099099999999996</v>
      </c>
      <c r="Y1247" s="81">
        <f t="shared" si="614"/>
        <v>0</v>
      </c>
      <c r="Z1247" s="79"/>
      <c r="AF1247" s="79"/>
      <c r="AJ1247" s="66"/>
      <c r="AK1247" s="70"/>
    </row>
    <row r="1248" spans="1:37" hidden="1">
      <c r="A1248" s="65">
        <f t="shared" si="609"/>
        <v>10</v>
      </c>
      <c r="B1248" s="66" t="s">
        <v>44</v>
      </c>
      <c r="C1248" s="79">
        <f>O1248+R1248+S1248</f>
        <v>110</v>
      </c>
      <c r="D1248" s="79">
        <f>D1247-D1249</f>
        <v>44</v>
      </c>
      <c r="E1248" s="79">
        <f>E1247-E1249</f>
        <v>1</v>
      </c>
      <c r="F1248" s="79">
        <f t="shared" si="608"/>
        <v>45</v>
      </c>
      <c r="G1248" s="79">
        <f t="shared" ref="G1248:L1248" si="623">G1247-G1249</f>
        <v>10</v>
      </c>
      <c r="H1248" s="79">
        <f t="shared" si="623"/>
        <v>10</v>
      </c>
      <c r="I1248" s="79">
        <f t="shared" si="623"/>
        <v>44</v>
      </c>
      <c r="J1248" s="79">
        <f t="shared" si="623"/>
        <v>1</v>
      </c>
      <c r="K1248" s="79">
        <f t="shared" si="623"/>
        <v>0</v>
      </c>
      <c r="L1248" s="79">
        <f t="shared" si="623"/>
        <v>0</v>
      </c>
      <c r="M1248" s="79">
        <f t="shared" si="616"/>
        <v>1</v>
      </c>
      <c r="N1248" s="79">
        <f>N1247-N1249</f>
        <v>0</v>
      </c>
      <c r="O1248" s="79">
        <f t="shared" si="617"/>
        <v>110</v>
      </c>
      <c r="P1248" s="79">
        <f>P1247-P1249</f>
        <v>0</v>
      </c>
      <c r="Q1248" s="79">
        <f>Q1247-Q1249</f>
        <v>0</v>
      </c>
      <c r="R1248" s="79">
        <f t="shared" si="611"/>
        <v>0</v>
      </c>
      <c r="S1248" s="79">
        <v>0</v>
      </c>
      <c r="U1248" s="80">
        <f t="shared" si="618"/>
        <v>0</v>
      </c>
      <c r="W1248" s="81">
        <f t="shared" si="612"/>
        <v>1</v>
      </c>
      <c r="X1248" s="81">
        <f t="shared" si="613"/>
        <v>1</v>
      </c>
      <c r="Y1248" s="81">
        <f t="shared" si="614"/>
        <v>0</v>
      </c>
      <c r="Z1248" s="79"/>
      <c r="AF1248" s="79"/>
      <c r="AJ1248" s="66"/>
      <c r="AK1248" s="70"/>
    </row>
    <row r="1249" spans="1:37" hidden="1">
      <c r="A1249" s="65">
        <f t="shared" si="609"/>
        <v>11</v>
      </c>
      <c r="B1249" s="66" t="s">
        <v>168</v>
      </c>
      <c r="C1249" s="79">
        <f>ROUND(C1053/C1055*C1247,0)</f>
        <v>0</v>
      </c>
      <c r="D1249" s="79">
        <f>ROUND(D1053/$C1053*$C1249,0)</f>
        <v>0</v>
      </c>
      <c r="E1249" s="79">
        <f>ROUND(E1053/$C1053*$C1249,0)</f>
        <v>0</v>
      </c>
      <c r="F1249" s="79">
        <f t="shared" si="608"/>
        <v>0</v>
      </c>
      <c r="G1249" s="79">
        <f t="shared" ref="G1249:L1249" si="624">ROUND(G1053/$C1053*$C1249,0)</f>
        <v>0</v>
      </c>
      <c r="H1249" s="79">
        <f t="shared" si="624"/>
        <v>0</v>
      </c>
      <c r="I1249" s="79">
        <f t="shared" si="624"/>
        <v>0</v>
      </c>
      <c r="J1249" s="79">
        <f t="shared" si="624"/>
        <v>0</v>
      </c>
      <c r="K1249" s="79">
        <f t="shared" si="624"/>
        <v>0</v>
      </c>
      <c r="L1249" s="79">
        <f t="shared" si="624"/>
        <v>0</v>
      </c>
      <c r="M1249" s="79">
        <f t="shared" si="616"/>
        <v>0</v>
      </c>
      <c r="N1249" s="79">
        <f>ROUND(N1053/$C1053*$C1249,0)</f>
        <v>0</v>
      </c>
      <c r="O1249" s="79">
        <f t="shared" si="617"/>
        <v>0</v>
      </c>
      <c r="P1249" s="79">
        <f>ROUND(P1053/$C1053*$C1249,0)</f>
        <v>0</v>
      </c>
      <c r="Q1249" s="79">
        <f>ROUND(Q1053/$C1053*$C1249,0)</f>
        <v>0</v>
      </c>
      <c r="R1249" s="79">
        <f t="shared" si="611"/>
        <v>0</v>
      </c>
      <c r="S1249" s="79">
        <v>0</v>
      </c>
      <c r="U1249" s="80">
        <f t="shared" si="618"/>
        <v>0</v>
      </c>
      <c r="W1249" s="81" t="str">
        <f t="shared" si="612"/>
        <v xml:space="preserve"> </v>
      </c>
      <c r="X1249" s="81" t="str">
        <f t="shared" si="613"/>
        <v xml:space="preserve"> </v>
      </c>
      <c r="Y1249" s="81" t="str">
        <f t="shared" si="614"/>
        <v xml:space="preserve"> </v>
      </c>
      <c r="Z1249" s="79"/>
      <c r="AF1249" s="79"/>
      <c r="AJ1249" s="66"/>
      <c r="AK1249" s="70"/>
    </row>
    <row r="1250" spans="1:37" hidden="1">
      <c r="A1250" s="65">
        <f t="shared" si="609"/>
        <v>12</v>
      </c>
      <c r="B1250" s="66" t="s">
        <v>523</v>
      </c>
      <c r="C1250" s="79">
        <f>O1250+R1250+S1250</f>
        <v>23943</v>
      </c>
      <c r="D1250" s="79">
        <f>SUM(D1251:D1253)</f>
        <v>12248</v>
      </c>
      <c r="E1250" s="79">
        <f>SUM(E1251:E1253)</f>
        <v>334</v>
      </c>
      <c r="F1250" s="79">
        <f t="shared" si="608"/>
        <v>12582</v>
      </c>
      <c r="G1250" s="79">
        <f t="shared" ref="G1250:L1250" si="625">SUM(G1251:G1253)</f>
        <v>703</v>
      </c>
      <c r="H1250" s="79">
        <f t="shared" si="625"/>
        <v>4474</v>
      </c>
      <c r="I1250" s="79">
        <f t="shared" si="625"/>
        <v>2455</v>
      </c>
      <c r="J1250" s="79">
        <f t="shared" si="625"/>
        <v>1050</v>
      </c>
      <c r="K1250" s="79">
        <f t="shared" si="625"/>
        <v>83</v>
      </c>
      <c r="L1250" s="79">
        <f t="shared" si="625"/>
        <v>43</v>
      </c>
      <c r="M1250" s="79">
        <f t="shared" si="616"/>
        <v>1176</v>
      </c>
      <c r="N1250" s="79">
        <f>SUM(N1251:N1253)</f>
        <v>489</v>
      </c>
      <c r="O1250" s="79">
        <f t="shared" si="617"/>
        <v>21879</v>
      </c>
      <c r="P1250" s="79">
        <f>SUM(P1251:P1253)</f>
        <v>522</v>
      </c>
      <c r="Q1250" s="79">
        <f>SUM(Q1251:Q1253)</f>
        <v>60</v>
      </c>
      <c r="R1250" s="79">
        <f t="shared" si="611"/>
        <v>582</v>
      </c>
      <c r="S1250" s="79">
        <f>S1238+S1242+S1243+S1246+S1247</f>
        <v>1482</v>
      </c>
      <c r="U1250" s="80">
        <f t="shared" si="618"/>
        <v>0</v>
      </c>
      <c r="W1250" s="81">
        <f t="shared" si="612"/>
        <v>0.97408839999999997</v>
      </c>
      <c r="X1250" s="81">
        <f t="shared" si="613"/>
        <v>0.91379529999999998</v>
      </c>
      <c r="Y1250" s="81">
        <f t="shared" si="614"/>
        <v>6.1897000000000001E-2</v>
      </c>
      <c r="Z1250" s="79"/>
      <c r="AF1250" s="79"/>
      <c r="AJ1250" s="66"/>
      <c r="AK1250" s="65"/>
    </row>
    <row r="1251" spans="1:37" hidden="1">
      <c r="A1251" s="65">
        <f t="shared" si="609"/>
        <v>13</v>
      </c>
      <c r="B1251" s="66" t="s">
        <v>229</v>
      </c>
      <c r="C1251" s="79">
        <f>O1251+R1251+S1251</f>
        <v>20531</v>
      </c>
      <c r="D1251" s="79">
        <f>D1240+D1242+D1244</f>
        <v>10158</v>
      </c>
      <c r="E1251" s="79">
        <f>E1240+E1242+E1244</f>
        <v>270</v>
      </c>
      <c r="F1251" s="79">
        <f t="shared" si="608"/>
        <v>10428</v>
      </c>
      <c r="G1251" s="79">
        <f t="shared" ref="G1251:L1251" si="626">G1240+G1242+G1244</f>
        <v>513</v>
      </c>
      <c r="H1251" s="79">
        <f t="shared" si="626"/>
        <v>4106</v>
      </c>
      <c r="I1251" s="79">
        <f t="shared" si="626"/>
        <v>2238</v>
      </c>
      <c r="J1251" s="79">
        <f t="shared" si="626"/>
        <v>958</v>
      </c>
      <c r="K1251" s="79">
        <f t="shared" si="626"/>
        <v>79</v>
      </c>
      <c r="L1251" s="79">
        <f t="shared" si="626"/>
        <v>39</v>
      </c>
      <c r="M1251" s="79">
        <f t="shared" si="616"/>
        <v>1076</v>
      </c>
      <c r="N1251" s="79">
        <f>N1240+N1242+N1244</f>
        <v>106</v>
      </c>
      <c r="O1251" s="79">
        <f t="shared" si="617"/>
        <v>18467</v>
      </c>
      <c r="P1251" s="79">
        <f>P1238+P1242+P1244</f>
        <v>522</v>
      </c>
      <c r="Q1251" s="79">
        <f>Q1238+Q1242+Q1244</f>
        <v>60</v>
      </c>
      <c r="R1251" s="79">
        <f t="shared" si="611"/>
        <v>582</v>
      </c>
      <c r="S1251" s="79">
        <f>S1238+S1242+S1244</f>
        <v>1482</v>
      </c>
      <c r="U1251" s="80">
        <f t="shared" si="618"/>
        <v>0</v>
      </c>
      <c r="W1251" s="81">
        <f t="shared" si="612"/>
        <v>0.96944719999999995</v>
      </c>
      <c r="X1251" s="81">
        <f t="shared" si="613"/>
        <v>0.89946910000000002</v>
      </c>
      <c r="Y1251" s="81">
        <f t="shared" si="614"/>
        <v>7.2183499999999998E-2</v>
      </c>
      <c r="Z1251" s="79"/>
      <c r="AF1251" s="79"/>
      <c r="AJ1251" s="66"/>
      <c r="AK1251" s="65"/>
    </row>
    <row r="1252" spans="1:37" hidden="1">
      <c r="A1252" s="65">
        <f t="shared" si="609"/>
        <v>14</v>
      </c>
      <c r="B1252" s="66" t="s">
        <v>253</v>
      </c>
      <c r="C1252" s="79">
        <f>O1252+R1252+S1252</f>
        <v>2329</v>
      </c>
      <c r="D1252" s="79">
        <f>D1245+D1246+D1248</f>
        <v>1589</v>
      </c>
      <c r="E1252" s="79">
        <f>E1245+E1246+E1248</f>
        <v>45</v>
      </c>
      <c r="F1252" s="79">
        <f t="shared" si="608"/>
        <v>1634</v>
      </c>
      <c r="G1252" s="79">
        <f t="shared" ref="G1252:L1252" si="627">G1245+G1246+G1248</f>
        <v>162</v>
      </c>
      <c r="H1252" s="79">
        <f t="shared" si="627"/>
        <v>116</v>
      </c>
      <c r="I1252" s="79">
        <f t="shared" si="627"/>
        <v>48</v>
      </c>
      <c r="J1252" s="79">
        <f t="shared" si="627"/>
        <v>1</v>
      </c>
      <c r="K1252" s="79">
        <f t="shared" si="627"/>
        <v>0</v>
      </c>
      <c r="L1252" s="79">
        <f t="shared" si="627"/>
        <v>0</v>
      </c>
      <c r="M1252" s="79">
        <f t="shared" si="616"/>
        <v>1</v>
      </c>
      <c r="N1252" s="79">
        <f>N1245+N1246+N1248</f>
        <v>368</v>
      </c>
      <c r="O1252" s="79">
        <f t="shared" si="617"/>
        <v>2329</v>
      </c>
      <c r="P1252" s="79">
        <f>P1245+P1246+P1248</f>
        <v>0</v>
      </c>
      <c r="Q1252" s="79">
        <f>Q1245+Q1246+Q1248</f>
        <v>0</v>
      </c>
      <c r="R1252" s="79">
        <f t="shared" si="611"/>
        <v>0</v>
      </c>
      <c r="S1252" s="79">
        <f>S1245+S1246+S1248</f>
        <v>0</v>
      </c>
      <c r="U1252" s="80">
        <f t="shared" si="618"/>
        <v>0</v>
      </c>
      <c r="W1252" s="81">
        <f t="shared" si="612"/>
        <v>1</v>
      </c>
      <c r="X1252" s="81">
        <f t="shared" si="613"/>
        <v>1</v>
      </c>
      <c r="Y1252" s="81">
        <f t="shared" si="614"/>
        <v>0</v>
      </c>
      <c r="Z1252" s="79"/>
      <c r="AF1252" s="79"/>
      <c r="AJ1252" s="66"/>
      <c r="AK1252" s="65"/>
    </row>
    <row r="1253" spans="1:37" hidden="1">
      <c r="A1253" s="65">
        <f t="shared" si="609"/>
        <v>15</v>
      </c>
      <c r="B1253" s="66" t="s">
        <v>230</v>
      </c>
      <c r="C1253" s="79">
        <f>O1253+R1253+S1253</f>
        <v>1083</v>
      </c>
      <c r="D1253" s="79">
        <f>D1249+D1241</f>
        <v>501</v>
      </c>
      <c r="E1253" s="79">
        <f>E1249+E1241</f>
        <v>19</v>
      </c>
      <c r="F1253" s="79">
        <f>D1253+E1253</f>
        <v>520</v>
      </c>
      <c r="G1253" s="79">
        <f t="shared" ref="G1253:L1253" si="628">G1249+G1241</f>
        <v>28</v>
      </c>
      <c r="H1253" s="79">
        <f t="shared" si="628"/>
        <v>252</v>
      </c>
      <c r="I1253" s="79">
        <f t="shared" si="628"/>
        <v>169</v>
      </c>
      <c r="J1253" s="79">
        <f t="shared" si="628"/>
        <v>91</v>
      </c>
      <c r="K1253" s="79">
        <f t="shared" si="628"/>
        <v>4</v>
      </c>
      <c r="L1253" s="79">
        <f t="shared" si="628"/>
        <v>4</v>
      </c>
      <c r="M1253" s="79">
        <f t="shared" si="616"/>
        <v>99</v>
      </c>
      <c r="N1253" s="79">
        <f>N1249+N1241</f>
        <v>15</v>
      </c>
      <c r="O1253" s="79">
        <f t="shared" si="617"/>
        <v>1083</v>
      </c>
      <c r="P1253" s="79">
        <f>P1249</f>
        <v>0</v>
      </c>
      <c r="Q1253" s="79">
        <f>Q1249</f>
        <v>0</v>
      </c>
      <c r="R1253" s="79">
        <f t="shared" si="611"/>
        <v>0</v>
      </c>
      <c r="S1253" s="79">
        <f>S1249</f>
        <v>0</v>
      </c>
      <c r="U1253" s="80">
        <f t="shared" si="618"/>
        <v>0</v>
      </c>
      <c r="W1253" s="81">
        <f t="shared" si="612"/>
        <v>1</v>
      </c>
      <c r="X1253" s="81">
        <f t="shared" si="613"/>
        <v>1</v>
      </c>
      <c r="Y1253" s="81">
        <f t="shared" si="614"/>
        <v>0</v>
      </c>
      <c r="Z1253" s="79"/>
      <c r="AF1253" s="79"/>
      <c r="AJ1253" s="66"/>
      <c r="AK1253" s="65"/>
    </row>
    <row r="1254" spans="1:37" hidden="1">
      <c r="C1254" s="79"/>
      <c r="D1254" s="79"/>
      <c r="E1254" s="79"/>
      <c r="F1254" s="79"/>
      <c r="G1254" s="79"/>
      <c r="H1254" s="79"/>
      <c r="I1254" s="79"/>
      <c r="J1254" s="79"/>
      <c r="K1254" s="79"/>
      <c r="L1254" s="79"/>
      <c r="M1254" s="79"/>
      <c r="N1254" s="79"/>
      <c r="O1254" s="79"/>
      <c r="P1254" s="79"/>
      <c r="Q1254" s="79"/>
      <c r="R1254" s="79"/>
      <c r="S1254" s="79"/>
      <c r="U1254" s="80"/>
      <c r="W1254" s="81" t="str">
        <f>IF((P1254+Q1254)=0," ",ROUND((P1254/(P1254+Q1254)),74))</f>
        <v xml:space="preserve"> </v>
      </c>
      <c r="X1254" s="81" t="str">
        <f>IF((C1254)=0," ",ROUND((P1254/(C1254)),74))</f>
        <v xml:space="preserve"> </v>
      </c>
      <c r="Y1254" s="81" t="str">
        <f>IF((C1254)=0," ",ROUND((R1254/(C1254)),7))</f>
        <v xml:space="preserve"> </v>
      </c>
      <c r="Z1254" s="79"/>
      <c r="AF1254" s="79"/>
      <c r="AJ1254" s="66"/>
      <c r="AK1254" s="65"/>
    </row>
    <row r="1255" spans="1:37" hidden="1">
      <c r="B1255" s="65" t="s">
        <v>524</v>
      </c>
      <c r="C1255" s="79"/>
      <c r="D1255" s="79"/>
      <c r="E1255" s="79"/>
      <c r="F1255" s="79"/>
      <c r="G1255" s="79"/>
      <c r="H1255" s="79"/>
      <c r="I1255" s="79"/>
      <c r="J1255" s="79"/>
      <c r="K1255" s="79"/>
      <c r="L1255" s="79"/>
      <c r="M1255" s="79"/>
      <c r="N1255" s="79"/>
      <c r="O1255" s="79"/>
      <c r="P1255" s="79"/>
      <c r="Q1255" s="79"/>
      <c r="R1255" s="79"/>
      <c r="S1255" s="79"/>
      <c r="U1255" s="80"/>
      <c r="W1255" s="81" t="str">
        <f>IF((P1255+Q1255)=0," ",ROUND((P1255/(P1255+Q1255)),74))</f>
        <v xml:space="preserve"> </v>
      </c>
      <c r="X1255" s="81" t="str">
        <f>IF((C1255)=0," ",ROUND((P1255/(C1255)),74))</f>
        <v xml:space="preserve"> </v>
      </c>
      <c r="Y1255" s="81" t="str">
        <f>IF((C1255)=0," ",ROUND((R1255/(C1255)),7))</f>
        <v xml:space="preserve"> </v>
      </c>
      <c r="Z1255" s="79"/>
      <c r="AF1255" s="79"/>
      <c r="AJ1255" s="66"/>
      <c r="AK1255" s="65"/>
    </row>
    <row r="1256" spans="1:37" hidden="1">
      <c r="B1256" s="83" t="s">
        <v>170</v>
      </c>
      <c r="C1256" s="79"/>
      <c r="D1256" s="79"/>
      <c r="E1256" s="79"/>
      <c r="F1256" s="79"/>
      <c r="G1256" s="79"/>
      <c r="H1256" s="79"/>
      <c r="I1256" s="79"/>
      <c r="J1256" s="79"/>
      <c r="K1256" s="79"/>
      <c r="L1256" s="79"/>
      <c r="M1256" s="79"/>
      <c r="N1256" s="79"/>
      <c r="O1256" s="79"/>
      <c r="P1256" s="79"/>
      <c r="Q1256" s="79"/>
      <c r="R1256" s="79"/>
      <c r="S1256" s="79"/>
      <c r="U1256" s="80"/>
      <c r="W1256" s="81" t="str">
        <f>IF((P1256+Q1256)=0," ",ROUND((P1256/(P1256+Q1256)),74))</f>
        <v xml:space="preserve"> </v>
      </c>
      <c r="X1256" s="81" t="str">
        <f>IF((C1256)=0," ",ROUND((P1256/(C1256)),74))</f>
        <v xml:space="preserve"> </v>
      </c>
      <c r="Y1256" s="81" t="str">
        <f>IF((C1256)=0," ",ROUND((R1256/(C1256)),7))</f>
        <v xml:space="preserve"> </v>
      </c>
      <c r="Z1256" s="79"/>
      <c r="AF1256" s="79"/>
      <c r="AJ1256" s="66"/>
      <c r="AK1256" s="65"/>
    </row>
    <row r="1257" spans="1:37" hidden="1">
      <c r="C1257" s="79"/>
      <c r="D1257" s="79"/>
      <c r="E1257" s="79"/>
      <c r="F1257" s="79"/>
      <c r="G1257" s="79"/>
      <c r="H1257" s="79"/>
      <c r="I1257" s="79"/>
      <c r="J1257" s="79"/>
      <c r="K1257" s="79"/>
      <c r="L1257" s="79"/>
      <c r="M1257" s="79"/>
      <c r="N1257" s="79"/>
      <c r="O1257" s="79"/>
      <c r="P1257" s="79"/>
      <c r="Q1257" s="79"/>
      <c r="R1257" s="79"/>
      <c r="S1257" s="79"/>
      <c r="U1257" s="80"/>
      <c r="W1257" s="81" t="str">
        <f>IF((P1257+Q1257)=0," ",ROUND((P1257/(P1257+Q1257)),74))</f>
        <v xml:space="preserve"> </v>
      </c>
      <c r="X1257" s="81" t="str">
        <f>IF((C1257)=0," ",ROUND((P1257/(C1257)),74))</f>
        <v xml:space="preserve"> </v>
      </c>
      <c r="Y1257" s="81" t="str">
        <f>IF((C1257)=0," ",ROUND((R1257/(C1257)),7))</f>
        <v xml:space="preserve"> </v>
      </c>
      <c r="Z1257" s="79"/>
      <c r="AF1257" s="79"/>
      <c r="AJ1257" s="66"/>
      <c r="AK1257" s="65"/>
    </row>
    <row r="1258" spans="1:37" hidden="1">
      <c r="A1258" s="65">
        <f>A1253+1</f>
        <v>16</v>
      </c>
      <c r="B1258" s="66" t="s">
        <v>274</v>
      </c>
      <c r="C1258" s="78">
        <f>J2144</f>
        <v>3114</v>
      </c>
      <c r="D1258" s="79">
        <f t="shared" ref="D1258:I1258" si="629">SUM(D1260:D1261)</f>
        <v>1524</v>
      </c>
      <c r="E1258" s="79">
        <f>SUM(E1260:E1261)</f>
        <v>40</v>
      </c>
      <c r="F1258" s="79">
        <f t="shared" ref="F1258:F1273" si="630">D1258+E1258</f>
        <v>1564</v>
      </c>
      <c r="G1258" s="79">
        <f t="shared" si="629"/>
        <v>77</v>
      </c>
      <c r="H1258" s="79">
        <f t="shared" si="629"/>
        <v>627</v>
      </c>
      <c r="I1258" s="79">
        <f t="shared" si="629"/>
        <v>369</v>
      </c>
      <c r="J1258" s="79">
        <f>SUM(J1260:J1261)</f>
        <v>162</v>
      </c>
      <c r="K1258" s="79">
        <f>SUM(K1260:K1261)</f>
        <v>11</v>
      </c>
      <c r="L1258" s="79">
        <f>SUM(L1260:L1261)</f>
        <v>7</v>
      </c>
      <c r="M1258" s="79">
        <f>SUM(J1258:L1258)</f>
        <v>180</v>
      </c>
      <c r="N1258" s="79">
        <f>SUM(N1260:N1261)</f>
        <v>14</v>
      </c>
      <c r="O1258" s="79">
        <f>C1258-P1258-Q1258-S1258</f>
        <v>2831</v>
      </c>
      <c r="P1258" s="79">
        <v>89</v>
      </c>
      <c r="Q1258" s="79">
        <v>10</v>
      </c>
      <c r="R1258" s="78">
        <f>P1258+Q1258</f>
        <v>99</v>
      </c>
      <c r="S1258" s="78">
        <f>G2144</f>
        <v>184</v>
      </c>
      <c r="U1258" s="80">
        <f>O1258+R1258+S1258-C1258</f>
        <v>0</v>
      </c>
      <c r="W1258" s="81">
        <f>IF((O1258+R1258)=0," ",ROUND((O1258/(O1258+R1258)),7))</f>
        <v>0.96621159999999995</v>
      </c>
      <c r="X1258" s="81">
        <f>IF((C1258)=0," ",ROUND((O1258/(C1258)),7))</f>
        <v>0.90912009999999999</v>
      </c>
      <c r="Y1258" s="81">
        <f>IF((C1258)=0," ",ROUND((S1258/(C1258)),7))</f>
        <v>5.9088000000000002E-2</v>
      </c>
      <c r="Z1258" s="79"/>
      <c r="AF1258" s="79"/>
      <c r="AJ1258" s="66"/>
      <c r="AK1258" s="70"/>
    </row>
    <row r="1259" spans="1:37" hidden="1">
      <c r="B1259" s="66" t="s">
        <v>275</v>
      </c>
      <c r="C1259" s="79"/>
      <c r="D1259" s="79"/>
      <c r="E1259" s="79"/>
      <c r="F1259" s="79"/>
      <c r="G1259" s="79"/>
      <c r="H1259" s="79"/>
      <c r="I1259" s="79"/>
      <c r="J1259" s="79"/>
      <c r="K1259" s="79"/>
      <c r="L1259" s="79"/>
      <c r="M1259" s="79"/>
      <c r="N1259" s="79"/>
      <c r="O1259" s="79"/>
      <c r="P1259" s="79"/>
      <c r="Q1259" s="79"/>
      <c r="R1259" s="79"/>
      <c r="S1259" s="79"/>
      <c r="U1259" s="80"/>
      <c r="W1259" s="81" t="str">
        <f>IF((P1259+Q1259)=0," ",ROUND((P1259/(P1259+Q1259)),74))</f>
        <v xml:space="preserve"> </v>
      </c>
      <c r="X1259" s="81" t="str">
        <f>IF((C1259)=0," ",ROUND((P1259/(C1259)),74))</f>
        <v xml:space="preserve"> </v>
      </c>
      <c r="Y1259" s="81" t="str">
        <f>IF((C1259)=0," ",ROUND((R1259/(C1259)),7))</f>
        <v xml:space="preserve"> </v>
      </c>
      <c r="Z1259" s="79"/>
      <c r="AF1259" s="79"/>
      <c r="AJ1259" s="66"/>
      <c r="AK1259" s="65"/>
    </row>
    <row r="1260" spans="1:37" hidden="1">
      <c r="A1260" s="65">
        <f>A1258+1</f>
        <v>17</v>
      </c>
      <c r="B1260" s="66" t="s">
        <v>39</v>
      </c>
      <c r="C1260" s="79"/>
      <c r="D1260" s="79">
        <f>O1260-E1260-SUM(G1260:I1260)-SUM(M1260:N1260)</f>
        <v>1424</v>
      </c>
      <c r="E1260" s="79">
        <v>36</v>
      </c>
      <c r="F1260" s="79">
        <f t="shared" ref="F1260:F1266" si="631">D1260+E1260</f>
        <v>1460</v>
      </c>
      <c r="G1260" s="79">
        <v>71</v>
      </c>
      <c r="H1260" s="79">
        <v>576</v>
      </c>
      <c r="I1260" s="79">
        <v>335</v>
      </c>
      <c r="J1260" s="79">
        <v>144</v>
      </c>
      <c r="K1260" s="79">
        <v>10</v>
      </c>
      <c r="L1260" s="79">
        <v>6</v>
      </c>
      <c r="M1260" s="79">
        <f t="shared" ref="M1260:M1265" si="632">SUM(J1260:L1260)</f>
        <v>160</v>
      </c>
      <c r="N1260" s="79">
        <v>11</v>
      </c>
      <c r="O1260" s="79">
        <v>2613</v>
      </c>
      <c r="P1260" s="79"/>
      <c r="Q1260" s="79"/>
      <c r="R1260" s="79"/>
      <c r="S1260" s="79"/>
      <c r="U1260" s="80"/>
      <c r="W1260" s="81" t="str">
        <f>IF((P1260+Q1260)=0," ",ROUND((P1260/(P1260+Q1260)),74))</f>
        <v xml:space="preserve"> </v>
      </c>
      <c r="X1260" s="81" t="str">
        <f>IF((C1260)=0," ",ROUND((P1260/(C1260)),74))</f>
        <v xml:space="preserve"> </v>
      </c>
      <c r="Y1260" s="81" t="str">
        <f>IF((C1260)=0," ",ROUND((R1260/(C1260)),7))</f>
        <v xml:space="preserve"> </v>
      </c>
      <c r="Z1260" s="79"/>
      <c r="AF1260" s="79"/>
      <c r="AJ1260" s="66"/>
      <c r="AK1260" s="70"/>
    </row>
    <row r="1261" spans="1:37" hidden="1">
      <c r="A1261" s="65">
        <f t="shared" ref="A1261:A1273" si="633">A1260+1</f>
        <v>18</v>
      </c>
      <c r="B1261" s="66" t="s">
        <v>168</v>
      </c>
      <c r="C1261" s="79"/>
      <c r="D1261" s="79">
        <f>O1261-E1261-SUM(G1261:I1261)-SUM(M1261:N1261)</f>
        <v>100</v>
      </c>
      <c r="E1261" s="79">
        <v>4</v>
      </c>
      <c r="F1261" s="79">
        <f t="shared" si="631"/>
        <v>104</v>
      </c>
      <c r="G1261" s="79">
        <v>6</v>
      </c>
      <c r="H1261" s="79">
        <v>51</v>
      </c>
      <c r="I1261" s="79">
        <v>34</v>
      </c>
      <c r="J1261" s="79">
        <v>18</v>
      </c>
      <c r="K1261" s="79">
        <v>1</v>
      </c>
      <c r="L1261" s="79">
        <v>1</v>
      </c>
      <c r="M1261" s="79">
        <f t="shared" si="632"/>
        <v>20</v>
      </c>
      <c r="N1261" s="79">
        <v>3</v>
      </c>
      <c r="O1261" s="79">
        <f>O1258-O1260</f>
        <v>218</v>
      </c>
      <c r="P1261" s="79"/>
      <c r="Q1261" s="79"/>
      <c r="R1261" s="79"/>
      <c r="S1261" s="79"/>
      <c r="U1261" s="80"/>
      <c r="W1261" s="81" t="str">
        <f>IF((P1261+Q1261)=0," ",ROUND((P1261/(P1261+Q1261)),74))</f>
        <v xml:space="preserve"> </v>
      </c>
      <c r="X1261" s="81" t="str">
        <f>IF((C1261)=0," ",ROUND((P1261/(C1261)),74))</f>
        <v xml:space="preserve"> </v>
      </c>
      <c r="Y1261" s="81" t="str">
        <f>IF((C1261)=0," ",ROUND((R1261/(C1261)),7))</f>
        <v xml:space="preserve"> </v>
      </c>
      <c r="Z1261" s="79"/>
      <c r="AF1261" s="79"/>
      <c r="AJ1261" s="66"/>
      <c r="AK1261" s="70"/>
    </row>
    <row r="1262" spans="1:37" hidden="1">
      <c r="A1262" s="65">
        <f t="shared" si="633"/>
        <v>19</v>
      </c>
      <c r="B1262" s="66" t="s">
        <v>276</v>
      </c>
      <c r="C1262" s="78">
        <f>J2146</f>
        <v>271</v>
      </c>
      <c r="D1262" s="79">
        <v>141</v>
      </c>
      <c r="E1262" s="79">
        <v>4</v>
      </c>
      <c r="F1262" s="79">
        <f t="shared" si="631"/>
        <v>145</v>
      </c>
      <c r="G1262" s="79">
        <v>7</v>
      </c>
      <c r="H1262" s="79">
        <v>58</v>
      </c>
      <c r="I1262" s="79">
        <v>33</v>
      </c>
      <c r="J1262" s="79">
        <v>14</v>
      </c>
      <c r="K1262" s="79">
        <v>1</v>
      </c>
      <c r="L1262" s="79">
        <v>1</v>
      </c>
      <c r="M1262" s="79">
        <f t="shared" si="632"/>
        <v>16</v>
      </c>
      <c r="N1262" s="79">
        <v>1</v>
      </c>
      <c r="O1262" s="79">
        <f>SUM(F1262:I1262)+SUM(M1262:N1262)</f>
        <v>260</v>
      </c>
      <c r="P1262" s="79">
        <v>8</v>
      </c>
      <c r="Q1262" s="79">
        <v>1</v>
      </c>
      <c r="R1262" s="78">
        <f>P1262+Q1262</f>
        <v>9</v>
      </c>
      <c r="S1262" s="78">
        <f>G2146</f>
        <v>1</v>
      </c>
      <c r="U1262" s="80">
        <f>O1262+R1262+S1262-C1262</f>
        <v>-1</v>
      </c>
      <c r="W1262" s="81">
        <f t="shared" ref="W1262:W1273" si="634">IF((O1262+R1262)=0," ",ROUND((O1262/(O1262+R1262)),7))</f>
        <v>0.96654280000000004</v>
      </c>
      <c r="X1262" s="81">
        <f t="shared" ref="X1262:X1273" si="635">IF((C1262)=0," ",ROUND((O1262/(C1262)),7))</f>
        <v>0.95940959999999997</v>
      </c>
      <c r="Y1262" s="81">
        <f t="shared" ref="Y1262:Y1273" si="636">IF((C1262)=0," ",ROUND((S1262/(C1262)),7))</f>
        <v>3.6900000000000001E-3</v>
      </c>
      <c r="Z1262" s="79"/>
      <c r="AF1262" s="79"/>
      <c r="AJ1262" s="66"/>
      <c r="AK1262" s="70"/>
    </row>
    <row r="1263" spans="1:37" hidden="1">
      <c r="A1263" s="65">
        <f t="shared" si="633"/>
        <v>20</v>
      </c>
      <c r="B1263" s="66" t="s">
        <v>277</v>
      </c>
      <c r="C1263" s="78">
        <f>J2148</f>
        <v>1357</v>
      </c>
      <c r="D1263" s="79">
        <v>872</v>
      </c>
      <c r="E1263" s="79">
        <v>25</v>
      </c>
      <c r="F1263" s="79">
        <f t="shared" si="631"/>
        <v>897</v>
      </c>
      <c r="G1263" s="79">
        <v>75</v>
      </c>
      <c r="H1263" s="79">
        <v>205</v>
      </c>
      <c r="I1263" s="79">
        <v>67</v>
      </c>
      <c r="J1263" s="79">
        <v>24</v>
      </c>
      <c r="K1263" s="79">
        <v>5</v>
      </c>
      <c r="L1263" s="79">
        <v>1</v>
      </c>
      <c r="M1263" s="79">
        <f t="shared" si="632"/>
        <v>30</v>
      </c>
      <c r="N1263" s="79">
        <v>82</v>
      </c>
      <c r="O1263" s="79">
        <f>SUM(F1263:I1263)+SUM(M1263:N1263)</f>
        <v>1356</v>
      </c>
      <c r="P1263" s="79">
        <v>2</v>
      </c>
      <c r="Q1263" s="79">
        <v>0</v>
      </c>
      <c r="R1263" s="78">
        <f>P1263+Q1263</f>
        <v>2</v>
      </c>
      <c r="S1263" s="79">
        <v>0</v>
      </c>
      <c r="U1263" s="80">
        <f>O1263+R1263+S1263-C1263</f>
        <v>1</v>
      </c>
      <c r="W1263" s="81">
        <f t="shared" si="634"/>
        <v>0.99852719999999995</v>
      </c>
      <c r="X1263" s="81">
        <f t="shared" si="635"/>
        <v>0.99926309999999996</v>
      </c>
      <c r="Y1263" s="81">
        <f t="shared" si="636"/>
        <v>0</v>
      </c>
      <c r="Z1263" s="79"/>
      <c r="AF1263" s="79"/>
      <c r="AJ1263" s="66"/>
      <c r="AK1263" s="70"/>
    </row>
    <row r="1264" spans="1:37" hidden="1">
      <c r="A1264" s="65">
        <f t="shared" si="633"/>
        <v>21</v>
      </c>
      <c r="B1264" s="66" t="s">
        <v>39</v>
      </c>
      <c r="C1264" s="79">
        <v>722</v>
      </c>
      <c r="D1264" s="79">
        <v>415</v>
      </c>
      <c r="E1264" s="79">
        <v>13</v>
      </c>
      <c r="F1264" s="79">
        <f t="shared" si="631"/>
        <v>428</v>
      </c>
      <c r="G1264" s="79">
        <v>22</v>
      </c>
      <c r="H1264" s="79">
        <v>167</v>
      </c>
      <c r="I1264" s="79">
        <v>65</v>
      </c>
      <c r="J1264" s="79">
        <v>24</v>
      </c>
      <c r="K1264" s="79">
        <v>5</v>
      </c>
      <c r="L1264" s="79">
        <v>1</v>
      </c>
      <c r="M1264" s="79">
        <f t="shared" si="632"/>
        <v>30</v>
      </c>
      <c r="N1264" s="79">
        <v>9</v>
      </c>
      <c r="O1264" s="79">
        <f>SUM(F1264:I1264)+SUM(M1264:N1264)</f>
        <v>721</v>
      </c>
      <c r="P1264" s="79">
        <v>2</v>
      </c>
      <c r="Q1264" s="79">
        <v>0</v>
      </c>
      <c r="R1264" s="78">
        <f>P1264+Q1264</f>
        <v>2</v>
      </c>
      <c r="S1264" s="79">
        <v>0</v>
      </c>
      <c r="U1264" s="80">
        <f>O1264+R1264+S1264-C1264</f>
        <v>1</v>
      </c>
      <c r="W1264" s="81">
        <f t="shared" si="634"/>
        <v>0.9972337</v>
      </c>
      <c r="X1264" s="81">
        <f t="shared" si="635"/>
        <v>0.99861500000000003</v>
      </c>
      <c r="Y1264" s="81">
        <f t="shared" si="636"/>
        <v>0</v>
      </c>
      <c r="Z1264" s="79"/>
      <c r="AF1264" s="79"/>
      <c r="AJ1264" s="66"/>
      <c r="AK1264" s="70"/>
    </row>
    <row r="1265" spans="1:37" hidden="1">
      <c r="A1265" s="65">
        <f t="shared" si="633"/>
        <v>22</v>
      </c>
      <c r="B1265" s="66" t="s">
        <v>44</v>
      </c>
      <c r="C1265" s="79">
        <f>O1265+R1265+S1265</f>
        <v>635</v>
      </c>
      <c r="D1265" s="79">
        <f>D1263-D1264</f>
        <v>457</v>
      </c>
      <c r="E1265" s="79">
        <f>E1263-E1264</f>
        <v>12</v>
      </c>
      <c r="F1265" s="79">
        <f t="shared" si="631"/>
        <v>469</v>
      </c>
      <c r="G1265" s="79">
        <f t="shared" ref="G1265:L1265" si="637">G1263-G1264</f>
        <v>53</v>
      </c>
      <c r="H1265" s="79">
        <f t="shared" si="637"/>
        <v>38</v>
      </c>
      <c r="I1265" s="79">
        <f t="shared" si="637"/>
        <v>2</v>
      </c>
      <c r="J1265" s="79">
        <f t="shared" si="637"/>
        <v>0</v>
      </c>
      <c r="K1265" s="79">
        <f t="shared" si="637"/>
        <v>0</v>
      </c>
      <c r="L1265" s="79">
        <f t="shared" si="637"/>
        <v>0</v>
      </c>
      <c r="M1265" s="79">
        <f t="shared" si="632"/>
        <v>0</v>
      </c>
      <c r="N1265" s="79">
        <f>N1263-N1264</f>
        <v>73</v>
      </c>
      <c r="O1265" s="79">
        <f>SUM(F1265:I1265)+SUM(M1265:N1265)</f>
        <v>635</v>
      </c>
      <c r="P1265" s="79">
        <f>P1263-P1264</f>
        <v>0</v>
      </c>
      <c r="Q1265" s="79">
        <f>Q1263-Q1264</f>
        <v>0</v>
      </c>
      <c r="R1265" s="78">
        <f>P1265+Q1265</f>
        <v>0</v>
      </c>
      <c r="S1265" s="79">
        <v>0</v>
      </c>
      <c r="U1265" s="80">
        <f>O1265+R1265+S1265-C1265</f>
        <v>0</v>
      </c>
      <c r="W1265" s="81">
        <f t="shared" si="634"/>
        <v>1</v>
      </c>
      <c r="X1265" s="81">
        <f t="shared" si="635"/>
        <v>1</v>
      </c>
      <c r="Y1265" s="81">
        <f t="shared" si="636"/>
        <v>0</v>
      </c>
      <c r="Z1265" s="79"/>
      <c r="AF1265" s="79"/>
      <c r="AJ1265" s="66"/>
      <c r="AK1265" s="70"/>
    </row>
    <row r="1266" spans="1:37" hidden="1">
      <c r="A1266" s="65">
        <f t="shared" si="633"/>
        <v>23</v>
      </c>
      <c r="B1266" s="66" t="s">
        <v>278</v>
      </c>
      <c r="C1266" s="78">
        <f>J2150</f>
        <v>825</v>
      </c>
      <c r="D1266" s="79">
        <v>696</v>
      </c>
      <c r="E1266" s="79">
        <v>19</v>
      </c>
      <c r="F1266" s="79">
        <f t="shared" si="631"/>
        <v>715</v>
      </c>
      <c r="G1266" s="79">
        <v>57</v>
      </c>
      <c r="H1266" s="79">
        <v>34</v>
      </c>
      <c r="I1266" s="79">
        <v>1</v>
      </c>
      <c r="J1266" s="79">
        <v>0</v>
      </c>
      <c r="K1266" s="79">
        <v>0</v>
      </c>
      <c r="L1266" s="79">
        <v>0</v>
      </c>
      <c r="M1266" s="79">
        <f t="shared" ref="M1266:M1273" si="638">SUM(J1266:L1266)</f>
        <v>0</v>
      </c>
      <c r="N1266" s="79">
        <v>18</v>
      </c>
      <c r="O1266" s="79">
        <f>SUM(F1266:I1266)+SUM(M1266:N1266)</f>
        <v>825</v>
      </c>
      <c r="P1266" s="79">
        <v>0</v>
      </c>
      <c r="Q1266" s="79">
        <v>0</v>
      </c>
      <c r="R1266" s="78">
        <f t="shared" ref="R1266:R1273" si="639">P1266+Q1266</f>
        <v>0</v>
      </c>
      <c r="S1266" s="79">
        <v>0</v>
      </c>
      <c r="U1266" s="80">
        <f>O1266+R1266+S1266-C1266</f>
        <v>0</v>
      </c>
      <c r="W1266" s="81">
        <f t="shared" si="634"/>
        <v>1</v>
      </c>
      <c r="X1266" s="81">
        <f t="shared" si="635"/>
        <v>1</v>
      </c>
      <c r="Y1266" s="81">
        <f t="shared" si="636"/>
        <v>0</v>
      </c>
      <c r="Z1266" s="79"/>
      <c r="AF1266" s="79"/>
      <c r="AJ1266" s="66"/>
      <c r="AK1266" s="70"/>
    </row>
    <row r="1267" spans="1:37" hidden="1">
      <c r="A1267" s="65">
        <f t="shared" si="633"/>
        <v>24</v>
      </c>
      <c r="B1267" s="66" t="s">
        <v>283</v>
      </c>
      <c r="C1267" s="79">
        <f>C1268+C1269</f>
        <v>1199</v>
      </c>
      <c r="D1267" s="79">
        <f>D1268+D1269</f>
        <v>837</v>
      </c>
      <c r="E1267" s="79">
        <f>E1268+E1269</f>
        <v>23</v>
      </c>
      <c r="F1267" s="79">
        <f t="shared" si="630"/>
        <v>860</v>
      </c>
      <c r="G1267" s="79">
        <f t="shared" ref="G1267:L1267" si="640">G1268+G1269</f>
        <v>159</v>
      </c>
      <c r="H1267" s="79">
        <f t="shared" si="640"/>
        <v>145</v>
      </c>
      <c r="I1267" s="79">
        <f t="shared" si="640"/>
        <v>24</v>
      </c>
      <c r="J1267" s="79">
        <f t="shared" si="640"/>
        <v>8</v>
      </c>
      <c r="K1267" s="79">
        <f t="shared" si="640"/>
        <v>1</v>
      </c>
      <c r="L1267" s="79">
        <f t="shared" si="640"/>
        <v>0</v>
      </c>
      <c r="M1267" s="79">
        <f t="shared" si="638"/>
        <v>9</v>
      </c>
      <c r="N1267" s="79">
        <f>N1268+N1269</f>
        <v>0</v>
      </c>
      <c r="O1267" s="79">
        <f t="shared" ref="O1267:O1273" si="641">SUM(F1267:I1267)+SUM(M1267:N1267)</f>
        <v>1197</v>
      </c>
      <c r="P1267" s="79">
        <f>P1268+P1269</f>
        <v>0</v>
      </c>
      <c r="Q1267" s="79">
        <f>Q1268+Q1269</f>
        <v>0</v>
      </c>
      <c r="R1267" s="78">
        <f t="shared" si="639"/>
        <v>0</v>
      </c>
      <c r="S1267" s="79">
        <v>0</v>
      </c>
      <c r="U1267" s="80">
        <f t="shared" ref="U1267:U1273" si="642">O1267+R1267+S1267-C1267</f>
        <v>-2</v>
      </c>
      <c r="W1267" s="81">
        <f t="shared" si="634"/>
        <v>1</v>
      </c>
      <c r="X1267" s="81">
        <f t="shared" si="635"/>
        <v>0.99833190000000005</v>
      </c>
      <c r="Y1267" s="81">
        <f t="shared" si="636"/>
        <v>0</v>
      </c>
      <c r="Z1267" s="79"/>
      <c r="AF1267" s="79"/>
      <c r="AJ1267" s="66"/>
      <c r="AK1267" s="65"/>
    </row>
    <row r="1268" spans="1:37" hidden="1">
      <c r="A1268" s="65">
        <f t="shared" si="633"/>
        <v>25</v>
      </c>
      <c r="B1268" s="66" t="s">
        <v>44</v>
      </c>
      <c r="C1268" s="78">
        <f>J2152</f>
        <v>895</v>
      </c>
      <c r="D1268" s="79">
        <v>578</v>
      </c>
      <c r="E1268" s="79">
        <v>16</v>
      </c>
      <c r="F1268" s="79">
        <f t="shared" si="630"/>
        <v>594</v>
      </c>
      <c r="G1268" s="79">
        <v>135</v>
      </c>
      <c r="H1268" s="79">
        <v>131</v>
      </c>
      <c r="I1268" s="79">
        <v>24</v>
      </c>
      <c r="J1268" s="79">
        <v>8</v>
      </c>
      <c r="K1268" s="79">
        <v>1</v>
      </c>
      <c r="L1268" s="79">
        <v>0</v>
      </c>
      <c r="M1268" s="79">
        <f>SUM(J1268:L1268)</f>
        <v>9</v>
      </c>
      <c r="N1268" s="79">
        <v>0</v>
      </c>
      <c r="O1268" s="79">
        <f>SUM(F1268:I1268)+SUM(M1268:N1268)</f>
        <v>893</v>
      </c>
      <c r="P1268" s="79">
        <v>0</v>
      </c>
      <c r="Q1268" s="79">
        <v>0</v>
      </c>
      <c r="R1268" s="78">
        <f t="shared" si="639"/>
        <v>0</v>
      </c>
      <c r="S1268" s="79">
        <v>0</v>
      </c>
      <c r="U1268" s="80">
        <f t="shared" si="642"/>
        <v>-2</v>
      </c>
      <c r="W1268" s="81">
        <f t="shared" si="634"/>
        <v>1</v>
      </c>
      <c r="X1268" s="81">
        <f t="shared" si="635"/>
        <v>0.99776540000000002</v>
      </c>
      <c r="Y1268" s="81">
        <f t="shared" si="636"/>
        <v>0</v>
      </c>
      <c r="Z1268" s="79"/>
      <c r="AF1268" s="79"/>
      <c r="AJ1268" s="66"/>
      <c r="AK1268" s="70"/>
    </row>
    <row r="1269" spans="1:37" hidden="1">
      <c r="A1269" s="65">
        <f t="shared" si="633"/>
        <v>26</v>
      </c>
      <c r="B1269" s="66" t="s">
        <v>168</v>
      </c>
      <c r="C1269" s="79">
        <f>O1269+R1269+S1269</f>
        <v>304</v>
      </c>
      <c r="D1269" s="78">
        <v>259</v>
      </c>
      <c r="E1269" s="78">
        <v>7</v>
      </c>
      <c r="F1269" s="79">
        <f>D1269+E1269</f>
        <v>266</v>
      </c>
      <c r="G1269" s="78">
        <v>24</v>
      </c>
      <c r="H1269" s="78">
        <v>14</v>
      </c>
      <c r="I1269" s="78">
        <v>0</v>
      </c>
      <c r="J1269" s="78">
        <v>0</v>
      </c>
      <c r="K1269" s="78">
        <v>0</v>
      </c>
      <c r="L1269" s="78">
        <v>0</v>
      </c>
      <c r="M1269" s="79">
        <f t="shared" si="638"/>
        <v>0</v>
      </c>
      <c r="N1269" s="78">
        <v>0</v>
      </c>
      <c r="O1269" s="79">
        <f t="shared" si="641"/>
        <v>304</v>
      </c>
      <c r="P1269" s="79">
        <v>0</v>
      </c>
      <c r="Q1269" s="78">
        <v>0</v>
      </c>
      <c r="R1269" s="78">
        <f t="shared" si="639"/>
        <v>0</v>
      </c>
      <c r="S1269" s="79">
        <v>0</v>
      </c>
      <c r="U1269" s="80">
        <f t="shared" si="642"/>
        <v>0</v>
      </c>
      <c r="W1269" s="81">
        <f t="shared" si="634"/>
        <v>1</v>
      </c>
      <c r="X1269" s="81">
        <f t="shared" si="635"/>
        <v>1</v>
      </c>
      <c r="Y1269" s="81">
        <f t="shared" si="636"/>
        <v>0</v>
      </c>
      <c r="Z1269" s="78"/>
      <c r="AF1269" s="78"/>
      <c r="AJ1269" s="66"/>
      <c r="AK1269" s="70"/>
    </row>
    <row r="1270" spans="1:37" hidden="1">
      <c r="A1270" s="65">
        <f t="shared" si="633"/>
        <v>27</v>
      </c>
      <c r="B1270" s="66" t="s">
        <v>525</v>
      </c>
      <c r="C1270" s="79">
        <f>O1270+R1270+S1270</f>
        <v>6764</v>
      </c>
      <c r="D1270" s="79">
        <f>SUM(D1271:D1273)</f>
        <v>4070</v>
      </c>
      <c r="E1270" s="79">
        <f>SUM(E1271:E1273)</f>
        <v>111</v>
      </c>
      <c r="F1270" s="79">
        <f t="shared" si="630"/>
        <v>4181</v>
      </c>
      <c r="G1270" s="79">
        <f t="shared" ref="G1270:L1270" si="643">SUM(G1271:G1273)</f>
        <v>375</v>
      </c>
      <c r="H1270" s="79">
        <f t="shared" si="643"/>
        <v>1069</v>
      </c>
      <c r="I1270" s="79">
        <f t="shared" si="643"/>
        <v>494</v>
      </c>
      <c r="J1270" s="79">
        <f t="shared" si="643"/>
        <v>208</v>
      </c>
      <c r="K1270" s="79">
        <f t="shared" si="643"/>
        <v>18</v>
      </c>
      <c r="L1270" s="79">
        <f t="shared" si="643"/>
        <v>9</v>
      </c>
      <c r="M1270" s="79">
        <f t="shared" si="638"/>
        <v>235</v>
      </c>
      <c r="N1270" s="79">
        <f>SUM(N1271:N1273)</f>
        <v>115</v>
      </c>
      <c r="O1270" s="79">
        <f t="shared" si="641"/>
        <v>6469</v>
      </c>
      <c r="P1270" s="79">
        <f>SUM(P1271:P1273)</f>
        <v>99</v>
      </c>
      <c r="Q1270" s="79">
        <f>SUM(Q1271:Q1273)</f>
        <v>11</v>
      </c>
      <c r="R1270" s="78">
        <f t="shared" si="639"/>
        <v>110</v>
      </c>
      <c r="S1270" s="79">
        <f>SUM(S1271:S1273)</f>
        <v>185</v>
      </c>
      <c r="U1270" s="80">
        <f t="shared" si="642"/>
        <v>0</v>
      </c>
      <c r="W1270" s="81">
        <f t="shared" si="634"/>
        <v>0.98328009999999999</v>
      </c>
      <c r="X1270" s="81">
        <f t="shared" si="635"/>
        <v>0.95638679999999998</v>
      </c>
      <c r="Y1270" s="81">
        <f t="shared" si="636"/>
        <v>2.7350699999999999E-2</v>
      </c>
      <c r="Z1270" s="79"/>
      <c r="AF1270" s="79"/>
      <c r="AJ1270" s="66"/>
      <c r="AK1270" s="65"/>
    </row>
    <row r="1271" spans="1:37" hidden="1">
      <c r="A1271" s="65">
        <f t="shared" si="633"/>
        <v>28</v>
      </c>
      <c r="B1271" s="66" t="s">
        <v>39</v>
      </c>
      <c r="C1271" s="79">
        <f>O1271+R1271+S1271</f>
        <v>3889</v>
      </c>
      <c r="D1271" s="79">
        <f>D1260+D1262+D1264</f>
        <v>1980</v>
      </c>
      <c r="E1271" s="79">
        <f>E1260+E1262+E1264</f>
        <v>53</v>
      </c>
      <c r="F1271" s="79">
        <f t="shared" si="630"/>
        <v>2033</v>
      </c>
      <c r="G1271" s="79">
        <f t="shared" ref="G1271:L1271" si="644">G1260+G1262+G1264</f>
        <v>100</v>
      </c>
      <c r="H1271" s="79">
        <f t="shared" si="644"/>
        <v>801</v>
      </c>
      <c r="I1271" s="79">
        <f t="shared" si="644"/>
        <v>433</v>
      </c>
      <c r="J1271" s="79">
        <f t="shared" si="644"/>
        <v>182</v>
      </c>
      <c r="K1271" s="79">
        <f t="shared" si="644"/>
        <v>16</v>
      </c>
      <c r="L1271" s="79">
        <f t="shared" si="644"/>
        <v>8</v>
      </c>
      <c r="M1271" s="79">
        <f t="shared" si="638"/>
        <v>206</v>
      </c>
      <c r="N1271" s="79">
        <f>N1260+N1262+N1264</f>
        <v>21</v>
      </c>
      <c r="O1271" s="79">
        <f t="shared" si="641"/>
        <v>3594</v>
      </c>
      <c r="P1271" s="79">
        <f>P1258+P1262+P1264</f>
        <v>99</v>
      </c>
      <c r="Q1271" s="79">
        <f>Q1258+Q1262+Q1264</f>
        <v>11</v>
      </c>
      <c r="R1271" s="78">
        <f t="shared" si="639"/>
        <v>110</v>
      </c>
      <c r="S1271" s="79">
        <f>S1258+S1262+S1264</f>
        <v>185</v>
      </c>
      <c r="U1271" s="80">
        <f t="shared" si="642"/>
        <v>0</v>
      </c>
      <c r="W1271" s="81">
        <f t="shared" si="634"/>
        <v>0.97030240000000001</v>
      </c>
      <c r="X1271" s="81">
        <f t="shared" si="635"/>
        <v>0.92414499999999999</v>
      </c>
      <c r="Y1271" s="81">
        <f t="shared" si="636"/>
        <v>4.7570099999999997E-2</v>
      </c>
      <c r="Z1271" s="79"/>
      <c r="AF1271" s="79"/>
      <c r="AJ1271" s="66"/>
      <c r="AK1271" s="65"/>
    </row>
    <row r="1272" spans="1:37" hidden="1">
      <c r="A1272" s="65">
        <f t="shared" si="633"/>
        <v>29</v>
      </c>
      <c r="B1272" s="66" t="s">
        <v>44</v>
      </c>
      <c r="C1272" s="79">
        <f>O1272+R1272+S1272</f>
        <v>2353</v>
      </c>
      <c r="D1272" s="79">
        <f>D1265+D1266+D1268</f>
        <v>1731</v>
      </c>
      <c r="E1272" s="79">
        <f>E1265+E1266+E1268</f>
        <v>47</v>
      </c>
      <c r="F1272" s="79">
        <f t="shared" si="630"/>
        <v>1778</v>
      </c>
      <c r="G1272" s="79">
        <f t="shared" ref="G1272:L1272" si="645">G1265+G1266+G1268</f>
        <v>245</v>
      </c>
      <c r="H1272" s="79">
        <f t="shared" si="645"/>
        <v>203</v>
      </c>
      <c r="I1272" s="79">
        <f t="shared" si="645"/>
        <v>27</v>
      </c>
      <c r="J1272" s="79">
        <f t="shared" si="645"/>
        <v>8</v>
      </c>
      <c r="K1272" s="79">
        <f t="shared" si="645"/>
        <v>1</v>
      </c>
      <c r="L1272" s="79">
        <f t="shared" si="645"/>
        <v>0</v>
      </c>
      <c r="M1272" s="79">
        <f t="shared" si="638"/>
        <v>9</v>
      </c>
      <c r="N1272" s="79">
        <f>N1265+N1266+N1268</f>
        <v>91</v>
      </c>
      <c r="O1272" s="79">
        <f t="shared" si="641"/>
        <v>2353</v>
      </c>
      <c r="P1272" s="79">
        <f>P1265+P1266+P1268</f>
        <v>0</v>
      </c>
      <c r="Q1272" s="79">
        <f>Q1265+Q1266+Q1268</f>
        <v>0</v>
      </c>
      <c r="R1272" s="78">
        <f t="shared" si="639"/>
        <v>0</v>
      </c>
      <c r="S1272" s="79">
        <f>S1265+S1266+S1268</f>
        <v>0</v>
      </c>
      <c r="U1272" s="80">
        <f t="shared" si="642"/>
        <v>0</v>
      </c>
      <c r="W1272" s="81">
        <f t="shared" si="634"/>
        <v>1</v>
      </c>
      <c r="X1272" s="81">
        <f t="shared" si="635"/>
        <v>1</v>
      </c>
      <c r="Y1272" s="81">
        <f t="shared" si="636"/>
        <v>0</v>
      </c>
      <c r="Z1272" s="79"/>
      <c r="AF1272" s="79"/>
      <c r="AJ1272" s="66"/>
      <c r="AK1272" s="65"/>
    </row>
    <row r="1273" spans="1:37" hidden="1">
      <c r="A1273" s="65">
        <f t="shared" si="633"/>
        <v>30</v>
      </c>
      <c r="B1273" s="66" t="s">
        <v>168</v>
      </c>
      <c r="C1273" s="79">
        <f>O1273+R1273+S1273</f>
        <v>522</v>
      </c>
      <c r="D1273" s="79">
        <f>D1261+D1269</f>
        <v>359</v>
      </c>
      <c r="E1273" s="79">
        <f>E1261+E1269</f>
        <v>11</v>
      </c>
      <c r="F1273" s="79">
        <f t="shared" si="630"/>
        <v>370</v>
      </c>
      <c r="G1273" s="79">
        <f t="shared" ref="G1273:L1273" si="646">G1261+G1269</f>
        <v>30</v>
      </c>
      <c r="H1273" s="79">
        <f t="shared" si="646"/>
        <v>65</v>
      </c>
      <c r="I1273" s="79">
        <f t="shared" si="646"/>
        <v>34</v>
      </c>
      <c r="J1273" s="79">
        <f t="shared" si="646"/>
        <v>18</v>
      </c>
      <c r="K1273" s="79">
        <f t="shared" si="646"/>
        <v>1</v>
      </c>
      <c r="L1273" s="79">
        <f t="shared" si="646"/>
        <v>1</v>
      </c>
      <c r="M1273" s="79">
        <f t="shared" si="638"/>
        <v>20</v>
      </c>
      <c r="N1273" s="79">
        <f>N1261+N1269</f>
        <v>3</v>
      </c>
      <c r="O1273" s="79">
        <f t="shared" si="641"/>
        <v>522</v>
      </c>
      <c r="P1273" s="79">
        <f>P1261+P1269</f>
        <v>0</v>
      </c>
      <c r="Q1273" s="79">
        <f>Q1261+Q1269</f>
        <v>0</v>
      </c>
      <c r="R1273" s="78">
        <f t="shared" si="639"/>
        <v>0</v>
      </c>
      <c r="S1273" s="79">
        <f>S1261+S1269</f>
        <v>0</v>
      </c>
      <c r="U1273" s="80">
        <f t="shared" si="642"/>
        <v>0</v>
      </c>
      <c r="W1273" s="81">
        <f t="shared" si="634"/>
        <v>1</v>
      </c>
      <c r="X1273" s="81">
        <f t="shared" si="635"/>
        <v>1</v>
      </c>
      <c r="Y1273" s="81">
        <f t="shared" si="636"/>
        <v>0</v>
      </c>
      <c r="Z1273" s="79"/>
      <c r="AF1273" s="79"/>
      <c r="AJ1273" s="66"/>
      <c r="AK1273" s="65"/>
    </row>
    <row r="1274" spans="1:37" hidden="1">
      <c r="W1274" s="81" t="str">
        <f>IF((P1274+Q1274)=0," ",ROUND((P1274/(P1274+Q1274)),74))</f>
        <v xml:space="preserve"> </v>
      </c>
      <c r="X1274" s="81" t="str">
        <f>IF((C1274)=0," ",ROUND((P1274/(C1274)),74))</f>
        <v xml:space="preserve"> </v>
      </c>
      <c r="Y1274" s="81" t="str">
        <f>IF((C1274)=0," ",ROUND((R1274/(C1274)),7))</f>
        <v xml:space="preserve"> </v>
      </c>
      <c r="AJ1274" s="66"/>
      <c r="AK1274" s="65"/>
    </row>
    <row r="1275" spans="1:37" hidden="1">
      <c r="A1275" s="65">
        <f>A1273+1</f>
        <v>31</v>
      </c>
      <c r="B1275" s="66" t="s">
        <v>526</v>
      </c>
      <c r="C1275" s="79">
        <f>O1275+R1275+S1275</f>
        <v>-306</v>
      </c>
      <c r="D1275" s="78">
        <v>-260</v>
      </c>
      <c r="E1275" s="78">
        <v>-7</v>
      </c>
      <c r="F1275" s="78">
        <f>D1275+E1275</f>
        <v>-267</v>
      </c>
      <c r="G1275" s="78">
        <v>-24</v>
      </c>
      <c r="H1275" s="78">
        <v>-15</v>
      </c>
      <c r="I1275" s="78">
        <v>0</v>
      </c>
      <c r="J1275" s="78">
        <v>0</v>
      </c>
      <c r="K1275" s="78">
        <v>0</v>
      </c>
      <c r="L1275" s="78">
        <v>0</v>
      </c>
      <c r="M1275" s="79">
        <f>SUM(J1275:L1275)</f>
        <v>0</v>
      </c>
      <c r="N1275" s="78">
        <v>0</v>
      </c>
      <c r="O1275" s="79">
        <f>SUM(F1275:I1275)+SUM(M1275:N1275)</f>
        <v>-306</v>
      </c>
      <c r="P1275" s="78">
        <v>0</v>
      </c>
      <c r="Q1275" s="78">
        <v>0</v>
      </c>
      <c r="R1275" s="78">
        <f>P1275+Q1275</f>
        <v>0</v>
      </c>
      <c r="S1275" s="79">
        <v>0</v>
      </c>
      <c r="U1275" s="80">
        <f t="shared" ref="U1275:U1280" si="647">O1275+R1275+S1275-C1275</f>
        <v>0</v>
      </c>
      <c r="W1275" s="81">
        <f>IF((O1275+R1275)=0," ",ROUND((O1275/(O1275+R1275)),7))</f>
        <v>1</v>
      </c>
      <c r="X1275" s="81">
        <f>IF((C1275)=0," ",ROUND((O1275/(C1275)),7))</f>
        <v>1</v>
      </c>
      <c r="Y1275" s="81">
        <f>IF((C1275)=0," ",ROUND((S1275/(C1275)),7))</f>
        <v>0</v>
      </c>
      <c r="Z1275" s="78"/>
      <c r="AF1275" s="78"/>
      <c r="AJ1275" s="66"/>
      <c r="AK1275" s="65"/>
    </row>
    <row r="1276" spans="1:37" hidden="1">
      <c r="W1276" s="81" t="str">
        <f>IF((P1276+Q1276)=0," ",ROUND((P1276/(P1276+Q1276)),74))</f>
        <v xml:space="preserve"> </v>
      </c>
      <c r="X1276" s="81" t="str">
        <f>IF((C1276)=0," ",ROUND((P1276/(C1276)),74))</f>
        <v xml:space="preserve"> </v>
      </c>
      <c r="Y1276" s="81" t="str">
        <f>IF((C1276)=0," ",ROUND((R1276/(C1276)),7))</f>
        <v xml:space="preserve"> </v>
      </c>
      <c r="AJ1276" s="66"/>
      <c r="AK1276" s="65"/>
    </row>
    <row r="1277" spans="1:37" hidden="1">
      <c r="A1277" s="65">
        <f>A1275+1</f>
        <v>32</v>
      </c>
      <c r="B1277" s="66" t="s">
        <v>527</v>
      </c>
      <c r="C1277" s="79">
        <f>O1277+R1277+S1277</f>
        <v>6458</v>
      </c>
      <c r="D1277" s="79">
        <f>SUM(D1278:D1280)</f>
        <v>3810</v>
      </c>
      <c r="E1277" s="79">
        <f>SUM(E1278:E1280)</f>
        <v>104</v>
      </c>
      <c r="F1277" s="78">
        <f>D1277+E1277</f>
        <v>3914</v>
      </c>
      <c r="G1277" s="79">
        <f t="shared" ref="G1277:L1277" si="648">SUM(G1278:G1280)</f>
        <v>351</v>
      </c>
      <c r="H1277" s="79">
        <f t="shared" si="648"/>
        <v>1054</v>
      </c>
      <c r="I1277" s="79">
        <f t="shared" si="648"/>
        <v>494</v>
      </c>
      <c r="J1277" s="79">
        <f t="shared" si="648"/>
        <v>208</v>
      </c>
      <c r="K1277" s="79">
        <f t="shared" si="648"/>
        <v>18</v>
      </c>
      <c r="L1277" s="79">
        <f t="shared" si="648"/>
        <v>9</v>
      </c>
      <c r="M1277" s="79">
        <f>SUM(J1277:L1277)</f>
        <v>235</v>
      </c>
      <c r="N1277" s="79">
        <f>SUM(N1278:N1280)</f>
        <v>115</v>
      </c>
      <c r="O1277" s="79">
        <f>SUM(F1277:I1277)+SUM(M1277:N1277)</f>
        <v>6163</v>
      </c>
      <c r="P1277" s="79">
        <f>SUM(P1278:P1280)</f>
        <v>99</v>
      </c>
      <c r="Q1277" s="79">
        <f>SUM(Q1278:Q1280)</f>
        <v>11</v>
      </c>
      <c r="R1277" s="78">
        <f>P1277+Q1277</f>
        <v>110</v>
      </c>
      <c r="S1277" s="79">
        <f>SUM(S1278:S1280)</f>
        <v>185</v>
      </c>
      <c r="U1277" s="80">
        <f t="shared" si="647"/>
        <v>0</v>
      </c>
      <c r="W1277" s="81">
        <f>IF((O1277+R1277)=0," ",ROUND((O1277/(O1277+R1277)),7))</f>
        <v>0.98246449999999996</v>
      </c>
      <c r="X1277" s="81">
        <f>IF((C1277)=0," ",ROUND((O1277/(C1277)),7))</f>
        <v>0.95432019999999995</v>
      </c>
      <c r="Y1277" s="81">
        <f>IF((C1277)=0," ",ROUND((S1277/(C1277)),7))</f>
        <v>2.8646600000000001E-2</v>
      </c>
      <c r="Z1277" s="79"/>
      <c r="AF1277" s="79"/>
      <c r="AJ1277" s="66"/>
      <c r="AK1277" s="65"/>
    </row>
    <row r="1278" spans="1:37" hidden="1">
      <c r="A1278" s="65">
        <f>A1277+1</f>
        <v>33</v>
      </c>
      <c r="B1278" s="66" t="s">
        <v>39</v>
      </c>
      <c r="C1278" s="79">
        <f>O1278+R1278+S1278</f>
        <v>3889</v>
      </c>
      <c r="D1278" s="79">
        <f>D1271</f>
        <v>1980</v>
      </c>
      <c r="E1278" s="79">
        <f>E1271</f>
        <v>53</v>
      </c>
      <c r="F1278" s="78">
        <f>D1278+E1278</f>
        <v>2033</v>
      </c>
      <c r="G1278" s="79">
        <f t="shared" ref="G1278:L1279" si="649">G1271</f>
        <v>100</v>
      </c>
      <c r="H1278" s="79">
        <f t="shared" si="649"/>
        <v>801</v>
      </c>
      <c r="I1278" s="79">
        <f t="shared" si="649"/>
        <v>433</v>
      </c>
      <c r="J1278" s="79">
        <f t="shared" si="649"/>
        <v>182</v>
      </c>
      <c r="K1278" s="79">
        <f t="shared" si="649"/>
        <v>16</v>
      </c>
      <c r="L1278" s="79">
        <f t="shared" si="649"/>
        <v>8</v>
      </c>
      <c r="M1278" s="79">
        <f>SUM(J1278:L1278)</f>
        <v>206</v>
      </c>
      <c r="N1278" s="79">
        <f>N1271</f>
        <v>21</v>
      </c>
      <c r="O1278" s="79">
        <f>SUM(F1278:I1278)+SUM(M1278:N1278)</f>
        <v>3594</v>
      </c>
      <c r="P1278" s="79">
        <f>P1271</f>
        <v>99</v>
      </c>
      <c r="Q1278" s="79">
        <f>Q1271</f>
        <v>11</v>
      </c>
      <c r="R1278" s="78">
        <f>P1278+Q1278</f>
        <v>110</v>
      </c>
      <c r="S1278" s="79">
        <f>S1271</f>
        <v>185</v>
      </c>
      <c r="U1278" s="80">
        <f t="shared" si="647"/>
        <v>0</v>
      </c>
      <c r="W1278" s="81">
        <f>IF((O1278+R1278)=0," ",ROUND((O1278/(O1278+R1278)),7))</f>
        <v>0.97030240000000001</v>
      </c>
      <c r="X1278" s="81">
        <f>IF((C1278)=0," ",ROUND((O1278/(C1278)),7))</f>
        <v>0.92414499999999999</v>
      </c>
      <c r="Y1278" s="81">
        <f>IF((C1278)=0," ",ROUND((S1278/(C1278)),7))</f>
        <v>4.7570099999999997E-2</v>
      </c>
      <c r="Z1278" s="79"/>
      <c r="AF1278" s="79"/>
      <c r="AJ1278" s="66"/>
      <c r="AK1278" s="65"/>
    </row>
    <row r="1279" spans="1:37" hidden="1">
      <c r="A1279" s="65">
        <f>A1278+1</f>
        <v>34</v>
      </c>
      <c r="B1279" s="66" t="s">
        <v>44</v>
      </c>
      <c r="C1279" s="79">
        <f>O1279+R1279+S1279</f>
        <v>2353</v>
      </c>
      <c r="D1279" s="79">
        <f>D1272</f>
        <v>1731</v>
      </c>
      <c r="E1279" s="79">
        <f>E1272</f>
        <v>47</v>
      </c>
      <c r="F1279" s="78">
        <f>D1279+E1279</f>
        <v>1778</v>
      </c>
      <c r="G1279" s="79">
        <f t="shared" si="649"/>
        <v>245</v>
      </c>
      <c r="H1279" s="79">
        <f t="shared" si="649"/>
        <v>203</v>
      </c>
      <c r="I1279" s="79">
        <f t="shared" si="649"/>
        <v>27</v>
      </c>
      <c r="J1279" s="79">
        <f t="shared" si="649"/>
        <v>8</v>
      </c>
      <c r="K1279" s="79">
        <f t="shared" si="649"/>
        <v>1</v>
      </c>
      <c r="L1279" s="79">
        <f t="shared" si="649"/>
        <v>0</v>
      </c>
      <c r="M1279" s="79">
        <f>SUM(J1279:L1279)</f>
        <v>9</v>
      </c>
      <c r="N1279" s="79">
        <f>N1272</f>
        <v>91</v>
      </c>
      <c r="O1279" s="79">
        <f>SUM(F1279:I1279)+SUM(M1279:N1279)</f>
        <v>2353</v>
      </c>
      <c r="P1279" s="79">
        <f>P1272</f>
        <v>0</v>
      </c>
      <c r="Q1279" s="79">
        <f>Q1272</f>
        <v>0</v>
      </c>
      <c r="R1279" s="78">
        <f>P1279+Q1279</f>
        <v>0</v>
      </c>
      <c r="S1279" s="79">
        <f>S1272</f>
        <v>0</v>
      </c>
      <c r="U1279" s="80">
        <f t="shared" si="647"/>
        <v>0</v>
      </c>
      <c r="W1279" s="81">
        <f>IF((O1279+R1279)=0," ",ROUND((O1279/(O1279+R1279)),7))</f>
        <v>1</v>
      </c>
      <c r="X1279" s="81">
        <f>IF((C1279)=0," ",ROUND((O1279/(C1279)),7))</f>
        <v>1</v>
      </c>
      <c r="Y1279" s="81">
        <f>IF((C1279)=0," ",ROUND((S1279/(C1279)),7))</f>
        <v>0</v>
      </c>
      <c r="Z1279" s="79"/>
      <c r="AF1279" s="79"/>
      <c r="AJ1279" s="66"/>
      <c r="AK1279" s="65"/>
    </row>
    <row r="1280" spans="1:37" hidden="1">
      <c r="A1280" s="65">
        <f>A1279+1</f>
        <v>35</v>
      </c>
      <c r="B1280" s="66" t="s">
        <v>168</v>
      </c>
      <c r="C1280" s="79">
        <f>O1280+R1280+S1280</f>
        <v>216</v>
      </c>
      <c r="D1280" s="79">
        <f>D1273+D1275</f>
        <v>99</v>
      </c>
      <c r="E1280" s="79">
        <f>E1273+E1275</f>
        <v>4</v>
      </c>
      <c r="F1280" s="78">
        <f>D1280+E1280</f>
        <v>103</v>
      </c>
      <c r="G1280" s="79">
        <f t="shared" ref="G1280:L1280" si="650">G1273+G1275</f>
        <v>6</v>
      </c>
      <c r="H1280" s="79">
        <f t="shared" si="650"/>
        <v>50</v>
      </c>
      <c r="I1280" s="79">
        <f t="shared" si="650"/>
        <v>34</v>
      </c>
      <c r="J1280" s="79">
        <f t="shared" si="650"/>
        <v>18</v>
      </c>
      <c r="K1280" s="79">
        <f t="shared" si="650"/>
        <v>1</v>
      </c>
      <c r="L1280" s="79">
        <f t="shared" si="650"/>
        <v>1</v>
      </c>
      <c r="M1280" s="79">
        <f>SUM(J1280:L1280)</f>
        <v>20</v>
      </c>
      <c r="N1280" s="79">
        <f>N1273+N1275</f>
        <v>3</v>
      </c>
      <c r="O1280" s="79">
        <f>SUM(F1280:I1280)+SUM(M1280:N1280)</f>
        <v>216</v>
      </c>
      <c r="P1280" s="79">
        <f>P1273+P1275</f>
        <v>0</v>
      </c>
      <c r="Q1280" s="79">
        <f>Q1273+Q1275</f>
        <v>0</v>
      </c>
      <c r="R1280" s="78">
        <f>P1280+Q1280</f>
        <v>0</v>
      </c>
      <c r="S1280" s="79">
        <f>S1273+S1275</f>
        <v>0</v>
      </c>
      <c r="U1280" s="80">
        <f t="shared" si="647"/>
        <v>0</v>
      </c>
      <c r="W1280" s="81">
        <f>IF((O1280+R1280)=0," ",ROUND((O1280/(O1280+R1280)),7))</f>
        <v>1</v>
      </c>
      <c r="X1280" s="81">
        <f>IF((C1280)=0," ",ROUND((O1280/(C1280)),7))</f>
        <v>1</v>
      </c>
      <c r="Y1280" s="81">
        <f>IF((C1280)=0," ",ROUND((S1280/(C1280)),7))</f>
        <v>0</v>
      </c>
      <c r="Z1280" s="79"/>
      <c r="AF1280" s="79"/>
      <c r="AJ1280" s="66"/>
      <c r="AK1280" s="65"/>
    </row>
    <row r="1281" spans="1:37" hidden="1">
      <c r="B1281" s="72"/>
      <c r="C1281" s="79"/>
      <c r="H1281" s="65" t="s">
        <v>80</v>
      </c>
      <c r="I1281" s="79"/>
      <c r="J1281" s="79"/>
      <c r="K1281" s="79"/>
      <c r="L1281" s="79"/>
      <c r="M1281" s="79"/>
      <c r="Q1281" s="65" t="s">
        <v>80</v>
      </c>
      <c r="R1281" s="79"/>
      <c r="S1281" s="65"/>
      <c r="W1281" s="81"/>
      <c r="X1281" s="81"/>
      <c r="Y1281" s="81"/>
      <c r="Z1281" s="65"/>
      <c r="AJ1281" s="66"/>
      <c r="AK1281" s="65"/>
    </row>
    <row r="1282" spans="1:37" hidden="1">
      <c r="C1282" s="79"/>
      <c r="H1282" s="70" t="str">
        <f>$H$24</f>
        <v>12 MONTHS ENDING DECEMBER 31, 2012</v>
      </c>
      <c r="I1282" s="79"/>
      <c r="J1282" s="79"/>
      <c r="K1282" s="79"/>
      <c r="L1282" s="79"/>
      <c r="M1282" s="79"/>
      <c r="Q1282" s="70" t="str">
        <f>$H$24</f>
        <v>12 MONTHS ENDING DECEMBER 31, 2012</v>
      </c>
      <c r="R1282" s="79"/>
      <c r="S1282" s="79"/>
      <c r="U1282" s="80"/>
      <c r="W1282" s="81"/>
      <c r="X1282" s="81"/>
      <c r="Y1282" s="81"/>
      <c r="Z1282" s="70"/>
      <c r="AJ1282" s="66"/>
      <c r="AK1282" s="65"/>
    </row>
    <row r="1283" spans="1:37" hidden="1">
      <c r="C1283" s="79"/>
      <c r="H1283" s="70" t="str">
        <f>$H$25</f>
        <v>12/13 DEMAND ALLOCATION WITH MDS METHODOLOGY</v>
      </c>
      <c r="Q1283" s="70" t="str">
        <f>$H$25</f>
        <v>12/13 DEMAND ALLOCATION WITH MDS METHODOLOGY</v>
      </c>
      <c r="R1283" s="79"/>
      <c r="S1283" s="79"/>
      <c r="W1283" s="81"/>
      <c r="X1283" s="81"/>
      <c r="Y1283" s="81"/>
      <c r="Z1283" s="70"/>
      <c r="AJ1283" s="66"/>
      <c r="AK1283" s="65"/>
    </row>
    <row r="1284" spans="1:37" hidden="1">
      <c r="C1284" s="79"/>
      <c r="H1284" s="87" t="s">
        <v>108</v>
      </c>
      <c r="I1284" s="79"/>
      <c r="J1284" s="79"/>
      <c r="K1284" s="79"/>
      <c r="L1284" s="79"/>
      <c r="M1284" s="79"/>
      <c r="Q1284" s="87" t="s">
        <v>108</v>
      </c>
      <c r="S1284" s="79"/>
      <c r="U1284" s="80"/>
      <c r="X1284" s="81"/>
      <c r="Y1284" s="81"/>
      <c r="Z1284" s="87"/>
      <c r="AF1284" s="79"/>
      <c r="AJ1284" s="66"/>
      <c r="AK1284" s="65"/>
    </row>
    <row r="1285" spans="1:37" hidden="1">
      <c r="C1285" s="79"/>
      <c r="H1285" s="87" t="s">
        <v>114</v>
      </c>
      <c r="J1285" s="79"/>
      <c r="K1285" s="79"/>
      <c r="L1285" s="79"/>
      <c r="M1285" s="79"/>
      <c r="Q1285" s="87" t="s">
        <v>114</v>
      </c>
      <c r="S1285" s="79"/>
      <c r="U1285" s="80"/>
      <c r="X1285" s="81"/>
      <c r="Y1285" s="81"/>
      <c r="Z1285" s="87"/>
      <c r="AF1285" s="79"/>
      <c r="AJ1285" s="66"/>
      <c r="AK1285" s="65"/>
    </row>
    <row r="1286" spans="1:37" hidden="1">
      <c r="C1286" s="65" t="s">
        <v>59</v>
      </c>
      <c r="K1286" s="65"/>
      <c r="L1286" s="65"/>
      <c r="M1286" s="65"/>
      <c r="O1286" s="65" t="s">
        <v>59</v>
      </c>
      <c r="P1286" s="65"/>
      <c r="Q1286" s="65"/>
      <c r="R1286" s="65"/>
      <c r="S1286" s="65" t="s">
        <v>115</v>
      </c>
      <c r="W1286" s="76" t="s">
        <v>116</v>
      </c>
      <c r="X1286" s="76" t="s">
        <v>116</v>
      </c>
      <c r="Y1286" s="76" t="s">
        <v>117</v>
      </c>
      <c r="AF1286" s="65"/>
      <c r="AJ1286" s="66"/>
      <c r="AK1286" s="65"/>
    </row>
    <row r="1287" spans="1:37" hidden="1">
      <c r="A1287" s="65" t="s">
        <v>118</v>
      </c>
      <c r="C1287" s="65" t="s">
        <v>58</v>
      </c>
      <c r="D1287" s="70" t="s">
        <v>119</v>
      </c>
      <c r="E1287" s="70" t="s">
        <v>119</v>
      </c>
      <c r="F1287" s="70" t="s">
        <v>119</v>
      </c>
      <c r="G1287" s="70" t="s">
        <v>119</v>
      </c>
      <c r="H1287" s="70" t="s">
        <v>119</v>
      </c>
      <c r="I1287" s="70" t="s">
        <v>119</v>
      </c>
      <c r="J1287" s="70" t="s">
        <v>119</v>
      </c>
      <c r="K1287" s="70" t="s">
        <v>119</v>
      </c>
      <c r="L1287" s="70" t="s">
        <v>119</v>
      </c>
      <c r="M1287" s="70" t="s">
        <v>119</v>
      </c>
      <c r="N1287" s="70" t="s">
        <v>119</v>
      </c>
      <c r="O1287" s="65" t="s">
        <v>116</v>
      </c>
      <c r="P1287" s="65"/>
      <c r="Q1287" s="70" t="s">
        <v>120</v>
      </c>
      <c r="R1287" s="65"/>
      <c r="S1287" s="65" t="s">
        <v>121</v>
      </c>
      <c r="W1287" s="76" t="s">
        <v>122</v>
      </c>
      <c r="X1287" s="76" t="s">
        <v>123</v>
      </c>
      <c r="Y1287" s="76" t="s">
        <v>124</v>
      </c>
      <c r="Z1287" s="65"/>
      <c r="AF1287" s="70"/>
      <c r="AJ1287" s="66"/>
      <c r="AK1287" s="65"/>
    </row>
    <row r="1288" spans="1:37" hidden="1">
      <c r="A1288" s="65" t="s">
        <v>125</v>
      </c>
      <c r="B1288" s="65" t="s">
        <v>126</v>
      </c>
      <c r="C1288" s="65" t="s">
        <v>57</v>
      </c>
      <c r="D1288" s="70" t="s">
        <v>127</v>
      </c>
      <c r="E1288" s="70" t="s">
        <v>128</v>
      </c>
      <c r="F1288" s="70" t="s">
        <v>129</v>
      </c>
      <c r="G1288" s="70" t="s">
        <v>130</v>
      </c>
      <c r="H1288" s="70" t="s">
        <v>131</v>
      </c>
      <c r="I1288" s="65" t="s">
        <v>132</v>
      </c>
      <c r="J1288" s="70" t="s">
        <v>133</v>
      </c>
      <c r="K1288" s="70" t="s">
        <v>134</v>
      </c>
      <c r="L1288" s="70" t="s">
        <v>135</v>
      </c>
      <c r="M1288" s="70" t="s">
        <v>136</v>
      </c>
      <c r="N1288" s="70" t="s">
        <v>137</v>
      </c>
      <c r="O1288" s="65" t="s">
        <v>138</v>
      </c>
      <c r="P1288" s="70" t="s">
        <v>139</v>
      </c>
      <c r="Q1288" s="70" t="s">
        <v>140</v>
      </c>
      <c r="R1288" s="65" t="s">
        <v>122</v>
      </c>
      <c r="S1288" s="65" t="s">
        <v>141</v>
      </c>
      <c r="U1288" s="65" t="s">
        <v>162</v>
      </c>
      <c r="W1288" s="76" t="s">
        <v>142</v>
      </c>
      <c r="X1288" s="76" t="s">
        <v>142</v>
      </c>
      <c r="Y1288" s="76" t="s">
        <v>142</v>
      </c>
      <c r="Z1288" s="65"/>
      <c r="AF1288" s="70"/>
      <c r="AJ1288" s="66"/>
      <c r="AK1288" s="65"/>
    </row>
    <row r="1289" spans="1:37" hidden="1">
      <c r="A1289" s="65" t="s">
        <v>143</v>
      </c>
      <c r="B1289" s="65" t="s">
        <v>144</v>
      </c>
      <c r="C1289" s="65" t="s">
        <v>145</v>
      </c>
      <c r="D1289" s="70" t="s">
        <v>146</v>
      </c>
      <c r="E1289" s="70" t="s">
        <v>147</v>
      </c>
      <c r="F1289" s="70" t="s">
        <v>148</v>
      </c>
      <c r="G1289" s="65" t="s">
        <v>149</v>
      </c>
      <c r="H1289" s="65" t="s">
        <v>150</v>
      </c>
      <c r="I1289" s="65" t="s">
        <v>151</v>
      </c>
      <c r="J1289" s="70" t="s">
        <v>152</v>
      </c>
      <c r="K1289" s="70" t="s">
        <v>153</v>
      </c>
      <c r="L1289" s="70" t="s">
        <v>154</v>
      </c>
      <c r="M1289" s="70" t="s">
        <v>155</v>
      </c>
      <c r="N1289" s="70" t="s">
        <v>156</v>
      </c>
      <c r="O1289" s="70" t="s">
        <v>157</v>
      </c>
      <c r="P1289" s="70" t="s">
        <v>158</v>
      </c>
      <c r="Q1289" s="70" t="s">
        <v>159</v>
      </c>
      <c r="R1289" s="70" t="s">
        <v>160</v>
      </c>
      <c r="S1289" s="70" t="s">
        <v>161</v>
      </c>
      <c r="W1289" s="77" t="s">
        <v>163</v>
      </c>
      <c r="X1289" s="77" t="s">
        <v>164</v>
      </c>
      <c r="Y1289" s="76" t="s">
        <v>165</v>
      </c>
      <c r="Z1289" s="70"/>
      <c r="AF1289" s="76"/>
      <c r="AJ1289" s="66"/>
      <c r="AK1289" s="70"/>
    </row>
    <row r="1290" spans="1:37" hidden="1">
      <c r="C1290" s="79"/>
      <c r="D1290" s="79"/>
      <c r="E1290" s="79"/>
      <c r="F1290" s="79"/>
      <c r="G1290" s="79"/>
      <c r="H1290" s="79"/>
      <c r="I1290" s="79"/>
      <c r="J1290" s="79"/>
      <c r="K1290" s="79"/>
      <c r="L1290" s="79"/>
      <c r="M1290" s="79"/>
      <c r="N1290" s="79"/>
      <c r="O1290" s="79"/>
      <c r="P1290" s="79"/>
      <c r="Q1290" s="79"/>
      <c r="R1290" s="79"/>
      <c r="S1290" s="79"/>
      <c r="U1290" s="80"/>
      <c r="W1290" s="81" t="str">
        <f>IF((P1290+Q1290)=0," ",ROUND((P1290/(P1290+Q1290)),74))</f>
        <v xml:space="preserve"> </v>
      </c>
      <c r="X1290" s="81" t="str">
        <f>IF((C1290)=0," ",ROUND((P1290/(C1290)),74))</f>
        <v xml:space="preserve"> </v>
      </c>
      <c r="Y1290" s="81" t="str">
        <f>IF((C1290)=0," ",ROUND((R1290/(C1290)),7))</f>
        <v xml:space="preserve"> </v>
      </c>
      <c r="Z1290" s="79"/>
      <c r="AF1290" s="79"/>
      <c r="AJ1290" s="66"/>
      <c r="AK1290" s="65"/>
    </row>
    <row r="1291" spans="1:37" hidden="1">
      <c r="A1291" s="66"/>
      <c r="U1291" s="66"/>
      <c r="V1291" s="66"/>
      <c r="AJ1291" s="66"/>
      <c r="AK1291" s="70"/>
    </row>
    <row r="1292" spans="1:37" hidden="1">
      <c r="B1292" s="65" t="s">
        <v>528</v>
      </c>
      <c r="C1292" s="79"/>
      <c r="D1292" s="79"/>
      <c r="E1292" s="79"/>
      <c r="F1292" s="79"/>
      <c r="G1292" s="79"/>
      <c r="H1292" s="79"/>
      <c r="I1292" s="79"/>
      <c r="J1292" s="79"/>
      <c r="K1292" s="79"/>
      <c r="L1292" s="79"/>
      <c r="M1292" s="79"/>
      <c r="N1292" s="79"/>
      <c r="O1292" s="79"/>
      <c r="P1292" s="79"/>
      <c r="Q1292" s="79"/>
      <c r="R1292" s="79"/>
      <c r="S1292" s="79"/>
      <c r="U1292" s="80"/>
      <c r="W1292" s="81" t="str">
        <f>IF((P1292+Q1292)=0," ",ROUND((P1292/(P1292+Q1292)),74))</f>
        <v xml:space="preserve"> </v>
      </c>
      <c r="X1292" s="81" t="str">
        <f>IF((C1292)=0," ",ROUND((P1292/(C1292)),74))</f>
        <v xml:space="preserve"> </v>
      </c>
      <c r="Y1292" s="81" t="str">
        <f>IF((C1292)=0," ",ROUND((R1292/(C1292)),7))</f>
        <v xml:space="preserve"> </v>
      </c>
      <c r="Z1292" s="79"/>
      <c r="AF1292" s="79"/>
      <c r="AJ1292" s="66"/>
      <c r="AK1292" s="65"/>
    </row>
    <row r="1293" spans="1:37" hidden="1">
      <c r="B1293" s="83" t="s">
        <v>170</v>
      </c>
      <c r="C1293" s="79"/>
      <c r="D1293" s="79"/>
      <c r="E1293" s="79"/>
      <c r="F1293" s="79"/>
      <c r="G1293" s="79"/>
      <c r="H1293" s="79"/>
      <c r="I1293" s="79"/>
      <c r="J1293" s="79"/>
      <c r="K1293" s="79"/>
      <c r="L1293" s="79"/>
      <c r="M1293" s="79"/>
      <c r="N1293" s="79"/>
      <c r="O1293" s="79"/>
      <c r="P1293" s="79"/>
      <c r="Q1293" s="79"/>
      <c r="R1293" s="79"/>
      <c r="S1293" s="79"/>
      <c r="U1293" s="80"/>
      <c r="W1293" s="81" t="str">
        <f>IF((P1293+Q1293)=0," ",ROUND((P1293/(P1293+Q1293)),74))</f>
        <v xml:space="preserve"> </v>
      </c>
      <c r="X1293" s="81" t="str">
        <f>IF((C1293)=0," ",ROUND((P1293/(C1293)),74))</f>
        <v xml:space="preserve"> </v>
      </c>
      <c r="Y1293" s="81" t="str">
        <f>IF((C1293)=0," ",ROUND((R1293/(C1293)),7))</f>
        <v xml:space="preserve"> </v>
      </c>
      <c r="Z1293" s="79"/>
      <c r="AF1293" s="79"/>
      <c r="AJ1293" s="66"/>
      <c r="AK1293" s="65"/>
    </row>
    <row r="1294" spans="1:37" hidden="1">
      <c r="C1294" s="79"/>
      <c r="D1294" s="79"/>
      <c r="E1294" s="79"/>
      <c r="F1294" s="79"/>
      <c r="G1294" s="79"/>
      <c r="H1294" s="79"/>
      <c r="I1294" s="79"/>
      <c r="J1294" s="79"/>
      <c r="K1294" s="79"/>
      <c r="L1294" s="79"/>
      <c r="M1294" s="79"/>
      <c r="N1294" s="79"/>
      <c r="O1294" s="79"/>
      <c r="P1294" s="79"/>
      <c r="Q1294" s="79"/>
      <c r="R1294" s="79"/>
      <c r="S1294" s="79"/>
      <c r="U1294" s="80"/>
      <c r="W1294" s="81" t="str">
        <f>IF((P1294+Q1294)=0," ",ROUND((P1294/(P1294+Q1294)),74))</f>
        <v xml:space="preserve"> </v>
      </c>
      <c r="X1294" s="81" t="str">
        <f>IF((C1294)=0," ",ROUND((P1294/(C1294)),74))</f>
        <v xml:space="preserve"> </v>
      </c>
      <c r="Y1294" s="81" t="str">
        <f>IF((C1294)=0," ",ROUND((R1294/(C1294)),7))</f>
        <v xml:space="preserve"> </v>
      </c>
      <c r="Z1294" s="79"/>
      <c r="AF1294" s="79"/>
      <c r="AJ1294" s="66"/>
      <c r="AK1294" s="65"/>
    </row>
    <row r="1295" spans="1:37" hidden="1">
      <c r="A1295" s="65">
        <f>A1280+1</f>
        <v>36</v>
      </c>
      <c r="B1295" s="66" t="s">
        <v>529</v>
      </c>
      <c r="C1295" s="78">
        <f>33616-33616</f>
        <v>0</v>
      </c>
      <c r="D1295" s="79">
        <f>C1295-E1295-SUM(G1295:I1295)-SUM(M1295:N1295)-R1295-S1295</f>
        <v>0</v>
      </c>
      <c r="E1295" s="79">
        <f>ROUND((E623+E681)/($O623+$O681)*$C1295,0)</f>
        <v>0</v>
      </c>
      <c r="F1295" s="78">
        <f>D1295+E1295</f>
        <v>0</v>
      </c>
      <c r="G1295" s="79">
        <f t="shared" ref="G1295:N1295" si="651">ROUND((G623+G681)/($O623+$O681)*$C1295,0)</f>
        <v>0</v>
      </c>
      <c r="H1295" s="79">
        <f t="shared" si="651"/>
        <v>0</v>
      </c>
      <c r="I1295" s="79">
        <f t="shared" si="651"/>
        <v>0</v>
      </c>
      <c r="J1295" s="79">
        <f t="shared" si="651"/>
        <v>0</v>
      </c>
      <c r="K1295" s="79">
        <f t="shared" si="651"/>
        <v>0</v>
      </c>
      <c r="L1295" s="79">
        <f t="shared" si="651"/>
        <v>0</v>
      </c>
      <c r="M1295" s="79">
        <f>SUM(J1295:L1295)</f>
        <v>0</v>
      </c>
      <c r="N1295" s="79">
        <f t="shared" si="651"/>
        <v>0</v>
      </c>
      <c r="O1295" s="79">
        <f>SUM(F1295:I1295)+SUM(M1295:N1295)</f>
        <v>0</v>
      </c>
      <c r="P1295" s="79">
        <v>0</v>
      </c>
      <c r="Q1295" s="79">
        <v>0</v>
      </c>
      <c r="R1295" s="78">
        <f>P1295+Q1295</f>
        <v>0</v>
      </c>
      <c r="S1295" s="79">
        <v>0</v>
      </c>
      <c r="U1295" s="80">
        <f>O1295+R1295+S1295-C1295</f>
        <v>0</v>
      </c>
      <c r="W1295" s="81" t="str">
        <f t="shared" ref="W1295:W1318" si="652">IF((O1295+R1295)=0," ",ROUND((O1295/(O1295+R1295)),7))</f>
        <v xml:space="preserve"> </v>
      </c>
      <c r="X1295" s="81" t="str">
        <f t="shared" ref="X1295:X1318" si="653">IF((C1295)=0," ",ROUND((O1295/(C1295)),7))</f>
        <v xml:space="preserve"> </v>
      </c>
      <c r="Y1295" s="81" t="str">
        <f t="shared" ref="Y1295:Y1318" si="654">IF((C1295)=0," ",ROUND((S1295/(C1295)),7))</f>
        <v xml:space="preserve"> </v>
      </c>
      <c r="Z1295" s="79"/>
      <c r="AF1295" s="79"/>
      <c r="AJ1295" s="66"/>
      <c r="AK1295" s="65"/>
    </row>
    <row r="1296" spans="1:37" hidden="1">
      <c r="A1296" s="65">
        <f>A1295+1</f>
        <v>37</v>
      </c>
      <c r="B1296" s="66" t="s">
        <v>530</v>
      </c>
      <c r="C1296" s="78">
        <f>1004-621</f>
        <v>383</v>
      </c>
      <c r="D1296" s="79">
        <f>C1296-E1296-SUM(G1296:I1296)-SUM(M1296:N1296)-R1296-S1296</f>
        <v>218</v>
      </c>
      <c r="E1296" s="79">
        <f>ROUND((E623+E681)/($C623+$C681-$R623-$R681)*$C1296,0)</f>
        <v>7</v>
      </c>
      <c r="F1296" s="78">
        <f>D1296+E1296</f>
        <v>225</v>
      </c>
      <c r="G1296" s="79">
        <f>ROUND((G623+G681)/($C623+$C681-$R623-$R681)*$C1296,0)</f>
        <v>17</v>
      </c>
      <c r="H1296" s="79">
        <f>ROUND((H623+H681)/($C623+$C681-$R623-$R681)*$C1296,0)</f>
        <v>77</v>
      </c>
      <c r="I1296" s="79">
        <f>ROUND((I623+I681)/($C623+$C681-$R623-$R681)*$C1296,0)</f>
        <v>37</v>
      </c>
      <c r="J1296" s="79">
        <f t="shared" ref="J1296:N1296" si="655">ROUND((J623+J681)/($C623+$C681-$R623-$R681)*$C1296,0)</f>
        <v>14</v>
      </c>
      <c r="K1296" s="79">
        <f t="shared" si="655"/>
        <v>1</v>
      </c>
      <c r="L1296" s="79">
        <f t="shared" si="655"/>
        <v>1</v>
      </c>
      <c r="M1296" s="79">
        <f>SUM(J1296:L1296)</f>
        <v>16</v>
      </c>
      <c r="N1296" s="79">
        <f t="shared" si="655"/>
        <v>11</v>
      </c>
      <c r="O1296" s="79">
        <f>SUM(F1296:I1296)+SUM(M1296:N1296)</f>
        <v>383</v>
      </c>
      <c r="P1296" s="79">
        <v>0</v>
      </c>
      <c r="Q1296" s="79">
        <v>0</v>
      </c>
      <c r="R1296" s="78">
        <f>P1296+Q1296</f>
        <v>0</v>
      </c>
      <c r="S1296" s="79">
        <v>0</v>
      </c>
      <c r="U1296" s="80">
        <f>O1296+R1296+S1296-C1296</f>
        <v>0</v>
      </c>
      <c r="W1296" s="81">
        <f t="shared" si="652"/>
        <v>1</v>
      </c>
      <c r="X1296" s="81">
        <f t="shared" si="653"/>
        <v>1</v>
      </c>
      <c r="Y1296" s="81">
        <f t="shared" si="654"/>
        <v>0</v>
      </c>
      <c r="Z1296" s="79"/>
      <c r="AF1296" s="79"/>
      <c r="AJ1296" s="66"/>
      <c r="AK1296" s="65"/>
    </row>
    <row r="1297" spans="1:37" hidden="1">
      <c r="A1297" s="65">
        <f>A1296+1</f>
        <v>38</v>
      </c>
      <c r="B1297" s="66" t="s">
        <v>531</v>
      </c>
      <c r="C1297" s="78">
        <v>0</v>
      </c>
      <c r="D1297" s="79">
        <f>C1297-E1297-SUM(G1297:I1297)-SUM(M1297:N1297)-R1297-S1297</f>
        <v>0</v>
      </c>
      <c r="E1297" s="79">
        <v>0</v>
      </c>
      <c r="F1297" s="78">
        <f>D1297+E1297</f>
        <v>0</v>
      </c>
      <c r="G1297" s="79">
        <v>0</v>
      </c>
      <c r="H1297" s="79">
        <v>0</v>
      </c>
      <c r="I1297" s="79">
        <v>0</v>
      </c>
      <c r="J1297" s="79">
        <v>0</v>
      </c>
      <c r="K1297" s="79">
        <v>0</v>
      </c>
      <c r="L1297" s="79">
        <v>0</v>
      </c>
      <c r="M1297" s="79">
        <f>SUM(J1297:L1297)</f>
        <v>0</v>
      </c>
      <c r="N1297" s="79">
        <v>0</v>
      </c>
      <c r="O1297" s="79">
        <f>SUM(F1297:I1297)+SUM(M1297:N1297)</f>
        <v>0</v>
      </c>
      <c r="P1297" s="79">
        <v>0</v>
      </c>
      <c r="Q1297" s="79">
        <v>0</v>
      </c>
      <c r="R1297" s="78">
        <f>P1297+Q1297</f>
        <v>0</v>
      </c>
      <c r="S1297" s="79">
        <v>0</v>
      </c>
      <c r="U1297" s="80">
        <f>O1297+R1297+S1297-C1297</f>
        <v>0</v>
      </c>
      <c r="W1297" s="81" t="str">
        <f t="shared" si="652"/>
        <v xml:space="preserve"> </v>
      </c>
      <c r="X1297" s="81" t="str">
        <f t="shared" si="653"/>
        <v xml:space="preserve"> </v>
      </c>
      <c r="Y1297" s="81" t="str">
        <f t="shared" si="654"/>
        <v xml:space="preserve"> </v>
      </c>
      <c r="Z1297" s="79"/>
      <c r="AF1297" s="79"/>
    </row>
    <row r="1298" spans="1:37" hidden="1">
      <c r="A1298" s="65">
        <f>A1297+1</f>
        <v>39</v>
      </c>
      <c r="B1298" s="66" t="s">
        <v>532</v>
      </c>
      <c r="C1298" s="78">
        <v>0</v>
      </c>
      <c r="D1298" s="79">
        <f>C1298-E1298-SUM(G1298:I1298)-SUM(M1298:N1298)-R1298-S1298</f>
        <v>0</v>
      </c>
      <c r="E1298" s="79">
        <f>ROUND((((E623+E681)/($O$623+$O681))*$C1298),0)</f>
        <v>0</v>
      </c>
      <c r="F1298" s="78">
        <f>D1298+E1298</f>
        <v>0</v>
      </c>
      <c r="G1298" s="79">
        <f t="shared" ref="G1298:N1298" si="656">ROUND((((G623+G681)/($O$623+$O681))*$C1298),0)</f>
        <v>0</v>
      </c>
      <c r="H1298" s="79">
        <f t="shared" si="656"/>
        <v>0</v>
      </c>
      <c r="I1298" s="79">
        <f t="shared" si="656"/>
        <v>0</v>
      </c>
      <c r="J1298" s="79">
        <f t="shared" si="656"/>
        <v>0</v>
      </c>
      <c r="K1298" s="79">
        <f t="shared" si="656"/>
        <v>0</v>
      </c>
      <c r="L1298" s="79">
        <f t="shared" si="656"/>
        <v>0</v>
      </c>
      <c r="M1298" s="79">
        <f>SUM(J1298:L1298)</f>
        <v>0</v>
      </c>
      <c r="N1298" s="79">
        <f t="shared" si="656"/>
        <v>0</v>
      </c>
      <c r="O1298" s="79">
        <f>SUM(F1298:I1298)+SUM(M1298:N1298)</f>
        <v>0</v>
      </c>
      <c r="P1298" s="79">
        <v>0</v>
      </c>
      <c r="Q1298" s="79">
        <v>0</v>
      </c>
      <c r="R1298" s="78">
        <f>P1298+Q1298</f>
        <v>0</v>
      </c>
      <c r="S1298" s="79">
        <v>0</v>
      </c>
      <c r="U1298" s="80">
        <f>O1298+R1298+S1298-C1298</f>
        <v>0</v>
      </c>
      <c r="W1298" s="81" t="str">
        <f t="shared" si="652"/>
        <v xml:space="preserve"> </v>
      </c>
      <c r="X1298" s="81" t="str">
        <f t="shared" si="653"/>
        <v xml:space="preserve"> </v>
      </c>
      <c r="Y1298" s="81" t="str">
        <f t="shared" si="654"/>
        <v xml:space="preserve"> </v>
      </c>
      <c r="Z1298" s="79"/>
      <c r="AF1298" s="79"/>
      <c r="AJ1298" s="66"/>
      <c r="AK1298" s="65"/>
    </row>
    <row r="1299" spans="1:37" hidden="1">
      <c r="A1299" s="65">
        <f>A1298+1</f>
        <v>40</v>
      </c>
      <c r="B1299" s="66" t="s">
        <v>533</v>
      </c>
      <c r="C1299" s="79">
        <f>O1299+R1299+S1299</f>
        <v>383</v>
      </c>
      <c r="D1299" s="79">
        <f>D1295+D1296+D1297+D1298</f>
        <v>218</v>
      </c>
      <c r="E1299" s="79">
        <f>E1295+E1296+E1297+E1298</f>
        <v>7</v>
      </c>
      <c r="F1299" s="78">
        <f>D1299+E1299</f>
        <v>225</v>
      </c>
      <c r="G1299" s="79">
        <f t="shared" ref="G1299:L1299" si="657">G1295+G1296+G1297+G1298</f>
        <v>17</v>
      </c>
      <c r="H1299" s="79">
        <f t="shared" si="657"/>
        <v>77</v>
      </c>
      <c r="I1299" s="79">
        <f t="shared" si="657"/>
        <v>37</v>
      </c>
      <c r="J1299" s="79">
        <f t="shared" si="657"/>
        <v>14</v>
      </c>
      <c r="K1299" s="79">
        <f t="shared" si="657"/>
        <v>1</v>
      </c>
      <c r="L1299" s="79">
        <f t="shared" si="657"/>
        <v>1</v>
      </c>
      <c r="M1299" s="79">
        <f>SUM(J1299:L1299)</f>
        <v>16</v>
      </c>
      <c r="N1299" s="79">
        <f>N1295+N1296+N1297+N1298</f>
        <v>11</v>
      </c>
      <c r="O1299" s="79">
        <f>SUM(F1299:I1299)+SUM(M1299:N1299)</f>
        <v>383</v>
      </c>
      <c r="P1299" s="79">
        <f>P1295+P1296+P1297+P1298</f>
        <v>0</v>
      </c>
      <c r="Q1299" s="79">
        <f>Q1295+Q1296+Q1297+Q1298</f>
        <v>0</v>
      </c>
      <c r="R1299" s="78">
        <f>P1299+Q1299</f>
        <v>0</v>
      </c>
      <c r="S1299" s="79">
        <f>S1295+S1296+S1297+S1298</f>
        <v>0</v>
      </c>
      <c r="U1299" s="80">
        <f>O1299+R1299+S1299-C1299</f>
        <v>0</v>
      </c>
      <c r="W1299" s="81">
        <f t="shared" si="652"/>
        <v>1</v>
      </c>
      <c r="X1299" s="81">
        <f t="shared" si="653"/>
        <v>1</v>
      </c>
      <c r="Y1299" s="81">
        <f t="shared" si="654"/>
        <v>0</v>
      </c>
      <c r="Z1299" s="79"/>
      <c r="AF1299" s="79"/>
      <c r="AJ1299" s="66"/>
      <c r="AK1299" s="65"/>
    </row>
    <row r="1300" spans="1:37" hidden="1">
      <c r="C1300" s="79"/>
      <c r="D1300" s="79"/>
      <c r="E1300" s="79"/>
      <c r="F1300" s="79"/>
      <c r="G1300" s="79"/>
      <c r="H1300" s="79"/>
      <c r="I1300" s="79"/>
      <c r="J1300" s="79"/>
      <c r="K1300" s="79"/>
      <c r="L1300" s="79"/>
      <c r="M1300" s="79"/>
      <c r="N1300" s="79"/>
      <c r="O1300" s="79"/>
      <c r="P1300" s="79"/>
      <c r="Q1300" s="79"/>
      <c r="R1300" s="79"/>
      <c r="S1300" s="79"/>
      <c r="U1300" s="80"/>
      <c r="W1300" s="81" t="str">
        <f t="shared" si="652"/>
        <v xml:space="preserve"> </v>
      </c>
      <c r="X1300" s="81" t="str">
        <f t="shared" si="653"/>
        <v xml:space="preserve"> </v>
      </c>
      <c r="Y1300" s="81" t="str">
        <f t="shared" si="654"/>
        <v xml:space="preserve"> </v>
      </c>
      <c r="Z1300" s="79"/>
      <c r="AF1300" s="79"/>
      <c r="AJ1300" s="66"/>
      <c r="AK1300" s="65"/>
    </row>
    <row r="1301" spans="1:37" hidden="1">
      <c r="B1301" s="65" t="s">
        <v>534</v>
      </c>
      <c r="C1301" s="79"/>
      <c r="D1301" s="79"/>
      <c r="E1301" s="79"/>
      <c r="F1301" s="79"/>
      <c r="G1301" s="79"/>
      <c r="H1301" s="79"/>
      <c r="I1301" s="79"/>
      <c r="J1301" s="79"/>
      <c r="K1301" s="79"/>
      <c r="L1301" s="79"/>
      <c r="M1301" s="79"/>
      <c r="N1301" s="79"/>
      <c r="O1301" s="79"/>
      <c r="P1301" s="79"/>
      <c r="Q1301" s="79"/>
      <c r="R1301" s="79"/>
      <c r="S1301" s="79"/>
      <c r="U1301" s="80"/>
      <c r="W1301" s="81" t="str">
        <f t="shared" si="652"/>
        <v xml:space="preserve"> </v>
      </c>
      <c r="X1301" s="81" t="str">
        <f t="shared" si="653"/>
        <v xml:space="preserve"> </v>
      </c>
      <c r="Y1301" s="81" t="str">
        <f t="shared" si="654"/>
        <v xml:space="preserve"> </v>
      </c>
      <c r="Z1301" s="79"/>
      <c r="AF1301" s="79"/>
      <c r="AJ1301" s="66"/>
      <c r="AK1301" s="70"/>
    </row>
    <row r="1302" spans="1:37" hidden="1">
      <c r="B1302" s="83" t="s">
        <v>170</v>
      </c>
      <c r="C1302" s="79"/>
      <c r="D1302" s="79"/>
      <c r="E1302" s="79"/>
      <c r="F1302" s="79"/>
      <c r="G1302" s="79"/>
      <c r="H1302" s="79"/>
      <c r="I1302" s="79"/>
      <c r="J1302" s="79"/>
      <c r="K1302" s="79"/>
      <c r="L1302" s="79"/>
      <c r="M1302" s="79"/>
      <c r="N1302" s="79"/>
      <c r="O1302" s="79"/>
      <c r="P1302" s="79"/>
      <c r="Q1302" s="79"/>
      <c r="R1302" s="79"/>
      <c r="S1302" s="79"/>
      <c r="U1302" s="80"/>
      <c r="W1302" s="81" t="str">
        <f t="shared" si="652"/>
        <v xml:space="preserve"> </v>
      </c>
      <c r="X1302" s="81" t="str">
        <f t="shared" si="653"/>
        <v xml:space="preserve"> </v>
      </c>
      <c r="Y1302" s="81" t="str">
        <f t="shared" si="654"/>
        <v xml:space="preserve"> </v>
      </c>
      <c r="Z1302" s="79"/>
      <c r="AF1302" s="79"/>
      <c r="AJ1302" s="66"/>
      <c r="AK1302" s="70"/>
    </row>
    <row r="1303" spans="1:37" hidden="1">
      <c r="C1303" s="79"/>
      <c r="D1303" s="79"/>
      <c r="E1303" s="79"/>
      <c r="F1303" s="79"/>
      <c r="G1303" s="79"/>
      <c r="H1303" s="79"/>
      <c r="I1303" s="79"/>
      <c r="J1303" s="79"/>
      <c r="K1303" s="79"/>
      <c r="L1303" s="79"/>
      <c r="M1303" s="79"/>
      <c r="N1303" s="79"/>
      <c r="O1303" s="79"/>
      <c r="P1303" s="79"/>
      <c r="Q1303" s="79"/>
      <c r="R1303" s="79"/>
      <c r="S1303" s="79"/>
      <c r="U1303" s="80"/>
      <c r="W1303" s="81" t="str">
        <f t="shared" si="652"/>
        <v xml:space="preserve"> </v>
      </c>
      <c r="X1303" s="81" t="str">
        <f t="shared" si="653"/>
        <v xml:space="preserve"> </v>
      </c>
      <c r="Y1303" s="81" t="str">
        <f t="shared" si="654"/>
        <v xml:space="preserve"> </v>
      </c>
      <c r="Z1303" s="79"/>
      <c r="AF1303" s="79"/>
      <c r="AJ1303" s="66"/>
      <c r="AK1303" s="70"/>
    </row>
    <row r="1304" spans="1:37" hidden="1">
      <c r="A1304" s="65">
        <f>A1299+1</f>
        <v>41</v>
      </c>
      <c r="B1304" s="66" t="s">
        <v>535</v>
      </c>
      <c r="C1304" s="78">
        <v>247</v>
      </c>
      <c r="D1304" s="79">
        <f t="shared" ref="D1304:D1309" si="658">C1304-E1304-SUM(G1304:I1304)-SUM(M1304:N1304)-R1304-S1304</f>
        <v>129</v>
      </c>
      <c r="E1304" s="79">
        <v>3</v>
      </c>
      <c r="F1304" s="78">
        <f t="shared" ref="F1304:F1310" si="659">D1304+E1304</f>
        <v>132</v>
      </c>
      <c r="G1304" s="79">
        <v>7</v>
      </c>
      <c r="H1304" s="79">
        <v>53</v>
      </c>
      <c r="I1304" s="79">
        <v>31</v>
      </c>
      <c r="J1304" s="79">
        <v>13</v>
      </c>
      <c r="K1304" s="79">
        <v>1</v>
      </c>
      <c r="L1304" s="79">
        <v>1</v>
      </c>
      <c r="M1304" s="79">
        <f t="shared" ref="M1304:M1310" si="660">SUM(J1304:L1304)</f>
        <v>15</v>
      </c>
      <c r="N1304" s="79">
        <v>1</v>
      </c>
      <c r="O1304" s="79">
        <f t="shared" ref="O1304:O1310" si="661">SUM(F1304:I1304)+SUM(M1304:N1304)</f>
        <v>239</v>
      </c>
      <c r="P1304" s="79">
        <v>7</v>
      </c>
      <c r="Q1304" s="79">
        <v>1</v>
      </c>
      <c r="R1304" s="78">
        <f t="shared" ref="R1304:R1310" si="662">P1304+Q1304</f>
        <v>8</v>
      </c>
      <c r="S1304" s="79">
        <v>0</v>
      </c>
      <c r="U1304" s="80">
        <f t="shared" ref="U1304:U1318" si="663">O1304+R1304+S1304-C1304</f>
        <v>0</v>
      </c>
      <c r="W1304" s="81">
        <f t="shared" si="652"/>
        <v>0.96761129999999995</v>
      </c>
      <c r="X1304" s="81">
        <f t="shared" si="653"/>
        <v>0.96761129999999995</v>
      </c>
      <c r="Y1304" s="81">
        <f t="shared" si="654"/>
        <v>0</v>
      </c>
      <c r="Z1304" s="79"/>
      <c r="AF1304" s="79"/>
      <c r="AJ1304" s="66"/>
      <c r="AK1304" s="70"/>
    </row>
    <row r="1305" spans="1:37" hidden="1">
      <c r="A1305" s="65">
        <f t="shared" ref="A1305:A1310" si="664">A1304+1</f>
        <v>42</v>
      </c>
      <c r="B1305" s="66" t="s">
        <v>536</v>
      </c>
      <c r="C1305" s="78">
        <f>21561+16667-38228</f>
        <v>0</v>
      </c>
      <c r="D1305" s="79">
        <f t="shared" si="658"/>
        <v>0</v>
      </c>
      <c r="E1305" s="79">
        <f>ROUND((E623+E681)/($C623+$C681-$R623-$R681)*$C1305,0)</f>
        <v>0</v>
      </c>
      <c r="F1305" s="78">
        <f t="shared" si="659"/>
        <v>0</v>
      </c>
      <c r="G1305" s="79">
        <f t="shared" ref="G1305:N1305" si="665">ROUND((G623+G681)/($C623+$C681-$R623-$R681)*$C1305,0)</f>
        <v>0</v>
      </c>
      <c r="H1305" s="79">
        <f t="shared" si="665"/>
        <v>0</v>
      </c>
      <c r="I1305" s="79">
        <f t="shared" si="665"/>
        <v>0</v>
      </c>
      <c r="J1305" s="79">
        <f t="shared" si="665"/>
        <v>0</v>
      </c>
      <c r="K1305" s="79">
        <f t="shared" si="665"/>
        <v>0</v>
      </c>
      <c r="L1305" s="79">
        <f t="shared" si="665"/>
        <v>0</v>
      </c>
      <c r="M1305" s="79">
        <f t="shared" si="660"/>
        <v>0</v>
      </c>
      <c r="N1305" s="79">
        <f t="shared" si="665"/>
        <v>0</v>
      </c>
      <c r="O1305" s="79">
        <f t="shared" si="661"/>
        <v>0</v>
      </c>
      <c r="P1305" s="79">
        <v>0</v>
      </c>
      <c r="Q1305" s="79">
        <v>0</v>
      </c>
      <c r="R1305" s="78">
        <f t="shared" si="662"/>
        <v>0</v>
      </c>
      <c r="S1305" s="79">
        <v>0</v>
      </c>
      <c r="U1305" s="80">
        <f t="shared" si="663"/>
        <v>0</v>
      </c>
      <c r="W1305" s="81" t="str">
        <f t="shared" si="652"/>
        <v xml:space="preserve"> </v>
      </c>
      <c r="X1305" s="81" t="str">
        <f t="shared" si="653"/>
        <v xml:space="preserve"> </v>
      </c>
      <c r="Y1305" s="81" t="str">
        <f t="shared" si="654"/>
        <v xml:space="preserve"> </v>
      </c>
      <c r="Z1305" s="79"/>
      <c r="AF1305" s="79"/>
      <c r="AJ1305" s="66"/>
      <c r="AK1305" s="65"/>
    </row>
    <row r="1306" spans="1:37" hidden="1">
      <c r="A1306" s="65">
        <f t="shared" si="664"/>
        <v>43</v>
      </c>
      <c r="B1306" s="66" t="s">
        <v>537</v>
      </c>
      <c r="C1306" s="78">
        <f>88+12+1</f>
        <v>101</v>
      </c>
      <c r="D1306" s="79">
        <f t="shared" si="658"/>
        <v>61</v>
      </c>
      <c r="E1306" s="79">
        <v>2</v>
      </c>
      <c r="F1306" s="78">
        <f t="shared" si="659"/>
        <v>63</v>
      </c>
      <c r="G1306" s="79">
        <v>6</v>
      </c>
      <c r="H1306" s="79">
        <v>17</v>
      </c>
      <c r="I1306" s="79">
        <v>8</v>
      </c>
      <c r="J1306" s="79">
        <v>3</v>
      </c>
      <c r="K1306" s="79">
        <v>0</v>
      </c>
      <c r="L1306" s="79">
        <v>0</v>
      </c>
      <c r="M1306" s="79">
        <f t="shared" si="660"/>
        <v>3</v>
      </c>
      <c r="N1306" s="79">
        <v>2</v>
      </c>
      <c r="O1306" s="79">
        <f t="shared" si="661"/>
        <v>99</v>
      </c>
      <c r="P1306" s="79">
        <v>2</v>
      </c>
      <c r="Q1306" s="79">
        <v>0</v>
      </c>
      <c r="R1306" s="78">
        <f t="shared" si="662"/>
        <v>2</v>
      </c>
      <c r="S1306" s="79">
        <v>0</v>
      </c>
      <c r="U1306" s="80">
        <f t="shared" si="663"/>
        <v>0</v>
      </c>
      <c r="W1306" s="81">
        <f t="shared" si="652"/>
        <v>0.98019800000000001</v>
      </c>
      <c r="X1306" s="81">
        <f t="shared" si="653"/>
        <v>0.98019800000000001</v>
      </c>
      <c r="Y1306" s="81">
        <f t="shared" si="654"/>
        <v>0</v>
      </c>
      <c r="Z1306" s="79"/>
      <c r="AF1306" s="79"/>
      <c r="AJ1306" s="66"/>
      <c r="AK1306" s="65"/>
    </row>
    <row r="1307" spans="1:37" hidden="1">
      <c r="A1307" s="65">
        <f t="shared" si="664"/>
        <v>44</v>
      </c>
      <c r="B1307" s="66" t="s">
        <v>39</v>
      </c>
      <c r="C1307" s="79">
        <v>61</v>
      </c>
      <c r="D1307" s="79">
        <f t="shared" si="658"/>
        <v>33</v>
      </c>
      <c r="E1307" s="79">
        <v>1</v>
      </c>
      <c r="F1307" s="78">
        <f t="shared" si="659"/>
        <v>34</v>
      </c>
      <c r="G1307" s="79">
        <v>2</v>
      </c>
      <c r="H1307" s="79">
        <v>13</v>
      </c>
      <c r="I1307" s="79">
        <v>7</v>
      </c>
      <c r="J1307" s="79">
        <v>3</v>
      </c>
      <c r="K1307" s="79">
        <v>0</v>
      </c>
      <c r="L1307" s="79">
        <v>0</v>
      </c>
      <c r="M1307" s="79">
        <f t="shared" si="660"/>
        <v>3</v>
      </c>
      <c r="N1307" s="79">
        <v>0</v>
      </c>
      <c r="O1307" s="79">
        <f t="shared" si="661"/>
        <v>59</v>
      </c>
      <c r="P1307" s="79">
        <v>2</v>
      </c>
      <c r="Q1307" s="79">
        <v>0</v>
      </c>
      <c r="R1307" s="78">
        <f t="shared" si="662"/>
        <v>2</v>
      </c>
      <c r="S1307" s="79">
        <v>0</v>
      </c>
      <c r="U1307" s="80">
        <f t="shared" si="663"/>
        <v>0</v>
      </c>
      <c r="W1307" s="81">
        <f t="shared" si="652"/>
        <v>0.96721310000000005</v>
      </c>
      <c r="X1307" s="81">
        <f t="shared" si="653"/>
        <v>0.96721310000000005</v>
      </c>
      <c r="Y1307" s="81">
        <f t="shared" si="654"/>
        <v>0</v>
      </c>
      <c r="Z1307" s="79"/>
      <c r="AF1307" s="79"/>
      <c r="AJ1307" s="66"/>
      <c r="AK1307" s="65"/>
    </row>
    <row r="1308" spans="1:37" hidden="1">
      <c r="A1308" s="65">
        <f t="shared" si="664"/>
        <v>45</v>
      </c>
      <c r="B1308" s="66" t="s">
        <v>44</v>
      </c>
      <c r="C1308" s="79">
        <f>C1306-C1307-C1309</f>
        <v>36</v>
      </c>
      <c r="D1308" s="79">
        <f>D1306-D1307-D1309</f>
        <v>26</v>
      </c>
      <c r="E1308" s="79">
        <f>E1306-E1307-E1309</f>
        <v>1</v>
      </c>
      <c r="F1308" s="78">
        <f t="shared" si="659"/>
        <v>27</v>
      </c>
      <c r="G1308" s="79">
        <f t="shared" ref="G1308:L1308" si="666">G1306-G1307-G1309</f>
        <v>4</v>
      </c>
      <c r="H1308" s="79">
        <f t="shared" si="666"/>
        <v>3</v>
      </c>
      <c r="I1308" s="79">
        <f t="shared" si="666"/>
        <v>0</v>
      </c>
      <c r="J1308" s="79">
        <f t="shared" si="666"/>
        <v>0</v>
      </c>
      <c r="K1308" s="79">
        <f t="shared" si="666"/>
        <v>0</v>
      </c>
      <c r="L1308" s="79">
        <f t="shared" si="666"/>
        <v>0</v>
      </c>
      <c r="M1308" s="79">
        <f t="shared" si="660"/>
        <v>0</v>
      </c>
      <c r="N1308" s="79">
        <f>N1306-N1307-N1309</f>
        <v>2</v>
      </c>
      <c r="O1308" s="79">
        <f t="shared" si="661"/>
        <v>36</v>
      </c>
      <c r="P1308" s="79">
        <f>P1306-P1307-P1309</f>
        <v>0</v>
      </c>
      <c r="Q1308" s="79">
        <f>Q1306-Q1307-Q1309</f>
        <v>0</v>
      </c>
      <c r="R1308" s="78">
        <f t="shared" si="662"/>
        <v>0</v>
      </c>
      <c r="S1308" s="79">
        <v>0</v>
      </c>
      <c r="U1308" s="80">
        <f t="shared" si="663"/>
        <v>0</v>
      </c>
      <c r="W1308" s="81">
        <f t="shared" si="652"/>
        <v>1</v>
      </c>
      <c r="X1308" s="81">
        <f t="shared" si="653"/>
        <v>1</v>
      </c>
      <c r="Y1308" s="81">
        <f t="shared" si="654"/>
        <v>0</v>
      </c>
      <c r="Z1308" s="79"/>
      <c r="AF1308" s="79"/>
      <c r="AJ1308" s="66"/>
      <c r="AK1308" s="65"/>
    </row>
    <row r="1309" spans="1:37" hidden="1">
      <c r="A1309" s="65">
        <f t="shared" si="664"/>
        <v>46</v>
      </c>
      <c r="B1309" s="66" t="s">
        <v>168</v>
      </c>
      <c r="C1309" s="79">
        <v>4</v>
      </c>
      <c r="D1309" s="79">
        <f t="shared" si="658"/>
        <v>2</v>
      </c>
      <c r="E1309" s="79">
        <v>0</v>
      </c>
      <c r="F1309" s="78">
        <f t="shared" si="659"/>
        <v>2</v>
      </c>
      <c r="G1309" s="79">
        <v>0</v>
      </c>
      <c r="H1309" s="79">
        <v>1</v>
      </c>
      <c r="I1309" s="79">
        <v>1</v>
      </c>
      <c r="J1309" s="79">
        <v>0</v>
      </c>
      <c r="K1309" s="79">
        <v>0</v>
      </c>
      <c r="L1309" s="79">
        <v>0</v>
      </c>
      <c r="M1309" s="79">
        <f t="shared" si="660"/>
        <v>0</v>
      </c>
      <c r="N1309" s="79">
        <v>0</v>
      </c>
      <c r="O1309" s="79">
        <f t="shared" si="661"/>
        <v>4</v>
      </c>
      <c r="P1309" s="79">
        <v>0</v>
      </c>
      <c r="Q1309" s="79">
        <v>0</v>
      </c>
      <c r="R1309" s="78">
        <f t="shared" si="662"/>
        <v>0</v>
      </c>
      <c r="S1309" s="79">
        <v>0</v>
      </c>
      <c r="U1309" s="80">
        <f t="shared" si="663"/>
        <v>0</v>
      </c>
      <c r="W1309" s="81">
        <f t="shared" si="652"/>
        <v>1</v>
      </c>
      <c r="X1309" s="81">
        <f t="shared" si="653"/>
        <v>1</v>
      </c>
      <c r="Y1309" s="81">
        <f t="shared" si="654"/>
        <v>0</v>
      </c>
      <c r="Z1309" s="79"/>
      <c r="AF1309" s="79"/>
      <c r="AJ1309" s="66"/>
      <c r="AK1309" s="65"/>
    </row>
    <row r="1310" spans="1:37" hidden="1">
      <c r="A1310" s="65">
        <f t="shared" si="664"/>
        <v>47</v>
      </c>
      <c r="B1310" s="66" t="s">
        <v>538</v>
      </c>
      <c r="C1310" s="79">
        <f>O1310+R1310+S1310</f>
        <v>348</v>
      </c>
      <c r="D1310" s="79">
        <f>D1304+D1306+D1305</f>
        <v>190</v>
      </c>
      <c r="E1310" s="79">
        <f>E1304+E1306+E1305</f>
        <v>5</v>
      </c>
      <c r="F1310" s="78">
        <f t="shared" si="659"/>
        <v>195</v>
      </c>
      <c r="G1310" s="79">
        <f t="shared" ref="G1310:L1310" si="667">G1304+G1306+G1305</f>
        <v>13</v>
      </c>
      <c r="H1310" s="79">
        <f t="shared" si="667"/>
        <v>70</v>
      </c>
      <c r="I1310" s="79">
        <f t="shared" si="667"/>
        <v>39</v>
      </c>
      <c r="J1310" s="79">
        <f t="shared" si="667"/>
        <v>16</v>
      </c>
      <c r="K1310" s="79">
        <f t="shared" si="667"/>
        <v>1</v>
      </c>
      <c r="L1310" s="79">
        <f t="shared" si="667"/>
        <v>1</v>
      </c>
      <c r="M1310" s="79">
        <f t="shared" si="660"/>
        <v>18</v>
      </c>
      <c r="N1310" s="79">
        <f>N1304+N1306+N1305</f>
        <v>3</v>
      </c>
      <c r="O1310" s="79">
        <f t="shared" si="661"/>
        <v>338</v>
      </c>
      <c r="P1310" s="79">
        <f>P1304+P1306+P1305</f>
        <v>9</v>
      </c>
      <c r="Q1310" s="79">
        <f>Q1304+Q1306+Q1305</f>
        <v>1</v>
      </c>
      <c r="R1310" s="78">
        <f t="shared" si="662"/>
        <v>10</v>
      </c>
      <c r="S1310" s="79">
        <f>S1304+S1306+S1305</f>
        <v>0</v>
      </c>
      <c r="U1310" s="80">
        <f t="shared" si="663"/>
        <v>0</v>
      </c>
      <c r="W1310" s="81">
        <f t="shared" si="652"/>
        <v>0.97126440000000003</v>
      </c>
      <c r="X1310" s="81">
        <f t="shared" si="653"/>
        <v>0.97126440000000003</v>
      </c>
      <c r="Y1310" s="81">
        <f t="shared" si="654"/>
        <v>0</v>
      </c>
      <c r="Z1310" s="79"/>
      <c r="AF1310" s="79"/>
      <c r="AJ1310" s="66"/>
      <c r="AK1310" s="70"/>
    </row>
    <row r="1311" spans="1:37" hidden="1">
      <c r="W1311" s="81" t="str">
        <f t="shared" si="652"/>
        <v xml:space="preserve"> </v>
      </c>
      <c r="X1311" s="81" t="str">
        <f t="shared" si="653"/>
        <v xml:space="preserve"> </v>
      </c>
      <c r="Y1311" s="81" t="str">
        <f t="shared" si="654"/>
        <v xml:space="preserve"> </v>
      </c>
      <c r="AJ1311" s="66"/>
      <c r="AK1311" s="70"/>
    </row>
    <row r="1312" spans="1:37" hidden="1">
      <c r="A1312" s="65">
        <f>A1310+1</f>
        <v>48</v>
      </c>
      <c r="B1312" s="66" t="s">
        <v>539</v>
      </c>
      <c r="C1312" s="79">
        <f>-C1305</f>
        <v>0</v>
      </c>
      <c r="D1312" s="79">
        <f>-D1305</f>
        <v>0</v>
      </c>
      <c r="E1312" s="79">
        <f>-E1305</f>
        <v>0</v>
      </c>
      <c r="F1312" s="78">
        <f>D1312+E1312</f>
        <v>0</v>
      </c>
      <c r="G1312" s="79">
        <f t="shared" ref="G1312:L1312" si="668">-G1305</f>
        <v>0</v>
      </c>
      <c r="H1312" s="79">
        <f t="shared" si="668"/>
        <v>0</v>
      </c>
      <c r="I1312" s="79">
        <f t="shared" si="668"/>
        <v>0</v>
      </c>
      <c r="J1312" s="79">
        <f t="shared" si="668"/>
        <v>0</v>
      </c>
      <c r="K1312" s="79">
        <f t="shared" si="668"/>
        <v>0</v>
      </c>
      <c r="L1312" s="79">
        <f t="shared" si="668"/>
        <v>0</v>
      </c>
      <c r="M1312" s="79">
        <f>SUM(J1312:L1312)</f>
        <v>0</v>
      </c>
      <c r="N1312" s="79">
        <f>-N1305</f>
        <v>0</v>
      </c>
      <c r="O1312" s="79">
        <f>SUM(F1312:I1312)+SUM(M1312:N1312)</f>
        <v>0</v>
      </c>
      <c r="P1312" s="79">
        <f>-P1305</f>
        <v>0</v>
      </c>
      <c r="Q1312" s="79">
        <f>-Q1305</f>
        <v>0</v>
      </c>
      <c r="R1312" s="78">
        <f>P1312+Q1312</f>
        <v>0</v>
      </c>
      <c r="S1312" s="79">
        <f>-S1305</f>
        <v>0</v>
      </c>
      <c r="U1312" s="80">
        <f t="shared" si="663"/>
        <v>0</v>
      </c>
      <c r="W1312" s="81" t="str">
        <f t="shared" si="652"/>
        <v xml:space="preserve"> </v>
      </c>
      <c r="X1312" s="81" t="str">
        <f t="shared" si="653"/>
        <v xml:space="preserve"> </v>
      </c>
      <c r="Y1312" s="81" t="str">
        <f t="shared" si="654"/>
        <v xml:space="preserve"> </v>
      </c>
      <c r="Z1312" s="79"/>
      <c r="AF1312" s="79"/>
      <c r="AJ1312" s="66"/>
      <c r="AK1312" s="70"/>
    </row>
    <row r="1313" spans="1:37" hidden="1">
      <c r="C1313" s="79"/>
      <c r="D1313" s="79"/>
      <c r="E1313" s="79"/>
      <c r="F1313" s="79"/>
      <c r="G1313" s="79"/>
      <c r="H1313" s="79"/>
      <c r="I1313" s="79"/>
      <c r="J1313" s="79"/>
      <c r="K1313" s="79"/>
      <c r="L1313" s="79"/>
      <c r="M1313" s="79"/>
      <c r="N1313" s="79"/>
      <c r="O1313" s="79"/>
      <c r="P1313" s="79"/>
      <c r="Q1313" s="79"/>
      <c r="R1313" s="79"/>
      <c r="S1313" s="79"/>
      <c r="U1313" s="80"/>
      <c r="W1313" s="81" t="str">
        <f t="shared" si="652"/>
        <v xml:space="preserve"> </v>
      </c>
      <c r="X1313" s="81" t="str">
        <f t="shared" si="653"/>
        <v xml:space="preserve"> </v>
      </c>
      <c r="Y1313" s="81" t="str">
        <f t="shared" si="654"/>
        <v xml:space="preserve"> </v>
      </c>
      <c r="Z1313" s="79"/>
      <c r="AF1313" s="79"/>
      <c r="AJ1313" s="66"/>
      <c r="AK1313" s="70"/>
    </row>
    <row r="1314" spans="1:37" hidden="1">
      <c r="A1314" s="65">
        <f>A1312+1</f>
        <v>49</v>
      </c>
      <c r="B1314" s="66" t="s">
        <v>540</v>
      </c>
      <c r="C1314" s="79">
        <f>O1314+R1314+S1314</f>
        <v>31132</v>
      </c>
      <c r="D1314" s="79">
        <f>D1250+D1277+D1299+D1310+D1312</f>
        <v>16466</v>
      </c>
      <c r="E1314" s="79">
        <f>E1250+E1277+E1299+E1310+E1312</f>
        <v>450</v>
      </c>
      <c r="F1314" s="78">
        <f>D1314+E1314</f>
        <v>16916</v>
      </c>
      <c r="G1314" s="79">
        <f t="shared" ref="G1314:L1314" si="669">G1250+G1277+G1299+G1310+G1312</f>
        <v>1084</v>
      </c>
      <c r="H1314" s="79">
        <f t="shared" si="669"/>
        <v>5675</v>
      </c>
      <c r="I1314" s="79">
        <f t="shared" si="669"/>
        <v>3025</v>
      </c>
      <c r="J1314" s="79">
        <f t="shared" si="669"/>
        <v>1288</v>
      </c>
      <c r="K1314" s="79">
        <f t="shared" si="669"/>
        <v>103</v>
      </c>
      <c r="L1314" s="79">
        <f t="shared" si="669"/>
        <v>54</v>
      </c>
      <c r="M1314" s="79">
        <f>SUM(J1314:L1314)</f>
        <v>1445</v>
      </c>
      <c r="N1314" s="79">
        <f>N1250+N1277+N1299+N1310+N1312</f>
        <v>618</v>
      </c>
      <c r="O1314" s="79">
        <f>SUM(F1314:I1314)+SUM(M1314:N1314)</f>
        <v>28763</v>
      </c>
      <c r="P1314" s="79">
        <f>P1250+P1277+P1299+P1310+P1312</f>
        <v>630</v>
      </c>
      <c r="Q1314" s="79">
        <f>Q1250+Q1277+Q1299+Q1310+Q1312</f>
        <v>72</v>
      </c>
      <c r="R1314" s="78">
        <f>P1314+Q1314</f>
        <v>702</v>
      </c>
      <c r="S1314" s="79">
        <f>S1250+S1277+S1299+S1310+S1312</f>
        <v>1667</v>
      </c>
      <c r="U1314" s="80">
        <f t="shared" si="663"/>
        <v>0</v>
      </c>
      <c r="W1314" s="81">
        <f t="shared" si="652"/>
        <v>0.97617509999999996</v>
      </c>
      <c r="X1314" s="81">
        <f t="shared" si="653"/>
        <v>0.92390470000000002</v>
      </c>
      <c r="Y1314" s="81">
        <f t="shared" si="654"/>
        <v>5.3546200000000002E-2</v>
      </c>
      <c r="Z1314" s="79"/>
      <c r="AF1314" s="79"/>
      <c r="AJ1314" s="66"/>
      <c r="AK1314" s="70"/>
    </row>
    <row r="1315" spans="1:37" hidden="1">
      <c r="A1315" s="65">
        <f>A1314+1</f>
        <v>50</v>
      </c>
      <c r="B1315" s="66" t="s">
        <v>229</v>
      </c>
      <c r="C1315" s="79">
        <f>O1315+R1315+S1315</f>
        <v>24728</v>
      </c>
      <c r="D1315" s="79">
        <f>D1251+D1278+D1307+D1304</f>
        <v>12300</v>
      </c>
      <c r="E1315" s="79">
        <f>E1251+E1278+E1307+E1304</f>
        <v>327</v>
      </c>
      <c r="F1315" s="78">
        <f>D1315+E1315</f>
        <v>12627</v>
      </c>
      <c r="G1315" s="79">
        <f t="shared" ref="G1315:L1315" si="670">G1251+G1278+G1307+G1304</f>
        <v>622</v>
      </c>
      <c r="H1315" s="79">
        <f t="shared" si="670"/>
        <v>4973</v>
      </c>
      <c r="I1315" s="79">
        <f t="shared" si="670"/>
        <v>2709</v>
      </c>
      <c r="J1315" s="79">
        <f t="shared" si="670"/>
        <v>1156</v>
      </c>
      <c r="K1315" s="79">
        <f t="shared" si="670"/>
        <v>96</v>
      </c>
      <c r="L1315" s="79">
        <f t="shared" si="670"/>
        <v>48</v>
      </c>
      <c r="M1315" s="79">
        <f>SUM(J1315:L1315)</f>
        <v>1300</v>
      </c>
      <c r="N1315" s="79">
        <f>N1251+N1278+N1307+N1304</f>
        <v>128</v>
      </c>
      <c r="O1315" s="79">
        <f>SUM(F1315:I1315)+SUM(M1315:N1315)</f>
        <v>22359</v>
      </c>
      <c r="P1315" s="79">
        <f>P1251+P1278+P1307+P1304</f>
        <v>630</v>
      </c>
      <c r="Q1315" s="79">
        <f>Q1251+Q1278+Q1307+Q1304</f>
        <v>72</v>
      </c>
      <c r="R1315" s="78">
        <f>P1315+Q1315</f>
        <v>702</v>
      </c>
      <c r="S1315" s="79">
        <f>S1251+S1278+S1307+S1304</f>
        <v>1667</v>
      </c>
      <c r="U1315" s="80">
        <f t="shared" si="663"/>
        <v>0</v>
      </c>
      <c r="W1315" s="81">
        <f t="shared" si="652"/>
        <v>0.96955899999999995</v>
      </c>
      <c r="X1315" s="81">
        <f t="shared" si="653"/>
        <v>0.90419769999999999</v>
      </c>
      <c r="Y1315" s="81">
        <f t="shared" si="654"/>
        <v>6.7413500000000001E-2</v>
      </c>
      <c r="Z1315" s="79"/>
      <c r="AF1315" s="79"/>
      <c r="AJ1315" s="66"/>
      <c r="AK1315" s="70"/>
    </row>
    <row r="1316" spans="1:37" hidden="1">
      <c r="A1316" s="65">
        <f>A1315+1</f>
        <v>51</v>
      </c>
      <c r="B1316" s="66" t="s">
        <v>253</v>
      </c>
      <c r="C1316" s="79">
        <f>O1316+R1316+S1316</f>
        <v>4718</v>
      </c>
      <c r="D1316" s="79">
        <f>D1279+D1308+D1252</f>
        <v>3346</v>
      </c>
      <c r="E1316" s="79">
        <f>E1279+E1308+E1252</f>
        <v>93</v>
      </c>
      <c r="F1316" s="78">
        <f>D1316+E1316</f>
        <v>3439</v>
      </c>
      <c r="G1316" s="79">
        <f t="shared" ref="G1316:L1316" si="671">G1279+G1308+G1252</f>
        <v>411</v>
      </c>
      <c r="H1316" s="79">
        <f t="shared" si="671"/>
        <v>322</v>
      </c>
      <c r="I1316" s="79">
        <f t="shared" si="671"/>
        <v>75</v>
      </c>
      <c r="J1316" s="79">
        <f t="shared" si="671"/>
        <v>9</v>
      </c>
      <c r="K1316" s="79">
        <f t="shared" si="671"/>
        <v>1</v>
      </c>
      <c r="L1316" s="79">
        <f t="shared" si="671"/>
        <v>0</v>
      </c>
      <c r="M1316" s="79">
        <f>SUM(J1316:L1316)</f>
        <v>10</v>
      </c>
      <c r="N1316" s="79">
        <f>N1279+N1308+N1252</f>
        <v>461</v>
      </c>
      <c r="O1316" s="79">
        <f>SUM(F1316:I1316)+SUM(M1316:N1316)</f>
        <v>4718</v>
      </c>
      <c r="P1316" s="79">
        <f>P1279+P1308+P1252</f>
        <v>0</v>
      </c>
      <c r="Q1316" s="79">
        <f>Q1279+Q1308+Q1252</f>
        <v>0</v>
      </c>
      <c r="R1316" s="78">
        <f>P1316+Q1316</f>
        <v>0</v>
      </c>
      <c r="S1316" s="79">
        <f>S1279+S1308+S1252</f>
        <v>0</v>
      </c>
      <c r="U1316" s="80">
        <f t="shared" si="663"/>
        <v>0</v>
      </c>
      <c r="W1316" s="81">
        <f t="shared" si="652"/>
        <v>1</v>
      </c>
      <c r="X1316" s="81">
        <f t="shared" si="653"/>
        <v>1</v>
      </c>
      <c r="Y1316" s="81">
        <f t="shared" si="654"/>
        <v>0</v>
      </c>
      <c r="Z1316" s="79"/>
      <c r="AF1316" s="79"/>
      <c r="AJ1316" s="66"/>
      <c r="AK1316" s="65"/>
    </row>
    <row r="1317" spans="1:37" hidden="1">
      <c r="A1317" s="65">
        <f>A1316+1</f>
        <v>52</v>
      </c>
      <c r="B1317" s="66" t="s">
        <v>230</v>
      </c>
      <c r="C1317" s="79">
        <f>O1317+R1317+S1317</f>
        <v>1303</v>
      </c>
      <c r="D1317" s="79">
        <f>D1253+D1280+D1309</f>
        <v>602</v>
      </c>
      <c r="E1317" s="79">
        <f>E1253+E1280+E1309</f>
        <v>23</v>
      </c>
      <c r="F1317" s="78">
        <f>D1317+E1317</f>
        <v>625</v>
      </c>
      <c r="G1317" s="79">
        <f t="shared" ref="G1317:L1317" si="672">G1253+G1280+G1309</f>
        <v>34</v>
      </c>
      <c r="H1317" s="79">
        <f t="shared" si="672"/>
        <v>303</v>
      </c>
      <c r="I1317" s="79">
        <f t="shared" si="672"/>
        <v>204</v>
      </c>
      <c r="J1317" s="79">
        <f t="shared" si="672"/>
        <v>109</v>
      </c>
      <c r="K1317" s="79">
        <f t="shared" si="672"/>
        <v>5</v>
      </c>
      <c r="L1317" s="79">
        <f t="shared" si="672"/>
        <v>5</v>
      </c>
      <c r="M1317" s="79">
        <f>SUM(J1317:L1317)</f>
        <v>119</v>
      </c>
      <c r="N1317" s="79">
        <f>N1253+N1280+N1309</f>
        <v>18</v>
      </c>
      <c r="O1317" s="79">
        <f>SUM(F1317:I1317)+SUM(M1317:N1317)</f>
        <v>1303</v>
      </c>
      <c r="P1317" s="79">
        <f>P1253+P1280+P1309</f>
        <v>0</v>
      </c>
      <c r="Q1317" s="79">
        <f>Q1253+Q1280+Q1309</f>
        <v>0</v>
      </c>
      <c r="R1317" s="78">
        <f>P1317+Q1317</f>
        <v>0</v>
      </c>
      <c r="S1317" s="79">
        <f>S1253+S1280+S1309</f>
        <v>0</v>
      </c>
      <c r="U1317" s="80">
        <f t="shared" si="663"/>
        <v>0</v>
      </c>
      <c r="W1317" s="81">
        <f t="shared" si="652"/>
        <v>1</v>
      </c>
      <c r="X1317" s="81">
        <f t="shared" si="653"/>
        <v>1</v>
      </c>
      <c r="Y1317" s="81">
        <f t="shared" si="654"/>
        <v>0</v>
      </c>
      <c r="Z1317" s="79"/>
      <c r="AF1317" s="79"/>
      <c r="AJ1317" s="66"/>
      <c r="AK1317" s="65"/>
    </row>
    <row r="1318" spans="1:37" hidden="1">
      <c r="A1318" s="65">
        <f>A1317+1</f>
        <v>53</v>
      </c>
      <c r="B1318" s="66" t="s">
        <v>271</v>
      </c>
      <c r="C1318" s="79">
        <f>O1318+R1318+S1318</f>
        <v>383</v>
      </c>
      <c r="D1318" s="79">
        <f>D1299</f>
        <v>218</v>
      </c>
      <c r="E1318" s="79">
        <f>E1299</f>
        <v>7</v>
      </c>
      <c r="F1318" s="78">
        <f>D1318+E1318</f>
        <v>225</v>
      </c>
      <c r="G1318" s="79">
        <f t="shared" ref="G1318:L1318" si="673">G1299</f>
        <v>17</v>
      </c>
      <c r="H1318" s="79">
        <f t="shared" si="673"/>
        <v>77</v>
      </c>
      <c r="I1318" s="79">
        <f t="shared" si="673"/>
        <v>37</v>
      </c>
      <c r="J1318" s="79">
        <f t="shared" si="673"/>
        <v>14</v>
      </c>
      <c r="K1318" s="79">
        <f t="shared" si="673"/>
        <v>1</v>
      </c>
      <c r="L1318" s="79">
        <f t="shared" si="673"/>
        <v>1</v>
      </c>
      <c r="M1318" s="79">
        <f>SUM(J1318:L1318)</f>
        <v>16</v>
      </c>
      <c r="N1318" s="79">
        <f>N1299</f>
        <v>11</v>
      </c>
      <c r="O1318" s="79">
        <f>SUM(F1318:I1318)+SUM(M1318:N1318)</f>
        <v>383</v>
      </c>
      <c r="P1318" s="79">
        <f>P1299</f>
        <v>0</v>
      </c>
      <c r="Q1318" s="79">
        <f>Q1299</f>
        <v>0</v>
      </c>
      <c r="R1318" s="78">
        <f>P1318+Q1318</f>
        <v>0</v>
      </c>
      <c r="S1318" s="79">
        <f>S1299</f>
        <v>0</v>
      </c>
      <c r="U1318" s="80">
        <f t="shared" si="663"/>
        <v>0</v>
      </c>
      <c r="W1318" s="81">
        <f t="shared" si="652"/>
        <v>1</v>
      </c>
      <c r="X1318" s="81">
        <f t="shared" si="653"/>
        <v>1</v>
      </c>
      <c r="Y1318" s="81">
        <f t="shared" si="654"/>
        <v>0</v>
      </c>
      <c r="Z1318" s="79"/>
      <c r="AF1318" s="79"/>
      <c r="AJ1318" s="66"/>
      <c r="AK1318" s="70"/>
    </row>
    <row r="1319" spans="1:37" hidden="1">
      <c r="B1319" s="72"/>
      <c r="C1319" s="79"/>
      <c r="H1319" s="65" t="s">
        <v>80</v>
      </c>
      <c r="I1319" s="79"/>
      <c r="J1319" s="79"/>
      <c r="K1319" s="79"/>
      <c r="L1319" s="79"/>
      <c r="M1319" s="79"/>
      <c r="Q1319" s="65" t="s">
        <v>80</v>
      </c>
      <c r="R1319" s="79"/>
      <c r="S1319" s="65"/>
      <c r="W1319" s="81"/>
      <c r="X1319" s="81"/>
      <c r="Y1319" s="81"/>
      <c r="Z1319" s="65"/>
      <c r="AJ1319" s="66"/>
      <c r="AK1319" s="65"/>
    </row>
    <row r="1320" spans="1:37" hidden="1">
      <c r="C1320" s="79"/>
      <c r="H1320" s="70" t="str">
        <f>$H$24</f>
        <v>12 MONTHS ENDING DECEMBER 31, 2012</v>
      </c>
      <c r="I1320" s="79"/>
      <c r="J1320" s="79"/>
      <c r="K1320" s="79"/>
      <c r="L1320" s="79"/>
      <c r="M1320" s="79"/>
      <c r="Q1320" s="70" t="str">
        <f>$H$24</f>
        <v>12 MONTHS ENDING DECEMBER 31, 2012</v>
      </c>
      <c r="R1320" s="79"/>
      <c r="S1320" s="79"/>
      <c r="U1320" s="80"/>
      <c r="W1320" s="81"/>
      <c r="X1320" s="81"/>
      <c r="Y1320" s="81"/>
      <c r="Z1320" s="70"/>
      <c r="AJ1320" s="66"/>
      <c r="AK1320" s="65"/>
    </row>
    <row r="1321" spans="1:37" hidden="1">
      <c r="C1321" s="79"/>
      <c r="H1321" s="70" t="str">
        <f>$H$25</f>
        <v>12/13 DEMAND ALLOCATION WITH MDS METHODOLOGY</v>
      </c>
      <c r="Q1321" s="70" t="str">
        <f>$H$25</f>
        <v>12/13 DEMAND ALLOCATION WITH MDS METHODOLOGY</v>
      </c>
      <c r="S1321" s="79"/>
      <c r="X1321" s="81"/>
      <c r="Y1321" s="81"/>
      <c r="Z1321" s="70"/>
      <c r="AF1321" s="79"/>
      <c r="AJ1321" s="66"/>
      <c r="AK1321" s="65"/>
    </row>
    <row r="1322" spans="1:37" hidden="1">
      <c r="C1322" s="79"/>
      <c r="H1322" s="87" t="s">
        <v>84</v>
      </c>
      <c r="J1322" s="79"/>
      <c r="K1322" s="79"/>
      <c r="L1322" s="79"/>
      <c r="M1322" s="79"/>
      <c r="Q1322" s="87" t="s">
        <v>84</v>
      </c>
      <c r="S1322" s="79"/>
      <c r="U1322" s="80"/>
      <c r="X1322" s="81"/>
      <c r="Y1322" s="81"/>
      <c r="Z1322" s="87"/>
      <c r="AF1322" s="79"/>
      <c r="AJ1322" s="66"/>
      <c r="AK1322" s="65"/>
    </row>
    <row r="1323" spans="1:37" hidden="1">
      <c r="C1323" s="79"/>
      <c r="H1323" s="87" t="s">
        <v>114</v>
      </c>
      <c r="J1323" s="79"/>
      <c r="K1323" s="79"/>
      <c r="L1323" s="79"/>
      <c r="M1323" s="79"/>
      <c r="Q1323" s="87" t="s">
        <v>114</v>
      </c>
      <c r="S1323" s="79"/>
      <c r="U1323" s="80"/>
      <c r="X1323" s="81"/>
      <c r="Y1323" s="81"/>
      <c r="Z1323" s="87"/>
      <c r="AF1323" s="79"/>
      <c r="AJ1323" s="66"/>
      <c r="AK1323" s="65"/>
    </row>
    <row r="1324" spans="1:37" hidden="1">
      <c r="C1324" s="65" t="s">
        <v>59</v>
      </c>
      <c r="K1324" s="65"/>
      <c r="L1324" s="65"/>
      <c r="M1324" s="65"/>
      <c r="O1324" s="65" t="s">
        <v>59</v>
      </c>
      <c r="P1324" s="65"/>
      <c r="Q1324" s="65"/>
      <c r="R1324" s="65"/>
      <c r="S1324" s="65" t="s">
        <v>115</v>
      </c>
      <c r="W1324" s="76" t="s">
        <v>116</v>
      </c>
      <c r="X1324" s="76" t="s">
        <v>116</v>
      </c>
      <c r="Y1324" s="76" t="s">
        <v>117</v>
      </c>
      <c r="AF1324" s="65"/>
      <c r="AJ1324" s="66"/>
      <c r="AK1324" s="65"/>
    </row>
    <row r="1325" spans="1:37" hidden="1">
      <c r="A1325" s="65" t="s">
        <v>118</v>
      </c>
      <c r="C1325" s="65" t="s">
        <v>58</v>
      </c>
      <c r="D1325" s="70" t="s">
        <v>119</v>
      </c>
      <c r="E1325" s="70" t="s">
        <v>119</v>
      </c>
      <c r="F1325" s="70" t="s">
        <v>119</v>
      </c>
      <c r="G1325" s="70" t="s">
        <v>119</v>
      </c>
      <c r="H1325" s="70" t="s">
        <v>119</v>
      </c>
      <c r="I1325" s="70" t="s">
        <v>119</v>
      </c>
      <c r="J1325" s="70" t="s">
        <v>119</v>
      </c>
      <c r="K1325" s="70" t="s">
        <v>119</v>
      </c>
      <c r="L1325" s="70" t="s">
        <v>119</v>
      </c>
      <c r="M1325" s="70" t="s">
        <v>119</v>
      </c>
      <c r="N1325" s="70" t="s">
        <v>119</v>
      </c>
      <c r="O1325" s="65" t="s">
        <v>116</v>
      </c>
      <c r="P1325" s="65"/>
      <c r="Q1325" s="70" t="s">
        <v>120</v>
      </c>
      <c r="R1325" s="65"/>
      <c r="S1325" s="65" t="s">
        <v>121</v>
      </c>
      <c r="W1325" s="76" t="s">
        <v>122</v>
      </c>
      <c r="X1325" s="76" t="s">
        <v>123</v>
      </c>
      <c r="Y1325" s="76" t="s">
        <v>124</v>
      </c>
      <c r="Z1325" s="65"/>
      <c r="AF1325" s="70"/>
      <c r="AJ1325" s="66"/>
      <c r="AK1325" s="65"/>
    </row>
    <row r="1326" spans="1:37" hidden="1">
      <c r="A1326" s="65" t="s">
        <v>125</v>
      </c>
      <c r="B1326" s="65" t="s">
        <v>126</v>
      </c>
      <c r="C1326" s="65" t="s">
        <v>57</v>
      </c>
      <c r="D1326" s="70" t="s">
        <v>127</v>
      </c>
      <c r="E1326" s="70" t="s">
        <v>128</v>
      </c>
      <c r="F1326" s="70" t="s">
        <v>129</v>
      </c>
      <c r="G1326" s="70" t="s">
        <v>130</v>
      </c>
      <c r="H1326" s="70" t="s">
        <v>131</v>
      </c>
      <c r="I1326" s="65" t="s">
        <v>132</v>
      </c>
      <c r="J1326" s="70" t="s">
        <v>133</v>
      </c>
      <c r="K1326" s="70" t="s">
        <v>134</v>
      </c>
      <c r="L1326" s="70" t="s">
        <v>135</v>
      </c>
      <c r="M1326" s="70" t="s">
        <v>136</v>
      </c>
      <c r="N1326" s="70" t="s">
        <v>137</v>
      </c>
      <c r="O1326" s="65" t="s">
        <v>138</v>
      </c>
      <c r="P1326" s="70" t="s">
        <v>139</v>
      </c>
      <c r="Q1326" s="70" t="s">
        <v>140</v>
      </c>
      <c r="R1326" s="65" t="s">
        <v>122</v>
      </c>
      <c r="S1326" s="65" t="s">
        <v>141</v>
      </c>
      <c r="U1326" s="65" t="s">
        <v>162</v>
      </c>
      <c r="W1326" s="76" t="s">
        <v>142</v>
      </c>
      <c r="X1326" s="76" t="s">
        <v>142</v>
      </c>
      <c r="Y1326" s="76" t="s">
        <v>142</v>
      </c>
      <c r="Z1326" s="65"/>
      <c r="AF1326" s="70"/>
      <c r="AJ1326" s="66"/>
      <c r="AK1326" s="65"/>
    </row>
    <row r="1327" spans="1:37" hidden="1">
      <c r="A1327" s="65" t="s">
        <v>143</v>
      </c>
      <c r="B1327" s="65" t="s">
        <v>144</v>
      </c>
      <c r="C1327" s="65" t="s">
        <v>145</v>
      </c>
      <c r="D1327" s="70" t="s">
        <v>146</v>
      </c>
      <c r="E1327" s="70" t="s">
        <v>147</v>
      </c>
      <c r="F1327" s="70" t="s">
        <v>148</v>
      </c>
      <c r="G1327" s="65" t="s">
        <v>149</v>
      </c>
      <c r="H1327" s="65" t="s">
        <v>150</v>
      </c>
      <c r="I1327" s="65" t="s">
        <v>151</v>
      </c>
      <c r="J1327" s="70" t="s">
        <v>152</v>
      </c>
      <c r="K1327" s="70" t="s">
        <v>153</v>
      </c>
      <c r="L1327" s="70" t="s">
        <v>154</v>
      </c>
      <c r="M1327" s="70" t="s">
        <v>155</v>
      </c>
      <c r="N1327" s="70" t="s">
        <v>156</v>
      </c>
      <c r="O1327" s="70" t="s">
        <v>157</v>
      </c>
      <c r="P1327" s="70" t="s">
        <v>158</v>
      </c>
      <c r="Q1327" s="70" t="s">
        <v>159</v>
      </c>
      <c r="R1327" s="70" t="s">
        <v>160</v>
      </c>
      <c r="S1327" s="70" t="s">
        <v>161</v>
      </c>
      <c r="W1327" s="77" t="s">
        <v>163</v>
      </c>
      <c r="X1327" s="77" t="s">
        <v>164</v>
      </c>
      <c r="Y1327" s="76" t="s">
        <v>165</v>
      </c>
      <c r="Z1327" s="70"/>
      <c r="AF1327" s="76"/>
      <c r="AJ1327" s="66"/>
      <c r="AK1327" s="70"/>
    </row>
    <row r="1328" spans="1:37" hidden="1">
      <c r="C1328" s="79"/>
      <c r="D1328" s="79"/>
      <c r="E1328" s="79"/>
      <c r="F1328" s="79"/>
      <c r="G1328" s="79"/>
      <c r="H1328" s="79"/>
      <c r="I1328" s="79"/>
      <c r="J1328" s="79"/>
      <c r="K1328" s="79"/>
      <c r="L1328" s="79"/>
      <c r="M1328" s="79"/>
      <c r="N1328" s="79"/>
      <c r="O1328" s="79"/>
      <c r="P1328" s="79"/>
      <c r="Q1328" s="79"/>
      <c r="R1328" s="79"/>
      <c r="S1328" s="79"/>
      <c r="U1328" s="80"/>
      <c r="W1328" s="81" t="str">
        <f>IF((P1328+Q1328)=0," ",ROUND((P1328/(P1328+Q1328)),74))</f>
        <v xml:space="preserve"> </v>
      </c>
      <c r="X1328" s="81" t="str">
        <f>IF((C1328)=0," ",ROUND((P1328/(C1328)),74))</f>
        <v xml:space="preserve"> </v>
      </c>
      <c r="Y1328" s="81" t="str">
        <f>IF((C1328)=0," ",ROUND((R1328/(C1328)),7))</f>
        <v xml:space="preserve"> </v>
      </c>
      <c r="Z1328" s="79"/>
      <c r="AF1328" s="79"/>
      <c r="AJ1328" s="66"/>
      <c r="AK1328" s="65"/>
    </row>
    <row r="1329" spans="1:37" hidden="1">
      <c r="B1329" s="65" t="s">
        <v>541</v>
      </c>
      <c r="C1329" s="79"/>
      <c r="D1329" s="79"/>
      <c r="E1329" s="79"/>
      <c r="F1329" s="79"/>
      <c r="G1329" s="79"/>
      <c r="H1329" s="79"/>
      <c r="I1329" s="79"/>
      <c r="J1329" s="79"/>
      <c r="K1329" s="79"/>
      <c r="L1329" s="79"/>
      <c r="M1329" s="79"/>
      <c r="N1329" s="79"/>
      <c r="O1329" s="79"/>
      <c r="P1329" s="79"/>
      <c r="Q1329" s="79"/>
      <c r="R1329" s="79"/>
      <c r="S1329" s="79"/>
      <c r="U1329" s="80"/>
      <c r="W1329" s="81" t="str">
        <f>IF((P1329+Q1329)=0," ",ROUND((P1329/(P1329+Q1329)),74))</f>
        <v xml:space="preserve"> </v>
      </c>
      <c r="X1329" s="81" t="str">
        <f>IF((C1329)=0," ",ROUND((P1329/(C1329)),74))</f>
        <v xml:space="preserve"> </v>
      </c>
      <c r="Y1329" s="81" t="str">
        <f>IF((C1329)=0," ",ROUND((R1329/(C1329)),7))</f>
        <v xml:space="preserve"> </v>
      </c>
      <c r="Z1329" s="79"/>
      <c r="AF1329" s="79"/>
      <c r="AJ1329" s="66"/>
      <c r="AK1329" s="65"/>
    </row>
    <row r="1330" spans="1:37" hidden="1">
      <c r="B1330" s="83" t="s">
        <v>170</v>
      </c>
      <c r="C1330" s="79"/>
      <c r="D1330" s="79"/>
      <c r="E1330" s="79"/>
      <c r="F1330" s="79"/>
      <c r="G1330" s="79"/>
      <c r="H1330" s="79"/>
      <c r="I1330" s="79"/>
      <c r="J1330" s="79"/>
      <c r="K1330" s="79"/>
      <c r="L1330" s="79"/>
      <c r="M1330" s="79"/>
      <c r="N1330" s="79"/>
      <c r="O1330" s="79"/>
      <c r="P1330" s="79"/>
      <c r="Q1330" s="79"/>
      <c r="R1330" s="79"/>
      <c r="S1330" s="79"/>
      <c r="U1330" s="80"/>
      <c r="W1330" s="81" t="str">
        <f>IF((P1330+Q1330)=0," ",ROUND((P1330/(P1330+Q1330)),74))</f>
        <v xml:space="preserve"> </v>
      </c>
      <c r="X1330" s="81" t="str">
        <f>IF((C1330)=0," ",ROUND((P1330/(C1330)),74))</f>
        <v xml:space="preserve"> </v>
      </c>
      <c r="Y1330" s="81" t="str">
        <f>IF((C1330)=0," ",ROUND((R1330/(C1330)),7))</f>
        <v xml:space="preserve"> </v>
      </c>
      <c r="Z1330" s="79"/>
      <c r="AF1330" s="79"/>
      <c r="AJ1330" s="66"/>
      <c r="AK1330" s="65"/>
    </row>
    <row r="1331" spans="1:37" hidden="1">
      <c r="A1331" s="65">
        <f>A1329+1</f>
        <v>1</v>
      </c>
      <c r="B1331" s="66" t="s">
        <v>542</v>
      </c>
      <c r="C1331" s="79">
        <f>C207</f>
        <v>3035530</v>
      </c>
      <c r="D1331" s="79">
        <f>D207</f>
        <v>1500815.6431</v>
      </c>
      <c r="E1331" s="79">
        <f>E207</f>
        <v>41892</v>
      </c>
      <c r="F1331" s="79">
        <f>D1331+E1331</f>
        <v>1542707.6431</v>
      </c>
      <c r="G1331" s="79">
        <f t="shared" ref="G1331:L1331" si="674">G207</f>
        <v>93230</v>
      </c>
      <c r="H1331" s="79">
        <f t="shared" si="674"/>
        <v>509239</v>
      </c>
      <c r="I1331" s="79">
        <f t="shared" si="674"/>
        <v>257574</v>
      </c>
      <c r="J1331" s="79">
        <f t="shared" si="674"/>
        <v>111102</v>
      </c>
      <c r="K1331" s="79">
        <f t="shared" si="674"/>
        <v>9681.0059500000007</v>
      </c>
      <c r="L1331" s="79">
        <f t="shared" si="674"/>
        <v>4501.0059499999998</v>
      </c>
      <c r="M1331" s="79">
        <f>SUM(J1331:L1331)</f>
        <v>125284.01190000001</v>
      </c>
      <c r="N1331" s="79">
        <f>N207</f>
        <v>84038</v>
      </c>
      <c r="O1331" s="79">
        <f t="shared" ref="O1331:O1340" si="675">SUM(F1331:I1331)+SUM(M1331:N1331)</f>
        <v>2612072.6549999998</v>
      </c>
      <c r="P1331" s="79">
        <f>P207</f>
        <v>50726</v>
      </c>
      <c r="Q1331" s="79">
        <f>Q207</f>
        <v>5726</v>
      </c>
      <c r="R1331" s="79">
        <f>R207</f>
        <v>56452</v>
      </c>
      <c r="S1331" s="79">
        <f>S207</f>
        <v>367005.34500000003</v>
      </c>
      <c r="U1331" s="80">
        <f t="shared" ref="U1331:U1341" si="676">O1331+R1331+S1331-C1331</f>
        <v>0</v>
      </c>
      <c r="W1331" s="81">
        <f t="shared" ref="W1331:W1372" si="677">IF((O1331+R1331)=0," ",ROUND((O1331/(O1331+R1331)),7))</f>
        <v>0.97884519999999997</v>
      </c>
      <c r="X1331" s="81">
        <f t="shared" ref="X1331:X1372" si="678">IF((C1331)=0," ",ROUND((O1331/(C1331)),7))</f>
        <v>0.86049969999999998</v>
      </c>
      <c r="Y1331" s="81">
        <f t="shared" ref="Y1331:Y1372" si="679">IF((C1331)=0," ",ROUND((S1331/(C1331)),7))</f>
        <v>0.1209032</v>
      </c>
      <c r="Z1331" s="79"/>
      <c r="AF1331" s="79"/>
      <c r="AJ1331" s="66"/>
      <c r="AK1331" s="70"/>
    </row>
    <row r="1332" spans="1:37" hidden="1">
      <c r="A1332" s="65">
        <f t="shared" ref="A1332:A1341" si="680">A1331+1</f>
        <v>2</v>
      </c>
      <c r="B1332" s="66" t="s">
        <v>543</v>
      </c>
      <c r="C1332" s="79">
        <f>C304</f>
        <v>1323774</v>
      </c>
      <c r="D1332" s="79">
        <f>D304</f>
        <v>671518</v>
      </c>
      <c r="E1332" s="79">
        <f>E304</f>
        <v>18524</v>
      </c>
      <c r="F1332" s="79">
        <f t="shared" ref="F1332:F1340" si="681">D1332+E1332</f>
        <v>690042</v>
      </c>
      <c r="G1332" s="79">
        <f t="shared" ref="G1332:L1332" si="682">G304</f>
        <v>39429</v>
      </c>
      <c r="H1332" s="79">
        <f t="shared" si="682"/>
        <v>234311</v>
      </c>
      <c r="I1332" s="79">
        <f t="shared" si="682"/>
        <v>121976</v>
      </c>
      <c r="J1332" s="79">
        <f t="shared" si="682"/>
        <v>52869</v>
      </c>
      <c r="K1332" s="79">
        <f t="shared" si="682"/>
        <v>4455</v>
      </c>
      <c r="L1332" s="79">
        <f t="shared" si="682"/>
        <v>2142</v>
      </c>
      <c r="M1332" s="79">
        <f t="shared" ref="M1332:M1340" si="683">SUM(J1332:L1332)</f>
        <v>59466</v>
      </c>
      <c r="N1332" s="79">
        <f>N304</f>
        <v>34599</v>
      </c>
      <c r="O1332" s="79">
        <f t="shared" si="675"/>
        <v>1179823</v>
      </c>
      <c r="P1332" s="79">
        <f>P304</f>
        <v>24873</v>
      </c>
      <c r="Q1332" s="79">
        <f>Q304</f>
        <v>2817</v>
      </c>
      <c r="R1332" s="79">
        <f>R304</f>
        <v>27690</v>
      </c>
      <c r="S1332" s="79">
        <f>S304</f>
        <v>116261.43299999999</v>
      </c>
      <c r="U1332" s="80">
        <f t="shared" si="676"/>
        <v>0.43299999996088445</v>
      </c>
      <c r="W1332" s="81">
        <f t="shared" si="677"/>
        <v>0.97706859999999995</v>
      </c>
      <c r="X1332" s="81">
        <f t="shared" si="678"/>
        <v>0.89125710000000002</v>
      </c>
      <c r="Y1332" s="81">
        <f t="shared" si="679"/>
        <v>8.7825700000000007E-2</v>
      </c>
      <c r="Z1332" s="79"/>
      <c r="AF1332" s="79"/>
      <c r="AJ1332" s="66"/>
      <c r="AK1332" s="70"/>
    </row>
    <row r="1333" spans="1:37" hidden="1">
      <c r="A1333" s="65">
        <f t="shared" si="680"/>
        <v>3</v>
      </c>
      <c r="B1333" s="66" t="s">
        <v>544</v>
      </c>
      <c r="C1333" s="79">
        <f t="shared" ref="C1333:I1333" si="684">C1331-C1332</f>
        <v>1711756</v>
      </c>
      <c r="D1333" s="79">
        <f t="shared" si="684"/>
        <v>829297.64309999999</v>
      </c>
      <c r="E1333" s="79">
        <f>E1331-E1332</f>
        <v>23368</v>
      </c>
      <c r="F1333" s="79">
        <f t="shared" si="681"/>
        <v>852665.64309999999</v>
      </c>
      <c r="G1333" s="79">
        <f t="shared" si="684"/>
        <v>53801</v>
      </c>
      <c r="H1333" s="79">
        <f t="shared" si="684"/>
        <v>274928</v>
      </c>
      <c r="I1333" s="79">
        <f t="shared" si="684"/>
        <v>135598</v>
      </c>
      <c r="J1333" s="79">
        <f>J1331-J1332</f>
        <v>58233</v>
      </c>
      <c r="K1333" s="79">
        <f>K1331-K1332</f>
        <v>5226.0059500000007</v>
      </c>
      <c r="L1333" s="79">
        <f>L1331-L1332</f>
        <v>2359.0059499999998</v>
      </c>
      <c r="M1333" s="79">
        <f t="shared" si="683"/>
        <v>65818.011899999998</v>
      </c>
      <c r="N1333" s="79">
        <f t="shared" ref="N1333:S1333" si="685">N1331-N1332</f>
        <v>49439</v>
      </c>
      <c r="O1333" s="79">
        <f t="shared" si="675"/>
        <v>1432249.655</v>
      </c>
      <c r="P1333" s="79">
        <f t="shared" si="685"/>
        <v>25853</v>
      </c>
      <c r="Q1333" s="79">
        <f t="shared" si="685"/>
        <v>2909</v>
      </c>
      <c r="R1333" s="79">
        <f t="shared" si="685"/>
        <v>28762</v>
      </c>
      <c r="S1333" s="79">
        <f t="shared" si="685"/>
        <v>250743.91200000004</v>
      </c>
      <c r="U1333" s="80">
        <f t="shared" si="676"/>
        <v>-0.43299999996088445</v>
      </c>
      <c r="W1333" s="81">
        <f t="shared" si="677"/>
        <v>0.98031360000000001</v>
      </c>
      <c r="X1333" s="81">
        <f t="shared" si="678"/>
        <v>0.8367137</v>
      </c>
      <c r="Y1333" s="81">
        <f t="shared" si="679"/>
        <v>0.14648340000000001</v>
      </c>
      <c r="Z1333" s="79"/>
      <c r="AF1333" s="79"/>
      <c r="AJ1333" s="66"/>
      <c r="AK1333" s="65"/>
    </row>
    <row r="1334" spans="1:37" hidden="1">
      <c r="A1334" s="65">
        <f t="shared" si="680"/>
        <v>4</v>
      </c>
      <c r="B1334" s="66" t="s">
        <v>545</v>
      </c>
      <c r="C1334" s="79">
        <f>C353</f>
        <v>134287.82780633349</v>
      </c>
      <c r="D1334" s="79">
        <f>D353</f>
        <v>58771.827806333473</v>
      </c>
      <c r="E1334" s="79">
        <f>E353</f>
        <v>2035</v>
      </c>
      <c r="F1334" s="79">
        <f t="shared" si="681"/>
        <v>60806.827806333473</v>
      </c>
      <c r="G1334" s="79">
        <f t="shared" ref="G1334:L1334" si="686">G353</f>
        <v>3166</v>
      </c>
      <c r="H1334" s="79">
        <f t="shared" si="686"/>
        <v>27652</v>
      </c>
      <c r="I1334" s="79">
        <f t="shared" si="686"/>
        <v>17390</v>
      </c>
      <c r="J1334" s="79">
        <f t="shared" si="686"/>
        <v>8982</v>
      </c>
      <c r="K1334" s="79">
        <f t="shared" si="686"/>
        <v>541</v>
      </c>
      <c r="L1334" s="79">
        <f t="shared" si="686"/>
        <v>355</v>
      </c>
      <c r="M1334" s="79">
        <f t="shared" si="683"/>
        <v>9878</v>
      </c>
      <c r="N1334" s="79">
        <f>N353</f>
        <v>1909</v>
      </c>
      <c r="O1334" s="79">
        <f t="shared" si="675"/>
        <v>120801.82780633347</v>
      </c>
      <c r="P1334" s="79">
        <f>P353</f>
        <v>3428</v>
      </c>
      <c r="Q1334" s="79">
        <f>Q353</f>
        <v>393</v>
      </c>
      <c r="R1334" s="79">
        <f>R353</f>
        <v>3821</v>
      </c>
      <c r="S1334" s="79">
        <f>S353</f>
        <v>9665</v>
      </c>
      <c r="T1334" s="79"/>
      <c r="U1334" s="80">
        <f t="shared" si="676"/>
        <v>0</v>
      </c>
      <c r="W1334" s="81">
        <f t="shared" si="677"/>
        <v>0.96933950000000002</v>
      </c>
      <c r="X1334" s="81">
        <f t="shared" si="678"/>
        <v>0.89957390000000004</v>
      </c>
      <c r="Y1334" s="81">
        <f t="shared" si="679"/>
        <v>7.1972300000000003E-2</v>
      </c>
      <c r="Z1334" s="79"/>
      <c r="AF1334" s="79"/>
      <c r="AJ1334" s="66"/>
      <c r="AK1334" s="70"/>
    </row>
    <row r="1335" spans="1:37" hidden="1">
      <c r="A1335" s="65">
        <f t="shared" si="680"/>
        <v>5</v>
      </c>
      <c r="B1335" s="66" t="s">
        <v>546</v>
      </c>
      <c r="C1335" s="79">
        <f>C481</f>
        <v>32395</v>
      </c>
      <c r="D1335" s="79">
        <f>D481</f>
        <v>19165</v>
      </c>
      <c r="E1335" s="79">
        <f>E481</f>
        <v>523</v>
      </c>
      <c r="F1335" s="79">
        <f>D1335+E1335-1</f>
        <v>19687</v>
      </c>
      <c r="G1335" s="79">
        <f t="shared" ref="G1335:L1335" si="687">G481</f>
        <v>1493</v>
      </c>
      <c r="H1335" s="79">
        <f t="shared" si="687"/>
        <v>6009</v>
      </c>
      <c r="I1335" s="79">
        <f t="shared" si="687"/>
        <v>3378</v>
      </c>
      <c r="J1335" s="79">
        <f t="shared" si="687"/>
        <v>1284</v>
      </c>
      <c r="K1335" s="79">
        <f t="shared" si="687"/>
        <v>107</v>
      </c>
      <c r="L1335" s="79">
        <f t="shared" si="687"/>
        <v>56</v>
      </c>
      <c r="M1335" s="79">
        <f>SUM(J1335:L1335)</f>
        <v>1447</v>
      </c>
      <c r="N1335" s="79">
        <f>N481</f>
        <v>610</v>
      </c>
      <c r="O1335" s="79">
        <f t="shared" si="675"/>
        <v>32624</v>
      </c>
      <c r="P1335" s="79">
        <f>P481</f>
        <v>592</v>
      </c>
      <c r="Q1335" s="79">
        <f>Q481</f>
        <v>73</v>
      </c>
      <c r="R1335" s="79">
        <f>R481+1</f>
        <v>666</v>
      </c>
      <c r="S1335" s="79">
        <f>S481</f>
        <v>-895</v>
      </c>
      <c r="U1335" s="80">
        <f t="shared" si="676"/>
        <v>0</v>
      </c>
      <c r="W1335" s="81">
        <f t="shared" si="677"/>
        <v>0.97999400000000003</v>
      </c>
      <c r="X1335" s="81">
        <f t="shared" si="678"/>
        <v>1.007069</v>
      </c>
      <c r="Y1335" s="81">
        <f t="shared" si="679"/>
        <v>-2.7627700000000002E-2</v>
      </c>
      <c r="Z1335" s="79"/>
      <c r="AF1335" s="79"/>
      <c r="AJ1335" s="66"/>
      <c r="AK1335" s="70"/>
    </row>
    <row r="1336" spans="1:37" hidden="1">
      <c r="A1336" s="65">
        <f t="shared" si="680"/>
        <v>6</v>
      </c>
      <c r="B1336" s="66" t="s">
        <v>547</v>
      </c>
      <c r="C1336" s="79">
        <f>C511</f>
        <v>0</v>
      </c>
      <c r="D1336" s="79">
        <f>D511</f>
        <v>0</v>
      </c>
      <c r="E1336" s="79">
        <f>E511</f>
        <v>0</v>
      </c>
      <c r="F1336" s="79">
        <f t="shared" si="681"/>
        <v>0</v>
      </c>
      <c r="G1336" s="79">
        <f t="shared" ref="G1336:L1336" si="688">G511</f>
        <v>0</v>
      </c>
      <c r="H1336" s="79">
        <f t="shared" si="688"/>
        <v>0</v>
      </c>
      <c r="I1336" s="79">
        <f t="shared" si="688"/>
        <v>0</v>
      </c>
      <c r="J1336" s="79">
        <f t="shared" si="688"/>
        <v>0</v>
      </c>
      <c r="K1336" s="79">
        <f t="shared" si="688"/>
        <v>0</v>
      </c>
      <c r="L1336" s="79">
        <f t="shared" si="688"/>
        <v>0</v>
      </c>
      <c r="M1336" s="79">
        <f t="shared" si="683"/>
        <v>0</v>
      </c>
      <c r="N1336" s="79">
        <f>N511</f>
        <v>0</v>
      </c>
      <c r="O1336" s="79">
        <f t="shared" si="675"/>
        <v>0</v>
      </c>
      <c r="P1336" s="79">
        <f>P511</f>
        <v>0</v>
      </c>
      <c r="Q1336" s="79">
        <f>Q511</f>
        <v>0</v>
      </c>
      <c r="R1336" s="79">
        <f>R511</f>
        <v>0</v>
      </c>
      <c r="S1336" s="79">
        <f>S511</f>
        <v>0</v>
      </c>
      <c r="U1336" s="80">
        <f t="shared" si="676"/>
        <v>0</v>
      </c>
      <c r="W1336" s="81" t="str">
        <f t="shared" si="677"/>
        <v xml:space="preserve"> </v>
      </c>
      <c r="X1336" s="81" t="str">
        <f t="shared" si="678"/>
        <v xml:space="preserve"> </v>
      </c>
      <c r="Y1336" s="81" t="str">
        <f t="shared" si="679"/>
        <v xml:space="preserve"> </v>
      </c>
      <c r="Z1336" s="79"/>
      <c r="AF1336" s="79"/>
      <c r="AJ1336" s="66"/>
      <c r="AK1336" s="70"/>
    </row>
    <row r="1337" spans="1:37" hidden="1">
      <c r="A1337" s="65">
        <f t="shared" si="680"/>
        <v>7</v>
      </c>
      <c r="B1337" s="71" t="s">
        <v>548</v>
      </c>
      <c r="C1337" s="79">
        <f>C527</f>
        <v>68902</v>
      </c>
      <c r="D1337" s="79">
        <f>D527</f>
        <v>33931</v>
      </c>
      <c r="E1337" s="79">
        <f>E527</f>
        <v>914</v>
      </c>
      <c r="F1337" s="79">
        <f t="shared" si="681"/>
        <v>34845</v>
      </c>
      <c r="G1337" s="79">
        <f t="shared" ref="G1337:L1337" si="689">G527</f>
        <v>1873</v>
      </c>
      <c r="H1337" s="79">
        <f t="shared" si="689"/>
        <v>12736</v>
      </c>
      <c r="I1337" s="79">
        <f t="shared" si="689"/>
        <v>6956</v>
      </c>
      <c r="J1337" s="79">
        <f t="shared" si="689"/>
        <v>3012</v>
      </c>
      <c r="K1337" s="79">
        <f t="shared" si="689"/>
        <v>237</v>
      </c>
      <c r="L1337" s="79">
        <f t="shared" si="689"/>
        <v>124</v>
      </c>
      <c r="M1337" s="79">
        <f t="shared" si="683"/>
        <v>3373</v>
      </c>
      <c r="N1337" s="79">
        <f>N527</f>
        <v>1129</v>
      </c>
      <c r="O1337" s="79">
        <f t="shared" si="675"/>
        <v>60912</v>
      </c>
      <c r="P1337" s="79">
        <f>P527</f>
        <v>1530</v>
      </c>
      <c r="Q1337" s="79">
        <f>Q527</f>
        <v>175</v>
      </c>
      <c r="R1337" s="79">
        <f>R527</f>
        <v>1705</v>
      </c>
      <c r="S1337" s="79">
        <f>S527</f>
        <v>6285</v>
      </c>
      <c r="U1337" s="80">
        <f t="shared" si="676"/>
        <v>0</v>
      </c>
      <c r="W1337" s="81">
        <f t="shared" si="677"/>
        <v>0.97277100000000005</v>
      </c>
      <c r="X1337" s="81">
        <f t="shared" si="678"/>
        <v>0.8840382</v>
      </c>
      <c r="Y1337" s="81">
        <f t="shared" si="679"/>
        <v>9.1216500000000006E-2</v>
      </c>
      <c r="Z1337" s="79"/>
      <c r="AF1337" s="79"/>
      <c r="AJ1337" s="66"/>
      <c r="AK1337" s="70"/>
    </row>
    <row r="1338" spans="1:37" hidden="1">
      <c r="A1338" s="65">
        <f t="shared" si="680"/>
        <v>8</v>
      </c>
      <c r="B1338" s="66" t="s">
        <v>549</v>
      </c>
      <c r="C1338" s="66">
        <f>C558</f>
        <v>33352</v>
      </c>
      <c r="D1338" s="79">
        <f>D558</f>
        <v>17381</v>
      </c>
      <c r="E1338" s="79">
        <f>E558</f>
        <v>459</v>
      </c>
      <c r="F1338" s="79">
        <f t="shared" si="681"/>
        <v>17840</v>
      </c>
      <c r="G1338" s="79">
        <f t="shared" ref="G1338:L1338" si="690">G558</f>
        <v>882</v>
      </c>
      <c r="H1338" s="79">
        <f t="shared" si="690"/>
        <v>7119</v>
      </c>
      <c r="I1338" s="79">
        <f t="shared" si="690"/>
        <v>4179</v>
      </c>
      <c r="J1338" s="79">
        <f t="shared" si="690"/>
        <v>1839</v>
      </c>
      <c r="K1338" s="79">
        <f t="shared" si="690"/>
        <v>127</v>
      </c>
      <c r="L1338" s="79">
        <f t="shared" si="690"/>
        <v>75</v>
      </c>
      <c r="M1338" s="79">
        <f t="shared" si="683"/>
        <v>2041</v>
      </c>
      <c r="N1338" s="79">
        <f>N558</f>
        <v>172</v>
      </c>
      <c r="O1338" s="79">
        <f t="shared" si="675"/>
        <v>32233</v>
      </c>
      <c r="P1338" s="79">
        <f>P558</f>
        <v>1004</v>
      </c>
      <c r="Q1338" s="79">
        <f>Q558</f>
        <v>115</v>
      </c>
      <c r="R1338" s="79">
        <f>R558</f>
        <v>1119</v>
      </c>
      <c r="S1338" s="79">
        <f>S558</f>
        <v>0</v>
      </c>
      <c r="U1338" s="80">
        <f t="shared" si="676"/>
        <v>0</v>
      </c>
      <c r="W1338" s="81">
        <f t="shared" si="677"/>
        <v>0.9664488</v>
      </c>
      <c r="X1338" s="81">
        <f t="shared" si="678"/>
        <v>0.9664488</v>
      </c>
      <c r="Y1338" s="81">
        <f t="shared" si="679"/>
        <v>0</v>
      </c>
      <c r="Z1338" s="79"/>
      <c r="AF1338" s="79"/>
      <c r="AJ1338" s="66"/>
      <c r="AK1338" s="70"/>
    </row>
    <row r="1339" spans="1:37" hidden="1">
      <c r="A1339" s="65">
        <f t="shared" si="680"/>
        <v>9</v>
      </c>
      <c r="B1339" s="66" t="s">
        <v>550</v>
      </c>
      <c r="C1339" s="79">
        <f>C599</f>
        <v>2414</v>
      </c>
      <c r="D1339" s="79">
        <f>D599</f>
        <v>0</v>
      </c>
      <c r="E1339" s="79">
        <f>E599</f>
        <v>0</v>
      </c>
      <c r="F1339" s="79">
        <f t="shared" si="681"/>
        <v>0</v>
      </c>
      <c r="G1339" s="79">
        <f t="shared" ref="G1339:L1339" si="691">G599</f>
        <v>0</v>
      </c>
      <c r="H1339" s="79">
        <f t="shared" si="691"/>
        <v>0</v>
      </c>
      <c r="I1339" s="79">
        <f t="shared" si="691"/>
        <v>0</v>
      </c>
      <c r="J1339" s="79">
        <f t="shared" si="691"/>
        <v>0</v>
      </c>
      <c r="K1339" s="79">
        <f t="shared" si="691"/>
        <v>0</v>
      </c>
      <c r="L1339" s="79">
        <f t="shared" si="691"/>
        <v>0</v>
      </c>
      <c r="M1339" s="79">
        <f t="shared" si="683"/>
        <v>0</v>
      </c>
      <c r="N1339" s="79">
        <f>N599</f>
        <v>0</v>
      </c>
      <c r="O1339" s="79">
        <f t="shared" si="675"/>
        <v>0</v>
      </c>
      <c r="P1339" s="79">
        <f>P599</f>
        <v>0</v>
      </c>
      <c r="Q1339" s="79">
        <f>Q599</f>
        <v>0</v>
      </c>
      <c r="R1339" s="79">
        <f>R599</f>
        <v>0</v>
      </c>
      <c r="S1339" s="79">
        <f>S599</f>
        <v>2414</v>
      </c>
      <c r="U1339" s="80">
        <f t="shared" si="676"/>
        <v>0</v>
      </c>
      <c r="W1339" s="81" t="str">
        <f t="shared" si="677"/>
        <v xml:space="preserve"> </v>
      </c>
      <c r="X1339" s="81">
        <f t="shared" si="678"/>
        <v>0</v>
      </c>
      <c r="Y1339" s="81">
        <f t="shared" si="679"/>
        <v>1</v>
      </c>
      <c r="Z1339" s="79"/>
      <c r="AF1339" s="79"/>
      <c r="AJ1339" s="66"/>
      <c r="AK1339" s="70"/>
    </row>
    <row r="1340" spans="1:37" hidden="1">
      <c r="A1340" s="65">
        <f>A1339+1</f>
        <v>10</v>
      </c>
      <c r="B1340" s="66" t="s">
        <v>551</v>
      </c>
      <c r="C1340" s="79">
        <f>C585</f>
        <v>-2950</v>
      </c>
      <c r="D1340" s="79">
        <f>D585</f>
        <v>-1733</v>
      </c>
      <c r="E1340" s="79">
        <f>E585</f>
        <v>-48</v>
      </c>
      <c r="F1340" s="79">
        <f t="shared" si="681"/>
        <v>-1781</v>
      </c>
      <c r="G1340" s="79">
        <f t="shared" ref="G1340:L1340" si="692">G585</f>
        <v>-158</v>
      </c>
      <c r="H1340" s="79">
        <f t="shared" si="692"/>
        <v>-486</v>
      </c>
      <c r="I1340" s="79">
        <f t="shared" si="692"/>
        <v>-230</v>
      </c>
      <c r="J1340" s="79">
        <f t="shared" si="692"/>
        <v>-98</v>
      </c>
      <c r="K1340" s="79">
        <f t="shared" si="692"/>
        <v>-8</v>
      </c>
      <c r="L1340" s="79">
        <f t="shared" si="692"/>
        <v>-4</v>
      </c>
      <c r="M1340" s="79">
        <f t="shared" si="683"/>
        <v>-110</v>
      </c>
      <c r="N1340" s="79">
        <f>N585</f>
        <v>-52</v>
      </c>
      <c r="O1340" s="79">
        <f t="shared" si="675"/>
        <v>-2817</v>
      </c>
      <c r="P1340" s="79">
        <f>P585</f>
        <v>-47</v>
      </c>
      <c r="Q1340" s="79">
        <f>Q585</f>
        <v>-5</v>
      </c>
      <c r="R1340" s="79">
        <f>R585</f>
        <v>-52</v>
      </c>
      <c r="S1340" s="79">
        <f>S585</f>
        <v>-81</v>
      </c>
      <c r="U1340" s="80">
        <f t="shared" si="676"/>
        <v>0</v>
      </c>
      <c r="W1340" s="81">
        <f t="shared" si="677"/>
        <v>0.98187519999999995</v>
      </c>
      <c r="X1340" s="81">
        <f t="shared" si="678"/>
        <v>0.95491530000000002</v>
      </c>
      <c r="Y1340" s="81">
        <f t="shared" si="679"/>
        <v>2.7457599999999999E-2</v>
      </c>
      <c r="Z1340" s="79"/>
      <c r="AF1340" s="79"/>
      <c r="AJ1340" s="66"/>
      <c r="AK1340" s="70"/>
    </row>
    <row r="1341" spans="1:37" hidden="1">
      <c r="A1341" s="65">
        <f t="shared" si="680"/>
        <v>11</v>
      </c>
      <c r="B1341" s="66" t="s">
        <v>552</v>
      </c>
      <c r="C1341" s="79">
        <f>SUM(C1333:C1340)</f>
        <v>1980156.8278063335</v>
      </c>
      <c r="D1341" s="79">
        <f>SUM(D1333:D1340)</f>
        <v>956813.47090633342</v>
      </c>
      <c r="E1341" s="79">
        <f>SUM(E1333:E1340)</f>
        <v>27251</v>
      </c>
      <c r="F1341" s="79">
        <f>D1341+E1341</f>
        <v>984064.47090633342</v>
      </c>
      <c r="G1341" s="79">
        <f t="shared" ref="G1341:L1341" si="693">SUM(G1333:G1340)</f>
        <v>61057</v>
      </c>
      <c r="H1341" s="79">
        <f t="shared" si="693"/>
        <v>327958</v>
      </c>
      <c r="I1341" s="79">
        <f t="shared" si="693"/>
        <v>167271</v>
      </c>
      <c r="J1341" s="79">
        <f t="shared" si="693"/>
        <v>73252</v>
      </c>
      <c r="K1341" s="79">
        <f t="shared" si="693"/>
        <v>6230.0059500000007</v>
      </c>
      <c r="L1341" s="79">
        <f t="shared" si="693"/>
        <v>2965.0059499999998</v>
      </c>
      <c r="M1341" s="79">
        <f>SUM(J1341:L1341)</f>
        <v>82447.011900000012</v>
      </c>
      <c r="N1341" s="79">
        <f>SUM(N1333:N1340)+0.00000001</f>
        <v>53207.000000009997</v>
      </c>
      <c r="O1341" s="79">
        <f>SUM(F1341:I1341)+SUM(M1341:N1341)</f>
        <v>1676004.4828063436</v>
      </c>
      <c r="P1341" s="79">
        <f>SUM(P1333:P1340)</f>
        <v>32360</v>
      </c>
      <c r="Q1341" s="79">
        <f>SUM(Q1333:Q1340)</f>
        <v>3660</v>
      </c>
      <c r="R1341" s="79">
        <f>SUM(R1333:R1340)</f>
        <v>36021</v>
      </c>
      <c r="S1341" s="79">
        <f>SUM(S1333:S1340)</f>
        <v>268131.91200000001</v>
      </c>
      <c r="U1341" s="80">
        <f t="shared" si="676"/>
        <v>0.56700001005083323</v>
      </c>
      <c r="W1341" s="81">
        <f t="shared" si="677"/>
        <v>0.97896000000000005</v>
      </c>
      <c r="X1341" s="81">
        <f t="shared" si="678"/>
        <v>0.84639989999999998</v>
      </c>
      <c r="Y1341" s="81">
        <f t="shared" si="679"/>
        <v>0.13540940000000001</v>
      </c>
      <c r="Z1341" s="79"/>
      <c r="AF1341" s="79"/>
      <c r="AJ1341" s="66"/>
      <c r="AK1341" s="65"/>
    </row>
    <row r="1342" spans="1:37" hidden="1">
      <c r="C1342" s="79"/>
      <c r="D1342" s="79"/>
      <c r="E1342" s="79"/>
      <c r="F1342" s="79"/>
      <c r="G1342" s="79"/>
      <c r="H1342" s="79"/>
      <c r="I1342" s="79"/>
      <c r="J1342" s="79"/>
      <c r="K1342" s="79"/>
      <c r="L1342" s="79"/>
      <c r="M1342" s="79"/>
      <c r="N1342" s="79"/>
      <c r="O1342" s="79"/>
      <c r="P1342" s="79"/>
      <c r="Q1342" s="79"/>
      <c r="R1342" s="79"/>
      <c r="S1342" s="79"/>
      <c r="U1342" s="80"/>
      <c r="W1342" s="81" t="str">
        <f t="shared" si="677"/>
        <v xml:space="preserve"> </v>
      </c>
      <c r="X1342" s="81" t="str">
        <f t="shared" si="678"/>
        <v xml:space="preserve"> </v>
      </c>
      <c r="Y1342" s="81" t="str">
        <f t="shared" si="679"/>
        <v xml:space="preserve"> </v>
      </c>
      <c r="Z1342" s="79"/>
      <c r="AF1342" s="79"/>
      <c r="AJ1342" s="66"/>
      <c r="AK1342" s="65"/>
    </row>
    <row r="1343" spans="1:37" hidden="1">
      <c r="B1343" s="65" t="s">
        <v>553</v>
      </c>
      <c r="C1343" s="79"/>
      <c r="D1343" s="79"/>
      <c r="E1343" s="79"/>
      <c r="F1343" s="79"/>
      <c r="G1343" s="79"/>
      <c r="H1343" s="79"/>
      <c r="I1343" s="79"/>
      <c r="J1343" s="79"/>
      <c r="K1343" s="79"/>
      <c r="L1343" s="79"/>
      <c r="M1343" s="79"/>
      <c r="N1343" s="79"/>
      <c r="O1343" s="79"/>
      <c r="P1343" s="79"/>
      <c r="Q1343" s="79"/>
      <c r="R1343" s="79"/>
      <c r="S1343" s="79"/>
      <c r="U1343" s="80"/>
      <c r="W1343" s="81" t="str">
        <f t="shared" si="677"/>
        <v xml:space="preserve"> </v>
      </c>
      <c r="X1343" s="81" t="str">
        <f t="shared" si="678"/>
        <v xml:space="preserve"> </v>
      </c>
      <c r="Y1343" s="81" t="str">
        <f t="shared" si="679"/>
        <v xml:space="preserve"> </v>
      </c>
      <c r="Z1343" s="79"/>
      <c r="AF1343" s="79"/>
      <c r="AJ1343" s="66"/>
      <c r="AK1343" s="65"/>
    </row>
    <row r="1344" spans="1:37" hidden="1">
      <c r="B1344" s="83" t="s">
        <v>170</v>
      </c>
      <c r="C1344" s="79"/>
      <c r="D1344" s="79"/>
      <c r="E1344" s="79"/>
      <c r="F1344" s="79"/>
      <c r="G1344" s="79"/>
      <c r="H1344" s="79"/>
      <c r="I1344" s="79"/>
      <c r="J1344" s="79"/>
      <c r="K1344" s="79"/>
      <c r="L1344" s="79"/>
      <c r="M1344" s="79"/>
      <c r="N1344" s="79"/>
      <c r="O1344" s="79"/>
      <c r="P1344" s="79"/>
      <c r="Q1344" s="79"/>
      <c r="R1344" s="79"/>
      <c r="S1344" s="79"/>
      <c r="U1344" s="80"/>
      <c r="W1344" s="81" t="str">
        <f t="shared" si="677"/>
        <v xml:space="preserve"> </v>
      </c>
      <c r="X1344" s="81" t="str">
        <f t="shared" si="678"/>
        <v xml:space="preserve"> </v>
      </c>
      <c r="Y1344" s="81" t="str">
        <f t="shared" si="679"/>
        <v xml:space="preserve"> </v>
      </c>
      <c r="Z1344" s="79"/>
      <c r="AF1344" s="79"/>
      <c r="AJ1344" s="66"/>
      <c r="AK1344" s="65"/>
    </row>
    <row r="1345" spans="1:37" hidden="1">
      <c r="A1345" s="65">
        <f>A1341+1</f>
        <v>12</v>
      </c>
      <c r="B1345" s="66" t="s">
        <v>554</v>
      </c>
      <c r="C1345" s="79">
        <f>C623</f>
        <v>464147</v>
      </c>
      <c r="D1345" s="79">
        <f>D623</f>
        <v>257053</v>
      </c>
      <c r="E1345" s="79">
        <f>E623</f>
        <v>7984</v>
      </c>
      <c r="F1345" s="79">
        <f>D1345+E1345</f>
        <v>265037</v>
      </c>
      <c r="G1345" s="79">
        <f t="shared" ref="G1345:L1345" si="694">G623</f>
        <v>19761</v>
      </c>
      <c r="H1345" s="79">
        <f t="shared" si="694"/>
        <v>90940</v>
      </c>
      <c r="I1345" s="79">
        <f t="shared" si="694"/>
        <v>44157</v>
      </c>
      <c r="J1345" s="79">
        <f t="shared" si="694"/>
        <v>16293</v>
      </c>
      <c r="K1345" s="79">
        <f t="shared" si="694"/>
        <v>1256</v>
      </c>
      <c r="L1345" s="79">
        <f t="shared" si="694"/>
        <v>947</v>
      </c>
      <c r="M1345" s="79">
        <f>SUM(J1345:L1345)</f>
        <v>18496</v>
      </c>
      <c r="N1345" s="79">
        <f>N623</f>
        <v>12837</v>
      </c>
      <c r="O1345" s="79">
        <f>SUM(F1345:I1345)+SUM(M1345:N1345)</f>
        <v>451228</v>
      </c>
      <c r="P1345" s="79">
        <f>P623</f>
        <v>11521</v>
      </c>
      <c r="Q1345" s="79">
        <f>Q623</f>
        <v>1398</v>
      </c>
      <c r="R1345" s="79">
        <f>R623</f>
        <v>12919</v>
      </c>
      <c r="S1345" s="79">
        <f>S623</f>
        <v>0</v>
      </c>
      <c r="U1345" s="80">
        <f>O1345+R1345+S1345-C1345</f>
        <v>0</v>
      </c>
      <c r="W1345" s="81">
        <f t="shared" si="677"/>
        <v>0.97216610000000003</v>
      </c>
      <c r="X1345" s="81">
        <f t="shared" si="678"/>
        <v>0.97216610000000003</v>
      </c>
      <c r="Y1345" s="81">
        <f t="shared" si="679"/>
        <v>0</v>
      </c>
      <c r="Z1345" s="79"/>
      <c r="AF1345" s="79"/>
      <c r="AJ1345" s="66"/>
      <c r="AK1345" s="70"/>
    </row>
    <row r="1346" spans="1:37" hidden="1">
      <c r="A1346" s="65">
        <f>A1345+1</f>
        <v>13</v>
      </c>
      <c r="B1346" s="66" t="s">
        <v>555</v>
      </c>
      <c r="C1346" s="79">
        <f>C664-C662</f>
        <v>70455.004600099986</v>
      </c>
      <c r="D1346" s="79">
        <f>D664-D662</f>
        <v>35517.984990099998</v>
      </c>
      <c r="E1346" s="79">
        <f>E664-E662</f>
        <v>878.00099999999998</v>
      </c>
      <c r="F1346" s="79">
        <f>D1346+E1346</f>
        <v>36395.985990099995</v>
      </c>
      <c r="G1346" s="79">
        <f t="shared" ref="G1346:L1346" si="695">G664-G662</f>
        <v>2414</v>
      </c>
      <c r="H1346" s="79">
        <f t="shared" si="695"/>
        <v>10164</v>
      </c>
      <c r="I1346" s="79">
        <f t="shared" si="695"/>
        <v>13835.00045</v>
      </c>
      <c r="J1346" s="79">
        <f t="shared" si="695"/>
        <v>1815.0004500000005</v>
      </c>
      <c r="K1346" s="79">
        <f t="shared" si="695"/>
        <v>143.00045</v>
      </c>
      <c r="L1346" s="79">
        <f t="shared" si="695"/>
        <v>97.000450000000015</v>
      </c>
      <c r="M1346" s="79">
        <f>SUM(J1346:L1346)</f>
        <v>2055.0013500000005</v>
      </c>
      <c r="N1346" s="79">
        <f>N664-N662</f>
        <v>1215.0004600000004</v>
      </c>
      <c r="O1346" s="79">
        <f>SUM(F1346:I1346)+SUM(M1346:N1346)</f>
        <v>66078.988250099996</v>
      </c>
      <c r="P1346" s="79">
        <f>P664-P662</f>
        <v>4049.0054500000006</v>
      </c>
      <c r="Q1346" s="79">
        <f>Q664-Q662</f>
        <v>327.00545</v>
      </c>
      <c r="R1346" s="79">
        <f>R664-R662</f>
        <v>4376.0109000000002</v>
      </c>
      <c r="S1346" s="79">
        <f>S664-S662</f>
        <v>5.4499999969266355E-3</v>
      </c>
      <c r="U1346" s="80">
        <f>O1346+R1346+S1346-C1346</f>
        <v>0</v>
      </c>
      <c r="W1346" s="81">
        <f t="shared" si="677"/>
        <v>0.93788930000000004</v>
      </c>
      <c r="X1346" s="81">
        <f t="shared" si="678"/>
        <v>0.93788919999999998</v>
      </c>
      <c r="Y1346" s="81">
        <f t="shared" si="679"/>
        <v>9.9999999999999995E-8</v>
      </c>
      <c r="Z1346" s="79"/>
      <c r="AF1346" s="79"/>
      <c r="AJ1346" s="66"/>
      <c r="AK1346" s="70"/>
    </row>
    <row r="1347" spans="1:37" hidden="1">
      <c r="A1347" s="65">
        <f>A1346+1</f>
        <v>14</v>
      </c>
      <c r="B1347" s="66" t="s">
        <v>556</v>
      </c>
      <c r="C1347" s="79">
        <f>C662</f>
        <v>63024</v>
      </c>
      <c r="D1347" s="79">
        <f>D662</f>
        <v>1511</v>
      </c>
      <c r="E1347" s="79">
        <f>E662</f>
        <v>57</v>
      </c>
      <c r="F1347" s="79">
        <f>D1347+E1347</f>
        <v>1568</v>
      </c>
      <c r="G1347" s="79">
        <f t="shared" ref="G1347:L1347" si="696">G662</f>
        <v>83</v>
      </c>
      <c r="H1347" s="79">
        <f t="shared" si="696"/>
        <v>760</v>
      </c>
      <c r="I1347" s="79">
        <f t="shared" si="696"/>
        <v>509</v>
      </c>
      <c r="J1347" s="79">
        <f t="shared" si="696"/>
        <v>276</v>
      </c>
      <c r="K1347" s="79">
        <f t="shared" si="696"/>
        <v>13</v>
      </c>
      <c r="L1347" s="79">
        <f t="shared" si="696"/>
        <v>11</v>
      </c>
      <c r="M1347" s="79">
        <f>SUM(J1347:L1347)</f>
        <v>300</v>
      </c>
      <c r="N1347" s="79">
        <f>N662</f>
        <v>45</v>
      </c>
      <c r="O1347" s="79">
        <f>SUM(F1347:I1347)+SUM(M1347:N1347)</f>
        <v>3265</v>
      </c>
      <c r="P1347" s="79">
        <f>P662</f>
        <v>96</v>
      </c>
      <c r="Q1347" s="79">
        <f>Q662</f>
        <v>11</v>
      </c>
      <c r="R1347" s="79">
        <f>R662</f>
        <v>107</v>
      </c>
      <c r="S1347" s="79">
        <f>S662</f>
        <v>59652</v>
      </c>
      <c r="U1347" s="80">
        <f>O1347+R1347+S1347-C1347</f>
        <v>0</v>
      </c>
      <c r="W1347" s="81">
        <f t="shared" si="677"/>
        <v>0.96826809999999996</v>
      </c>
      <c r="X1347" s="81">
        <f t="shared" si="678"/>
        <v>5.1805700000000003E-2</v>
      </c>
      <c r="Y1347" s="81">
        <f t="shared" si="679"/>
        <v>0.94649660000000002</v>
      </c>
      <c r="Z1347" s="79"/>
      <c r="AF1347" s="79"/>
      <c r="AJ1347" s="66"/>
      <c r="AK1347" s="70"/>
    </row>
    <row r="1348" spans="1:37" hidden="1">
      <c r="A1348" s="65">
        <f>A1347+1</f>
        <v>15</v>
      </c>
      <c r="B1348" s="66" t="s">
        <v>557</v>
      </c>
      <c r="C1348" s="79">
        <f>C683</f>
        <v>-38662.995000000003</v>
      </c>
      <c r="D1348" s="79">
        <f>D683</f>
        <v>-22432.985000000001</v>
      </c>
      <c r="E1348" s="79">
        <f>E683</f>
        <v>-674</v>
      </c>
      <c r="F1348" s="79">
        <f>D1348+E1348</f>
        <v>-23106.985000000001</v>
      </c>
      <c r="G1348" s="79">
        <f t="shared" ref="G1348:L1348" si="697">G683</f>
        <v>-1644</v>
      </c>
      <c r="H1348" s="79">
        <f t="shared" si="697"/>
        <v>-7536</v>
      </c>
      <c r="I1348" s="79">
        <f t="shared" si="697"/>
        <v>-3732</v>
      </c>
      <c r="J1348" s="79">
        <f t="shared" si="697"/>
        <v>-1376</v>
      </c>
      <c r="K1348" s="79">
        <f t="shared" si="697"/>
        <v>-105</v>
      </c>
      <c r="L1348" s="79">
        <f t="shared" si="697"/>
        <v>-79</v>
      </c>
      <c r="M1348" s="79">
        <f>SUM(J1348:L1348)</f>
        <v>-1560</v>
      </c>
      <c r="N1348" s="79">
        <f>N683</f>
        <v>-1084</v>
      </c>
      <c r="O1348" s="79">
        <f>SUM(F1348:I1348)+SUM(M1348:N1348)</f>
        <v>-38662.985000000001</v>
      </c>
      <c r="P1348" s="79">
        <f>P683</f>
        <v>-5.0000000000000001E-3</v>
      </c>
      <c r="Q1348" s="79">
        <f>Q683</f>
        <v>-5.0000000000000001E-3</v>
      </c>
      <c r="R1348" s="79">
        <f>R683</f>
        <v>-0.01</v>
      </c>
      <c r="S1348" s="79">
        <f>S683</f>
        <v>0</v>
      </c>
      <c r="U1348" s="80">
        <f>O1348+R1348+S1348-C1348</f>
        <v>0</v>
      </c>
      <c r="W1348" s="81">
        <f t="shared" si="677"/>
        <v>0.99999970000000005</v>
      </c>
      <c r="X1348" s="81">
        <f t="shared" si="678"/>
        <v>0.99999970000000005</v>
      </c>
      <c r="Y1348" s="81">
        <f t="shared" si="679"/>
        <v>0</v>
      </c>
      <c r="Z1348" s="79"/>
      <c r="AF1348" s="79"/>
      <c r="AJ1348" s="66"/>
      <c r="AK1348" s="70"/>
    </row>
    <row r="1349" spans="1:37" hidden="1">
      <c r="A1349" s="65">
        <f>A1348+1</f>
        <v>16</v>
      </c>
      <c r="B1349" s="66" t="s">
        <v>558</v>
      </c>
      <c r="C1349" s="79">
        <f>SUM(C1345:C1348)</f>
        <v>558963.00960009999</v>
      </c>
      <c r="D1349" s="79">
        <f>SUM(D1345:D1348)</f>
        <v>271648.99999010004</v>
      </c>
      <c r="E1349" s="79">
        <f>SUM(E1345:E1348)</f>
        <v>8245.0010000000002</v>
      </c>
      <c r="F1349" s="79">
        <f>D1349+E1349</f>
        <v>279894.00099010003</v>
      </c>
      <c r="G1349" s="79">
        <f t="shared" ref="G1349:L1349" si="698">SUM(G1345:G1348)</f>
        <v>20614</v>
      </c>
      <c r="H1349" s="79">
        <f t="shared" si="698"/>
        <v>94328</v>
      </c>
      <c r="I1349" s="79">
        <f t="shared" si="698"/>
        <v>54769.00045</v>
      </c>
      <c r="J1349" s="79">
        <f t="shared" si="698"/>
        <v>17008.00045</v>
      </c>
      <c r="K1349" s="79">
        <f t="shared" si="698"/>
        <v>1307.00045</v>
      </c>
      <c r="L1349" s="79">
        <f t="shared" si="698"/>
        <v>976.00045</v>
      </c>
      <c r="M1349" s="79">
        <f>SUM(J1349:L1349)</f>
        <v>19291.001349999999</v>
      </c>
      <c r="N1349" s="79">
        <f t="shared" ref="N1349:S1349" si="699">SUM(N1345:N1348)</f>
        <v>13013.000460000001</v>
      </c>
      <c r="O1349" s="79">
        <f>SUM(F1349:I1349)+SUM(M1349:N1349)</f>
        <v>481909.00325010001</v>
      </c>
      <c r="P1349" s="79">
        <f t="shared" si="699"/>
        <v>15666.000450000001</v>
      </c>
      <c r="Q1349" s="79">
        <f t="shared" si="699"/>
        <v>1736.00045</v>
      </c>
      <c r="R1349" s="79">
        <f t="shared" si="699"/>
        <v>17402.000900000003</v>
      </c>
      <c r="S1349" s="79">
        <f t="shared" si="699"/>
        <v>59652.005449999997</v>
      </c>
      <c r="U1349" s="80">
        <f>O1349+R1349+S1349-C1349</f>
        <v>0</v>
      </c>
      <c r="W1349" s="81">
        <f t="shared" si="677"/>
        <v>0.96514800000000001</v>
      </c>
      <c r="X1349" s="81">
        <f t="shared" si="678"/>
        <v>0.86214829999999998</v>
      </c>
      <c r="Y1349" s="81">
        <f t="shared" si="679"/>
        <v>0.1067191</v>
      </c>
      <c r="Z1349" s="79"/>
      <c r="AF1349" s="79"/>
      <c r="AJ1349" s="66"/>
      <c r="AK1349" s="65"/>
    </row>
    <row r="1350" spans="1:37" hidden="1">
      <c r="C1350" s="79"/>
      <c r="D1350" s="79"/>
      <c r="E1350" s="79"/>
      <c r="F1350" s="79"/>
      <c r="G1350" s="79"/>
      <c r="H1350" s="79"/>
      <c r="I1350" s="79"/>
      <c r="J1350" s="79"/>
      <c r="K1350" s="79"/>
      <c r="L1350" s="79"/>
      <c r="M1350" s="79"/>
      <c r="N1350" s="79"/>
      <c r="O1350" s="79"/>
      <c r="P1350" s="79"/>
      <c r="Q1350" s="79"/>
      <c r="R1350" s="79"/>
      <c r="S1350" s="79"/>
      <c r="U1350" s="80"/>
      <c r="W1350" s="81" t="str">
        <f t="shared" si="677"/>
        <v xml:space="preserve"> </v>
      </c>
      <c r="X1350" s="81" t="str">
        <f t="shared" si="678"/>
        <v xml:space="preserve"> </v>
      </c>
      <c r="Y1350" s="81" t="str">
        <f t="shared" si="679"/>
        <v xml:space="preserve"> </v>
      </c>
      <c r="Z1350" s="79"/>
      <c r="AF1350" s="79"/>
      <c r="AJ1350" s="66"/>
      <c r="AK1350" s="65"/>
    </row>
    <row r="1351" spans="1:37" hidden="1">
      <c r="B1351" s="65" t="s">
        <v>559</v>
      </c>
      <c r="C1351" s="79"/>
      <c r="D1351" s="79"/>
      <c r="E1351" s="79"/>
      <c r="F1351" s="79"/>
      <c r="G1351" s="79"/>
      <c r="H1351" s="79"/>
      <c r="I1351" s="79"/>
      <c r="J1351" s="79"/>
      <c r="K1351" s="79"/>
      <c r="L1351" s="79"/>
      <c r="M1351" s="79"/>
      <c r="N1351" s="79"/>
      <c r="O1351" s="79"/>
      <c r="P1351" s="79"/>
      <c r="Q1351" s="79"/>
      <c r="R1351" s="79"/>
      <c r="S1351" s="79"/>
      <c r="U1351" s="80"/>
      <c r="W1351" s="81" t="str">
        <f t="shared" si="677"/>
        <v xml:space="preserve"> </v>
      </c>
      <c r="X1351" s="81" t="str">
        <f t="shared" si="678"/>
        <v xml:space="preserve"> </v>
      </c>
      <c r="Y1351" s="81" t="str">
        <f t="shared" si="679"/>
        <v xml:space="preserve"> </v>
      </c>
      <c r="Z1351" s="79"/>
      <c r="AF1351" s="79"/>
      <c r="AJ1351" s="66"/>
      <c r="AK1351" s="65"/>
    </row>
    <row r="1352" spans="1:37" hidden="1">
      <c r="B1352" s="83" t="s">
        <v>170</v>
      </c>
      <c r="C1352" s="79"/>
      <c r="D1352" s="79"/>
      <c r="E1352" s="79"/>
      <c r="F1352" s="79"/>
      <c r="G1352" s="79"/>
      <c r="H1352" s="79"/>
      <c r="I1352" s="79"/>
      <c r="J1352" s="79"/>
      <c r="K1352" s="79"/>
      <c r="L1352" s="79"/>
      <c r="M1352" s="79"/>
      <c r="N1352" s="79"/>
      <c r="O1352" s="79"/>
      <c r="P1352" s="79"/>
      <c r="Q1352" s="79"/>
      <c r="R1352" s="79"/>
      <c r="S1352" s="79"/>
      <c r="U1352" s="80"/>
      <c r="W1352" s="81" t="str">
        <f t="shared" si="677"/>
        <v xml:space="preserve"> </v>
      </c>
      <c r="X1352" s="81" t="str">
        <f t="shared" si="678"/>
        <v xml:space="preserve"> </v>
      </c>
      <c r="Y1352" s="81" t="str">
        <f t="shared" si="679"/>
        <v xml:space="preserve"> </v>
      </c>
      <c r="Z1352" s="79"/>
      <c r="AF1352" s="79"/>
      <c r="AJ1352" s="66"/>
      <c r="AK1352" s="65"/>
    </row>
    <row r="1353" spans="1:37" hidden="1">
      <c r="A1353" s="65">
        <f>A1349+1</f>
        <v>17</v>
      </c>
      <c r="B1353" s="66" t="s">
        <v>560</v>
      </c>
      <c r="C1353" s="79">
        <f>C1121</f>
        <v>300853.74250000005</v>
      </c>
      <c r="D1353" s="79">
        <f>D1121</f>
        <v>161530.853</v>
      </c>
      <c r="E1353" s="79">
        <f>E1121</f>
        <v>4643.0505000000003</v>
      </c>
      <c r="F1353" s="79">
        <f>D1353+E1353</f>
        <v>166173.90350000001</v>
      </c>
      <c r="G1353" s="79">
        <f t="shared" ref="G1353:L1353" si="700">G1121</f>
        <v>13009</v>
      </c>
      <c r="H1353" s="79">
        <f t="shared" si="700"/>
        <v>50059</v>
      </c>
      <c r="I1353" s="79">
        <f t="shared" si="700"/>
        <v>34728</v>
      </c>
      <c r="J1353" s="79">
        <f t="shared" si="700"/>
        <v>11726</v>
      </c>
      <c r="K1353" s="79">
        <f t="shared" si="700"/>
        <v>882</v>
      </c>
      <c r="L1353" s="79">
        <f t="shared" si="700"/>
        <v>487</v>
      </c>
      <c r="M1353" s="79">
        <f>SUM(J1353:L1353)</f>
        <v>13095</v>
      </c>
      <c r="N1353" s="79">
        <f>N1121</f>
        <v>5666</v>
      </c>
      <c r="O1353" s="79">
        <f>SUM(F1353:I1353)+SUM(M1353:N1353)</f>
        <v>282730.90350000001</v>
      </c>
      <c r="P1353" s="79">
        <f>P1121</f>
        <v>5039.2420000000002</v>
      </c>
      <c r="Q1353" s="79">
        <f>Q1121</f>
        <v>703.5</v>
      </c>
      <c r="R1353" s="79">
        <f>R1121</f>
        <v>5742.7420000000002</v>
      </c>
      <c r="S1353" s="79">
        <f>S1121</f>
        <v>12380.096999999998</v>
      </c>
      <c r="U1353" s="80">
        <f t="shared" ref="U1353:U1362" si="701">O1353+R1353+S1353-C1353</f>
        <v>0</v>
      </c>
      <c r="W1353" s="81">
        <f t="shared" si="677"/>
        <v>0.98009270000000004</v>
      </c>
      <c r="X1353" s="81">
        <f t="shared" si="678"/>
        <v>0.93976199999999999</v>
      </c>
      <c r="Y1353" s="81">
        <f t="shared" si="679"/>
        <v>4.1149900000000003E-2</v>
      </c>
      <c r="Z1353" s="79"/>
      <c r="AF1353" s="79"/>
      <c r="AJ1353" s="66"/>
      <c r="AK1353" s="70"/>
    </row>
    <row r="1354" spans="1:37" hidden="1">
      <c r="A1354" s="65">
        <f t="shared" ref="A1354:A1362" si="702">A1353+1</f>
        <v>18</v>
      </c>
      <c r="B1354" s="66" t="s">
        <v>561</v>
      </c>
      <c r="C1354" s="79">
        <f>C1221</f>
        <v>104744.85</v>
      </c>
      <c r="D1354" s="79">
        <f>D1221</f>
        <v>55105.953000000001</v>
      </c>
      <c r="E1354" s="79">
        <f>E1221</f>
        <v>1554</v>
      </c>
      <c r="F1354" s="79">
        <f t="shared" ref="F1354:F1361" si="703">D1354+E1354</f>
        <v>56659.953000000001</v>
      </c>
      <c r="G1354" s="79">
        <f t="shared" ref="G1354:L1354" si="704">G1221</f>
        <v>3765</v>
      </c>
      <c r="H1354" s="79">
        <f t="shared" si="704"/>
        <v>18278</v>
      </c>
      <c r="I1354" s="79">
        <f t="shared" si="704"/>
        <v>9041</v>
      </c>
      <c r="J1354" s="79">
        <f t="shared" si="704"/>
        <v>3890</v>
      </c>
      <c r="K1354" s="79">
        <f t="shared" si="704"/>
        <v>340</v>
      </c>
      <c r="L1354" s="79">
        <f t="shared" si="704"/>
        <v>159</v>
      </c>
      <c r="M1354" s="79">
        <f t="shared" ref="M1354:M1361" si="705">SUM(J1354:L1354)</f>
        <v>4389</v>
      </c>
      <c r="N1354" s="79">
        <f>N1221</f>
        <v>3047</v>
      </c>
      <c r="O1354" s="79">
        <f t="shared" ref="O1354:O1361" si="706">SUM(F1354:I1354)+SUM(M1354:N1354)</f>
        <v>95179.953000000009</v>
      </c>
      <c r="P1354" s="79">
        <f>P1221</f>
        <v>1762</v>
      </c>
      <c r="Q1354" s="79">
        <f>Q1221</f>
        <v>199</v>
      </c>
      <c r="R1354" s="79">
        <f>R1221</f>
        <v>1961</v>
      </c>
      <c r="S1354" s="79">
        <f>S1221</f>
        <v>7603.8970000000008</v>
      </c>
      <c r="U1354" s="80">
        <f t="shared" si="701"/>
        <v>0</v>
      </c>
      <c r="W1354" s="81">
        <f t="shared" si="677"/>
        <v>0.97981280000000004</v>
      </c>
      <c r="X1354" s="81">
        <f t="shared" si="678"/>
        <v>0.90868380000000004</v>
      </c>
      <c r="Y1354" s="81">
        <f t="shared" si="679"/>
        <v>7.2594500000000006E-2</v>
      </c>
      <c r="Z1354" s="79"/>
      <c r="AF1354" s="79"/>
      <c r="AJ1354" s="66"/>
      <c r="AK1354" s="70"/>
    </row>
    <row r="1355" spans="1:37" hidden="1">
      <c r="A1355" s="65">
        <f t="shared" si="702"/>
        <v>19</v>
      </c>
      <c r="B1355" s="66" t="s">
        <v>562</v>
      </c>
      <c r="C1355" s="78">
        <v>-1304</v>
      </c>
      <c r="D1355" s="79">
        <f>C1355-E1355-SUM(G1355:I1355)-SUM(M1355:N1355)-R1355-S1355</f>
        <v>-550.72399999999993</v>
      </c>
      <c r="E1355" s="79">
        <f>ROUND(E1354/($C1354-$S1354)*($C1355-$S1355),0)</f>
        <v>-16</v>
      </c>
      <c r="F1355" s="79">
        <f t="shared" si="703"/>
        <v>-566.72399999999993</v>
      </c>
      <c r="G1355" s="79">
        <f t="shared" ref="G1355:L1355" si="707">ROUND(G1354/($C1354-$S1354)*($C1355-$S1355),0)</f>
        <v>-38</v>
      </c>
      <c r="H1355" s="79">
        <f t="shared" si="707"/>
        <v>-183</v>
      </c>
      <c r="I1355" s="79">
        <f t="shared" si="707"/>
        <v>-91</v>
      </c>
      <c r="J1355" s="79">
        <f t="shared" si="707"/>
        <v>-39</v>
      </c>
      <c r="K1355" s="79">
        <f t="shared" si="707"/>
        <v>-3</v>
      </c>
      <c r="L1355" s="79">
        <f t="shared" si="707"/>
        <v>-2</v>
      </c>
      <c r="M1355" s="79">
        <f t="shared" si="705"/>
        <v>-44</v>
      </c>
      <c r="N1355" s="79">
        <f>ROUND(N1354/($C1354-$S1354)*($C1355-$S1355),0)</f>
        <v>-31</v>
      </c>
      <c r="O1355" s="79">
        <f t="shared" si="706"/>
        <v>-953.72399999999993</v>
      </c>
      <c r="P1355" s="79">
        <f>ROUND(P1354/($C1354-$S1354)*($C1355-$S1355),0)</f>
        <v>-18</v>
      </c>
      <c r="Q1355" s="79">
        <f>ROUND(Q1354/($C1354-$S1354)*($C1355-$S1355),0)</f>
        <v>-2</v>
      </c>
      <c r="R1355" s="78">
        <f>P1355+Q1355</f>
        <v>-20</v>
      </c>
      <c r="S1355" s="78">
        <f>-326.934-2.61-0.732</f>
        <v>-330.27600000000007</v>
      </c>
      <c r="U1355" s="80">
        <f t="shared" si="701"/>
        <v>0</v>
      </c>
      <c r="W1355" s="81">
        <f t="shared" si="677"/>
        <v>0.97946029999999995</v>
      </c>
      <c r="X1355" s="81">
        <f t="shared" si="678"/>
        <v>0.73138340000000002</v>
      </c>
      <c r="Y1355" s="81">
        <f t="shared" si="679"/>
        <v>0.25327909999999998</v>
      </c>
      <c r="Z1355" s="79"/>
      <c r="AF1355" s="79"/>
      <c r="AJ1355" s="66"/>
      <c r="AK1355" s="70"/>
    </row>
    <row r="1356" spans="1:37" hidden="1">
      <c r="A1356" s="65">
        <f t="shared" si="702"/>
        <v>20</v>
      </c>
      <c r="B1356" s="66" t="s">
        <v>563</v>
      </c>
      <c r="C1356" s="78">
        <v>0</v>
      </c>
      <c r="D1356" s="79">
        <f>C1356-E1356-SUM(G1356:I1356)-SUM(M1356:N1356)-R1356-S1356</f>
        <v>0</v>
      </c>
      <c r="E1356" s="79">
        <f>ROUND(E34/($C34-$S34)*($C1356-$S1356),0)</f>
        <v>0</v>
      </c>
      <c r="F1356" s="79">
        <f t="shared" si="703"/>
        <v>0</v>
      </c>
      <c r="G1356" s="79">
        <f t="shared" ref="G1356:L1356" si="708">ROUND(G34/($C34-$S34)*($C1356-$S1356),0)</f>
        <v>0</v>
      </c>
      <c r="H1356" s="79">
        <f t="shared" si="708"/>
        <v>0</v>
      </c>
      <c r="I1356" s="79">
        <f t="shared" si="708"/>
        <v>0</v>
      </c>
      <c r="J1356" s="79">
        <f t="shared" si="708"/>
        <v>0</v>
      </c>
      <c r="K1356" s="79">
        <f t="shared" si="708"/>
        <v>0</v>
      </c>
      <c r="L1356" s="79">
        <f t="shared" si="708"/>
        <v>0</v>
      </c>
      <c r="M1356" s="79">
        <f t="shared" si="705"/>
        <v>0</v>
      </c>
      <c r="N1356" s="79">
        <f>ROUND(N34/($C34-$S34)*($C1356-$S1356),0)</f>
        <v>0</v>
      </c>
      <c r="O1356" s="79">
        <f t="shared" si="706"/>
        <v>0</v>
      </c>
      <c r="P1356" s="79">
        <f>ROUND(P34/($C34-$S34)*($C1356-$S1356),0)</f>
        <v>0</v>
      </c>
      <c r="Q1356" s="79">
        <f>ROUND(Q34/($C34-$S34)*($C1356-$S1356),0)</f>
        <v>0</v>
      </c>
      <c r="R1356" s="78">
        <f>P1356+Q1356</f>
        <v>0</v>
      </c>
      <c r="S1356" s="78">
        <v>0</v>
      </c>
      <c r="U1356" s="80">
        <f t="shared" si="701"/>
        <v>0</v>
      </c>
      <c r="W1356" s="81" t="str">
        <f t="shared" si="677"/>
        <v xml:space="preserve"> </v>
      </c>
      <c r="X1356" s="81" t="str">
        <f t="shared" si="678"/>
        <v xml:space="preserve"> </v>
      </c>
      <c r="Y1356" s="81" t="str">
        <f t="shared" si="679"/>
        <v xml:space="preserve"> </v>
      </c>
      <c r="Z1356" s="79"/>
      <c r="AF1356" s="79"/>
      <c r="AJ1356" s="66"/>
      <c r="AK1356" s="70"/>
    </row>
    <row r="1357" spans="1:37" hidden="1">
      <c r="A1357" s="65">
        <f t="shared" si="702"/>
        <v>21</v>
      </c>
      <c r="B1357" s="66" t="s">
        <v>564</v>
      </c>
      <c r="C1357" s="79">
        <f>C1250</f>
        <v>23943</v>
      </c>
      <c r="D1357" s="79">
        <f>D1250</f>
        <v>12248</v>
      </c>
      <c r="E1357" s="79">
        <f>E1250</f>
        <v>334</v>
      </c>
      <c r="F1357" s="79">
        <f t="shared" si="703"/>
        <v>12582</v>
      </c>
      <c r="G1357" s="79">
        <f t="shared" ref="G1357:L1357" si="709">G1250</f>
        <v>703</v>
      </c>
      <c r="H1357" s="79">
        <f t="shared" si="709"/>
        <v>4474</v>
      </c>
      <c r="I1357" s="79">
        <f t="shared" si="709"/>
        <v>2455</v>
      </c>
      <c r="J1357" s="79">
        <f t="shared" si="709"/>
        <v>1050</v>
      </c>
      <c r="K1357" s="79">
        <f t="shared" si="709"/>
        <v>83</v>
      </c>
      <c r="L1357" s="79">
        <f t="shared" si="709"/>
        <v>43</v>
      </c>
      <c r="M1357" s="79">
        <f t="shared" si="705"/>
        <v>1176</v>
      </c>
      <c r="N1357" s="79">
        <f>N1250</f>
        <v>489</v>
      </c>
      <c r="O1357" s="79">
        <f>SUM(F1357:I1357)+SUM(M1357:N1357)</f>
        <v>21879</v>
      </c>
      <c r="P1357" s="79">
        <f>P1250</f>
        <v>522</v>
      </c>
      <c r="Q1357" s="79">
        <f>Q1250</f>
        <v>60</v>
      </c>
      <c r="R1357" s="79">
        <f>R1250</f>
        <v>582</v>
      </c>
      <c r="S1357" s="79">
        <f>S1250</f>
        <v>1482</v>
      </c>
      <c r="U1357" s="80">
        <f>O1357+R1357+S1357-C1357</f>
        <v>0</v>
      </c>
      <c r="W1357" s="81">
        <f t="shared" si="677"/>
        <v>0.97408839999999997</v>
      </c>
      <c r="X1357" s="81">
        <f t="shared" si="678"/>
        <v>0.91379529999999998</v>
      </c>
      <c r="Y1357" s="81">
        <f t="shared" si="679"/>
        <v>6.1897000000000001E-2</v>
      </c>
      <c r="Z1357" s="79"/>
      <c r="AF1357" s="79"/>
      <c r="AJ1357" s="66"/>
      <c r="AK1357" s="70"/>
    </row>
    <row r="1358" spans="1:37" hidden="1">
      <c r="A1358" s="65">
        <f t="shared" si="702"/>
        <v>22</v>
      </c>
      <c r="B1358" s="66" t="s">
        <v>565</v>
      </c>
      <c r="C1358" s="79">
        <f>C1277</f>
        <v>6458</v>
      </c>
      <c r="D1358" s="79">
        <f>D1277</f>
        <v>3810</v>
      </c>
      <c r="E1358" s="79">
        <f>E1277</f>
        <v>104</v>
      </c>
      <c r="F1358" s="79">
        <f>D1358+E1358</f>
        <v>3914</v>
      </c>
      <c r="G1358" s="79">
        <f t="shared" ref="G1358:L1358" si="710">G1277</f>
        <v>351</v>
      </c>
      <c r="H1358" s="79">
        <f t="shared" si="710"/>
        <v>1054</v>
      </c>
      <c r="I1358" s="79">
        <f t="shared" si="710"/>
        <v>494</v>
      </c>
      <c r="J1358" s="79">
        <f t="shared" si="710"/>
        <v>208</v>
      </c>
      <c r="K1358" s="79">
        <f t="shared" si="710"/>
        <v>18</v>
      </c>
      <c r="L1358" s="79">
        <f t="shared" si="710"/>
        <v>9</v>
      </c>
      <c r="M1358" s="79">
        <f t="shared" si="705"/>
        <v>235</v>
      </c>
      <c r="N1358" s="79">
        <f>N1277</f>
        <v>115</v>
      </c>
      <c r="O1358" s="79">
        <f t="shared" si="706"/>
        <v>6163</v>
      </c>
      <c r="P1358" s="79">
        <f>P1277</f>
        <v>99</v>
      </c>
      <c r="Q1358" s="79">
        <f>Q1277</f>
        <v>11</v>
      </c>
      <c r="R1358" s="79">
        <f>R1277</f>
        <v>110</v>
      </c>
      <c r="S1358" s="79">
        <f>S1277</f>
        <v>185</v>
      </c>
      <c r="U1358" s="80">
        <f t="shared" si="701"/>
        <v>0</v>
      </c>
      <c r="W1358" s="81">
        <f t="shared" si="677"/>
        <v>0.98246449999999996</v>
      </c>
      <c r="X1358" s="81">
        <f t="shared" si="678"/>
        <v>0.95432019999999995</v>
      </c>
      <c r="Y1358" s="81">
        <f t="shared" si="679"/>
        <v>2.8646600000000001E-2</v>
      </c>
      <c r="Z1358" s="79"/>
      <c r="AF1358" s="79"/>
      <c r="AJ1358" s="66"/>
      <c r="AK1358" s="70"/>
    </row>
    <row r="1359" spans="1:37" hidden="1">
      <c r="A1359" s="65">
        <f t="shared" si="702"/>
        <v>23</v>
      </c>
      <c r="B1359" s="66" t="s">
        <v>566</v>
      </c>
      <c r="C1359" s="79">
        <f>C1299</f>
        <v>383</v>
      </c>
      <c r="D1359" s="79">
        <f>D1299</f>
        <v>218</v>
      </c>
      <c r="E1359" s="79">
        <f>E1299</f>
        <v>7</v>
      </c>
      <c r="F1359" s="79">
        <f t="shared" si="703"/>
        <v>225</v>
      </c>
      <c r="G1359" s="79">
        <f t="shared" ref="G1359:L1359" si="711">G1299</f>
        <v>17</v>
      </c>
      <c r="H1359" s="79">
        <f t="shared" si="711"/>
        <v>77</v>
      </c>
      <c r="I1359" s="79">
        <f t="shared" si="711"/>
        <v>37</v>
      </c>
      <c r="J1359" s="79">
        <f t="shared" si="711"/>
        <v>14</v>
      </c>
      <c r="K1359" s="79">
        <f t="shared" si="711"/>
        <v>1</v>
      </c>
      <c r="L1359" s="79">
        <f t="shared" si="711"/>
        <v>1</v>
      </c>
      <c r="M1359" s="79">
        <f t="shared" si="705"/>
        <v>16</v>
      </c>
      <c r="N1359" s="79">
        <f>N1299</f>
        <v>11</v>
      </c>
      <c r="O1359" s="79">
        <f t="shared" si="706"/>
        <v>383</v>
      </c>
      <c r="P1359" s="79">
        <f>P1299</f>
        <v>0</v>
      </c>
      <c r="Q1359" s="79">
        <f>Q1299</f>
        <v>0</v>
      </c>
      <c r="R1359" s="79">
        <f>R1299</f>
        <v>0</v>
      </c>
      <c r="S1359" s="79">
        <f>S1299</f>
        <v>0</v>
      </c>
      <c r="U1359" s="80">
        <f t="shared" si="701"/>
        <v>0</v>
      </c>
      <c r="W1359" s="81">
        <f t="shared" si="677"/>
        <v>1</v>
      </c>
      <c r="X1359" s="81">
        <f t="shared" si="678"/>
        <v>1</v>
      </c>
      <c r="Y1359" s="81">
        <f t="shared" si="679"/>
        <v>0</v>
      </c>
      <c r="Z1359" s="79"/>
      <c r="AF1359" s="79"/>
      <c r="AJ1359" s="66"/>
      <c r="AK1359" s="70"/>
    </row>
    <row r="1360" spans="1:37" hidden="1">
      <c r="A1360" s="65">
        <f t="shared" si="702"/>
        <v>24</v>
      </c>
      <c r="B1360" s="66" t="s">
        <v>567</v>
      </c>
      <c r="C1360" s="79">
        <f>C1310</f>
        <v>348</v>
      </c>
      <c r="D1360" s="79">
        <f>D1310</f>
        <v>190</v>
      </c>
      <c r="E1360" s="79">
        <f>E1310</f>
        <v>5</v>
      </c>
      <c r="F1360" s="79">
        <f t="shared" si="703"/>
        <v>195</v>
      </c>
      <c r="G1360" s="79">
        <f t="shared" ref="G1360:L1360" si="712">G1310</f>
        <v>13</v>
      </c>
      <c r="H1360" s="79">
        <f t="shared" si="712"/>
        <v>70</v>
      </c>
      <c r="I1360" s="79">
        <f t="shared" si="712"/>
        <v>39</v>
      </c>
      <c r="J1360" s="79">
        <f t="shared" si="712"/>
        <v>16</v>
      </c>
      <c r="K1360" s="79">
        <f t="shared" si="712"/>
        <v>1</v>
      </c>
      <c r="L1360" s="79">
        <f t="shared" si="712"/>
        <v>1</v>
      </c>
      <c r="M1360" s="79">
        <f t="shared" si="705"/>
        <v>18</v>
      </c>
      <c r="N1360" s="79">
        <f>N1310</f>
        <v>3</v>
      </c>
      <c r="O1360" s="79">
        <f t="shared" si="706"/>
        <v>338</v>
      </c>
      <c r="P1360" s="79">
        <f>P1310</f>
        <v>9</v>
      </c>
      <c r="Q1360" s="79">
        <f>Q1310</f>
        <v>1</v>
      </c>
      <c r="R1360" s="79">
        <f>R1310</f>
        <v>10</v>
      </c>
      <c r="S1360" s="79">
        <f>S1310</f>
        <v>0</v>
      </c>
      <c r="U1360" s="80">
        <f t="shared" si="701"/>
        <v>0</v>
      </c>
      <c r="W1360" s="81">
        <f t="shared" si="677"/>
        <v>0.97126440000000003</v>
      </c>
      <c r="X1360" s="81">
        <f t="shared" si="678"/>
        <v>0.97126440000000003</v>
      </c>
      <c r="Y1360" s="81">
        <f t="shared" si="679"/>
        <v>0</v>
      </c>
      <c r="Z1360" s="79"/>
      <c r="AF1360" s="79"/>
      <c r="AJ1360" s="66"/>
      <c r="AK1360" s="70"/>
    </row>
    <row r="1361" spans="1:37" hidden="1">
      <c r="A1361" s="65">
        <f t="shared" si="702"/>
        <v>25</v>
      </c>
      <c r="B1361" s="66" t="s">
        <v>568</v>
      </c>
      <c r="C1361" s="79">
        <f>C1312</f>
        <v>0</v>
      </c>
      <c r="D1361" s="79">
        <f>D1312</f>
        <v>0</v>
      </c>
      <c r="E1361" s="79">
        <f>E1312</f>
        <v>0</v>
      </c>
      <c r="F1361" s="79">
        <f t="shared" si="703"/>
        <v>0</v>
      </c>
      <c r="G1361" s="79">
        <f t="shared" ref="G1361:L1361" si="713">G1312</f>
        <v>0</v>
      </c>
      <c r="H1361" s="79">
        <f t="shared" si="713"/>
        <v>0</v>
      </c>
      <c r="I1361" s="79">
        <f t="shared" si="713"/>
        <v>0</v>
      </c>
      <c r="J1361" s="79">
        <f t="shared" si="713"/>
        <v>0</v>
      </c>
      <c r="K1361" s="79">
        <f t="shared" si="713"/>
        <v>0</v>
      </c>
      <c r="L1361" s="79">
        <f t="shared" si="713"/>
        <v>0</v>
      </c>
      <c r="M1361" s="79">
        <f t="shared" si="705"/>
        <v>0</v>
      </c>
      <c r="N1361" s="79">
        <f>N1312</f>
        <v>0</v>
      </c>
      <c r="O1361" s="79">
        <f t="shared" si="706"/>
        <v>0</v>
      </c>
      <c r="P1361" s="79">
        <f>P1312</f>
        <v>0</v>
      </c>
      <c r="Q1361" s="79">
        <f>Q1312</f>
        <v>0</v>
      </c>
      <c r="R1361" s="79">
        <f>R1312</f>
        <v>0</v>
      </c>
      <c r="S1361" s="79">
        <f>S1312</f>
        <v>0</v>
      </c>
      <c r="U1361" s="80">
        <f t="shared" si="701"/>
        <v>0</v>
      </c>
      <c r="W1361" s="81" t="str">
        <f t="shared" si="677"/>
        <v xml:space="preserve"> </v>
      </c>
      <c r="X1361" s="81" t="str">
        <f t="shared" si="678"/>
        <v xml:space="preserve"> </v>
      </c>
      <c r="Y1361" s="81" t="str">
        <f t="shared" si="679"/>
        <v xml:space="preserve"> </v>
      </c>
      <c r="Z1361" s="79"/>
      <c r="AF1361" s="79"/>
      <c r="AJ1361" s="66"/>
      <c r="AK1361" s="70"/>
    </row>
    <row r="1362" spans="1:37" hidden="1">
      <c r="A1362" s="65">
        <f t="shared" si="702"/>
        <v>26</v>
      </c>
      <c r="B1362" s="66" t="s">
        <v>569</v>
      </c>
      <c r="C1362" s="79">
        <f>SUM(C1353:C1361)</f>
        <v>435426.59250000003</v>
      </c>
      <c r="D1362" s="79">
        <f>SUM(D1353:D1361)</f>
        <v>232552.08200000002</v>
      </c>
      <c r="E1362" s="79">
        <f>SUM(E1353:E1361)</f>
        <v>6631.0505000000003</v>
      </c>
      <c r="F1362" s="79">
        <f>D1362+E1362</f>
        <v>239183.13250000004</v>
      </c>
      <c r="G1362" s="79">
        <f t="shared" ref="G1362:L1362" si="714">SUM(G1353:G1361)</f>
        <v>17820</v>
      </c>
      <c r="H1362" s="79">
        <f t="shared" si="714"/>
        <v>73829</v>
      </c>
      <c r="I1362" s="79">
        <f t="shared" si="714"/>
        <v>46703</v>
      </c>
      <c r="J1362" s="79">
        <f t="shared" si="714"/>
        <v>16865</v>
      </c>
      <c r="K1362" s="79">
        <f t="shared" si="714"/>
        <v>1322</v>
      </c>
      <c r="L1362" s="79">
        <f t="shared" si="714"/>
        <v>698</v>
      </c>
      <c r="M1362" s="79">
        <f>SUM(J1362:L1362)</f>
        <v>18885</v>
      </c>
      <c r="N1362" s="79">
        <f>SUM(N1353:N1361)</f>
        <v>9300</v>
      </c>
      <c r="O1362" s="79">
        <f>SUM(F1362:I1362)+SUM(M1362:N1362)</f>
        <v>405720.13250000007</v>
      </c>
      <c r="P1362" s="79">
        <f>SUM(P1353:P1361)</f>
        <v>7413.2420000000002</v>
      </c>
      <c r="Q1362" s="79">
        <f>SUM(Q1353:Q1361)</f>
        <v>972.5</v>
      </c>
      <c r="R1362" s="79">
        <f>SUM(R1353:R1361)</f>
        <v>8385.7420000000002</v>
      </c>
      <c r="S1362" s="79">
        <f>SUM(S1353:S1361)</f>
        <v>21320.717999999997</v>
      </c>
      <c r="U1362" s="80">
        <f t="shared" si="701"/>
        <v>0</v>
      </c>
      <c r="W1362" s="81">
        <f t="shared" si="677"/>
        <v>0.9797498</v>
      </c>
      <c r="X1362" s="81">
        <f t="shared" si="678"/>
        <v>0.93177620000000005</v>
      </c>
      <c r="Y1362" s="81">
        <f t="shared" si="679"/>
        <v>4.8965099999999998E-2</v>
      </c>
      <c r="Z1362" s="79"/>
      <c r="AF1362" s="79"/>
      <c r="AJ1362" s="66"/>
      <c r="AK1362" s="65"/>
    </row>
    <row r="1363" spans="1:37" hidden="1">
      <c r="C1363" s="79"/>
      <c r="D1363" s="79"/>
      <c r="E1363" s="79"/>
      <c r="F1363" s="79"/>
      <c r="G1363" s="79"/>
      <c r="H1363" s="79"/>
      <c r="I1363" s="79"/>
      <c r="J1363" s="79"/>
      <c r="K1363" s="79"/>
      <c r="L1363" s="79"/>
      <c r="M1363" s="79"/>
      <c r="N1363" s="79"/>
      <c r="O1363" s="79"/>
      <c r="P1363" s="79"/>
      <c r="Q1363" s="79"/>
      <c r="R1363" s="79"/>
      <c r="S1363" s="79"/>
      <c r="U1363" s="80"/>
      <c r="W1363" s="81" t="str">
        <f t="shared" si="677"/>
        <v xml:space="preserve"> </v>
      </c>
      <c r="X1363" s="81" t="str">
        <f t="shared" si="678"/>
        <v xml:space="preserve"> </v>
      </c>
      <c r="Y1363" s="81" t="str">
        <f t="shared" si="679"/>
        <v xml:space="preserve"> </v>
      </c>
      <c r="Z1363" s="79"/>
      <c r="AF1363" s="79"/>
      <c r="AJ1363" s="66"/>
      <c r="AK1363" s="65"/>
    </row>
    <row r="1364" spans="1:37" hidden="1">
      <c r="A1364" s="65">
        <f>A1362+1</f>
        <v>27</v>
      </c>
      <c r="B1364" s="66" t="s">
        <v>570</v>
      </c>
      <c r="C1364" s="79">
        <f>C1349-C1362</f>
        <v>123536.41710009996</v>
      </c>
      <c r="D1364" s="79">
        <f>D1349-D1362</f>
        <v>39096.917990100017</v>
      </c>
      <c r="E1364" s="79">
        <f>E1349-E1362</f>
        <v>1613.9504999999999</v>
      </c>
      <c r="F1364" s="79">
        <f>D1364+E1364</f>
        <v>40710.868490100016</v>
      </c>
      <c r="G1364" s="79">
        <f t="shared" ref="G1364:L1364" si="715">G1349-G1362</f>
        <v>2794</v>
      </c>
      <c r="H1364" s="79">
        <f t="shared" si="715"/>
        <v>20499</v>
      </c>
      <c r="I1364" s="79">
        <f t="shared" si="715"/>
        <v>8066.0004499999995</v>
      </c>
      <c r="J1364" s="79">
        <f t="shared" si="715"/>
        <v>143.00044999999955</v>
      </c>
      <c r="K1364" s="79">
        <f t="shared" si="715"/>
        <v>-14.999549999999999</v>
      </c>
      <c r="L1364" s="79">
        <f t="shared" si="715"/>
        <v>278.00045</v>
      </c>
      <c r="M1364" s="79">
        <f>SUM(J1364:L1364)</f>
        <v>406.00134999999955</v>
      </c>
      <c r="N1364" s="79">
        <f>N1349-N1362</f>
        <v>3713.0004600000011</v>
      </c>
      <c r="O1364" s="79">
        <f>SUM(F1364:I1364)+SUM(M1364:N1364)</f>
        <v>76188.870750100017</v>
      </c>
      <c r="P1364" s="79">
        <f>P1349-P1362</f>
        <v>8252.7584500000012</v>
      </c>
      <c r="Q1364" s="79">
        <f>Q1349-Q1362</f>
        <v>763.50045</v>
      </c>
      <c r="R1364" s="79">
        <f>P1364+Q1364</f>
        <v>9016.2589000000007</v>
      </c>
      <c r="S1364" s="79">
        <f>S1349-S1362</f>
        <v>38331.287450000003</v>
      </c>
      <c r="U1364" s="80">
        <f t="shared" ref="U1364:U1370" si="716">O1364+R1364+S1364-C1364</f>
        <v>0</v>
      </c>
      <c r="W1364" s="81">
        <f t="shared" si="677"/>
        <v>0.89418169999999997</v>
      </c>
      <c r="X1364" s="81">
        <f t="shared" si="678"/>
        <v>0.61673210000000001</v>
      </c>
      <c r="Y1364" s="81">
        <f t="shared" si="679"/>
        <v>0.31028329999999998</v>
      </c>
      <c r="Z1364" s="79"/>
      <c r="AF1364" s="79"/>
      <c r="AJ1364" s="66"/>
    </row>
    <row r="1365" spans="1:37" hidden="1">
      <c r="C1365" s="79"/>
      <c r="D1365" s="79"/>
      <c r="E1365" s="79"/>
      <c r="F1365" s="79"/>
      <c r="G1365" s="79"/>
      <c r="H1365" s="79"/>
      <c r="I1365" s="79"/>
      <c r="J1365" s="79"/>
      <c r="K1365" s="79"/>
      <c r="L1365" s="79"/>
      <c r="M1365" s="79"/>
      <c r="N1365" s="79"/>
      <c r="O1365" s="79"/>
      <c r="P1365" s="79"/>
      <c r="Q1365" s="79"/>
      <c r="R1365" s="79"/>
      <c r="S1365" s="79"/>
      <c r="U1365" s="80"/>
      <c r="W1365" s="81" t="str">
        <f t="shared" si="677"/>
        <v xml:space="preserve"> </v>
      </c>
      <c r="X1365" s="81" t="str">
        <f t="shared" si="678"/>
        <v xml:space="preserve"> </v>
      </c>
      <c r="Y1365" s="81" t="str">
        <f t="shared" si="679"/>
        <v xml:space="preserve"> </v>
      </c>
      <c r="Z1365" s="79"/>
      <c r="AF1365" s="79"/>
      <c r="AJ1365" s="66"/>
    </row>
    <row r="1366" spans="1:37" hidden="1">
      <c r="A1366" s="65">
        <f>A1364+1</f>
        <v>28</v>
      </c>
      <c r="B1366" s="66" t="s">
        <v>571</v>
      </c>
      <c r="C1366" s="78">
        <f>55263+9282-36329-6041</f>
        <v>22175</v>
      </c>
      <c r="D1366" s="79">
        <f>C1366-E1366-SUM(G1366:I1366)-SUM(M1366:N1366)-R1366-S1366</f>
        <v>2338</v>
      </c>
      <c r="E1366" s="79">
        <f>ROUND((E1364*$C$1636)-((($C1364-$S1364)*$C$1636)-($C1366-$S1366))/($C1341-$S1341)*E1341,0)</f>
        <v>260</v>
      </c>
      <c r="F1366" s="79">
        <f>D1366+E1366</f>
        <v>2598</v>
      </c>
      <c r="G1366" s="79">
        <f t="shared" ref="G1366:L1366" si="717">ROUND((G1364*$C$1636)-((($C1364-$S1364)*$C$1636)-($C1366-$S1366))/($C1341-$S1341)*G1341,0)</f>
        <v>265</v>
      </c>
      <c r="H1366" s="79">
        <f t="shared" si="717"/>
        <v>3540</v>
      </c>
      <c r="I1366" s="79">
        <f t="shared" si="717"/>
        <v>884</v>
      </c>
      <c r="J1366" s="79">
        <f t="shared" si="717"/>
        <v>-920</v>
      </c>
      <c r="K1366" s="79">
        <f t="shared" si="717"/>
        <v>-89</v>
      </c>
      <c r="L1366" s="79">
        <f t="shared" si="717"/>
        <v>68</v>
      </c>
      <c r="M1366" s="79">
        <f>SUM(J1366:L1366)</f>
        <v>-941</v>
      </c>
      <c r="N1366" s="79">
        <f>ROUND((N1364*$C$1636)-((($C1364-$S1364)*$C$1636)-($C1366-$S1366))/($C1341-$S1341)*N1341,0)</f>
        <v>724</v>
      </c>
      <c r="O1366" s="79">
        <f>SUM(F1366:I1366)+SUM(M1366:N1366)</f>
        <v>7070</v>
      </c>
      <c r="P1366" s="79">
        <f>ROUND((P1364*$C$1636)-((($C1364-$S1364)*$C$1636)-($C1366-$S1366))/($C1341-$S1341)*P1341,0)</f>
        <v>2753</v>
      </c>
      <c r="Q1366" s="79">
        <f>ROUND((Q1364*$C$1636)-((($C1364-$S1364)*$C$1636)-($C1366-$S1366))/($C1341-$S1341)*Q1341,0)</f>
        <v>246</v>
      </c>
      <c r="R1366" s="78">
        <f>P1366+Q1366</f>
        <v>2999</v>
      </c>
      <c r="S1366" s="78">
        <v>12106</v>
      </c>
      <c r="U1366" s="80">
        <f t="shared" si="716"/>
        <v>0</v>
      </c>
      <c r="W1366" s="81">
        <f t="shared" si="677"/>
        <v>0.70215510000000003</v>
      </c>
      <c r="X1366" s="81">
        <f t="shared" si="678"/>
        <v>0.31882749999999999</v>
      </c>
      <c r="Y1366" s="81">
        <f t="shared" si="679"/>
        <v>0.54593009999999997</v>
      </c>
      <c r="Z1366" s="79"/>
      <c r="AF1366" s="79"/>
      <c r="AJ1366" s="66"/>
    </row>
    <row r="1367" spans="1:37" hidden="1">
      <c r="A1367" s="65">
        <f>A1366+1</f>
        <v>29</v>
      </c>
      <c r="B1367" s="66" t="s">
        <v>572</v>
      </c>
      <c r="C1367" s="78">
        <v>8274</v>
      </c>
      <c r="D1367" s="79">
        <f>C1367-E1367-SUM(G1367:I1367)-SUM(M1367:N1367)-R1367-S1367</f>
        <v>4661</v>
      </c>
      <c r="E1367" s="79">
        <f>ROUND((E1341/($C1341-$R1341-$S1341))*($C1367-$R1367-$S1367),0)</f>
        <v>133</v>
      </c>
      <c r="F1367" s="79">
        <f>D1367+E1367</f>
        <v>4794</v>
      </c>
      <c r="G1367" s="79">
        <f t="shared" ref="G1367:L1367" si="718">ROUND((G1341/($C1341-$R1341-$S1341))*($C1367-$R1367-$S1367),0)</f>
        <v>297</v>
      </c>
      <c r="H1367" s="79">
        <f t="shared" si="718"/>
        <v>1598</v>
      </c>
      <c r="I1367" s="79">
        <f t="shared" si="718"/>
        <v>815</v>
      </c>
      <c r="J1367" s="79">
        <f t="shared" si="718"/>
        <v>357</v>
      </c>
      <c r="K1367" s="79">
        <f t="shared" si="718"/>
        <v>30</v>
      </c>
      <c r="L1367" s="79">
        <f t="shared" si="718"/>
        <v>14</v>
      </c>
      <c r="M1367" s="79">
        <f>SUM(J1367:L1367)</f>
        <v>401</v>
      </c>
      <c r="N1367" s="79">
        <f>ROUND((N1341/($C1341-$R1341-$S1341))*($C1367-$R1367-$S1367),0)</f>
        <v>259</v>
      </c>
      <c r="O1367" s="79">
        <f>SUM(F1367:I1367)+SUM(M1367:N1367)</f>
        <v>8164</v>
      </c>
      <c r="P1367" s="79">
        <f>ROUND((P1341/($R1341))*($R1367),0)</f>
        <v>99</v>
      </c>
      <c r="Q1367" s="79">
        <f>ROUND((Q1341/($R1341))*($R1367),0)</f>
        <v>11</v>
      </c>
      <c r="R1367" s="78">
        <f>8274-8164</f>
        <v>110</v>
      </c>
      <c r="S1367" s="79">
        <v>0</v>
      </c>
      <c r="U1367" s="80">
        <f t="shared" si="716"/>
        <v>0</v>
      </c>
      <c r="W1367" s="81">
        <f t="shared" si="677"/>
        <v>0.98670530000000001</v>
      </c>
      <c r="X1367" s="81">
        <f t="shared" si="678"/>
        <v>0.98670530000000001</v>
      </c>
      <c r="Y1367" s="81">
        <f t="shared" si="679"/>
        <v>0</v>
      </c>
      <c r="Z1367" s="79"/>
      <c r="AF1367" s="79"/>
      <c r="AJ1367" s="66"/>
    </row>
    <row r="1368" spans="1:37" hidden="1">
      <c r="A1368" s="65">
        <f>A1367+1</f>
        <v>30</v>
      </c>
      <c r="B1368" s="66" t="s">
        <v>573</v>
      </c>
      <c r="C1368" s="79">
        <f>O1368+R1368+S1368</f>
        <v>30449</v>
      </c>
      <c r="D1368" s="79">
        <f>D1366+D1367</f>
        <v>6999</v>
      </c>
      <c r="E1368" s="79">
        <f>E1366+E1367</f>
        <v>393</v>
      </c>
      <c r="F1368" s="79">
        <f>D1368+E1368</f>
        <v>7392</v>
      </c>
      <c r="G1368" s="79">
        <f t="shared" ref="G1368:L1368" si="719">G1366+G1367</f>
        <v>562</v>
      </c>
      <c r="H1368" s="79">
        <f t="shared" si="719"/>
        <v>5138</v>
      </c>
      <c r="I1368" s="79">
        <f t="shared" si="719"/>
        <v>1699</v>
      </c>
      <c r="J1368" s="79">
        <f t="shared" si="719"/>
        <v>-563</v>
      </c>
      <c r="K1368" s="79">
        <f t="shared" si="719"/>
        <v>-59</v>
      </c>
      <c r="L1368" s="79">
        <f t="shared" si="719"/>
        <v>82</v>
      </c>
      <c r="M1368" s="79">
        <f>SUM(J1368:L1368)</f>
        <v>-540</v>
      </c>
      <c r="N1368" s="79">
        <f>N1366+N1367</f>
        <v>983</v>
      </c>
      <c r="O1368" s="79">
        <f>SUM(F1368:I1368)+SUM(M1368:N1368)</f>
        <v>15234</v>
      </c>
      <c r="P1368" s="79">
        <f>P1366+P1367</f>
        <v>2852</v>
      </c>
      <c r="Q1368" s="79">
        <f>Q1366+Q1367</f>
        <v>257</v>
      </c>
      <c r="R1368" s="78">
        <f>P1368+Q1368</f>
        <v>3109</v>
      </c>
      <c r="S1368" s="79">
        <f>S1366+S1367</f>
        <v>12106</v>
      </c>
      <c r="U1368" s="80">
        <f t="shared" si="716"/>
        <v>0</v>
      </c>
      <c r="W1368" s="81">
        <f t="shared" si="677"/>
        <v>0.83050760000000001</v>
      </c>
      <c r="X1368" s="81">
        <f t="shared" si="678"/>
        <v>0.50031199999999998</v>
      </c>
      <c r="Y1368" s="81">
        <f t="shared" si="679"/>
        <v>0.39758280000000001</v>
      </c>
      <c r="Z1368" s="79"/>
      <c r="AF1368" s="79"/>
      <c r="AJ1368" s="66"/>
    </row>
    <row r="1369" spans="1:37" hidden="1">
      <c r="C1369" s="79"/>
      <c r="D1369" s="79"/>
      <c r="E1369" s="79"/>
      <c r="F1369" s="79"/>
      <c r="G1369" s="79"/>
      <c r="H1369" s="79"/>
      <c r="I1369" s="79"/>
      <c r="J1369" s="79"/>
      <c r="K1369" s="79"/>
      <c r="L1369" s="79"/>
      <c r="M1369" s="79"/>
      <c r="N1369" s="79"/>
      <c r="O1369" s="79"/>
      <c r="P1369" s="79"/>
      <c r="Q1369" s="79"/>
      <c r="R1369" s="79"/>
      <c r="S1369" s="79"/>
      <c r="U1369" s="80"/>
      <c r="W1369" s="81" t="str">
        <f t="shared" si="677"/>
        <v xml:space="preserve"> </v>
      </c>
      <c r="X1369" s="81" t="str">
        <f t="shared" si="678"/>
        <v xml:space="preserve"> </v>
      </c>
      <c r="Y1369" s="81" t="str">
        <f t="shared" si="679"/>
        <v xml:space="preserve"> </v>
      </c>
      <c r="Z1369" s="79"/>
      <c r="AF1369" s="79"/>
      <c r="AJ1369" s="66"/>
    </row>
    <row r="1370" spans="1:37" hidden="1">
      <c r="A1370" s="65">
        <f>A1368+1</f>
        <v>31</v>
      </c>
      <c r="B1370" s="66" t="s">
        <v>574</v>
      </c>
      <c r="C1370" s="79">
        <f>O1370+R1370+S1370</f>
        <v>93087.417100100021</v>
      </c>
      <c r="D1370" s="79">
        <f>D1364-D1368</f>
        <v>32097.917990100017</v>
      </c>
      <c r="E1370" s="79">
        <f>E1364-E1368</f>
        <v>1220.9504999999999</v>
      </c>
      <c r="F1370" s="79">
        <f>D1370+E1370</f>
        <v>33318.868490100016</v>
      </c>
      <c r="G1370" s="79">
        <f t="shared" ref="G1370:L1370" si="720">G1364-G1368</f>
        <v>2232</v>
      </c>
      <c r="H1370" s="79">
        <f t="shared" si="720"/>
        <v>15361</v>
      </c>
      <c r="I1370" s="79">
        <f t="shared" si="720"/>
        <v>6367.0004499999995</v>
      </c>
      <c r="J1370" s="79">
        <f t="shared" si="720"/>
        <v>706.00044999999955</v>
      </c>
      <c r="K1370" s="79">
        <f t="shared" si="720"/>
        <v>44.000450000000001</v>
      </c>
      <c r="L1370" s="79">
        <f t="shared" si="720"/>
        <v>196.00045</v>
      </c>
      <c r="M1370" s="79">
        <f>SUM(J1370:L1370)</f>
        <v>946.00134999999955</v>
      </c>
      <c r="N1370" s="79">
        <f>N1364-N1368</f>
        <v>2730.0004600000011</v>
      </c>
      <c r="O1370" s="79">
        <f>SUM(F1370:I1370)+SUM(M1370:N1370)</f>
        <v>60954.870750100017</v>
      </c>
      <c r="P1370" s="79">
        <f>P1364-P1368</f>
        <v>5400.7584500000012</v>
      </c>
      <c r="Q1370" s="79">
        <f>Q1364-Q1368</f>
        <v>506.50045</v>
      </c>
      <c r="R1370" s="79">
        <f>R1364-R1368</f>
        <v>5907.2589000000007</v>
      </c>
      <c r="S1370" s="79">
        <f>S1364-S1368</f>
        <v>26225.287450000003</v>
      </c>
      <c r="U1370" s="80">
        <f t="shared" si="716"/>
        <v>0</v>
      </c>
      <c r="W1370" s="81">
        <f t="shared" si="677"/>
        <v>0.91165019999999997</v>
      </c>
      <c r="X1370" s="81">
        <f t="shared" si="678"/>
        <v>0.65481319999999998</v>
      </c>
      <c r="Y1370" s="81">
        <f t="shared" si="679"/>
        <v>0.28172750000000002</v>
      </c>
      <c r="Z1370" s="79"/>
      <c r="AF1370" s="79"/>
      <c r="AJ1370" s="66"/>
    </row>
    <row r="1371" spans="1:37" hidden="1">
      <c r="W1371" s="81" t="str">
        <f t="shared" si="677"/>
        <v xml:space="preserve"> </v>
      </c>
      <c r="X1371" s="81" t="str">
        <f t="shared" si="678"/>
        <v xml:space="preserve"> </v>
      </c>
      <c r="Y1371" s="81" t="str">
        <f t="shared" si="679"/>
        <v xml:space="preserve"> </v>
      </c>
      <c r="AJ1371" s="66"/>
    </row>
    <row r="1372" spans="1:37" hidden="1">
      <c r="A1372" s="65">
        <f>A1370+1</f>
        <v>32</v>
      </c>
      <c r="B1372" s="66" t="s">
        <v>575</v>
      </c>
      <c r="C1372" s="93">
        <f t="shared" ref="C1372:S1372" si="721">C1370/C1341</f>
        <v>4.7010123538156597E-2</v>
      </c>
      <c r="D1372" s="93">
        <f t="shared" si="721"/>
        <v>3.354668278206361E-2</v>
      </c>
      <c r="E1372" s="93">
        <f t="shared" si="721"/>
        <v>4.4803878756742868E-2</v>
      </c>
      <c r="F1372" s="93">
        <f t="shared" si="721"/>
        <v>3.3858420332372123E-2</v>
      </c>
      <c r="G1372" s="93">
        <f t="shared" si="721"/>
        <v>3.6556005044466648E-2</v>
      </c>
      <c r="H1372" s="93">
        <f t="shared" si="721"/>
        <v>4.6838314662243336E-2</v>
      </c>
      <c r="I1372" s="93">
        <f t="shared" si="721"/>
        <v>3.8063982698734386E-2</v>
      </c>
      <c r="J1372" s="93">
        <f t="shared" si="721"/>
        <v>9.6379682466007695E-3</v>
      </c>
      <c r="K1372" s="93">
        <f t="shared" si="721"/>
        <v>7.0626658069243087E-3</v>
      </c>
      <c r="L1372" s="93">
        <f t="shared" si="721"/>
        <v>6.6104572235344092E-2</v>
      </c>
      <c r="M1372" s="93">
        <f t="shared" si="721"/>
        <v>1.1474052584797187E-2</v>
      </c>
      <c r="N1372" s="93">
        <f t="shared" si="721"/>
        <v>5.1309046929905615E-2</v>
      </c>
      <c r="O1372" s="93">
        <f t="shared" si="721"/>
        <v>3.6369157347381116E-2</v>
      </c>
      <c r="P1372" s="93">
        <f t="shared" si="721"/>
        <v>0.166896120210136</v>
      </c>
      <c r="Q1372" s="93">
        <f t="shared" si="721"/>
        <v>0.13838810109289618</v>
      </c>
      <c r="R1372" s="93">
        <f t="shared" si="721"/>
        <v>0.16399486133089033</v>
      </c>
      <c r="S1372" s="93">
        <f t="shared" si="721"/>
        <v>9.7807408504214155E-2</v>
      </c>
      <c r="U1372" s="94"/>
      <c r="W1372" s="81">
        <f t="shared" si="677"/>
        <v>0.18151539999999999</v>
      </c>
      <c r="X1372" s="81">
        <f t="shared" si="678"/>
        <v>0.77364520000000003</v>
      </c>
      <c r="Y1372" s="81">
        <f t="shared" si="679"/>
        <v>2.0805606000000001</v>
      </c>
      <c r="Z1372" s="93"/>
      <c r="AF1372" s="93"/>
      <c r="AJ1372" s="66"/>
    </row>
    <row r="1373" spans="1:37" hidden="1">
      <c r="B1373" s="95"/>
      <c r="C1373" s="96"/>
      <c r="D1373" s="96"/>
      <c r="E1373" s="96"/>
      <c r="F1373" s="96"/>
      <c r="G1373" s="96"/>
      <c r="H1373" s="96"/>
      <c r="I1373" s="96"/>
      <c r="J1373" s="96"/>
      <c r="K1373" s="96"/>
      <c r="L1373" s="96"/>
      <c r="M1373" s="96"/>
      <c r="N1373" s="96"/>
      <c r="O1373" s="96"/>
      <c r="P1373" s="96"/>
      <c r="Q1373" s="96"/>
      <c r="R1373" s="96"/>
      <c r="S1373" s="96"/>
      <c r="W1373" s="81"/>
      <c r="X1373" s="81"/>
      <c r="Y1373" s="81"/>
      <c r="AJ1373" s="66"/>
    </row>
    <row r="1374" spans="1:37" hidden="1">
      <c r="A1374" s="65">
        <f>A1372+1</f>
        <v>33</v>
      </c>
      <c r="B1374" s="71" t="s">
        <v>576</v>
      </c>
      <c r="D1374" s="97">
        <f>D1372/$O$1372</f>
        <v>0.92239373218470377</v>
      </c>
      <c r="E1374" s="97">
        <f t="shared" ref="E1374:O1374" si="722">E1372/$O$1372</f>
        <v>1.2319196270839397</v>
      </c>
      <c r="F1374" s="97">
        <f t="shared" si="722"/>
        <v>0.93096521343544991</v>
      </c>
      <c r="G1374" s="97">
        <f t="shared" si="722"/>
        <v>1.0051375316535616</v>
      </c>
      <c r="H1374" s="97">
        <f t="shared" si="722"/>
        <v>1.2878581215084459</v>
      </c>
      <c r="I1374" s="97">
        <f t="shared" si="722"/>
        <v>1.0466006219271207</v>
      </c>
      <c r="J1374" s="97">
        <f t="shared" si="722"/>
        <v>0.2650038920215671</v>
      </c>
      <c r="K1374" s="97">
        <f t="shared" si="722"/>
        <v>0.19419382581413808</v>
      </c>
      <c r="L1374" s="97">
        <f t="shared" si="722"/>
        <v>1.8175997756545266</v>
      </c>
      <c r="M1374" s="97">
        <f t="shared" si="722"/>
        <v>0.31548854638567575</v>
      </c>
      <c r="N1374" s="97">
        <f t="shared" si="722"/>
        <v>1.4107845953049087</v>
      </c>
      <c r="O1374" s="97">
        <f t="shared" si="722"/>
        <v>1</v>
      </c>
      <c r="W1374" s="81"/>
      <c r="X1374" s="81"/>
      <c r="Y1374" s="81"/>
      <c r="AJ1374" s="66"/>
    </row>
    <row r="1375" spans="1:37" hidden="1">
      <c r="A1375" s="65" t="s">
        <v>577</v>
      </c>
      <c r="B1375" s="72"/>
      <c r="C1375" s="65" t="s">
        <v>578</v>
      </c>
      <c r="H1375" s="65" t="s">
        <v>80</v>
      </c>
      <c r="P1375" s="98"/>
      <c r="Q1375" s="65" t="s">
        <v>80</v>
      </c>
      <c r="V1375" s="65" t="s">
        <v>577</v>
      </c>
      <c r="X1375" s="81"/>
      <c r="Y1375" s="81"/>
      <c r="Z1375" s="65"/>
      <c r="AJ1375" s="66"/>
      <c r="AK1375" s="65"/>
    </row>
    <row r="1376" spans="1:37" hidden="1">
      <c r="H1376" s="70" t="str">
        <f>$H$24</f>
        <v>12 MONTHS ENDING DECEMBER 31, 2012</v>
      </c>
      <c r="Q1376" s="70" t="str">
        <f>$H$24</f>
        <v>12 MONTHS ENDING DECEMBER 31, 2012</v>
      </c>
      <c r="X1376" s="81"/>
      <c r="Y1376" s="81"/>
      <c r="Z1376" s="70"/>
      <c r="AJ1376" s="66"/>
      <c r="AK1376" s="65"/>
    </row>
    <row r="1377" spans="1:37" hidden="1">
      <c r="H1377" s="70" t="str">
        <f>$H$25</f>
        <v>12/13 DEMAND ALLOCATION WITH MDS METHODOLOGY</v>
      </c>
      <c r="Q1377" s="70" t="str">
        <f>$H$25</f>
        <v>12/13 DEMAND ALLOCATION WITH MDS METHODOLOGY</v>
      </c>
      <c r="X1377" s="81"/>
      <c r="Y1377" s="81"/>
      <c r="Z1377" s="70"/>
      <c r="AJ1377" s="66"/>
      <c r="AK1377" s="65"/>
    </row>
    <row r="1378" spans="1:37" hidden="1">
      <c r="H1378" s="70" t="s">
        <v>88</v>
      </c>
      <c r="Q1378" s="70" t="s">
        <v>88</v>
      </c>
      <c r="X1378" s="81"/>
      <c r="Y1378" s="81"/>
      <c r="Z1378" s="70"/>
      <c r="AJ1378" s="66"/>
      <c r="AK1378" s="65"/>
    </row>
    <row r="1379" spans="1:37" hidden="1">
      <c r="H1379" s="87" t="s">
        <v>114</v>
      </c>
      <c r="Q1379" s="87" t="s">
        <v>114</v>
      </c>
      <c r="S1379" s="99"/>
      <c r="X1379" s="81"/>
      <c r="Y1379" s="81"/>
      <c r="Z1379" s="87"/>
      <c r="AF1379" s="99"/>
      <c r="AJ1379" s="66"/>
      <c r="AK1379" s="65"/>
    </row>
    <row r="1380" spans="1:37" hidden="1">
      <c r="C1380" s="65" t="s">
        <v>59</v>
      </c>
      <c r="K1380" s="65"/>
      <c r="L1380" s="65"/>
      <c r="M1380" s="65"/>
      <c r="O1380" s="65" t="s">
        <v>59</v>
      </c>
      <c r="P1380" s="65"/>
      <c r="Q1380" s="65"/>
      <c r="R1380" s="65"/>
      <c r="S1380" s="65" t="s">
        <v>115</v>
      </c>
      <c r="W1380" s="76" t="s">
        <v>116</v>
      </c>
      <c r="X1380" s="76" t="s">
        <v>116</v>
      </c>
      <c r="Y1380" s="76" t="s">
        <v>117</v>
      </c>
      <c r="AF1380" s="65"/>
      <c r="AJ1380" s="66"/>
      <c r="AK1380" s="65"/>
    </row>
    <row r="1381" spans="1:37" hidden="1">
      <c r="A1381" s="65" t="s">
        <v>118</v>
      </c>
      <c r="C1381" s="65" t="s">
        <v>58</v>
      </c>
      <c r="D1381" s="70" t="s">
        <v>119</v>
      </c>
      <c r="E1381" s="70" t="s">
        <v>119</v>
      </c>
      <c r="F1381" s="70" t="s">
        <v>119</v>
      </c>
      <c r="G1381" s="70" t="s">
        <v>119</v>
      </c>
      <c r="H1381" s="70" t="s">
        <v>119</v>
      </c>
      <c r="I1381" s="70" t="s">
        <v>119</v>
      </c>
      <c r="J1381" s="70" t="s">
        <v>119</v>
      </c>
      <c r="K1381" s="70" t="s">
        <v>119</v>
      </c>
      <c r="L1381" s="70" t="s">
        <v>119</v>
      </c>
      <c r="M1381" s="70" t="s">
        <v>119</v>
      </c>
      <c r="N1381" s="70" t="s">
        <v>119</v>
      </c>
      <c r="O1381" s="65" t="s">
        <v>116</v>
      </c>
      <c r="P1381" s="65"/>
      <c r="Q1381" s="70" t="s">
        <v>120</v>
      </c>
      <c r="R1381" s="65"/>
      <c r="S1381" s="65" t="s">
        <v>121</v>
      </c>
      <c r="W1381" s="76" t="s">
        <v>122</v>
      </c>
      <c r="X1381" s="76" t="s">
        <v>123</v>
      </c>
      <c r="Y1381" s="76" t="s">
        <v>124</v>
      </c>
      <c r="Z1381" s="65"/>
      <c r="AF1381" s="70"/>
      <c r="AJ1381" s="66"/>
      <c r="AK1381" s="65"/>
    </row>
    <row r="1382" spans="1:37" hidden="1">
      <c r="A1382" s="65" t="s">
        <v>125</v>
      </c>
      <c r="B1382" s="65" t="s">
        <v>126</v>
      </c>
      <c r="C1382" s="65" t="s">
        <v>57</v>
      </c>
      <c r="D1382" s="70" t="s">
        <v>127</v>
      </c>
      <c r="E1382" s="70" t="s">
        <v>128</v>
      </c>
      <c r="F1382" s="70" t="s">
        <v>129</v>
      </c>
      <c r="G1382" s="70" t="s">
        <v>130</v>
      </c>
      <c r="H1382" s="70" t="s">
        <v>131</v>
      </c>
      <c r="I1382" s="65" t="s">
        <v>132</v>
      </c>
      <c r="J1382" s="70" t="s">
        <v>133</v>
      </c>
      <c r="K1382" s="70" t="s">
        <v>134</v>
      </c>
      <c r="L1382" s="70" t="s">
        <v>135</v>
      </c>
      <c r="M1382" s="70" t="s">
        <v>136</v>
      </c>
      <c r="N1382" s="70" t="s">
        <v>137</v>
      </c>
      <c r="O1382" s="65" t="s">
        <v>138</v>
      </c>
      <c r="P1382" s="70" t="s">
        <v>139</v>
      </c>
      <c r="Q1382" s="70" t="s">
        <v>140</v>
      </c>
      <c r="R1382" s="65" t="s">
        <v>122</v>
      </c>
      <c r="S1382" s="65" t="s">
        <v>141</v>
      </c>
      <c r="U1382" s="65" t="s">
        <v>162</v>
      </c>
      <c r="W1382" s="76" t="s">
        <v>142</v>
      </c>
      <c r="X1382" s="76" t="s">
        <v>142</v>
      </c>
      <c r="Y1382" s="76" t="s">
        <v>142</v>
      </c>
      <c r="Z1382" s="65"/>
      <c r="AF1382" s="70"/>
      <c r="AJ1382" s="66"/>
      <c r="AK1382" s="65"/>
    </row>
    <row r="1383" spans="1:37" hidden="1">
      <c r="A1383" s="65" t="s">
        <v>143</v>
      </c>
      <c r="B1383" s="65" t="s">
        <v>144</v>
      </c>
      <c r="C1383" s="65" t="s">
        <v>145</v>
      </c>
      <c r="D1383" s="70" t="s">
        <v>146</v>
      </c>
      <c r="E1383" s="70" t="s">
        <v>147</v>
      </c>
      <c r="F1383" s="70" t="s">
        <v>148</v>
      </c>
      <c r="G1383" s="65" t="s">
        <v>149</v>
      </c>
      <c r="H1383" s="65" t="s">
        <v>150</v>
      </c>
      <c r="I1383" s="65" t="s">
        <v>151</v>
      </c>
      <c r="J1383" s="70" t="s">
        <v>152</v>
      </c>
      <c r="K1383" s="70" t="s">
        <v>153</v>
      </c>
      <c r="L1383" s="70" t="s">
        <v>154</v>
      </c>
      <c r="M1383" s="70" t="s">
        <v>155</v>
      </c>
      <c r="N1383" s="70" t="s">
        <v>156</v>
      </c>
      <c r="O1383" s="70" t="s">
        <v>157</v>
      </c>
      <c r="P1383" s="70" t="s">
        <v>158</v>
      </c>
      <c r="Q1383" s="70" t="s">
        <v>159</v>
      </c>
      <c r="R1383" s="70" t="s">
        <v>160</v>
      </c>
      <c r="S1383" s="70" t="s">
        <v>161</v>
      </c>
      <c r="W1383" s="77" t="s">
        <v>163</v>
      </c>
      <c r="X1383" s="77" t="s">
        <v>164</v>
      </c>
      <c r="Y1383" s="76" t="s">
        <v>165</v>
      </c>
      <c r="Z1383" s="70"/>
      <c r="AF1383" s="76"/>
      <c r="AJ1383" s="66"/>
      <c r="AK1383" s="70"/>
    </row>
    <row r="1384" spans="1:37" hidden="1">
      <c r="A1384" s="65" t="s">
        <v>577</v>
      </c>
      <c r="C1384" s="66" t="s">
        <v>577</v>
      </c>
      <c r="L1384" s="66" t="s">
        <v>577</v>
      </c>
      <c r="W1384" s="81" t="str">
        <f>IF((P1384+Q1384)=0," ",ROUND((P1384/(P1384+Q1384)),74))</f>
        <v xml:space="preserve"> </v>
      </c>
      <c r="X1384" s="81" t="str">
        <f>IF((C1384)=0," ",ROUND((P1384/(C1384)),74))</f>
        <v xml:space="preserve"> </v>
      </c>
      <c r="Y1384" s="81" t="str">
        <f>IF((C1384)=0," ",ROUND((R1384/(C1384)),7))</f>
        <v xml:space="preserve"> </v>
      </c>
      <c r="AJ1384" s="66"/>
      <c r="AK1384" s="65"/>
    </row>
    <row r="1385" spans="1:37" hidden="1">
      <c r="W1385" s="81" t="str">
        <f>IF((P1385+Q1385)=0," ",ROUND((P1385/(P1385+Q1385)),74))</f>
        <v xml:space="preserve"> </v>
      </c>
      <c r="X1385" s="81" t="str">
        <f>IF((C1385)=0," ",ROUND((P1385/(C1385)),74))</f>
        <v xml:space="preserve"> </v>
      </c>
      <c r="Y1385" s="81" t="str">
        <f>IF((C1385)=0," ",ROUND((R1385/(C1385)),7))</f>
        <v xml:space="preserve"> </v>
      </c>
      <c r="AJ1385" s="66"/>
      <c r="AK1385" s="65"/>
    </row>
    <row r="1386" spans="1:37" hidden="1">
      <c r="A1386" s="65">
        <f>A1384+1</f>
        <v>1</v>
      </c>
      <c r="B1386" s="66" t="s">
        <v>552</v>
      </c>
      <c r="C1386" s="79">
        <f>C1341</f>
        <v>1980156.8278063335</v>
      </c>
      <c r="D1386" s="79">
        <f>D1341</f>
        <v>956813.47090633342</v>
      </c>
      <c r="E1386" s="79">
        <f>E1341</f>
        <v>27251</v>
      </c>
      <c r="F1386" s="79">
        <f>D1386+E1386</f>
        <v>984064.47090633342</v>
      </c>
      <c r="G1386" s="79">
        <f t="shared" ref="G1386:L1386" si="723">G1341</f>
        <v>61057</v>
      </c>
      <c r="H1386" s="79">
        <f t="shared" si="723"/>
        <v>327958</v>
      </c>
      <c r="I1386" s="79">
        <f t="shared" si="723"/>
        <v>167271</v>
      </c>
      <c r="J1386" s="79">
        <f t="shared" si="723"/>
        <v>73252</v>
      </c>
      <c r="K1386" s="79">
        <f t="shared" si="723"/>
        <v>6230.0059500000007</v>
      </c>
      <c r="L1386" s="79">
        <f t="shared" si="723"/>
        <v>2965.0059499999998</v>
      </c>
      <c r="M1386" s="79">
        <f>SUM(J1386:L1386)</f>
        <v>82447.011900000012</v>
      </c>
      <c r="N1386" s="79">
        <f t="shared" ref="N1386:S1386" si="724">N1341</f>
        <v>53207.000000009997</v>
      </c>
      <c r="O1386" s="79">
        <f t="shared" si="724"/>
        <v>1676004.4828063436</v>
      </c>
      <c r="P1386" s="79">
        <f t="shared" si="724"/>
        <v>32360</v>
      </c>
      <c r="Q1386" s="79">
        <f t="shared" si="724"/>
        <v>3660</v>
      </c>
      <c r="R1386" s="79">
        <f t="shared" si="724"/>
        <v>36021</v>
      </c>
      <c r="S1386" s="79">
        <f t="shared" si="724"/>
        <v>268131.91200000001</v>
      </c>
      <c r="U1386" s="80">
        <f>O1386+R1386+S1386-C1386</f>
        <v>0.56700001005083323</v>
      </c>
      <c r="W1386" s="81">
        <f t="shared" ref="W1386:W1414" si="725">IF((O1386+R1386)=0," ",ROUND((O1386/(O1386+R1386)),7))</f>
        <v>0.97896000000000005</v>
      </c>
      <c r="X1386" s="81">
        <f t="shared" ref="X1386:X1414" si="726">IF((C1386)=0," ",ROUND((O1386/(C1386)),7))</f>
        <v>0.84639989999999998</v>
      </c>
      <c r="Y1386" s="81">
        <f t="shared" ref="Y1386:Y1414" si="727">IF((C1386)=0," ",ROUND((S1386/(C1386)),7))</f>
        <v>0.13540940000000001</v>
      </c>
      <c r="Z1386" s="79"/>
      <c r="AF1386" s="79"/>
      <c r="AJ1386" s="66"/>
      <c r="AK1386" s="65"/>
    </row>
    <row r="1387" spans="1:37" hidden="1">
      <c r="C1387" s="79"/>
      <c r="D1387" s="79"/>
      <c r="E1387" s="79"/>
      <c r="F1387" s="79"/>
      <c r="G1387" s="79"/>
      <c r="H1387" s="79"/>
      <c r="I1387" s="79"/>
      <c r="J1387" s="79"/>
      <c r="K1387" s="79"/>
      <c r="L1387" s="79"/>
      <c r="M1387" s="79"/>
      <c r="N1387" s="79"/>
      <c r="O1387" s="79"/>
      <c r="P1387" s="79"/>
      <c r="Q1387" s="79"/>
      <c r="R1387" s="79"/>
      <c r="S1387" s="79"/>
      <c r="U1387" s="80"/>
      <c r="W1387" s="81" t="str">
        <f t="shared" si="725"/>
        <v xml:space="preserve"> </v>
      </c>
      <c r="X1387" s="81" t="str">
        <f t="shared" si="726"/>
        <v xml:space="preserve"> </v>
      </c>
      <c r="Y1387" s="81" t="str">
        <f t="shared" si="727"/>
        <v xml:space="preserve"> </v>
      </c>
      <c r="Z1387" s="79"/>
      <c r="AF1387" s="79"/>
      <c r="AJ1387" s="66"/>
      <c r="AK1387" s="65"/>
    </row>
    <row r="1388" spans="1:37" hidden="1">
      <c r="C1388" s="79"/>
      <c r="D1388" s="79"/>
      <c r="E1388" s="79"/>
      <c r="F1388" s="79"/>
      <c r="G1388" s="79"/>
      <c r="H1388" s="79"/>
      <c r="I1388" s="79"/>
      <c r="J1388" s="79"/>
      <c r="K1388" s="79"/>
      <c r="L1388" s="79"/>
      <c r="M1388" s="79"/>
      <c r="N1388" s="79"/>
      <c r="O1388" s="79"/>
      <c r="P1388" s="79"/>
      <c r="Q1388" s="79"/>
      <c r="R1388" s="79"/>
      <c r="S1388" s="79"/>
      <c r="U1388" s="80"/>
      <c r="W1388" s="81" t="str">
        <f t="shared" si="725"/>
        <v xml:space="preserve"> </v>
      </c>
      <c r="X1388" s="81" t="str">
        <f t="shared" si="726"/>
        <v xml:space="preserve"> </v>
      </c>
      <c r="Y1388" s="81" t="str">
        <f t="shared" si="727"/>
        <v xml:space="preserve"> </v>
      </c>
      <c r="Z1388" s="79"/>
      <c r="AF1388" s="79"/>
      <c r="AJ1388" s="66"/>
      <c r="AK1388" s="65"/>
    </row>
    <row r="1389" spans="1:37" hidden="1">
      <c r="B1389" s="65" t="s">
        <v>579</v>
      </c>
      <c r="C1389" s="79"/>
      <c r="D1389" s="79"/>
      <c r="E1389" s="79"/>
      <c r="F1389" s="79"/>
      <c r="G1389" s="79"/>
      <c r="H1389" s="79"/>
      <c r="I1389" s="79"/>
      <c r="J1389" s="79"/>
      <c r="K1389" s="79"/>
      <c r="L1389" s="79"/>
      <c r="M1389" s="79"/>
      <c r="N1389" s="79"/>
      <c r="O1389" s="79"/>
      <c r="P1389" s="79"/>
      <c r="Q1389" s="79"/>
      <c r="R1389" s="79"/>
      <c r="S1389" s="79"/>
      <c r="U1389" s="80"/>
      <c r="W1389" s="81" t="str">
        <f t="shared" si="725"/>
        <v xml:space="preserve"> </v>
      </c>
      <c r="X1389" s="81" t="str">
        <f t="shared" si="726"/>
        <v xml:space="preserve"> </v>
      </c>
      <c r="Y1389" s="81" t="str">
        <f t="shared" si="727"/>
        <v xml:space="preserve"> </v>
      </c>
      <c r="Z1389" s="79"/>
      <c r="AF1389" s="79"/>
      <c r="AJ1389" s="66"/>
      <c r="AK1389" s="65"/>
    </row>
    <row r="1390" spans="1:37" hidden="1">
      <c r="B1390" s="83" t="s">
        <v>170</v>
      </c>
      <c r="C1390" s="79"/>
      <c r="D1390" s="79"/>
      <c r="E1390" s="79"/>
      <c r="F1390" s="79"/>
      <c r="G1390" s="79"/>
      <c r="H1390" s="79"/>
      <c r="I1390" s="79"/>
      <c r="J1390" s="79"/>
      <c r="K1390" s="79"/>
      <c r="L1390" s="79"/>
      <c r="M1390" s="79"/>
      <c r="N1390" s="79"/>
      <c r="O1390" s="79"/>
      <c r="P1390" s="79"/>
      <c r="Q1390" s="79"/>
      <c r="R1390" s="79"/>
      <c r="S1390" s="79"/>
      <c r="U1390" s="80"/>
      <c r="W1390" s="81" t="str">
        <f t="shared" si="725"/>
        <v xml:space="preserve"> </v>
      </c>
      <c r="X1390" s="81" t="str">
        <f t="shared" si="726"/>
        <v xml:space="preserve"> </v>
      </c>
      <c r="Y1390" s="81" t="str">
        <f t="shared" si="727"/>
        <v xml:space="preserve"> </v>
      </c>
      <c r="Z1390" s="79"/>
      <c r="AF1390" s="79"/>
      <c r="AJ1390" s="66"/>
      <c r="AK1390" s="65"/>
    </row>
    <row r="1391" spans="1:37" hidden="1">
      <c r="C1391" s="79"/>
      <c r="D1391" s="79"/>
      <c r="E1391" s="79"/>
      <c r="F1391" s="79"/>
      <c r="G1391" s="79"/>
      <c r="H1391" s="79"/>
      <c r="I1391" s="79"/>
      <c r="J1391" s="79"/>
      <c r="K1391" s="79"/>
      <c r="L1391" s="79"/>
      <c r="M1391" s="79"/>
      <c r="N1391" s="79"/>
      <c r="O1391" s="79"/>
      <c r="P1391" s="79"/>
      <c r="Q1391" s="79"/>
      <c r="R1391" s="79"/>
      <c r="S1391" s="79"/>
      <c r="U1391" s="80"/>
      <c r="W1391" s="81" t="str">
        <f t="shared" si="725"/>
        <v xml:space="preserve"> </v>
      </c>
      <c r="X1391" s="81" t="str">
        <f t="shared" si="726"/>
        <v xml:space="preserve"> </v>
      </c>
      <c r="Y1391" s="81" t="str">
        <f t="shared" si="727"/>
        <v xml:space="preserve"> </v>
      </c>
      <c r="Z1391" s="79"/>
      <c r="AF1391" s="79"/>
      <c r="AJ1391" s="66"/>
      <c r="AK1391" s="65"/>
    </row>
    <row r="1392" spans="1:37" hidden="1">
      <c r="A1392" s="65">
        <f>A1386+1</f>
        <v>2</v>
      </c>
      <c r="B1392" s="66" t="s">
        <v>580</v>
      </c>
      <c r="C1392" s="79">
        <f>C1349</f>
        <v>558963.00960009999</v>
      </c>
      <c r="D1392" s="79">
        <f>D1349</f>
        <v>271648.99999010004</v>
      </c>
      <c r="E1392" s="79">
        <f>E1349</f>
        <v>8245.0010000000002</v>
      </c>
      <c r="F1392" s="79">
        <f>D1392+E1392</f>
        <v>279894.00099010003</v>
      </c>
      <c r="G1392" s="79">
        <f t="shared" ref="G1392:L1392" si="728">G1349</f>
        <v>20614</v>
      </c>
      <c r="H1392" s="79">
        <f t="shared" si="728"/>
        <v>94328</v>
      </c>
      <c r="I1392" s="79">
        <f t="shared" si="728"/>
        <v>54769.00045</v>
      </c>
      <c r="J1392" s="79">
        <f t="shared" si="728"/>
        <v>17008.00045</v>
      </c>
      <c r="K1392" s="79">
        <f t="shared" si="728"/>
        <v>1307.00045</v>
      </c>
      <c r="L1392" s="79">
        <f t="shared" si="728"/>
        <v>976.00045</v>
      </c>
      <c r="M1392" s="79">
        <f>SUM(J1392:L1392)</f>
        <v>19291.001349999999</v>
      </c>
      <c r="N1392" s="79">
        <f t="shared" ref="N1392:S1392" si="729">N1349</f>
        <v>13013.000460000001</v>
      </c>
      <c r="O1392" s="79">
        <f>O1349</f>
        <v>481909.00325010001</v>
      </c>
      <c r="P1392" s="79">
        <f t="shared" si="729"/>
        <v>15666.000450000001</v>
      </c>
      <c r="Q1392" s="79">
        <f t="shared" si="729"/>
        <v>1736.00045</v>
      </c>
      <c r="R1392" s="79">
        <f t="shared" si="729"/>
        <v>17402.000900000003</v>
      </c>
      <c r="S1392" s="79">
        <f t="shared" si="729"/>
        <v>59652.005449999997</v>
      </c>
      <c r="U1392" s="80">
        <f>O1392+R1392+S1392-C1392</f>
        <v>0</v>
      </c>
      <c r="W1392" s="81">
        <f t="shared" si="725"/>
        <v>0.96514800000000001</v>
      </c>
      <c r="X1392" s="81">
        <f t="shared" si="726"/>
        <v>0.86214829999999998</v>
      </c>
      <c r="Y1392" s="81">
        <f t="shared" si="727"/>
        <v>0.1067191</v>
      </c>
      <c r="Z1392" s="79"/>
      <c r="AF1392" s="79"/>
      <c r="AJ1392" s="66"/>
      <c r="AK1392" s="65"/>
    </row>
    <row r="1393" spans="1:37" hidden="1">
      <c r="A1393" s="65">
        <f>A1392+1</f>
        <v>3</v>
      </c>
      <c r="B1393" s="66" t="s">
        <v>581</v>
      </c>
      <c r="C1393" s="79">
        <f>O1393+R1393+S1393</f>
        <v>93504</v>
      </c>
      <c r="D1393" s="100">
        <v>59571</v>
      </c>
      <c r="E1393" s="100">
        <v>1842</v>
      </c>
      <c r="F1393" s="79">
        <f>D1393+E1393</f>
        <v>61413</v>
      </c>
      <c r="G1393" s="100">
        <v>3409</v>
      </c>
      <c r="H1393" s="100">
        <v>12511</v>
      </c>
      <c r="I1393" s="100">
        <v>8731</v>
      </c>
      <c r="J1393" s="100">
        <v>3000</v>
      </c>
      <c r="K1393" s="100">
        <v>839</v>
      </c>
      <c r="L1393" s="101">
        <v>0</v>
      </c>
      <c r="M1393" s="79">
        <f>SUM(J1393:L1393)</f>
        <v>3839</v>
      </c>
      <c r="N1393" s="100">
        <v>3601</v>
      </c>
      <c r="O1393" s="79">
        <f>SUM(F1393:L1393)+N1393</f>
        <v>93504</v>
      </c>
      <c r="P1393" s="79">
        <v>0</v>
      </c>
      <c r="Q1393" s="79">
        <v>0</v>
      </c>
      <c r="R1393" s="79">
        <f>P1393+Q1393</f>
        <v>0</v>
      </c>
      <c r="S1393" s="79">
        <v>0</v>
      </c>
      <c r="U1393" s="80">
        <f>O1393+R1393+S1393-C1393</f>
        <v>0</v>
      </c>
      <c r="W1393" s="81">
        <f t="shared" si="725"/>
        <v>1</v>
      </c>
      <c r="X1393" s="81">
        <f t="shared" si="726"/>
        <v>1</v>
      </c>
      <c r="Y1393" s="81">
        <f t="shared" si="727"/>
        <v>0</v>
      </c>
      <c r="Z1393" s="78"/>
      <c r="AF1393" s="79"/>
      <c r="AJ1393" s="66"/>
      <c r="AK1393" s="65"/>
    </row>
    <row r="1394" spans="1:37" hidden="1">
      <c r="A1394" s="65">
        <f>A1393+1</f>
        <v>4</v>
      </c>
      <c r="B1394" s="66" t="s">
        <v>582</v>
      </c>
      <c r="C1394" s="79">
        <f>O1394+R1394+S1394</f>
        <v>652467.00960010011</v>
      </c>
      <c r="D1394" s="79">
        <f>D1392+D1393</f>
        <v>331219.99999010004</v>
      </c>
      <c r="E1394" s="79">
        <f>E1392+E1393</f>
        <v>10087.001</v>
      </c>
      <c r="F1394" s="79">
        <f>D1394+E1394</f>
        <v>341307.00099010003</v>
      </c>
      <c r="G1394" s="79">
        <f t="shared" ref="G1394:L1394" si="730">G1392+G1393</f>
        <v>24023</v>
      </c>
      <c r="H1394" s="79">
        <f t="shared" si="730"/>
        <v>106839</v>
      </c>
      <c r="I1394" s="79">
        <f t="shared" si="730"/>
        <v>63500.00045</v>
      </c>
      <c r="J1394" s="79">
        <f t="shared" si="730"/>
        <v>20008.00045</v>
      </c>
      <c r="K1394" s="79">
        <f t="shared" si="730"/>
        <v>2146.00045</v>
      </c>
      <c r="L1394" s="79">
        <f t="shared" si="730"/>
        <v>976.00045</v>
      </c>
      <c r="M1394" s="79">
        <f>SUM(J1394:L1394)</f>
        <v>23130.001349999999</v>
      </c>
      <c r="N1394" s="79">
        <f>N1392+N1393</f>
        <v>16614.000460000003</v>
      </c>
      <c r="O1394" s="79">
        <f>SUM(F1394:L1394)+N1394</f>
        <v>575413.00325010018</v>
      </c>
      <c r="P1394" s="79">
        <f>P1392+P1393</f>
        <v>15666.000450000001</v>
      </c>
      <c r="Q1394" s="79">
        <f>Q1392+Q1393</f>
        <v>1736.00045</v>
      </c>
      <c r="R1394" s="79">
        <f>R1392+R1393</f>
        <v>17402.000900000003</v>
      </c>
      <c r="S1394" s="79">
        <f>S1392+S1393</f>
        <v>59652.005449999997</v>
      </c>
      <c r="U1394" s="80">
        <f>O1394+R1394+S1394-C1394</f>
        <v>0</v>
      </c>
      <c r="W1394" s="81">
        <f t="shared" si="725"/>
        <v>0.97064510000000004</v>
      </c>
      <c r="X1394" s="81">
        <f t="shared" si="726"/>
        <v>0.88190360000000001</v>
      </c>
      <c r="Y1394" s="81">
        <f t="shared" si="727"/>
        <v>9.1425300000000001E-2</v>
      </c>
      <c r="Z1394" s="79"/>
      <c r="AF1394" s="79"/>
      <c r="AJ1394" s="66"/>
      <c r="AK1394" s="65"/>
    </row>
    <row r="1395" spans="1:37" hidden="1">
      <c r="C1395" s="79"/>
      <c r="D1395" s="82"/>
      <c r="E1395" s="79"/>
      <c r="F1395" s="79"/>
      <c r="G1395" s="79"/>
      <c r="H1395" s="79"/>
      <c r="I1395" s="79"/>
      <c r="J1395" s="79"/>
      <c r="K1395" s="79"/>
      <c r="L1395" s="79"/>
      <c r="M1395" s="79"/>
      <c r="N1395" s="79"/>
      <c r="O1395" s="82"/>
      <c r="P1395" s="79"/>
      <c r="Q1395" s="79"/>
      <c r="R1395" s="79"/>
      <c r="S1395" s="79"/>
      <c r="U1395" s="80"/>
      <c r="W1395" s="81" t="str">
        <f t="shared" si="725"/>
        <v xml:space="preserve"> </v>
      </c>
      <c r="X1395" s="81" t="str">
        <f t="shared" si="726"/>
        <v xml:space="preserve"> </v>
      </c>
      <c r="Y1395" s="81" t="str">
        <f t="shared" si="727"/>
        <v xml:space="preserve"> </v>
      </c>
      <c r="Z1395" s="79"/>
      <c r="AF1395" s="79"/>
      <c r="AJ1395" s="66"/>
      <c r="AK1395" s="65"/>
    </row>
    <row r="1396" spans="1:37" hidden="1">
      <c r="B1396" s="65" t="s">
        <v>559</v>
      </c>
      <c r="C1396" s="79"/>
      <c r="D1396" s="79"/>
      <c r="E1396" s="79"/>
      <c r="F1396" s="79"/>
      <c r="G1396" s="79"/>
      <c r="H1396" s="79"/>
      <c r="I1396" s="79"/>
      <c r="J1396" s="79"/>
      <c r="K1396" s="79"/>
      <c r="L1396" s="79"/>
      <c r="M1396" s="79"/>
      <c r="N1396" s="79"/>
      <c r="O1396" s="79"/>
      <c r="P1396" s="79"/>
      <c r="Q1396" s="79"/>
      <c r="R1396" s="79"/>
      <c r="S1396" s="79"/>
      <c r="U1396" s="80"/>
      <c r="W1396" s="81" t="str">
        <f t="shared" si="725"/>
        <v xml:space="preserve"> </v>
      </c>
      <c r="X1396" s="81" t="str">
        <f t="shared" si="726"/>
        <v xml:space="preserve"> </v>
      </c>
      <c r="Y1396" s="81" t="str">
        <f t="shared" si="727"/>
        <v xml:space="preserve"> </v>
      </c>
      <c r="Z1396" s="79"/>
      <c r="AF1396" s="79"/>
      <c r="AJ1396" s="66"/>
      <c r="AK1396" s="65"/>
    </row>
    <row r="1397" spans="1:37" hidden="1">
      <c r="B1397" s="83" t="s">
        <v>170</v>
      </c>
      <c r="C1397" s="79"/>
      <c r="D1397" s="79"/>
      <c r="E1397" s="79"/>
      <c r="F1397" s="79"/>
      <c r="G1397" s="79"/>
      <c r="H1397" s="79"/>
      <c r="I1397" s="79"/>
      <c r="J1397" s="79"/>
      <c r="K1397" s="79"/>
      <c r="L1397" s="79"/>
      <c r="M1397" s="79"/>
      <c r="N1397" s="79"/>
      <c r="O1397" s="79"/>
      <c r="P1397" s="79"/>
      <c r="Q1397" s="79"/>
      <c r="R1397" s="79"/>
      <c r="S1397" s="79"/>
      <c r="U1397" s="80"/>
      <c r="W1397" s="81" t="str">
        <f t="shared" si="725"/>
        <v xml:space="preserve"> </v>
      </c>
      <c r="X1397" s="81" t="str">
        <f t="shared" si="726"/>
        <v xml:space="preserve"> </v>
      </c>
      <c r="Y1397" s="81" t="str">
        <f t="shared" si="727"/>
        <v xml:space="preserve"> </v>
      </c>
      <c r="Z1397" s="79"/>
      <c r="AF1397" s="79"/>
      <c r="AJ1397" s="66"/>
      <c r="AK1397" s="65"/>
    </row>
    <row r="1398" spans="1:37" hidden="1">
      <c r="C1398" s="79"/>
      <c r="D1398" s="79"/>
      <c r="F1398" s="79"/>
      <c r="H1398" s="79"/>
      <c r="I1398" s="79"/>
      <c r="J1398" s="79"/>
      <c r="K1398" s="79"/>
      <c r="L1398" s="79"/>
      <c r="M1398" s="79"/>
      <c r="N1398" s="79"/>
      <c r="O1398" s="79"/>
      <c r="P1398" s="79"/>
      <c r="Q1398" s="79"/>
      <c r="R1398" s="79"/>
      <c r="S1398" s="79"/>
      <c r="U1398" s="80"/>
      <c r="W1398" s="81" t="str">
        <f t="shared" si="725"/>
        <v xml:space="preserve"> </v>
      </c>
      <c r="X1398" s="81" t="str">
        <f t="shared" si="726"/>
        <v xml:space="preserve"> </v>
      </c>
      <c r="Y1398" s="81" t="str">
        <f t="shared" si="727"/>
        <v xml:space="preserve"> </v>
      </c>
      <c r="Z1398" s="79"/>
      <c r="AF1398" s="79"/>
      <c r="AJ1398" s="66"/>
      <c r="AK1398" s="65"/>
    </row>
    <row r="1399" spans="1:37" hidden="1">
      <c r="A1399" s="65">
        <f>A1394+1</f>
        <v>5</v>
      </c>
      <c r="B1399" s="66" t="s">
        <v>583</v>
      </c>
      <c r="C1399" s="79">
        <f>C1362</f>
        <v>435426.59250000003</v>
      </c>
      <c r="D1399" s="79">
        <f>D1362</f>
        <v>232552.08200000002</v>
      </c>
      <c r="E1399" s="79">
        <f>E1362</f>
        <v>6631.0505000000003</v>
      </c>
      <c r="F1399" s="79">
        <f>D1399+E1399</f>
        <v>239183.13250000004</v>
      </c>
      <c r="G1399" s="79">
        <f t="shared" ref="G1399:L1399" si="731">G1362</f>
        <v>17820</v>
      </c>
      <c r="H1399" s="79">
        <f t="shared" si="731"/>
        <v>73829</v>
      </c>
      <c r="I1399" s="79">
        <f t="shared" si="731"/>
        <v>46703</v>
      </c>
      <c r="J1399" s="79">
        <f t="shared" si="731"/>
        <v>16865</v>
      </c>
      <c r="K1399" s="79">
        <f t="shared" si="731"/>
        <v>1322</v>
      </c>
      <c r="L1399" s="79">
        <f t="shared" si="731"/>
        <v>698</v>
      </c>
      <c r="M1399" s="79">
        <f>SUM(J1399:L1399)</f>
        <v>18885</v>
      </c>
      <c r="N1399" s="79">
        <f t="shared" ref="N1399:S1399" si="732">N1362</f>
        <v>9300</v>
      </c>
      <c r="O1399" s="79">
        <f t="shared" si="732"/>
        <v>405720.13250000007</v>
      </c>
      <c r="P1399" s="79">
        <f t="shared" si="732"/>
        <v>7413.2420000000002</v>
      </c>
      <c r="Q1399" s="79">
        <f t="shared" si="732"/>
        <v>972.5</v>
      </c>
      <c r="R1399" s="79">
        <f t="shared" si="732"/>
        <v>8385.7420000000002</v>
      </c>
      <c r="S1399" s="79">
        <f t="shared" si="732"/>
        <v>21320.717999999997</v>
      </c>
      <c r="U1399" s="80">
        <f>O1399+R1399+S1399-C1399</f>
        <v>0</v>
      </c>
      <c r="W1399" s="81">
        <f t="shared" si="725"/>
        <v>0.9797498</v>
      </c>
      <c r="X1399" s="81">
        <f t="shared" si="726"/>
        <v>0.93177620000000005</v>
      </c>
      <c r="Y1399" s="81">
        <f t="shared" si="727"/>
        <v>4.8965099999999998E-2</v>
      </c>
      <c r="Z1399" s="79"/>
      <c r="AF1399" s="79"/>
      <c r="AJ1399" s="66"/>
      <c r="AK1399" s="65"/>
    </row>
    <row r="1400" spans="1:37" hidden="1">
      <c r="A1400" s="65">
        <f>A1399+1</f>
        <v>6</v>
      </c>
      <c r="B1400" s="66" t="s">
        <v>584</v>
      </c>
      <c r="C1400" s="79">
        <f>ROUND(+$C$1638*(C$1393-C$1907),0)+ROUND(($C$1639*C$1907),0)</f>
        <v>378</v>
      </c>
      <c r="D1400" s="79">
        <f>C1400-E1400-SUM(G1400:I1400)-SUM(M1400:N1400)-R1400-S1400</f>
        <v>241</v>
      </c>
      <c r="E1400" s="79">
        <f>ROUND(+$C$1638*(E$1393-E$1907),0)+ROUND(($C$1639*E$1907),0)</f>
        <v>7</v>
      </c>
      <c r="F1400" s="79">
        <f>D1400+E1400</f>
        <v>248</v>
      </c>
      <c r="G1400" s="79">
        <f t="shared" ref="G1400:L1400" si="733">ROUND(+$C$1638*(G$1393-G$1907),0)+ROUND(($C$1639*G$1907),0)</f>
        <v>14</v>
      </c>
      <c r="H1400" s="79">
        <f t="shared" si="733"/>
        <v>51</v>
      </c>
      <c r="I1400" s="79">
        <f t="shared" si="733"/>
        <v>35</v>
      </c>
      <c r="J1400" s="79">
        <f t="shared" si="733"/>
        <v>12</v>
      </c>
      <c r="K1400" s="79">
        <f t="shared" si="733"/>
        <v>3</v>
      </c>
      <c r="L1400" s="79">
        <f t="shared" si="733"/>
        <v>0</v>
      </c>
      <c r="M1400" s="79">
        <f>SUM(J1400:L1400)</f>
        <v>15</v>
      </c>
      <c r="N1400" s="79">
        <f>ROUND(+$C$1638*(N$1393-N$1907),0)+ROUND(($C$1639*N$1907),0)</f>
        <v>15</v>
      </c>
      <c r="O1400" s="79">
        <f>SUM(F1400:L1400)+N1400</f>
        <v>378</v>
      </c>
      <c r="P1400" s="79">
        <f>ROUND(+$C$1638*(P$1393-P$1907),0)+ROUND(($C$1639*P$1907),0)</f>
        <v>0</v>
      </c>
      <c r="Q1400" s="79">
        <f>ROUND(+$C$1638*(Q$1393-Q$1907),0)+ROUND(($C$1639*Q$1907),0)</f>
        <v>0</v>
      </c>
      <c r="R1400" s="79">
        <f>P1400+Q1400</f>
        <v>0</v>
      </c>
      <c r="S1400" s="79">
        <f>ROUND(+$C$1638*(S$1393-S$1907),0)+ROUND(($C$1639*S$1907),0)</f>
        <v>0</v>
      </c>
      <c r="U1400" s="80">
        <f>O1400+R1400+S1400-C1400</f>
        <v>0</v>
      </c>
      <c r="W1400" s="81">
        <f t="shared" si="725"/>
        <v>1</v>
      </c>
      <c r="X1400" s="81">
        <f t="shared" si="726"/>
        <v>1</v>
      </c>
      <c r="Y1400" s="81">
        <f t="shared" si="727"/>
        <v>0</v>
      </c>
      <c r="Z1400" s="79"/>
      <c r="AF1400" s="79"/>
      <c r="AJ1400" s="66"/>
      <c r="AK1400" s="65"/>
    </row>
    <row r="1401" spans="1:37" hidden="1">
      <c r="A1401" s="65">
        <f>A1400+1</f>
        <v>7</v>
      </c>
      <c r="B1401" s="66" t="s">
        <v>585</v>
      </c>
      <c r="C1401" s="79">
        <f>O1401+R1401+S1401</f>
        <v>435804.59250000009</v>
      </c>
      <c r="D1401" s="79">
        <f>D1399+D1400</f>
        <v>232793.08200000002</v>
      </c>
      <c r="E1401" s="79">
        <f>E1399+E1400</f>
        <v>6638.0505000000003</v>
      </c>
      <c r="F1401" s="79">
        <f>D1401+E1401</f>
        <v>239431.13250000004</v>
      </c>
      <c r="G1401" s="79">
        <f t="shared" ref="G1401:L1401" si="734">G1399+G1400</f>
        <v>17834</v>
      </c>
      <c r="H1401" s="79">
        <f t="shared" si="734"/>
        <v>73880</v>
      </c>
      <c r="I1401" s="79">
        <f t="shared" si="734"/>
        <v>46738</v>
      </c>
      <c r="J1401" s="79">
        <f t="shared" si="734"/>
        <v>16877</v>
      </c>
      <c r="K1401" s="79">
        <f t="shared" si="734"/>
        <v>1325</v>
      </c>
      <c r="L1401" s="79">
        <f t="shared" si="734"/>
        <v>698</v>
      </c>
      <c r="M1401" s="79">
        <f>SUM(J1401:L1401)</f>
        <v>18900</v>
      </c>
      <c r="N1401" s="79">
        <f t="shared" ref="N1401:S1401" si="735">N1399+N1400</f>
        <v>9315</v>
      </c>
      <c r="O1401" s="79">
        <f t="shared" si="735"/>
        <v>406098.13250000007</v>
      </c>
      <c r="P1401" s="79">
        <f t="shared" si="735"/>
        <v>7413.2420000000002</v>
      </c>
      <c r="Q1401" s="79">
        <f t="shared" si="735"/>
        <v>972.5</v>
      </c>
      <c r="R1401" s="79">
        <f t="shared" si="735"/>
        <v>8385.7420000000002</v>
      </c>
      <c r="S1401" s="79">
        <f t="shared" si="735"/>
        <v>21320.717999999997</v>
      </c>
      <c r="U1401" s="80">
        <f>O1401+R1401+S1401-C1401</f>
        <v>0</v>
      </c>
      <c r="W1401" s="81">
        <f t="shared" si="725"/>
        <v>0.97976819999999998</v>
      </c>
      <c r="X1401" s="81">
        <f t="shared" si="726"/>
        <v>0.93183539999999998</v>
      </c>
      <c r="Y1401" s="81">
        <f t="shared" si="727"/>
        <v>4.89227E-2</v>
      </c>
      <c r="Z1401" s="79"/>
      <c r="AF1401" s="79"/>
      <c r="AJ1401" s="66"/>
      <c r="AK1401" s="65"/>
    </row>
    <row r="1402" spans="1:37" hidden="1">
      <c r="C1402" s="79"/>
      <c r="D1402" s="79"/>
      <c r="E1402" s="79"/>
      <c r="F1402" s="79">
        <f>D1402+E1402</f>
        <v>0</v>
      </c>
      <c r="G1402" s="79"/>
      <c r="H1402" s="79"/>
      <c r="I1402" s="79"/>
      <c r="J1402" s="79"/>
      <c r="K1402" s="79"/>
      <c r="L1402" s="79"/>
      <c r="M1402" s="79"/>
      <c r="N1402" s="79"/>
      <c r="O1402" s="79"/>
      <c r="P1402" s="79"/>
      <c r="Q1402" s="79"/>
      <c r="R1402" s="79"/>
      <c r="S1402" s="79"/>
      <c r="U1402" s="80"/>
      <c r="W1402" s="81" t="str">
        <f t="shared" si="725"/>
        <v xml:space="preserve"> </v>
      </c>
      <c r="X1402" s="81" t="str">
        <f t="shared" si="726"/>
        <v xml:space="preserve"> </v>
      </c>
      <c r="Y1402" s="81" t="str">
        <f t="shared" si="727"/>
        <v xml:space="preserve"> </v>
      </c>
      <c r="Z1402" s="79"/>
      <c r="AF1402" s="79"/>
      <c r="AJ1402" s="66"/>
      <c r="AK1402" s="65"/>
    </row>
    <row r="1403" spans="1:37" hidden="1">
      <c r="A1403" s="65">
        <f>A1401+1</f>
        <v>8</v>
      </c>
      <c r="B1403" s="66" t="s">
        <v>570</v>
      </c>
      <c r="C1403" s="79">
        <f>C1394-C1401</f>
        <v>216662.41710010002</v>
      </c>
      <c r="D1403" s="79">
        <f>D1394-D1401</f>
        <v>98426.917990100017</v>
      </c>
      <c r="E1403" s="79">
        <f>E1394-E1401</f>
        <v>3448.9504999999999</v>
      </c>
      <c r="F1403" s="79">
        <f>D1403+E1403</f>
        <v>101875.86849010002</v>
      </c>
      <c r="G1403" s="79">
        <f t="shared" ref="G1403:L1403" si="736">G1394-G1401</f>
        <v>6189</v>
      </c>
      <c r="H1403" s="79">
        <f t="shared" si="736"/>
        <v>32959</v>
      </c>
      <c r="I1403" s="79">
        <f t="shared" si="736"/>
        <v>16762.00045</v>
      </c>
      <c r="J1403" s="79">
        <f t="shared" si="736"/>
        <v>3131.0004499999995</v>
      </c>
      <c r="K1403" s="79">
        <f t="shared" si="736"/>
        <v>821.00045</v>
      </c>
      <c r="L1403" s="79">
        <f t="shared" si="736"/>
        <v>278.00045</v>
      </c>
      <c r="M1403" s="79">
        <f>SUM(J1403:L1403)</f>
        <v>4230.0013499999995</v>
      </c>
      <c r="N1403" s="79">
        <f t="shared" ref="N1403:S1403" si="737">N1394-N1401</f>
        <v>7299.0004600000029</v>
      </c>
      <c r="O1403" s="79">
        <f>O1394-O1401</f>
        <v>169314.87075010012</v>
      </c>
      <c r="P1403" s="79">
        <f t="shared" si="737"/>
        <v>8252.7584500000012</v>
      </c>
      <c r="Q1403" s="79">
        <f t="shared" si="737"/>
        <v>763.50045</v>
      </c>
      <c r="R1403" s="79">
        <f t="shared" si="737"/>
        <v>9016.2589000000025</v>
      </c>
      <c r="S1403" s="79">
        <f t="shared" si="737"/>
        <v>38331.287450000003</v>
      </c>
      <c r="U1403" s="80"/>
      <c r="W1403" s="81">
        <f t="shared" si="725"/>
        <v>0.94944090000000003</v>
      </c>
      <c r="X1403" s="81">
        <f t="shared" si="726"/>
        <v>0.78146859999999996</v>
      </c>
      <c r="Y1403" s="81">
        <f t="shared" si="727"/>
        <v>0.17691709999999999</v>
      </c>
      <c r="Z1403" s="79"/>
      <c r="AF1403" s="79"/>
      <c r="AJ1403" s="66"/>
      <c r="AK1403" s="65"/>
    </row>
    <row r="1404" spans="1:37" hidden="1">
      <c r="C1404" s="79"/>
      <c r="D1404" s="79"/>
      <c r="E1404" s="79"/>
      <c r="F1404" s="79"/>
      <c r="G1404" s="79"/>
      <c r="H1404" s="79"/>
      <c r="I1404" s="79"/>
      <c r="J1404" s="79"/>
      <c r="K1404" s="79"/>
      <c r="L1404" s="79"/>
      <c r="M1404" s="79"/>
      <c r="N1404" s="79"/>
      <c r="O1404" s="79"/>
      <c r="P1404" s="79"/>
      <c r="Q1404" s="79"/>
      <c r="R1404" s="79"/>
      <c r="S1404" s="79"/>
      <c r="U1404" s="80"/>
      <c r="W1404" s="81" t="str">
        <f t="shared" si="725"/>
        <v xml:space="preserve"> </v>
      </c>
      <c r="X1404" s="81" t="str">
        <f t="shared" si="726"/>
        <v xml:space="preserve"> </v>
      </c>
      <c r="Y1404" s="81" t="str">
        <f t="shared" si="727"/>
        <v xml:space="preserve"> </v>
      </c>
      <c r="Z1404" s="79"/>
      <c r="AF1404" s="79"/>
      <c r="AJ1404" s="66"/>
      <c r="AK1404" s="65"/>
    </row>
    <row r="1405" spans="1:37" hidden="1">
      <c r="B1405" s="65" t="s">
        <v>586</v>
      </c>
      <c r="C1405" s="79"/>
      <c r="D1405" s="79"/>
      <c r="E1405" s="79"/>
      <c r="F1405" s="79"/>
      <c r="G1405" s="79"/>
      <c r="H1405" s="79"/>
      <c r="I1405" s="79"/>
      <c r="J1405" s="79"/>
      <c r="K1405" s="79"/>
      <c r="L1405" s="79"/>
      <c r="M1405" s="79"/>
      <c r="N1405" s="79"/>
      <c r="O1405" s="79"/>
      <c r="P1405" s="79"/>
      <c r="Q1405" s="79"/>
      <c r="R1405" s="79"/>
      <c r="S1405" s="79"/>
      <c r="U1405" s="80"/>
      <c r="W1405" s="81" t="str">
        <f t="shared" si="725"/>
        <v xml:space="preserve"> </v>
      </c>
      <c r="X1405" s="81" t="str">
        <f t="shared" si="726"/>
        <v xml:space="preserve"> </v>
      </c>
      <c r="Y1405" s="81" t="str">
        <f t="shared" si="727"/>
        <v xml:space="preserve"> </v>
      </c>
      <c r="Z1405" s="79"/>
      <c r="AF1405" s="79"/>
      <c r="AJ1405" s="66"/>
      <c r="AK1405" s="65"/>
    </row>
    <row r="1406" spans="1:37" hidden="1">
      <c r="B1406" s="83" t="s">
        <v>170</v>
      </c>
      <c r="C1406" s="79"/>
      <c r="D1406" s="79"/>
      <c r="E1406" s="79"/>
      <c r="F1406" s="79"/>
      <c r="G1406" s="79"/>
      <c r="H1406" s="79"/>
      <c r="I1406" s="79"/>
      <c r="J1406" s="79"/>
      <c r="K1406" s="79"/>
      <c r="L1406" s="79"/>
      <c r="M1406" s="79"/>
      <c r="N1406" s="79"/>
      <c r="O1406" s="79"/>
      <c r="P1406" s="79"/>
      <c r="Q1406" s="79"/>
      <c r="R1406" s="79"/>
      <c r="S1406" s="79"/>
      <c r="U1406" s="80"/>
      <c r="W1406" s="81" t="str">
        <f t="shared" si="725"/>
        <v xml:space="preserve"> </v>
      </c>
      <c r="X1406" s="81" t="str">
        <f t="shared" si="726"/>
        <v xml:space="preserve"> </v>
      </c>
      <c r="Y1406" s="81" t="str">
        <f t="shared" si="727"/>
        <v xml:space="preserve"> </v>
      </c>
      <c r="Z1406" s="79"/>
      <c r="AF1406" s="79"/>
      <c r="AJ1406" s="66"/>
      <c r="AK1406" s="65"/>
    </row>
    <row r="1407" spans="1:37" hidden="1">
      <c r="C1407" s="79"/>
      <c r="D1407" s="79"/>
      <c r="E1407" s="79"/>
      <c r="F1407" s="79"/>
      <c r="G1407" s="79"/>
      <c r="H1407" s="79"/>
      <c r="I1407" s="79"/>
      <c r="J1407" s="79"/>
      <c r="K1407" s="79"/>
      <c r="L1407" s="79"/>
      <c r="M1407" s="79"/>
      <c r="N1407" s="79"/>
      <c r="O1407" s="79"/>
      <c r="P1407" s="79"/>
      <c r="Q1407" s="79"/>
      <c r="R1407" s="79"/>
      <c r="S1407" s="79"/>
      <c r="U1407" s="80"/>
      <c r="W1407" s="81" t="str">
        <f t="shared" si="725"/>
        <v xml:space="preserve"> </v>
      </c>
      <c r="X1407" s="81" t="str">
        <f t="shared" si="726"/>
        <v xml:space="preserve"> </v>
      </c>
      <c r="Y1407" s="81" t="str">
        <f t="shared" si="727"/>
        <v xml:space="preserve"> </v>
      </c>
      <c r="Z1407" s="79"/>
      <c r="AF1407" s="79"/>
      <c r="AJ1407" s="66"/>
      <c r="AK1407" s="65"/>
    </row>
    <row r="1408" spans="1:37" hidden="1">
      <c r="A1408" s="65">
        <f>A1403+1</f>
        <v>9</v>
      </c>
      <c r="B1408" s="66" t="s">
        <v>587</v>
      </c>
      <c r="C1408" s="79">
        <f>C1368</f>
        <v>30449</v>
      </c>
      <c r="D1408" s="79">
        <f>D1368</f>
        <v>6999</v>
      </c>
      <c r="E1408" s="79">
        <f>E1368</f>
        <v>393</v>
      </c>
      <c r="F1408" s="79">
        <f>D1408+E1408</f>
        <v>7392</v>
      </c>
      <c r="G1408" s="79">
        <f t="shared" ref="G1408:L1408" si="738">G1368</f>
        <v>562</v>
      </c>
      <c r="H1408" s="79">
        <f t="shared" si="738"/>
        <v>5138</v>
      </c>
      <c r="I1408" s="79">
        <f t="shared" si="738"/>
        <v>1699</v>
      </c>
      <c r="J1408" s="79">
        <f t="shared" si="738"/>
        <v>-563</v>
      </c>
      <c r="K1408" s="79">
        <f t="shared" si="738"/>
        <v>-59</v>
      </c>
      <c r="L1408" s="79">
        <f t="shared" si="738"/>
        <v>82</v>
      </c>
      <c r="M1408" s="79">
        <f>SUM(J1408:L1408)</f>
        <v>-540</v>
      </c>
      <c r="N1408" s="79">
        <f t="shared" ref="N1408:S1408" si="739">N1368</f>
        <v>983</v>
      </c>
      <c r="O1408" s="79">
        <f t="shared" si="739"/>
        <v>15234</v>
      </c>
      <c r="P1408" s="79">
        <f t="shared" si="739"/>
        <v>2852</v>
      </c>
      <c r="Q1408" s="79">
        <f t="shared" si="739"/>
        <v>257</v>
      </c>
      <c r="R1408" s="79">
        <f t="shared" si="739"/>
        <v>3109</v>
      </c>
      <c r="S1408" s="79">
        <f t="shared" si="739"/>
        <v>12106</v>
      </c>
      <c r="U1408" s="80">
        <f>O1408+R1408+S1408-C1408</f>
        <v>0</v>
      </c>
      <c r="W1408" s="81">
        <f t="shared" si="725"/>
        <v>0.83050760000000001</v>
      </c>
      <c r="X1408" s="81">
        <f t="shared" si="726"/>
        <v>0.50031199999999998</v>
      </c>
      <c r="Y1408" s="81">
        <f t="shared" si="727"/>
        <v>0.39758280000000001</v>
      </c>
      <c r="Z1408" s="79"/>
      <c r="AF1408" s="79"/>
      <c r="AJ1408" s="66"/>
      <c r="AK1408" s="65"/>
    </row>
    <row r="1409" spans="1:37" hidden="1">
      <c r="A1409" s="65">
        <f>A1408+1</f>
        <v>10</v>
      </c>
      <c r="B1409" s="66" t="s">
        <v>588</v>
      </c>
      <c r="C1409" s="79">
        <f>ROUND((C1393-C1400)*$C1636,0)</f>
        <v>35923</v>
      </c>
      <c r="D1409" s="79">
        <f>C1409-E1409-SUM(G1409:I1409)-SUM(M1409:N1409)-R1409-S1409</f>
        <v>22887</v>
      </c>
      <c r="E1409" s="79">
        <f>ROUND((E1393-E1400)*$C1636,0)</f>
        <v>708</v>
      </c>
      <c r="F1409" s="79">
        <f>D1409+E1409</f>
        <v>23595</v>
      </c>
      <c r="G1409" s="79">
        <f t="shared" ref="G1409:L1409" si="740">ROUND((G1393-G1400)*$C1636,0)</f>
        <v>1310</v>
      </c>
      <c r="H1409" s="79">
        <f t="shared" si="740"/>
        <v>4806</v>
      </c>
      <c r="I1409" s="79">
        <f t="shared" si="740"/>
        <v>3354</v>
      </c>
      <c r="J1409" s="79">
        <f t="shared" si="740"/>
        <v>1153</v>
      </c>
      <c r="K1409" s="79">
        <f t="shared" si="740"/>
        <v>322</v>
      </c>
      <c r="L1409" s="79">
        <f t="shared" si="740"/>
        <v>0</v>
      </c>
      <c r="M1409" s="79">
        <f>SUM(J1409:L1409)</f>
        <v>1475</v>
      </c>
      <c r="N1409" s="79">
        <f>ROUND((N1393-N1400)*$C1636,0)</f>
        <v>1383</v>
      </c>
      <c r="O1409" s="79">
        <f>SUM(F1409:L1409)+N1409</f>
        <v>35923</v>
      </c>
      <c r="P1409" s="79">
        <f>ROUND((P1393-P1400)*$C1636,0)</f>
        <v>0</v>
      </c>
      <c r="Q1409" s="79">
        <f>ROUND((Q1393-Q1400)*$C1636,0)</f>
        <v>0</v>
      </c>
      <c r="R1409" s="79">
        <f>ROUND((R1393-R1400)*$C1636,0)</f>
        <v>0</v>
      </c>
      <c r="S1409" s="79">
        <f>ROUND((S1393-S1400)*$C1636,0)</f>
        <v>0</v>
      </c>
      <c r="U1409" s="80">
        <f>O1409+R1409+S1409-C1409</f>
        <v>0</v>
      </c>
      <c r="W1409" s="81">
        <f t="shared" si="725"/>
        <v>1</v>
      </c>
      <c r="X1409" s="81">
        <f t="shared" si="726"/>
        <v>1</v>
      </c>
      <c r="Y1409" s="81">
        <f t="shared" si="727"/>
        <v>0</v>
      </c>
      <c r="Z1409" s="79"/>
      <c r="AF1409" s="79"/>
      <c r="AJ1409" s="66"/>
      <c r="AK1409" s="65"/>
    </row>
    <row r="1410" spans="1:37" hidden="1">
      <c r="A1410" s="65">
        <f>A1409+1</f>
        <v>11</v>
      </c>
      <c r="B1410" s="66" t="s">
        <v>573</v>
      </c>
      <c r="C1410" s="79">
        <f>O1410+R1410+S1410</f>
        <v>66372</v>
      </c>
      <c r="D1410" s="79">
        <f>D1408+D1409</f>
        <v>29886</v>
      </c>
      <c r="E1410" s="79">
        <f>E1408+E1409</f>
        <v>1101</v>
      </c>
      <c r="F1410" s="79">
        <f>D1410+E1410</f>
        <v>30987</v>
      </c>
      <c r="G1410" s="79">
        <f t="shared" ref="G1410:L1410" si="741">G1408+G1409</f>
        <v>1872</v>
      </c>
      <c r="H1410" s="79">
        <f t="shared" si="741"/>
        <v>9944</v>
      </c>
      <c r="I1410" s="79">
        <f t="shared" si="741"/>
        <v>5053</v>
      </c>
      <c r="J1410" s="79">
        <f t="shared" si="741"/>
        <v>590</v>
      </c>
      <c r="K1410" s="79">
        <f t="shared" si="741"/>
        <v>263</v>
      </c>
      <c r="L1410" s="79">
        <f t="shared" si="741"/>
        <v>82</v>
      </c>
      <c r="M1410" s="79">
        <f>SUM(J1410:L1410)</f>
        <v>935</v>
      </c>
      <c r="N1410" s="79">
        <f t="shared" ref="N1410:S1410" si="742">N1408+N1409</f>
        <v>2366</v>
      </c>
      <c r="O1410" s="79">
        <f>O1408+O1409</f>
        <v>51157</v>
      </c>
      <c r="P1410" s="79">
        <f t="shared" si="742"/>
        <v>2852</v>
      </c>
      <c r="Q1410" s="79">
        <f t="shared" si="742"/>
        <v>257</v>
      </c>
      <c r="R1410" s="79">
        <f t="shared" si="742"/>
        <v>3109</v>
      </c>
      <c r="S1410" s="79">
        <f t="shared" si="742"/>
        <v>12106</v>
      </c>
      <c r="U1410" s="80">
        <f>O1410+R1410+S1410-C1410</f>
        <v>0</v>
      </c>
      <c r="W1410" s="81">
        <f t="shared" si="725"/>
        <v>0.94270810000000005</v>
      </c>
      <c r="X1410" s="81">
        <f t="shared" si="726"/>
        <v>0.77076180000000005</v>
      </c>
      <c r="Y1410" s="81">
        <f t="shared" si="727"/>
        <v>0.18239620000000001</v>
      </c>
      <c r="Z1410" s="79"/>
      <c r="AF1410" s="79"/>
      <c r="AJ1410" s="66"/>
      <c r="AK1410" s="65"/>
    </row>
    <row r="1411" spans="1:37" hidden="1">
      <c r="C1411" s="79"/>
      <c r="D1411" s="79"/>
      <c r="E1411" s="79"/>
      <c r="F1411" s="79"/>
      <c r="G1411" s="79"/>
      <c r="H1411" s="79"/>
      <c r="I1411" s="79"/>
      <c r="J1411" s="79"/>
      <c r="K1411" s="79"/>
      <c r="L1411" s="79"/>
      <c r="M1411" s="79"/>
      <c r="N1411" s="79"/>
      <c r="O1411" s="79"/>
      <c r="P1411" s="79"/>
      <c r="Q1411" s="79"/>
      <c r="R1411" s="79"/>
      <c r="S1411" s="79"/>
      <c r="U1411" s="80"/>
      <c r="W1411" s="81" t="str">
        <f t="shared" si="725"/>
        <v xml:space="preserve"> </v>
      </c>
      <c r="X1411" s="81" t="str">
        <f t="shared" si="726"/>
        <v xml:space="preserve"> </v>
      </c>
      <c r="Y1411" s="81" t="str">
        <f t="shared" si="727"/>
        <v xml:space="preserve"> </v>
      </c>
      <c r="Z1411" s="79"/>
      <c r="AF1411" s="79"/>
      <c r="AJ1411" s="66"/>
      <c r="AK1411" s="65"/>
    </row>
    <row r="1412" spans="1:37" hidden="1">
      <c r="A1412" s="65">
        <f>A1410+1</f>
        <v>12</v>
      </c>
      <c r="B1412" s="66" t="s">
        <v>574</v>
      </c>
      <c r="C1412" s="79">
        <f>O1412+R1412+S1412</f>
        <v>150290.41710010002</v>
      </c>
      <c r="D1412" s="79">
        <f>D1403-D1410</f>
        <v>68540.917990100017</v>
      </c>
      <c r="E1412" s="79">
        <f>E1403-E1410</f>
        <v>2347.9504999999999</v>
      </c>
      <c r="F1412" s="79">
        <f>D1412+E1412</f>
        <v>70888.868490100023</v>
      </c>
      <c r="G1412" s="79">
        <f t="shared" ref="G1412:L1412" si="743">G1403-G1410</f>
        <v>4317</v>
      </c>
      <c r="H1412" s="79">
        <f t="shared" si="743"/>
        <v>23015</v>
      </c>
      <c r="I1412" s="79">
        <f t="shared" si="743"/>
        <v>11709.00045</v>
      </c>
      <c r="J1412" s="79">
        <f t="shared" si="743"/>
        <v>2541.0004499999995</v>
      </c>
      <c r="K1412" s="79">
        <f t="shared" si="743"/>
        <v>558.00045</v>
      </c>
      <c r="L1412" s="79">
        <f t="shared" si="743"/>
        <v>196.00045</v>
      </c>
      <c r="M1412" s="79">
        <f>SUM(J1412:L1412)</f>
        <v>3295.0013499999995</v>
      </c>
      <c r="N1412" s="79">
        <f>N1403-N1410</f>
        <v>4933.0004600000029</v>
      </c>
      <c r="O1412" s="79">
        <f>SUM(F1412:L1412)+N1412</f>
        <v>118157.87075010003</v>
      </c>
      <c r="P1412" s="79">
        <f>P1403-P1410</f>
        <v>5400.7584500000012</v>
      </c>
      <c r="Q1412" s="79">
        <f>Q1403-Q1410</f>
        <v>506.50045</v>
      </c>
      <c r="R1412" s="79">
        <f>R1403-R1410</f>
        <v>5907.2589000000025</v>
      </c>
      <c r="S1412" s="79">
        <f>S1403-S1410</f>
        <v>26225.287450000003</v>
      </c>
      <c r="U1412" s="80">
        <f>O1412+R1412+S1412-C1412</f>
        <v>0</v>
      </c>
      <c r="W1412" s="81">
        <f t="shared" si="725"/>
        <v>0.95238579999999995</v>
      </c>
      <c r="X1412" s="81">
        <f t="shared" si="726"/>
        <v>0.78619700000000003</v>
      </c>
      <c r="Y1412" s="81">
        <f t="shared" si="727"/>
        <v>0.1744974</v>
      </c>
      <c r="Z1412" s="79"/>
      <c r="AF1412" s="79"/>
      <c r="AJ1412" s="66"/>
      <c r="AK1412" s="65"/>
    </row>
    <row r="1413" spans="1:37" hidden="1">
      <c r="W1413" s="81" t="str">
        <f t="shared" si="725"/>
        <v xml:space="preserve"> </v>
      </c>
      <c r="X1413" s="81" t="str">
        <f t="shared" si="726"/>
        <v xml:space="preserve"> </v>
      </c>
      <c r="Y1413" s="81" t="str">
        <f t="shared" si="727"/>
        <v xml:space="preserve"> </v>
      </c>
      <c r="AJ1413" s="66"/>
      <c r="AK1413" s="65"/>
    </row>
    <row r="1414" spans="1:37" hidden="1">
      <c r="A1414" s="65">
        <f>A1412+1</f>
        <v>13</v>
      </c>
      <c r="B1414" s="66" t="s">
        <v>575</v>
      </c>
      <c r="C1414" s="93">
        <f t="shared" ref="C1414:S1414" si="744">C1412/C1386</f>
        <v>7.5898239467525122E-2</v>
      </c>
      <c r="D1414" s="93">
        <f t="shared" si="744"/>
        <v>7.1634566270451033E-2</v>
      </c>
      <c r="E1414" s="93">
        <f>E1412/E1386</f>
        <v>8.6160159260210631E-2</v>
      </c>
      <c r="F1414" s="93">
        <f t="shared" si="744"/>
        <v>7.2036813223030655E-2</v>
      </c>
      <c r="G1414" s="93">
        <f t="shared" si="744"/>
        <v>7.0704423735198252E-2</v>
      </c>
      <c r="H1414" s="93">
        <f t="shared" si="744"/>
        <v>7.0176668963708763E-2</v>
      </c>
      <c r="I1414" s="93">
        <f t="shared" si="744"/>
        <v>7.0000182039923239E-2</v>
      </c>
      <c r="J1414" s="93">
        <f t="shared" si="744"/>
        <v>3.4688478812865173E-2</v>
      </c>
      <c r="K1414" s="93">
        <f t="shared" si="744"/>
        <v>8.9566599852123729E-2</v>
      </c>
      <c r="L1414" s="93">
        <f t="shared" si="744"/>
        <v>6.6104572235344092E-2</v>
      </c>
      <c r="M1414" s="93">
        <f t="shared" si="744"/>
        <v>3.9965079074017952E-2</v>
      </c>
      <c r="N1414" s="93">
        <f t="shared" si="744"/>
        <v>9.2713373428290946E-2</v>
      </c>
      <c r="O1414" s="93">
        <f>O1412/O1386</f>
        <v>7.0499734315897261E-2</v>
      </c>
      <c r="P1414" s="93">
        <f t="shared" si="744"/>
        <v>0.166896120210136</v>
      </c>
      <c r="Q1414" s="93">
        <f t="shared" si="744"/>
        <v>0.13838810109289618</v>
      </c>
      <c r="R1414" s="93">
        <f t="shared" si="744"/>
        <v>0.16399486133089039</v>
      </c>
      <c r="S1414" s="93">
        <f t="shared" si="744"/>
        <v>9.7807408504214155E-2</v>
      </c>
      <c r="U1414" s="94"/>
      <c r="W1414" s="81">
        <f t="shared" si="725"/>
        <v>0.30064550000000001</v>
      </c>
      <c r="X1414" s="81">
        <f t="shared" si="726"/>
        <v>0.92887180000000003</v>
      </c>
      <c r="Y1414" s="81">
        <f t="shared" si="727"/>
        <v>1.2886649999999999</v>
      </c>
      <c r="Z1414" s="93"/>
      <c r="AF1414" s="93"/>
      <c r="AJ1414" s="66"/>
      <c r="AK1414" s="65"/>
    </row>
    <row r="1415" spans="1:37" hidden="1"/>
    <row r="1416" spans="1:37" hidden="1">
      <c r="A1416" s="65">
        <f>A1414+1</f>
        <v>14</v>
      </c>
      <c r="B1416" s="71" t="s">
        <v>576</v>
      </c>
      <c r="D1416" s="97">
        <f>D1414/$O$1414</f>
        <v>1.0160969678193223</v>
      </c>
      <c r="E1416" s="97">
        <f t="shared" ref="E1416:O1416" si="745">E1414/$O$1414</f>
        <v>1.222134524282626</v>
      </c>
      <c r="F1416" s="97">
        <f t="shared" si="745"/>
        <v>1.0218026198545089</v>
      </c>
      <c r="G1416" s="97">
        <f t="shared" si="745"/>
        <v>1.0029034069601428</v>
      </c>
      <c r="H1416" s="97">
        <f t="shared" si="745"/>
        <v>0.99541749546543112</v>
      </c>
      <c r="I1416" s="97">
        <f t="shared" si="745"/>
        <v>0.99291412541023749</v>
      </c>
      <c r="J1416" s="97">
        <f t="shared" si="745"/>
        <v>0.49203701474153116</v>
      </c>
      <c r="K1416" s="97">
        <f t="shared" si="745"/>
        <v>1.2704530126424463</v>
      </c>
      <c r="L1416" s="97">
        <f t="shared" si="745"/>
        <v>0.93765704050941245</v>
      </c>
      <c r="M1416" s="97">
        <f t="shared" si="745"/>
        <v>0.56688269057782914</v>
      </c>
      <c r="N1416" s="97">
        <f t="shared" si="745"/>
        <v>1.315088267040244</v>
      </c>
      <c r="O1416" s="97">
        <f t="shared" si="745"/>
        <v>1</v>
      </c>
    </row>
    <row r="1417" spans="1:37" hidden="1">
      <c r="B1417" s="72"/>
      <c r="C1417" s="66" t="s">
        <v>578</v>
      </c>
      <c r="H1417" s="65" t="s">
        <v>80</v>
      </c>
      <c r="Q1417" s="65"/>
      <c r="X1417" s="81"/>
      <c r="Y1417" s="81"/>
      <c r="AJ1417" s="66"/>
      <c r="AK1417" s="65"/>
    </row>
    <row r="1418" spans="1:37" hidden="1">
      <c r="H1418" s="70" t="str">
        <f>H24</f>
        <v>12 MONTHS ENDING DECEMBER 31, 2012</v>
      </c>
      <c r="Q1418" s="70"/>
      <c r="X1418" s="81"/>
      <c r="Y1418" s="81"/>
      <c r="AJ1418" s="66"/>
      <c r="AK1418" s="65"/>
    </row>
    <row r="1419" spans="1:37" hidden="1">
      <c r="H1419" s="70" t="str">
        <f>$H$25</f>
        <v>12/13 DEMAND ALLOCATION WITH MDS METHODOLOGY</v>
      </c>
      <c r="Q1419" s="70"/>
      <c r="X1419" s="81"/>
      <c r="Y1419" s="81"/>
      <c r="AJ1419" s="66"/>
      <c r="AK1419" s="65"/>
    </row>
    <row r="1420" spans="1:37" hidden="1">
      <c r="H1420" s="87" t="s">
        <v>589</v>
      </c>
      <c r="Q1420" s="65"/>
      <c r="X1420" s="81"/>
      <c r="Y1420" s="81"/>
      <c r="AJ1420" s="66"/>
      <c r="AK1420" s="65"/>
    </row>
    <row r="1421" spans="1:37" hidden="1">
      <c r="H1421" s="70" t="s">
        <v>114</v>
      </c>
      <c r="Q1421" s="70"/>
      <c r="X1421" s="81"/>
      <c r="Y1421" s="81"/>
      <c r="AJ1421" s="66"/>
      <c r="AK1421" s="65"/>
    </row>
    <row r="1422" spans="1:37" hidden="1">
      <c r="C1422" s="65" t="s">
        <v>59</v>
      </c>
      <c r="K1422" s="65"/>
      <c r="L1422" s="65"/>
      <c r="M1422" s="65"/>
      <c r="O1422" s="65" t="s">
        <v>59</v>
      </c>
      <c r="S1422" s="65"/>
      <c r="W1422" s="65"/>
      <c r="X1422" s="81"/>
      <c r="Y1422" s="81"/>
      <c r="AJ1422" s="66"/>
      <c r="AK1422" s="65"/>
    </row>
    <row r="1423" spans="1:37" hidden="1">
      <c r="A1423" s="65" t="s">
        <v>118</v>
      </c>
      <c r="C1423" s="65" t="s">
        <v>116</v>
      </c>
      <c r="D1423" s="70" t="s">
        <v>119</v>
      </c>
      <c r="E1423" s="70" t="s">
        <v>119</v>
      </c>
      <c r="F1423" s="70" t="s">
        <v>119</v>
      </c>
      <c r="G1423" s="70" t="s">
        <v>119</v>
      </c>
      <c r="H1423" s="70" t="s">
        <v>119</v>
      </c>
      <c r="I1423" s="70" t="s">
        <v>119</v>
      </c>
      <c r="J1423" s="70" t="s">
        <v>119</v>
      </c>
      <c r="K1423" s="70" t="s">
        <v>119</v>
      </c>
      <c r="L1423" s="70" t="s">
        <v>119</v>
      </c>
      <c r="M1423" s="70" t="s">
        <v>119</v>
      </c>
      <c r="N1423" s="70" t="s">
        <v>119</v>
      </c>
      <c r="O1423" s="65" t="s">
        <v>116</v>
      </c>
      <c r="S1423" s="65"/>
      <c r="W1423" s="70"/>
      <c r="X1423" s="81"/>
      <c r="Y1423" s="81"/>
      <c r="Z1423" s="65"/>
      <c r="AJ1423" s="66"/>
      <c r="AK1423" s="65"/>
    </row>
    <row r="1424" spans="1:37" hidden="1">
      <c r="A1424" s="65" t="s">
        <v>125</v>
      </c>
      <c r="B1424" s="65" t="s">
        <v>126</v>
      </c>
      <c r="C1424" s="65" t="s">
        <v>138</v>
      </c>
      <c r="D1424" s="70" t="s">
        <v>127</v>
      </c>
      <c r="E1424" s="70" t="s">
        <v>128</v>
      </c>
      <c r="F1424" s="70" t="s">
        <v>129</v>
      </c>
      <c r="G1424" s="70" t="s">
        <v>130</v>
      </c>
      <c r="H1424" s="70" t="s">
        <v>131</v>
      </c>
      <c r="I1424" s="65" t="s">
        <v>132</v>
      </c>
      <c r="J1424" s="70" t="s">
        <v>133</v>
      </c>
      <c r="K1424" s="70" t="s">
        <v>134</v>
      </c>
      <c r="L1424" s="70" t="s">
        <v>135</v>
      </c>
      <c r="M1424" s="70" t="s">
        <v>136</v>
      </c>
      <c r="N1424" s="70" t="s">
        <v>137</v>
      </c>
      <c r="O1424" s="65" t="s">
        <v>138</v>
      </c>
      <c r="S1424" s="65"/>
      <c r="W1424" s="70"/>
      <c r="X1424" s="81"/>
      <c r="Y1424" s="81"/>
      <c r="Z1424" s="65"/>
      <c r="AJ1424" s="66"/>
      <c r="AK1424" s="65"/>
    </row>
    <row r="1425" spans="1:37" hidden="1">
      <c r="A1425" s="65" t="s">
        <v>143</v>
      </c>
      <c r="B1425" s="65" t="s">
        <v>144</v>
      </c>
      <c r="C1425" s="65" t="s">
        <v>145</v>
      </c>
      <c r="D1425" s="70" t="s">
        <v>146</v>
      </c>
      <c r="E1425" s="70" t="s">
        <v>147</v>
      </c>
      <c r="F1425" s="70" t="s">
        <v>148</v>
      </c>
      <c r="G1425" s="65" t="s">
        <v>149</v>
      </c>
      <c r="H1425" s="65" t="s">
        <v>150</v>
      </c>
      <c r="I1425" s="65" t="s">
        <v>151</v>
      </c>
      <c r="J1425" s="70" t="s">
        <v>152</v>
      </c>
      <c r="K1425" s="70" t="s">
        <v>153</v>
      </c>
      <c r="L1425" s="70" t="s">
        <v>154</v>
      </c>
      <c r="M1425" s="70" t="s">
        <v>155</v>
      </c>
      <c r="N1425" s="70" t="s">
        <v>156</v>
      </c>
      <c r="O1425" s="70" t="s">
        <v>157</v>
      </c>
      <c r="S1425" s="70"/>
      <c r="W1425" s="77"/>
      <c r="X1425" s="77"/>
      <c r="Y1425" s="76"/>
      <c r="Z1425" s="70"/>
      <c r="AF1425" s="76"/>
      <c r="AJ1425" s="66"/>
      <c r="AK1425" s="65"/>
    </row>
    <row r="1426" spans="1:37" hidden="1">
      <c r="X1426" s="81"/>
      <c r="Y1426" s="81"/>
      <c r="AJ1426" s="66"/>
      <c r="AK1426" s="65"/>
    </row>
    <row r="1427" spans="1:37" hidden="1">
      <c r="A1427" s="65">
        <v>1</v>
      </c>
      <c r="B1427" s="66" t="s">
        <v>590</v>
      </c>
      <c r="C1427" s="93">
        <f>$O$1372</f>
        <v>3.6369157347381116E-2</v>
      </c>
      <c r="D1427" s="93">
        <f t="shared" ref="D1427:O1427" si="746">$C1427</f>
        <v>3.6369157347381116E-2</v>
      </c>
      <c r="E1427" s="93">
        <f t="shared" si="746"/>
        <v>3.6369157347381116E-2</v>
      </c>
      <c r="F1427" s="93">
        <f t="shared" si="746"/>
        <v>3.6369157347381116E-2</v>
      </c>
      <c r="G1427" s="93">
        <f t="shared" si="746"/>
        <v>3.6369157347381116E-2</v>
      </c>
      <c r="H1427" s="93">
        <f t="shared" si="746"/>
        <v>3.6369157347381116E-2</v>
      </c>
      <c r="I1427" s="93">
        <f t="shared" si="746"/>
        <v>3.6369157347381116E-2</v>
      </c>
      <c r="J1427" s="93">
        <f t="shared" si="746"/>
        <v>3.6369157347381116E-2</v>
      </c>
      <c r="K1427" s="93">
        <f t="shared" si="746"/>
        <v>3.6369157347381116E-2</v>
      </c>
      <c r="L1427" s="93">
        <f t="shared" si="746"/>
        <v>3.6369157347381116E-2</v>
      </c>
      <c r="M1427" s="93">
        <f t="shared" si="746"/>
        <v>3.6369157347381116E-2</v>
      </c>
      <c r="N1427" s="93">
        <f t="shared" si="746"/>
        <v>3.6369157347381116E-2</v>
      </c>
      <c r="O1427" s="93">
        <f t="shared" si="746"/>
        <v>3.6369157347381116E-2</v>
      </c>
      <c r="U1427" s="94"/>
      <c r="X1427" s="81"/>
      <c r="Y1427" s="81"/>
      <c r="Z1427" s="93"/>
      <c r="AJ1427" s="66"/>
      <c r="AK1427" s="65"/>
    </row>
    <row r="1428" spans="1:37" hidden="1">
      <c r="X1428" s="81"/>
      <c r="Y1428" s="81"/>
      <c r="AJ1428" s="66"/>
      <c r="AK1428" s="65"/>
    </row>
    <row r="1429" spans="1:37" hidden="1">
      <c r="A1429" s="65">
        <f>A1427+1</f>
        <v>2</v>
      </c>
      <c r="B1429" s="71" t="s">
        <v>591</v>
      </c>
      <c r="C1429" s="79">
        <f>SUM(F1429:L1429)+N1429</f>
        <v>60955</v>
      </c>
      <c r="D1429" s="79">
        <f>ROUND((D1427*D1341),0)-1</f>
        <v>34797</v>
      </c>
      <c r="E1429" s="79">
        <f>ROUND((E1427*E1341),0)</f>
        <v>991</v>
      </c>
      <c r="F1429" s="79">
        <f>D1429+E1429</f>
        <v>35788</v>
      </c>
      <c r="G1429" s="79">
        <f t="shared" ref="G1429:L1429" si="747">ROUND((G1427*G1341),0)</f>
        <v>2221</v>
      </c>
      <c r="H1429" s="79">
        <f t="shared" si="747"/>
        <v>11928</v>
      </c>
      <c r="I1429" s="79">
        <f t="shared" si="747"/>
        <v>6084</v>
      </c>
      <c r="J1429" s="79">
        <f t="shared" si="747"/>
        <v>2664</v>
      </c>
      <c r="K1429" s="79">
        <f t="shared" si="747"/>
        <v>227</v>
      </c>
      <c r="L1429" s="79">
        <f t="shared" si="747"/>
        <v>108</v>
      </c>
      <c r="M1429" s="79">
        <f>SUM(J1429:L1429)</f>
        <v>2999</v>
      </c>
      <c r="N1429" s="79">
        <f>ROUND((N1427*N1341),0)</f>
        <v>1935</v>
      </c>
      <c r="O1429" s="79">
        <f>ROUND((O1427*O1341),0)</f>
        <v>60955</v>
      </c>
      <c r="U1429" s="80"/>
      <c r="X1429" s="81"/>
      <c r="Y1429" s="81"/>
      <c r="Z1429" s="79"/>
      <c r="AJ1429" s="66"/>
      <c r="AK1429" s="65"/>
    </row>
    <row r="1430" spans="1:37" hidden="1">
      <c r="C1430" s="79"/>
      <c r="U1430" s="80"/>
      <c r="X1430" s="81"/>
      <c r="Y1430" s="81"/>
      <c r="Z1430" s="79"/>
      <c r="AJ1430" s="66"/>
      <c r="AK1430" s="65"/>
    </row>
    <row r="1431" spans="1:37" hidden="1">
      <c r="A1431" s="65">
        <f>A1429+1</f>
        <v>3</v>
      </c>
      <c r="B1431" s="66" t="s">
        <v>592</v>
      </c>
      <c r="C1431" s="79">
        <f>SUM(F1431:L1431)+N1431</f>
        <v>60954.870750100017</v>
      </c>
      <c r="D1431" s="79">
        <f>D1370</f>
        <v>32097.917990100017</v>
      </c>
      <c r="E1431" s="79">
        <f>E1370</f>
        <v>1220.9504999999999</v>
      </c>
      <c r="F1431" s="79">
        <f>D1431+E1431</f>
        <v>33318.868490100016</v>
      </c>
      <c r="G1431" s="79">
        <f t="shared" ref="G1431:L1431" si="748">G1370</f>
        <v>2232</v>
      </c>
      <c r="H1431" s="79">
        <f t="shared" si="748"/>
        <v>15361</v>
      </c>
      <c r="I1431" s="79">
        <f t="shared" si="748"/>
        <v>6367.0004499999995</v>
      </c>
      <c r="J1431" s="79">
        <f t="shared" si="748"/>
        <v>706.00044999999955</v>
      </c>
      <c r="K1431" s="79">
        <f t="shared" si="748"/>
        <v>44.000450000000001</v>
      </c>
      <c r="L1431" s="79">
        <f t="shared" si="748"/>
        <v>196.00045</v>
      </c>
      <c r="M1431" s="79">
        <f>SUM(J1431:L1431)</f>
        <v>946.00134999999955</v>
      </c>
      <c r="N1431" s="79">
        <f>N1370</f>
        <v>2730.0004600000011</v>
      </c>
      <c r="O1431" s="79">
        <f>O1370</f>
        <v>60954.870750100017</v>
      </c>
      <c r="U1431" s="80"/>
      <c r="X1431" s="81"/>
      <c r="Y1431" s="81"/>
      <c r="Z1431" s="79"/>
      <c r="AJ1431" s="66"/>
      <c r="AK1431" s="65"/>
    </row>
    <row r="1432" spans="1:37" hidden="1">
      <c r="C1432" s="79"/>
      <c r="D1432" s="79"/>
      <c r="E1432" s="79"/>
      <c r="F1432" s="79"/>
      <c r="G1432" s="79"/>
      <c r="H1432" s="79"/>
      <c r="I1432" s="79"/>
      <c r="J1432" s="79"/>
      <c r="K1432" s="79"/>
      <c r="L1432" s="79"/>
      <c r="M1432" s="79"/>
      <c r="N1432" s="79"/>
      <c r="O1432" s="79"/>
      <c r="U1432" s="80"/>
      <c r="X1432" s="81"/>
      <c r="Y1432" s="81"/>
      <c r="Z1432" s="79"/>
      <c r="AJ1432" s="66"/>
      <c r="AK1432" s="65"/>
    </row>
    <row r="1433" spans="1:37" hidden="1">
      <c r="A1433" s="65">
        <f>A1431+1</f>
        <v>4</v>
      </c>
      <c r="B1433" s="66" t="s">
        <v>593</v>
      </c>
      <c r="C1433" s="79">
        <f>SUM(F1433:L1433)+N1433</f>
        <v>0.12924989998282399</v>
      </c>
      <c r="D1433" s="79">
        <f>D1429-D1431</f>
        <v>2699.0820098999829</v>
      </c>
      <c r="E1433" s="79">
        <f>E1429-E1431</f>
        <v>-229.95049999999992</v>
      </c>
      <c r="F1433" s="79">
        <f>D1433+E1433</f>
        <v>2469.131509899983</v>
      </c>
      <c r="G1433" s="79">
        <f t="shared" ref="G1433:L1433" si="749">G1429-G1431</f>
        <v>-11</v>
      </c>
      <c r="H1433" s="79">
        <f t="shared" si="749"/>
        <v>-3433</v>
      </c>
      <c r="I1433" s="79">
        <f t="shared" si="749"/>
        <v>-283.00044999999955</v>
      </c>
      <c r="J1433" s="79">
        <f t="shared" si="749"/>
        <v>1957.9995500000005</v>
      </c>
      <c r="K1433" s="79">
        <f t="shared" si="749"/>
        <v>182.99955</v>
      </c>
      <c r="L1433" s="79">
        <f t="shared" si="749"/>
        <v>-88.000450000000001</v>
      </c>
      <c r="M1433" s="79">
        <f>SUM(J1433:L1433)</f>
        <v>2052.9986500000005</v>
      </c>
      <c r="N1433" s="79">
        <f>N1429-N1431</f>
        <v>-795.00046000000111</v>
      </c>
      <c r="O1433" s="79">
        <f>O1429-O1431</f>
        <v>0.12924989998282399</v>
      </c>
      <c r="U1433" s="80"/>
      <c r="X1433" s="81"/>
      <c r="Y1433" s="81"/>
      <c r="Z1433" s="79"/>
      <c r="AJ1433" s="66"/>
      <c r="AK1433" s="65"/>
    </row>
    <row r="1434" spans="1:37" hidden="1">
      <c r="C1434" s="79"/>
      <c r="D1434" s="79"/>
      <c r="E1434" s="79"/>
      <c r="F1434" s="79"/>
      <c r="G1434" s="79"/>
      <c r="H1434" s="79"/>
      <c r="I1434" s="79"/>
      <c r="J1434" s="79"/>
      <c r="K1434" s="79"/>
      <c r="L1434" s="79"/>
      <c r="M1434" s="79"/>
      <c r="N1434" s="79"/>
      <c r="O1434" s="79"/>
      <c r="U1434" s="80"/>
      <c r="X1434" s="81"/>
      <c r="Y1434" s="81"/>
      <c r="Z1434" s="79"/>
      <c r="AJ1434" s="66"/>
      <c r="AK1434" s="65"/>
    </row>
    <row r="1435" spans="1:37" hidden="1">
      <c r="A1435" s="65">
        <f>A1433+1</f>
        <v>5</v>
      </c>
      <c r="B1435" s="66" t="s">
        <v>594</v>
      </c>
      <c r="C1435" s="79">
        <f>SUM(F1435:L1435)+N1435</f>
        <v>0</v>
      </c>
      <c r="D1435" s="79">
        <f>ROUND((D$1433*(($C$1636/(1-$C$1636)))),0)-1</f>
        <v>1694</v>
      </c>
      <c r="E1435" s="79">
        <f>ROUND((E$1433*(($C$1636/(1-$C$1636)))),0)</f>
        <v>-144</v>
      </c>
      <c r="F1435" s="79">
        <f>D1435+E1435</f>
        <v>1550</v>
      </c>
      <c r="G1435" s="79">
        <f t="shared" ref="G1435:L1435" si="750">ROUND((G$1433*(($C$1636/(1-$C$1636)))),0)</f>
        <v>-7</v>
      </c>
      <c r="H1435" s="79">
        <f t="shared" si="750"/>
        <v>-2156</v>
      </c>
      <c r="I1435" s="79">
        <f t="shared" si="750"/>
        <v>-178</v>
      </c>
      <c r="J1435" s="79">
        <f t="shared" si="750"/>
        <v>1230</v>
      </c>
      <c r="K1435" s="79">
        <f t="shared" si="750"/>
        <v>115</v>
      </c>
      <c r="L1435" s="79">
        <f t="shared" si="750"/>
        <v>-55</v>
      </c>
      <c r="M1435" s="79">
        <f>SUM(J1435:L1435)</f>
        <v>1290</v>
      </c>
      <c r="N1435" s="79">
        <f>ROUND((N$1433*(($C$1636/(1-$C$1636)))),0)</f>
        <v>-499</v>
      </c>
      <c r="O1435" s="79">
        <f>ROUND((O$1433*(($C$1636/(1-$C$1636)))),0)</f>
        <v>0</v>
      </c>
      <c r="U1435" s="80"/>
      <c r="X1435" s="81"/>
      <c r="Y1435" s="81"/>
      <c r="Z1435" s="79"/>
      <c r="AJ1435" s="66"/>
      <c r="AK1435" s="65"/>
    </row>
    <row r="1436" spans="1:37" hidden="1">
      <c r="C1436" s="79"/>
      <c r="D1436" s="79"/>
      <c r="E1436" s="79"/>
      <c r="F1436" s="79"/>
      <c r="G1436" s="79"/>
      <c r="H1436" s="79"/>
      <c r="I1436" s="79"/>
      <c r="J1436" s="79"/>
      <c r="K1436" s="79"/>
      <c r="L1436" s="79"/>
      <c r="M1436" s="79"/>
      <c r="N1436" s="79"/>
      <c r="O1436" s="79"/>
      <c r="U1436" s="80"/>
      <c r="X1436" s="81"/>
      <c r="Y1436" s="81"/>
      <c r="Z1436" s="79"/>
      <c r="AJ1436" s="66"/>
      <c r="AK1436" s="65"/>
    </row>
    <row r="1437" spans="1:37" hidden="1">
      <c r="A1437" s="65">
        <f>A1435+1</f>
        <v>6</v>
      </c>
      <c r="B1437" s="66" t="s">
        <v>595</v>
      </c>
      <c r="C1437" s="79">
        <f>SUM(F1437:L1437)+N1437</f>
        <v>15234</v>
      </c>
      <c r="D1437" s="79">
        <f>D1368</f>
        <v>6999</v>
      </c>
      <c r="E1437" s="79">
        <f>E1368</f>
        <v>393</v>
      </c>
      <c r="F1437" s="79">
        <f>D1437+E1437</f>
        <v>7392</v>
      </c>
      <c r="G1437" s="79">
        <f t="shared" ref="G1437:L1437" si="751">G1368</f>
        <v>562</v>
      </c>
      <c r="H1437" s="79">
        <f t="shared" si="751"/>
        <v>5138</v>
      </c>
      <c r="I1437" s="79">
        <f t="shared" si="751"/>
        <v>1699</v>
      </c>
      <c r="J1437" s="79">
        <f t="shared" si="751"/>
        <v>-563</v>
      </c>
      <c r="K1437" s="79">
        <f t="shared" si="751"/>
        <v>-59</v>
      </c>
      <c r="L1437" s="79">
        <f t="shared" si="751"/>
        <v>82</v>
      </c>
      <c r="M1437" s="79">
        <f>SUM(J1437:L1437)</f>
        <v>-540</v>
      </c>
      <c r="N1437" s="79">
        <f>N1368</f>
        <v>983</v>
      </c>
      <c r="O1437" s="79">
        <f>O1368</f>
        <v>15234</v>
      </c>
      <c r="U1437" s="80"/>
      <c r="X1437" s="81"/>
      <c r="Y1437" s="81"/>
      <c r="Z1437" s="79"/>
      <c r="AJ1437" s="66"/>
      <c r="AK1437" s="65"/>
    </row>
    <row r="1438" spans="1:37" hidden="1">
      <c r="C1438" s="79"/>
      <c r="D1438" s="79"/>
      <c r="E1438" s="79"/>
      <c r="F1438" s="79"/>
      <c r="G1438" s="79"/>
      <c r="H1438" s="79"/>
      <c r="I1438" s="79"/>
      <c r="J1438" s="79"/>
      <c r="K1438" s="79"/>
      <c r="L1438" s="79"/>
      <c r="M1438" s="79"/>
      <c r="N1438" s="79"/>
      <c r="O1438" s="79"/>
      <c r="U1438" s="80"/>
      <c r="X1438" s="81"/>
      <c r="Y1438" s="81"/>
      <c r="Z1438" s="79"/>
      <c r="AJ1438" s="66"/>
      <c r="AK1438" s="65"/>
    </row>
    <row r="1439" spans="1:37" hidden="1">
      <c r="A1439" s="65">
        <f>A1437+1</f>
        <v>7</v>
      </c>
      <c r="B1439" s="66" t="s">
        <v>596</v>
      </c>
      <c r="C1439" s="79">
        <f>SUM(F1439:L1439)+N1439</f>
        <v>0</v>
      </c>
      <c r="D1439" s="79">
        <f>ROUND(((D$1433+D$1435)*($C$1638/(1-$C$1638))),0)+1</f>
        <v>19</v>
      </c>
      <c r="E1439" s="79">
        <f>ROUND(((E$1433+E$1435)*($C$1638/(1-$C$1638))),0)</f>
        <v>-2</v>
      </c>
      <c r="F1439" s="79">
        <f>D1439+E1439</f>
        <v>17</v>
      </c>
      <c r="G1439" s="79">
        <f t="shared" ref="G1439:L1439" si="752">ROUND(((G$1433+G$1435)*($C$1638/(1-$C$1638))),0)</f>
        <v>0</v>
      </c>
      <c r="H1439" s="79">
        <f t="shared" si="752"/>
        <v>-23</v>
      </c>
      <c r="I1439" s="79">
        <f t="shared" si="752"/>
        <v>-2</v>
      </c>
      <c r="J1439" s="79">
        <f t="shared" si="752"/>
        <v>13</v>
      </c>
      <c r="K1439" s="79">
        <f t="shared" si="752"/>
        <v>1</v>
      </c>
      <c r="L1439" s="79">
        <f t="shared" si="752"/>
        <v>-1</v>
      </c>
      <c r="M1439" s="79">
        <f>SUM(J1439:L1439)</f>
        <v>13</v>
      </c>
      <c r="N1439" s="79">
        <f>ROUND(((N$1433+N$1435)*($C$1638/(1-$C$1638))),0)</f>
        <v>-5</v>
      </c>
      <c r="O1439" s="79">
        <f>ROUND(((O$1433+O$1435)*($C$1638/(1-$C$1638))),0)</f>
        <v>0</v>
      </c>
      <c r="U1439" s="80"/>
      <c r="X1439" s="81"/>
      <c r="Y1439" s="81"/>
      <c r="Z1439" s="79"/>
      <c r="AJ1439" s="66"/>
      <c r="AK1439" s="65"/>
    </row>
    <row r="1440" spans="1:37" hidden="1">
      <c r="C1440" s="79"/>
      <c r="D1440" s="79"/>
      <c r="E1440" s="79"/>
      <c r="F1440" s="79"/>
      <c r="G1440" s="79"/>
      <c r="H1440" s="79"/>
      <c r="I1440" s="79"/>
      <c r="J1440" s="79"/>
      <c r="K1440" s="79"/>
      <c r="L1440" s="79"/>
      <c r="M1440" s="79"/>
      <c r="N1440" s="79"/>
      <c r="O1440" s="79"/>
      <c r="U1440" s="80"/>
      <c r="X1440" s="81"/>
      <c r="Y1440" s="81"/>
      <c r="Z1440" s="79"/>
      <c r="AJ1440" s="66"/>
      <c r="AK1440" s="65"/>
    </row>
    <row r="1441" spans="1:37" hidden="1">
      <c r="A1441" s="65">
        <f>A1439+1</f>
        <v>8</v>
      </c>
      <c r="B1441" s="66" t="s">
        <v>597</v>
      </c>
      <c r="C1441" s="79">
        <f>SUM(F1441:L1441)+N1441</f>
        <v>405720.13250000007</v>
      </c>
      <c r="D1441" s="79">
        <f>D1362</f>
        <v>232552.08200000002</v>
      </c>
      <c r="E1441" s="79">
        <f>E1362</f>
        <v>6631.0505000000003</v>
      </c>
      <c r="F1441" s="79">
        <f>D1441+E1441</f>
        <v>239183.13250000004</v>
      </c>
      <c r="G1441" s="79">
        <f t="shared" ref="G1441:L1441" si="753">G1362</f>
        <v>17820</v>
      </c>
      <c r="H1441" s="79">
        <f t="shared" si="753"/>
        <v>73829</v>
      </c>
      <c r="I1441" s="79">
        <f t="shared" si="753"/>
        <v>46703</v>
      </c>
      <c r="J1441" s="79">
        <f t="shared" si="753"/>
        <v>16865</v>
      </c>
      <c r="K1441" s="79">
        <f t="shared" si="753"/>
        <v>1322</v>
      </c>
      <c r="L1441" s="79">
        <f t="shared" si="753"/>
        <v>698</v>
      </c>
      <c r="M1441" s="79">
        <f>SUM(J1441:L1441)</f>
        <v>18885</v>
      </c>
      <c r="N1441" s="79">
        <f>N1362</f>
        <v>9300</v>
      </c>
      <c r="O1441" s="79">
        <f>O1362</f>
        <v>405720.13250000007</v>
      </c>
      <c r="U1441" s="80"/>
      <c r="X1441" s="81"/>
      <c r="Y1441" s="81"/>
      <c r="Z1441" s="79"/>
      <c r="AJ1441" s="66"/>
      <c r="AK1441" s="65"/>
    </row>
    <row r="1442" spans="1:37" hidden="1">
      <c r="C1442" s="79"/>
      <c r="D1442" s="79"/>
      <c r="E1442" s="79"/>
      <c r="F1442" s="79"/>
      <c r="G1442" s="79"/>
      <c r="H1442" s="79"/>
      <c r="I1442" s="79"/>
      <c r="J1442" s="79"/>
      <c r="K1442" s="79"/>
      <c r="L1442" s="79"/>
      <c r="M1442" s="79"/>
      <c r="N1442" s="79"/>
      <c r="O1442" s="79"/>
      <c r="U1442" s="80"/>
      <c r="X1442" s="81"/>
      <c r="Y1442" s="81"/>
      <c r="Z1442" s="79"/>
      <c r="AJ1442" s="66"/>
      <c r="AK1442" s="65"/>
    </row>
    <row r="1443" spans="1:37" hidden="1">
      <c r="A1443" s="65">
        <f>A1441+1</f>
        <v>9</v>
      </c>
      <c r="B1443" s="71" t="s">
        <v>598</v>
      </c>
      <c r="C1443" s="79">
        <f>SUM(F1443:L1443)+N1443</f>
        <v>481909.13250000007</v>
      </c>
      <c r="D1443" s="79">
        <f>D1429+D1435+D1437+D1439+D1441</f>
        <v>276061.08200000005</v>
      </c>
      <c r="E1443" s="79">
        <f t="shared" ref="E1443:L1443" si="754">E1429+E1435+E1437+E1439+E1441</f>
        <v>7869.0505000000003</v>
      </c>
      <c r="F1443" s="79">
        <f>D1443+E1443</f>
        <v>283930.13250000007</v>
      </c>
      <c r="G1443" s="79">
        <f t="shared" si="754"/>
        <v>20596</v>
      </c>
      <c r="H1443" s="79">
        <f t="shared" si="754"/>
        <v>88716</v>
      </c>
      <c r="I1443" s="79">
        <f t="shared" si="754"/>
        <v>54306</v>
      </c>
      <c r="J1443" s="79">
        <f t="shared" si="754"/>
        <v>20209</v>
      </c>
      <c r="K1443" s="79">
        <f t="shared" si="754"/>
        <v>1606</v>
      </c>
      <c r="L1443" s="79">
        <f t="shared" si="754"/>
        <v>832</v>
      </c>
      <c r="M1443" s="79">
        <f>SUM(J1443:L1443)</f>
        <v>22647</v>
      </c>
      <c r="N1443" s="79">
        <f>N1429+N1435+N1437+N1439+N1441</f>
        <v>11714</v>
      </c>
      <c r="O1443" s="79">
        <f>O1429+O1435+O1437+O1439+O1441</f>
        <v>481909.13250000007</v>
      </c>
      <c r="U1443" s="80"/>
      <c r="X1443" s="81"/>
      <c r="Y1443" s="81"/>
      <c r="Z1443" s="79"/>
      <c r="AJ1443" s="66"/>
      <c r="AK1443" s="65"/>
    </row>
    <row r="1444" spans="1:37" hidden="1">
      <c r="U1444" s="80"/>
      <c r="X1444" s="81"/>
      <c r="Y1444" s="81"/>
      <c r="AJ1444" s="66"/>
      <c r="AK1444" s="65"/>
    </row>
    <row r="1445" spans="1:37" hidden="1">
      <c r="A1445" s="65">
        <f>A1443+1</f>
        <v>10</v>
      </c>
      <c r="B1445" s="71" t="s">
        <v>599</v>
      </c>
      <c r="C1445" s="79">
        <f>SUM(F1445:L1445)+N1445</f>
        <v>481909.00325010001</v>
      </c>
      <c r="D1445" s="66">
        <f>D1349</f>
        <v>271648.99999010004</v>
      </c>
      <c r="E1445" s="66">
        <f>E1349</f>
        <v>8245.0010000000002</v>
      </c>
      <c r="F1445" s="79">
        <f>D1445+E1445</f>
        <v>279894.00099010003</v>
      </c>
      <c r="G1445" s="66">
        <f t="shared" ref="G1445:L1445" si="755">G1349</f>
        <v>20614</v>
      </c>
      <c r="H1445" s="66">
        <f t="shared" si="755"/>
        <v>94328</v>
      </c>
      <c r="I1445" s="66">
        <f t="shared" si="755"/>
        <v>54769.00045</v>
      </c>
      <c r="J1445" s="66">
        <f t="shared" si="755"/>
        <v>17008.00045</v>
      </c>
      <c r="K1445" s="66">
        <f t="shared" si="755"/>
        <v>1307.00045</v>
      </c>
      <c r="L1445" s="66">
        <f t="shared" si="755"/>
        <v>976.00045</v>
      </c>
      <c r="M1445" s="79">
        <f>SUM(J1445:L1445)</f>
        <v>19291.001349999999</v>
      </c>
      <c r="N1445" s="66">
        <f>N1349</f>
        <v>13013.000460000001</v>
      </c>
      <c r="O1445" s="66">
        <f>O1349</f>
        <v>481909.00325010001</v>
      </c>
      <c r="X1445" s="81"/>
      <c r="Y1445" s="81"/>
      <c r="AJ1445" s="66"/>
      <c r="AK1445" s="65"/>
    </row>
    <row r="1446" spans="1:37" hidden="1">
      <c r="X1446" s="81"/>
      <c r="Y1446" s="81"/>
      <c r="AJ1446" s="66"/>
      <c r="AK1446" s="65"/>
    </row>
    <row r="1447" spans="1:37" hidden="1">
      <c r="A1447" s="65">
        <f>A1445+1</f>
        <v>11</v>
      </c>
      <c r="B1447" s="71" t="s">
        <v>600</v>
      </c>
      <c r="C1447" s="66">
        <f>C1443-C1445</f>
        <v>0.12924990005558357</v>
      </c>
      <c r="D1447" s="66">
        <f t="shared" ref="D1447:O1447" si="756">D1443-D1445</f>
        <v>4412.0820099000121</v>
      </c>
      <c r="E1447" s="66">
        <f t="shared" si="756"/>
        <v>-375.95049999999992</v>
      </c>
      <c r="F1447" s="79">
        <f>D1447+E1447</f>
        <v>4036.1315099000121</v>
      </c>
      <c r="G1447" s="66">
        <f t="shared" si="756"/>
        <v>-18</v>
      </c>
      <c r="H1447" s="66">
        <f t="shared" si="756"/>
        <v>-5612</v>
      </c>
      <c r="I1447" s="66">
        <f t="shared" si="756"/>
        <v>-463.00044999999955</v>
      </c>
      <c r="J1447" s="66">
        <f t="shared" si="756"/>
        <v>3200.9995500000005</v>
      </c>
      <c r="K1447" s="66">
        <f t="shared" si="756"/>
        <v>298.99955</v>
      </c>
      <c r="L1447" s="66">
        <f t="shared" si="756"/>
        <v>-144.00045</v>
      </c>
      <c r="M1447" s="79">
        <f>SUM(J1447:L1447)</f>
        <v>3355.9986500000005</v>
      </c>
      <c r="N1447" s="66">
        <f t="shared" si="756"/>
        <v>-1299.0004600000011</v>
      </c>
      <c r="O1447" s="66">
        <f t="shared" si="756"/>
        <v>0.12924990005558357</v>
      </c>
      <c r="X1447" s="81"/>
      <c r="Y1447" s="81"/>
      <c r="AJ1447" s="66"/>
      <c r="AK1447" s="65"/>
    </row>
    <row r="1448" spans="1:37" hidden="1">
      <c r="X1448" s="81"/>
      <c r="Y1448" s="81"/>
      <c r="AJ1448" s="66"/>
      <c r="AK1448" s="65"/>
    </row>
    <row r="1449" spans="1:37" hidden="1">
      <c r="A1449" s="65">
        <f>A1447+1</f>
        <v>12</v>
      </c>
      <c r="B1449" s="71" t="s">
        <v>601</v>
      </c>
      <c r="C1449" s="97">
        <f>C1445/C1443</f>
        <v>0.99999973179611812</v>
      </c>
      <c r="D1449" s="97">
        <f>D1445/D1443</f>
        <v>0.98401773267736448</v>
      </c>
      <c r="E1449" s="97">
        <f>E1445/E1443</f>
        <v>1.0477758402999193</v>
      </c>
      <c r="F1449" s="97">
        <f>F1445/F1443</f>
        <v>0.98578477221011396</v>
      </c>
      <c r="G1449" s="97">
        <f t="shared" ref="G1449:O1449" si="757">G1445/G1443</f>
        <v>1.0008739561079822</v>
      </c>
      <c r="H1449" s="97">
        <f t="shared" si="757"/>
        <v>1.063258036881735</v>
      </c>
      <c r="I1449" s="97">
        <f t="shared" si="757"/>
        <v>1.0085257697123706</v>
      </c>
      <c r="J1449" s="97">
        <f t="shared" si="757"/>
        <v>0.84160524766193279</v>
      </c>
      <c r="K1449" s="97">
        <f t="shared" si="757"/>
        <v>0.81382344333748446</v>
      </c>
      <c r="L1449" s="97">
        <f t="shared" si="757"/>
        <v>1.1730774639423076</v>
      </c>
      <c r="M1449" s="97">
        <f t="shared" si="757"/>
        <v>0.85181266172119918</v>
      </c>
      <c r="N1449" s="97">
        <f t="shared" si="757"/>
        <v>1.1108929878777531</v>
      </c>
      <c r="O1449" s="97">
        <f t="shared" si="757"/>
        <v>0.99999973179611812</v>
      </c>
      <c r="X1449" s="81"/>
      <c r="Y1449" s="81"/>
      <c r="AJ1449" s="66"/>
      <c r="AK1449" s="65"/>
    </row>
    <row r="1450" spans="1:37" hidden="1">
      <c r="B1450" s="72"/>
      <c r="C1450" s="66" t="s">
        <v>578</v>
      </c>
      <c r="H1450" s="65" t="s">
        <v>80</v>
      </c>
      <c r="J1450" s="79"/>
      <c r="K1450" s="79"/>
      <c r="L1450" s="79"/>
      <c r="M1450" s="79"/>
      <c r="N1450" s="79"/>
      <c r="Q1450" s="65"/>
      <c r="U1450" s="80"/>
      <c r="X1450" s="81"/>
      <c r="Y1450" s="81"/>
      <c r="AJ1450" s="66"/>
      <c r="AK1450" s="65"/>
    </row>
    <row r="1451" spans="1:37" hidden="1">
      <c r="H1451" s="70" t="str">
        <f>H24</f>
        <v>12 MONTHS ENDING DECEMBER 31, 2012</v>
      </c>
      <c r="J1451" s="79"/>
      <c r="K1451" s="79"/>
      <c r="L1451" s="79"/>
      <c r="M1451" s="79"/>
      <c r="N1451" s="79"/>
      <c r="Q1451" s="70"/>
      <c r="U1451" s="80"/>
      <c r="X1451" s="81"/>
      <c r="Y1451" s="81"/>
      <c r="AJ1451" s="66"/>
      <c r="AK1451" s="65"/>
    </row>
    <row r="1452" spans="1:37" hidden="1">
      <c r="H1452" s="70" t="str">
        <f>$H$25</f>
        <v>12/13 DEMAND ALLOCATION WITH MDS METHODOLOGY</v>
      </c>
      <c r="Q1452" s="70"/>
      <c r="X1452" s="81"/>
      <c r="Y1452" s="81"/>
      <c r="AJ1452" s="66"/>
      <c r="AK1452" s="65"/>
    </row>
    <row r="1453" spans="1:37" hidden="1">
      <c r="H1453" s="70" t="s">
        <v>602</v>
      </c>
      <c r="J1453" s="79"/>
      <c r="K1453" s="79"/>
      <c r="L1453" s="79"/>
      <c r="M1453" s="79"/>
      <c r="N1453" s="79"/>
      <c r="Q1453" s="65"/>
      <c r="U1453" s="80"/>
      <c r="X1453" s="81"/>
      <c r="Y1453" s="81"/>
      <c r="AJ1453" s="66"/>
      <c r="AK1453" s="65"/>
    </row>
    <row r="1454" spans="1:37" hidden="1">
      <c r="H1454" s="70" t="s">
        <v>114</v>
      </c>
      <c r="J1454" s="79"/>
      <c r="K1454" s="79"/>
      <c r="L1454" s="79"/>
      <c r="M1454" s="79"/>
      <c r="N1454" s="79"/>
      <c r="Q1454" s="70"/>
      <c r="U1454" s="80"/>
      <c r="X1454" s="81"/>
      <c r="Y1454" s="81"/>
      <c r="AJ1454" s="66"/>
      <c r="AK1454" s="65"/>
    </row>
    <row r="1455" spans="1:37" hidden="1">
      <c r="C1455" s="65" t="s">
        <v>59</v>
      </c>
      <c r="K1455" s="65"/>
      <c r="L1455" s="65"/>
      <c r="M1455" s="65"/>
      <c r="O1455" s="65" t="s">
        <v>59</v>
      </c>
      <c r="S1455" s="65"/>
      <c r="W1455" s="65"/>
      <c r="X1455" s="81"/>
      <c r="Y1455" s="81"/>
      <c r="AJ1455" s="66"/>
      <c r="AK1455" s="65"/>
    </row>
    <row r="1456" spans="1:37" hidden="1">
      <c r="A1456" s="65" t="s">
        <v>118</v>
      </c>
      <c r="C1456" s="65" t="s">
        <v>116</v>
      </c>
      <c r="D1456" s="70" t="s">
        <v>119</v>
      </c>
      <c r="E1456" s="70" t="s">
        <v>119</v>
      </c>
      <c r="F1456" s="70" t="s">
        <v>119</v>
      </c>
      <c r="G1456" s="70" t="s">
        <v>119</v>
      </c>
      <c r="H1456" s="70" t="s">
        <v>119</v>
      </c>
      <c r="I1456" s="70" t="s">
        <v>119</v>
      </c>
      <c r="J1456" s="70" t="s">
        <v>119</v>
      </c>
      <c r="K1456" s="70" t="s">
        <v>119</v>
      </c>
      <c r="L1456" s="70" t="s">
        <v>119</v>
      </c>
      <c r="M1456" s="70" t="s">
        <v>119</v>
      </c>
      <c r="N1456" s="70" t="s">
        <v>119</v>
      </c>
      <c r="O1456" s="65" t="s">
        <v>116</v>
      </c>
      <c r="S1456" s="65"/>
      <c r="W1456" s="70"/>
      <c r="X1456" s="81"/>
      <c r="Y1456" s="81"/>
      <c r="Z1456" s="65"/>
      <c r="AJ1456" s="66"/>
      <c r="AK1456" s="65"/>
    </row>
    <row r="1457" spans="1:37" hidden="1">
      <c r="A1457" s="65" t="s">
        <v>125</v>
      </c>
      <c r="B1457" s="65" t="s">
        <v>126</v>
      </c>
      <c r="C1457" s="65" t="s">
        <v>138</v>
      </c>
      <c r="D1457" s="70" t="s">
        <v>127</v>
      </c>
      <c r="E1457" s="70" t="s">
        <v>128</v>
      </c>
      <c r="F1457" s="70" t="s">
        <v>129</v>
      </c>
      <c r="G1457" s="70" t="s">
        <v>130</v>
      </c>
      <c r="H1457" s="70" t="s">
        <v>131</v>
      </c>
      <c r="I1457" s="65" t="s">
        <v>132</v>
      </c>
      <c r="J1457" s="70" t="s">
        <v>133</v>
      </c>
      <c r="K1457" s="70" t="s">
        <v>134</v>
      </c>
      <c r="L1457" s="70" t="s">
        <v>135</v>
      </c>
      <c r="M1457" s="70" t="s">
        <v>136</v>
      </c>
      <c r="N1457" s="70" t="s">
        <v>137</v>
      </c>
      <c r="O1457" s="65" t="s">
        <v>138</v>
      </c>
      <c r="S1457" s="65"/>
      <c r="W1457" s="70"/>
      <c r="X1457" s="81"/>
      <c r="Y1457" s="81"/>
      <c r="Z1457" s="65"/>
      <c r="AJ1457" s="66"/>
      <c r="AK1457" s="65"/>
    </row>
    <row r="1458" spans="1:37" hidden="1">
      <c r="A1458" s="65" t="s">
        <v>143</v>
      </c>
      <c r="B1458" s="65" t="s">
        <v>144</v>
      </c>
      <c r="C1458" s="65" t="s">
        <v>145</v>
      </c>
      <c r="D1458" s="70" t="s">
        <v>146</v>
      </c>
      <c r="E1458" s="70" t="s">
        <v>147</v>
      </c>
      <c r="F1458" s="70" t="s">
        <v>148</v>
      </c>
      <c r="G1458" s="65" t="s">
        <v>149</v>
      </c>
      <c r="H1458" s="65" t="s">
        <v>150</v>
      </c>
      <c r="I1458" s="65" t="s">
        <v>151</v>
      </c>
      <c r="J1458" s="70" t="s">
        <v>152</v>
      </c>
      <c r="K1458" s="70" t="s">
        <v>153</v>
      </c>
      <c r="L1458" s="70" t="s">
        <v>154</v>
      </c>
      <c r="M1458" s="70" t="s">
        <v>155</v>
      </c>
      <c r="N1458" s="70" t="s">
        <v>156</v>
      </c>
      <c r="O1458" s="70" t="s">
        <v>157</v>
      </c>
      <c r="S1458" s="70"/>
      <c r="W1458" s="77"/>
      <c r="X1458" s="77"/>
      <c r="Y1458" s="76"/>
      <c r="Z1458" s="70"/>
      <c r="AF1458" s="76"/>
      <c r="AJ1458" s="66"/>
      <c r="AK1458" s="65"/>
    </row>
    <row r="1459" spans="1:37" hidden="1">
      <c r="O1459" s="93"/>
      <c r="X1459" s="81"/>
      <c r="Y1459" s="81"/>
      <c r="AJ1459" s="66"/>
      <c r="AK1459" s="65"/>
    </row>
    <row r="1460" spans="1:37" hidden="1">
      <c r="A1460" s="65">
        <v>1</v>
      </c>
      <c r="B1460" s="66" t="s">
        <v>590</v>
      </c>
      <c r="C1460" s="90">
        <f>$O1414</f>
        <v>7.0499734315897261E-2</v>
      </c>
      <c r="D1460" s="90">
        <f t="shared" ref="D1460:O1460" si="758">$O1414</f>
        <v>7.0499734315897261E-2</v>
      </c>
      <c r="E1460" s="90">
        <f t="shared" si="758"/>
        <v>7.0499734315897261E-2</v>
      </c>
      <c r="F1460" s="90">
        <f t="shared" si="758"/>
        <v>7.0499734315897261E-2</v>
      </c>
      <c r="G1460" s="90">
        <f t="shared" si="758"/>
        <v>7.0499734315897261E-2</v>
      </c>
      <c r="H1460" s="90">
        <f t="shared" si="758"/>
        <v>7.0499734315897261E-2</v>
      </c>
      <c r="I1460" s="90">
        <f t="shared" si="758"/>
        <v>7.0499734315897261E-2</v>
      </c>
      <c r="J1460" s="90">
        <f t="shared" si="758"/>
        <v>7.0499734315897261E-2</v>
      </c>
      <c r="K1460" s="90">
        <f t="shared" si="758"/>
        <v>7.0499734315897261E-2</v>
      </c>
      <c r="L1460" s="90">
        <f t="shared" si="758"/>
        <v>7.0499734315897261E-2</v>
      </c>
      <c r="M1460" s="90">
        <f t="shared" si="758"/>
        <v>7.0499734315897261E-2</v>
      </c>
      <c r="N1460" s="90">
        <f t="shared" si="758"/>
        <v>7.0499734315897261E-2</v>
      </c>
      <c r="O1460" s="90">
        <f t="shared" si="758"/>
        <v>7.0499734315897261E-2</v>
      </c>
      <c r="U1460" s="94"/>
      <c r="X1460" s="81"/>
      <c r="Y1460" s="81"/>
      <c r="Z1460" s="93"/>
      <c r="AJ1460" s="66"/>
      <c r="AK1460" s="65"/>
    </row>
    <row r="1461" spans="1:37" hidden="1">
      <c r="X1461" s="81"/>
      <c r="Y1461" s="81"/>
      <c r="AJ1461" s="66"/>
      <c r="AK1461" s="65"/>
    </row>
    <row r="1462" spans="1:37" hidden="1">
      <c r="A1462" s="65">
        <f>A1460+1</f>
        <v>2</v>
      </c>
      <c r="B1462" s="66" t="s">
        <v>603</v>
      </c>
      <c r="C1462" s="79">
        <f>SUM(F1462:L1462)+N1462</f>
        <v>118157</v>
      </c>
      <c r="D1462" s="79">
        <f>ROUND((D1460*D1386),0)-1</f>
        <v>67454</v>
      </c>
      <c r="E1462" s="79">
        <f>ROUND((E1460*E1386),0)</f>
        <v>1921</v>
      </c>
      <c r="F1462" s="79">
        <f>D1462+E1462</f>
        <v>69375</v>
      </c>
      <c r="G1462" s="79">
        <f t="shared" ref="G1462:L1462" si="759">ROUND((G1460*G1386),0)</f>
        <v>4305</v>
      </c>
      <c r="H1462" s="79">
        <f t="shared" si="759"/>
        <v>23121</v>
      </c>
      <c r="I1462" s="79">
        <f t="shared" si="759"/>
        <v>11793</v>
      </c>
      <c r="J1462" s="79">
        <f t="shared" si="759"/>
        <v>5164</v>
      </c>
      <c r="K1462" s="79">
        <f t="shared" si="759"/>
        <v>439</v>
      </c>
      <c r="L1462" s="79">
        <f t="shared" si="759"/>
        <v>209</v>
      </c>
      <c r="M1462" s="79">
        <f>SUM(J1462:L1462)</f>
        <v>5812</v>
      </c>
      <c r="N1462" s="79">
        <f>ROUND((N1460*N1386),0)</f>
        <v>3751</v>
      </c>
      <c r="O1462" s="79">
        <f>ROUND((O1460*O1386),0)-1</f>
        <v>118157</v>
      </c>
      <c r="U1462" s="80"/>
      <c r="X1462" s="81"/>
      <c r="Y1462" s="81"/>
      <c r="Z1462" s="79"/>
      <c r="AJ1462" s="66"/>
      <c r="AK1462" s="65"/>
    </row>
    <row r="1463" spans="1:37" hidden="1">
      <c r="C1463" s="79"/>
      <c r="D1463" s="79"/>
      <c r="E1463" s="79"/>
      <c r="F1463" s="79"/>
      <c r="G1463" s="79"/>
      <c r="H1463" s="79"/>
      <c r="I1463" s="79"/>
      <c r="J1463" s="79"/>
      <c r="K1463" s="79"/>
      <c r="L1463" s="79"/>
      <c r="M1463" s="79"/>
      <c r="N1463" s="79"/>
      <c r="O1463" s="79"/>
      <c r="U1463" s="80"/>
      <c r="X1463" s="81"/>
      <c r="Y1463" s="81"/>
      <c r="Z1463" s="79"/>
      <c r="AJ1463" s="66"/>
      <c r="AK1463" s="65"/>
    </row>
    <row r="1464" spans="1:37" hidden="1">
      <c r="A1464" s="65">
        <f>A1462+1</f>
        <v>3</v>
      </c>
      <c r="B1464" s="71" t="s">
        <v>592</v>
      </c>
      <c r="C1464" s="79">
        <f>SUM(F1464:L1464)+N1464</f>
        <v>60954.870750100017</v>
      </c>
      <c r="D1464" s="79">
        <f>D1370</f>
        <v>32097.917990100017</v>
      </c>
      <c r="E1464" s="79">
        <f>E1370</f>
        <v>1220.9504999999999</v>
      </c>
      <c r="F1464" s="79">
        <f>D1464+E1464</f>
        <v>33318.868490100016</v>
      </c>
      <c r="G1464" s="79">
        <f t="shared" ref="G1464:L1464" si="760">G1370</f>
        <v>2232</v>
      </c>
      <c r="H1464" s="79">
        <f t="shared" si="760"/>
        <v>15361</v>
      </c>
      <c r="I1464" s="79">
        <f t="shared" si="760"/>
        <v>6367.0004499999995</v>
      </c>
      <c r="J1464" s="79">
        <f t="shared" si="760"/>
        <v>706.00044999999955</v>
      </c>
      <c r="K1464" s="79">
        <f t="shared" si="760"/>
        <v>44.000450000000001</v>
      </c>
      <c r="L1464" s="79">
        <f t="shared" si="760"/>
        <v>196.00045</v>
      </c>
      <c r="M1464" s="79">
        <f>SUM(J1464:L1464)</f>
        <v>946.00134999999955</v>
      </c>
      <c r="N1464" s="79">
        <f>N1370</f>
        <v>2730.0004600000011</v>
      </c>
      <c r="O1464" s="79">
        <f>O1370</f>
        <v>60954.870750100017</v>
      </c>
      <c r="U1464" s="80"/>
      <c r="X1464" s="81"/>
      <c r="Y1464" s="81"/>
      <c r="Z1464" s="79"/>
      <c r="AJ1464" s="66"/>
      <c r="AK1464" s="65"/>
    </row>
    <row r="1465" spans="1:37" hidden="1">
      <c r="C1465" s="79"/>
      <c r="D1465" s="79"/>
      <c r="E1465" s="79"/>
      <c r="F1465" s="79"/>
      <c r="G1465" s="79"/>
      <c r="H1465" s="79"/>
      <c r="I1465" s="79"/>
      <c r="J1465" s="79"/>
      <c r="K1465" s="79"/>
      <c r="L1465" s="79"/>
      <c r="M1465" s="79"/>
      <c r="N1465" s="79"/>
      <c r="O1465" s="79"/>
      <c r="U1465" s="80"/>
      <c r="X1465" s="81"/>
      <c r="Y1465" s="81"/>
      <c r="Z1465" s="79"/>
      <c r="AJ1465" s="66"/>
      <c r="AK1465" s="65"/>
    </row>
    <row r="1466" spans="1:37" hidden="1">
      <c r="A1466" s="65">
        <f>A1464+1</f>
        <v>4</v>
      </c>
      <c r="B1466" s="66" t="s">
        <v>593</v>
      </c>
      <c r="C1466" s="79">
        <f>SUM(F1466:L1466)+N1466</f>
        <v>57202.129249899983</v>
      </c>
      <c r="D1466" s="79">
        <f>D1462-D1464</f>
        <v>35356.082009899983</v>
      </c>
      <c r="E1466" s="79">
        <f>E1462-E1464</f>
        <v>700.04950000000008</v>
      </c>
      <c r="F1466" s="79">
        <f>D1466+E1466</f>
        <v>36056.131509899984</v>
      </c>
      <c r="G1466" s="79">
        <f t="shared" ref="G1466:L1466" si="761">G1462-G1464</f>
        <v>2073</v>
      </c>
      <c r="H1466" s="79">
        <f t="shared" si="761"/>
        <v>7760</v>
      </c>
      <c r="I1466" s="79">
        <f t="shared" si="761"/>
        <v>5425.9995500000005</v>
      </c>
      <c r="J1466" s="79">
        <f t="shared" si="761"/>
        <v>4457.9995500000005</v>
      </c>
      <c r="K1466" s="79">
        <f t="shared" si="761"/>
        <v>394.99955</v>
      </c>
      <c r="L1466" s="79">
        <f t="shared" si="761"/>
        <v>12.999549999999999</v>
      </c>
      <c r="M1466" s="79">
        <f>SUM(J1466:L1466)</f>
        <v>4865.9986500000014</v>
      </c>
      <c r="N1466" s="79">
        <f>N1462-N1464</f>
        <v>1020.9995399999989</v>
      </c>
      <c r="O1466" s="79">
        <f>O1462-O1464</f>
        <v>57202.129249899983</v>
      </c>
      <c r="U1466" s="80"/>
      <c r="X1466" s="81"/>
      <c r="Y1466" s="81"/>
      <c r="Z1466" s="79"/>
      <c r="AJ1466" s="66"/>
      <c r="AK1466" s="65"/>
    </row>
    <row r="1467" spans="1:37" hidden="1">
      <c r="C1467" s="79"/>
      <c r="D1467" s="79"/>
      <c r="E1467" s="79"/>
      <c r="F1467" s="79"/>
      <c r="G1467" s="79"/>
      <c r="H1467" s="79"/>
      <c r="I1467" s="79"/>
      <c r="J1467" s="79"/>
      <c r="K1467" s="79"/>
      <c r="L1467" s="79"/>
      <c r="M1467" s="79"/>
      <c r="N1467" s="79"/>
      <c r="O1467" s="79"/>
      <c r="U1467" s="80"/>
      <c r="X1467" s="81"/>
      <c r="Y1467" s="81"/>
      <c r="Z1467" s="79"/>
      <c r="AJ1467" s="66"/>
      <c r="AK1467" s="65"/>
    </row>
    <row r="1468" spans="1:37" hidden="1">
      <c r="A1468" s="65">
        <f>A1466+1</f>
        <v>5</v>
      </c>
      <c r="B1468" s="66" t="s">
        <v>594</v>
      </c>
      <c r="C1468" s="79">
        <f>SUM(F1468:L1468)+N1468</f>
        <v>35924</v>
      </c>
      <c r="D1468" s="79">
        <f>ROUND((D$1466*(($C$1636/(1-$C$1636)))),0)</f>
        <v>22204</v>
      </c>
      <c r="E1468" s="79">
        <f>ROUND((E$1466*(($C$1636/(1-$C$1636)))),0)</f>
        <v>440</v>
      </c>
      <c r="F1468" s="79">
        <f>D1468+E1468</f>
        <v>22644</v>
      </c>
      <c r="G1468" s="79">
        <f t="shared" ref="G1468:L1468" si="762">ROUND((G$1466*(($C$1636/(1-$C$1636)))),0)</f>
        <v>1302</v>
      </c>
      <c r="H1468" s="79">
        <f t="shared" si="762"/>
        <v>4873</v>
      </c>
      <c r="I1468" s="79">
        <f t="shared" si="762"/>
        <v>3408</v>
      </c>
      <c r="J1468" s="79">
        <f t="shared" si="762"/>
        <v>2800</v>
      </c>
      <c r="K1468" s="79">
        <f t="shared" si="762"/>
        <v>248</v>
      </c>
      <c r="L1468" s="79">
        <f t="shared" si="762"/>
        <v>8</v>
      </c>
      <c r="M1468" s="79">
        <f>SUM(J1468:L1468)</f>
        <v>3056</v>
      </c>
      <c r="N1468" s="79">
        <f>ROUND((N$1466*(($C$1636/(1-$C$1636)))),0)</f>
        <v>641</v>
      </c>
      <c r="O1468" s="79">
        <f>ROUND((O$1466*(($C$1636/(1-$C$1636)))),0)+1</f>
        <v>35924</v>
      </c>
      <c r="U1468" s="80"/>
      <c r="X1468" s="81"/>
      <c r="Y1468" s="81"/>
      <c r="Z1468" s="79"/>
      <c r="AJ1468" s="66"/>
      <c r="AK1468" s="65"/>
    </row>
    <row r="1469" spans="1:37" hidden="1">
      <c r="C1469" s="79"/>
      <c r="D1469" s="79"/>
      <c r="E1469" s="79"/>
      <c r="F1469" s="79"/>
      <c r="G1469" s="79"/>
      <c r="H1469" s="79"/>
      <c r="I1469" s="79"/>
      <c r="J1469" s="79"/>
      <c r="K1469" s="79"/>
      <c r="L1469" s="79"/>
      <c r="M1469" s="79"/>
      <c r="N1469" s="79"/>
      <c r="O1469" s="79"/>
      <c r="U1469" s="80"/>
      <c r="X1469" s="81"/>
      <c r="Y1469" s="81"/>
      <c r="Z1469" s="79"/>
      <c r="AJ1469" s="66"/>
      <c r="AK1469" s="65"/>
    </row>
    <row r="1470" spans="1:37" hidden="1">
      <c r="A1470" s="65">
        <f>A1468+1</f>
        <v>6</v>
      </c>
      <c r="B1470" s="71" t="s">
        <v>587</v>
      </c>
      <c r="C1470" s="79">
        <f>SUM(F1470:L1470)+N1470</f>
        <v>15234</v>
      </c>
      <c r="D1470" s="79">
        <f>D1368</f>
        <v>6999</v>
      </c>
      <c r="E1470" s="79">
        <f>E1368</f>
        <v>393</v>
      </c>
      <c r="F1470" s="79">
        <f>D1470+E1470</f>
        <v>7392</v>
      </c>
      <c r="G1470" s="79">
        <f t="shared" ref="G1470:L1470" si="763">G1368</f>
        <v>562</v>
      </c>
      <c r="H1470" s="79">
        <f t="shared" si="763"/>
        <v>5138</v>
      </c>
      <c r="I1470" s="79">
        <f t="shared" si="763"/>
        <v>1699</v>
      </c>
      <c r="J1470" s="79">
        <f t="shared" si="763"/>
        <v>-563</v>
      </c>
      <c r="K1470" s="79">
        <f t="shared" si="763"/>
        <v>-59</v>
      </c>
      <c r="L1470" s="79">
        <f t="shared" si="763"/>
        <v>82</v>
      </c>
      <c r="M1470" s="79">
        <f>SUM(J1470:L1470)</f>
        <v>-540</v>
      </c>
      <c r="N1470" s="79">
        <f>N1368</f>
        <v>983</v>
      </c>
      <c r="O1470" s="79">
        <f>O1368</f>
        <v>15234</v>
      </c>
      <c r="U1470" s="80"/>
      <c r="X1470" s="81"/>
      <c r="Y1470" s="81"/>
      <c r="Z1470" s="79"/>
      <c r="AJ1470" s="66"/>
      <c r="AK1470" s="65"/>
    </row>
    <row r="1471" spans="1:37" hidden="1">
      <c r="C1471" s="79"/>
      <c r="D1471" s="79"/>
      <c r="E1471" s="79"/>
      <c r="F1471" s="79"/>
      <c r="G1471" s="79"/>
      <c r="H1471" s="79"/>
      <c r="I1471" s="79"/>
      <c r="J1471" s="79"/>
      <c r="K1471" s="79"/>
      <c r="L1471" s="79"/>
      <c r="M1471" s="79"/>
      <c r="N1471" s="79"/>
      <c r="O1471" s="79"/>
      <c r="U1471" s="80"/>
      <c r="X1471" s="81"/>
      <c r="Y1471" s="81"/>
      <c r="Z1471" s="79"/>
      <c r="AJ1471" s="66"/>
      <c r="AK1471" s="65"/>
    </row>
    <row r="1472" spans="1:37" hidden="1">
      <c r="A1472" s="65">
        <f>A1470+1</f>
        <v>7</v>
      </c>
      <c r="B1472" s="66" t="s">
        <v>596</v>
      </c>
      <c r="C1472" s="79">
        <f>SUM(F1472:L1472)+N1472</f>
        <v>378</v>
      </c>
      <c r="D1472" s="79">
        <f>ROUND(((D$1466+D$1468)*($C$1638/(1-$C$1638))),0)-1</f>
        <v>233</v>
      </c>
      <c r="E1472" s="79">
        <f>ROUND(((E$1466+E$1468)*($C$1638/(1-$C$1638))),0)</f>
        <v>5</v>
      </c>
      <c r="F1472" s="79">
        <f>D1472+E1472</f>
        <v>238</v>
      </c>
      <c r="G1472" s="79">
        <f t="shared" ref="G1472:L1472" si="764">ROUND(((G$1466+G$1468)*($C$1638/(1-$C$1638))),0)</f>
        <v>14</v>
      </c>
      <c r="H1472" s="79">
        <f t="shared" si="764"/>
        <v>51</v>
      </c>
      <c r="I1472" s="79">
        <f t="shared" si="764"/>
        <v>36</v>
      </c>
      <c r="J1472" s="79">
        <f t="shared" si="764"/>
        <v>29</v>
      </c>
      <c r="K1472" s="79">
        <f t="shared" si="764"/>
        <v>3</v>
      </c>
      <c r="L1472" s="79">
        <f t="shared" si="764"/>
        <v>0</v>
      </c>
      <c r="M1472" s="79">
        <f>SUM(J1472:L1472)</f>
        <v>32</v>
      </c>
      <c r="N1472" s="79">
        <f>ROUND(((N$1466+N$1468)*($C$1638/(1-$C$1638))),0)</f>
        <v>7</v>
      </c>
      <c r="O1472" s="79">
        <f>ROUND(((O$1466+O$1468)*($C$1638/(1-$C$1638))),0)</f>
        <v>378</v>
      </c>
      <c r="U1472" s="80"/>
      <c r="X1472" s="81"/>
      <c r="Y1472" s="81"/>
      <c r="Z1472" s="79"/>
      <c r="AJ1472" s="66"/>
      <c r="AK1472" s="65"/>
    </row>
    <row r="1473" spans="1:37" hidden="1">
      <c r="C1473" s="79"/>
      <c r="D1473" s="79"/>
      <c r="E1473" s="79"/>
      <c r="F1473" s="79"/>
      <c r="G1473" s="79"/>
      <c r="H1473" s="79"/>
      <c r="I1473" s="79"/>
      <c r="J1473" s="79"/>
      <c r="K1473" s="79"/>
      <c r="L1473" s="79"/>
      <c r="M1473" s="79"/>
      <c r="N1473" s="79"/>
      <c r="O1473" s="79"/>
      <c r="U1473" s="80"/>
      <c r="X1473" s="81"/>
      <c r="Y1473" s="81"/>
      <c r="Z1473" s="79"/>
      <c r="AJ1473" s="66"/>
      <c r="AK1473" s="65"/>
    </row>
    <row r="1474" spans="1:37" hidden="1">
      <c r="A1474" s="65">
        <f>A1472+1</f>
        <v>8</v>
      </c>
      <c r="B1474" s="71" t="s">
        <v>604</v>
      </c>
      <c r="C1474" s="79">
        <f>SUM(F1474:L1474)+N1474</f>
        <v>405720.13250000007</v>
      </c>
      <c r="D1474" s="79">
        <f>D1362</f>
        <v>232552.08200000002</v>
      </c>
      <c r="E1474" s="79">
        <f>E1362</f>
        <v>6631.0505000000003</v>
      </c>
      <c r="F1474" s="79">
        <f>D1474+E1474</f>
        <v>239183.13250000004</v>
      </c>
      <c r="G1474" s="79">
        <f t="shared" ref="G1474:L1474" si="765">G1362</f>
        <v>17820</v>
      </c>
      <c r="H1474" s="79">
        <f t="shared" si="765"/>
        <v>73829</v>
      </c>
      <c r="I1474" s="79">
        <f t="shared" si="765"/>
        <v>46703</v>
      </c>
      <c r="J1474" s="79">
        <f t="shared" si="765"/>
        <v>16865</v>
      </c>
      <c r="K1474" s="79">
        <f t="shared" si="765"/>
        <v>1322</v>
      </c>
      <c r="L1474" s="79">
        <f t="shared" si="765"/>
        <v>698</v>
      </c>
      <c r="M1474" s="79">
        <f>SUM(J1474:L1474)</f>
        <v>18885</v>
      </c>
      <c r="N1474" s="79">
        <f>N1362</f>
        <v>9300</v>
      </c>
      <c r="O1474" s="79">
        <f>O1362</f>
        <v>405720.13250000007</v>
      </c>
      <c r="U1474" s="80"/>
      <c r="X1474" s="81"/>
      <c r="Y1474" s="81"/>
      <c r="Z1474" s="79"/>
      <c r="AJ1474" s="66"/>
      <c r="AK1474" s="65"/>
    </row>
    <row r="1475" spans="1:37" hidden="1">
      <c r="C1475" s="79"/>
      <c r="D1475" s="79"/>
      <c r="E1475" s="79"/>
      <c r="F1475" s="79"/>
      <c r="G1475" s="79"/>
      <c r="H1475" s="79"/>
      <c r="I1475" s="79"/>
      <c r="J1475" s="79"/>
      <c r="K1475" s="79"/>
      <c r="L1475" s="79"/>
      <c r="M1475" s="79"/>
      <c r="N1475" s="79"/>
      <c r="O1475" s="79"/>
      <c r="U1475" s="80"/>
      <c r="X1475" s="81"/>
      <c r="Y1475" s="81"/>
      <c r="Z1475" s="79"/>
      <c r="AJ1475" s="66"/>
      <c r="AK1475" s="65"/>
    </row>
    <row r="1476" spans="1:37" hidden="1">
      <c r="A1476" s="65">
        <f>A1474+1</f>
        <v>9</v>
      </c>
      <c r="B1476" s="71" t="s">
        <v>605</v>
      </c>
      <c r="C1476" s="79">
        <f>SUM(F1476:L1476)+N1476+1</f>
        <v>575413.13250000007</v>
      </c>
      <c r="D1476" s="79">
        <f>D1462+D1468+D1470+D1472+D1474</f>
        <v>329442.08200000005</v>
      </c>
      <c r="E1476" s="79">
        <f>E1462+E1468+E1470+E1472+E1474</f>
        <v>9390.0505000000012</v>
      </c>
      <c r="F1476" s="79">
        <f>D1476+E1476</f>
        <v>338832.13250000007</v>
      </c>
      <c r="G1476" s="79">
        <f t="shared" ref="G1476:L1476" si="766">G1462+G1468+G1470+G1472+G1474</f>
        <v>24003</v>
      </c>
      <c r="H1476" s="79">
        <f>H1462+H1468+H1470+H1472+H1474-1</f>
        <v>107011</v>
      </c>
      <c r="I1476" s="79">
        <f t="shared" si="766"/>
        <v>63639</v>
      </c>
      <c r="J1476" s="79">
        <f t="shared" si="766"/>
        <v>24295</v>
      </c>
      <c r="K1476" s="79">
        <f t="shared" si="766"/>
        <v>1953</v>
      </c>
      <c r="L1476" s="79">
        <f t="shared" si="766"/>
        <v>997</v>
      </c>
      <c r="M1476" s="79">
        <f>SUM(J1476:L1476)</f>
        <v>27245</v>
      </c>
      <c r="N1476" s="79">
        <f>N1462+N1468+N1470+N1472+N1474</f>
        <v>14682</v>
      </c>
      <c r="O1476" s="79">
        <f>O1462+O1468+O1470+O1472+O1474</f>
        <v>575413.13250000007</v>
      </c>
      <c r="U1476" s="80"/>
      <c r="X1476" s="81"/>
      <c r="Y1476" s="81"/>
      <c r="Z1476" s="79"/>
      <c r="AJ1476" s="66"/>
      <c r="AK1476" s="65"/>
    </row>
    <row r="1477" spans="1:37" hidden="1">
      <c r="A1477" s="66"/>
      <c r="U1477" s="80"/>
      <c r="X1477" s="81"/>
      <c r="Y1477" s="81"/>
      <c r="Z1477" s="79"/>
      <c r="AJ1477" s="66"/>
      <c r="AK1477" s="65"/>
    </row>
    <row r="1478" spans="1:37" hidden="1">
      <c r="A1478" s="65">
        <f>A1476+1</f>
        <v>10</v>
      </c>
      <c r="B1478" s="71" t="s">
        <v>599</v>
      </c>
      <c r="C1478" s="79">
        <f>SUM(F1478:L1478)+N1478</f>
        <v>481909.00325010001</v>
      </c>
      <c r="D1478" s="79">
        <f>D1349</f>
        <v>271648.99999010004</v>
      </c>
      <c r="E1478" s="79">
        <f>E1349</f>
        <v>8245.0010000000002</v>
      </c>
      <c r="F1478" s="79">
        <f>D1478+E1478</f>
        <v>279894.00099010003</v>
      </c>
      <c r="G1478" s="79">
        <f t="shared" ref="G1478:L1478" si="767">G1349</f>
        <v>20614</v>
      </c>
      <c r="H1478" s="79">
        <f t="shared" si="767"/>
        <v>94328</v>
      </c>
      <c r="I1478" s="79">
        <f t="shared" si="767"/>
        <v>54769.00045</v>
      </c>
      <c r="J1478" s="79">
        <f t="shared" si="767"/>
        <v>17008.00045</v>
      </c>
      <c r="K1478" s="79">
        <f t="shared" si="767"/>
        <v>1307.00045</v>
      </c>
      <c r="L1478" s="79">
        <f t="shared" si="767"/>
        <v>976.00045</v>
      </c>
      <c r="M1478" s="79">
        <f>SUM(J1478:L1478)</f>
        <v>19291.001349999999</v>
      </c>
      <c r="N1478" s="79">
        <f>N1349</f>
        <v>13013.000460000001</v>
      </c>
      <c r="O1478" s="79">
        <f>O1349</f>
        <v>481909.00325010001</v>
      </c>
      <c r="U1478" s="80"/>
      <c r="X1478" s="81"/>
      <c r="Y1478" s="81"/>
      <c r="Z1478" s="79"/>
      <c r="AJ1478" s="66"/>
      <c r="AK1478" s="65"/>
    </row>
    <row r="1479" spans="1:37" hidden="1">
      <c r="U1479" s="80"/>
      <c r="X1479" s="81"/>
      <c r="Y1479" s="81"/>
      <c r="Z1479" s="79"/>
      <c r="AJ1479" s="66"/>
      <c r="AK1479" s="65"/>
    </row>
    <row r="1480" spans="1:37" hidden="1">
      <c r="A1480" s="65">
        <f>A1478+1</f>
        <v>11</v>
      </c>
      <c r="B1480" s="71" t="s">
        <v>600</v>
      </c>
      <c r="C1480" s="79">
        <f>SUM(F1480:L1480)+N1480+1</f>
        <v>93504.129249900012</v>
      </c>
      <c r="D1480" s="79">
        <f>D1476-D1478</f>
        <v>57793.082009900012</v>
      </c>
      <c r="E1480" s="79">
        <f>E1476-E1478</f>
        <v>1145.049500000001</v>
      </c>
      <c r="F1480" s="79">
        <f>D1480+E1480</f>
        <v>58938.131509900013</v>
      </c>
      <c r="G1480" s="79">
        <f t="shared" ref="G1480:O1480" si="768">G1476-G1478</f>
        <v>3389</v>
      </c>
      <c r="H1480" s="79">
        <f t="shared" si="768"/>
        <v>12683</v>
      </c>
      <c r="I1480" s="79">
        <f t="shared" si="768"/>
        <v>8869.9995500000005</v>
      </c>
      <c r="J1480" s="79">
        <f t="shared" si="768"/>
        <v>7286.9995500000005</v>
      </c>
      <c r="K1480" s="79">
        <f t="shared" si="768"/>
        <v>645.99955</v>
      </c>
      <c r="L1480" s="79">
        <f t="shared" si="768"/>
        <v>20.999549999999999</v>
      </c>
      <c r="M1480" s="79">
        <f t="shared" si="768"/>
        <v>7953.9986500000014</v>
      </c>
      <c r="N1480" s="79">
        <f t="shared" si="768"/>
        <v>1668.9995399999989</v>
      </c>
      <c r="O1480" s="79">
        <f t="shared" si="768"/>
        <v>93504.129249900056</v>
      </c>
      <c r="U1480" s="80"/>
      <c r="X1480" s="81"/>
      <c r="Y1480" s="81"/>
      <c r="Z1480" s="79"/>
      <c r="AJ1480" s="66"/>
      <c r="AK1480" s="65"/>
    </row>
    <row r="1481" spans="1:37" hidden="1">
      <c r="C1481" s="79"/>
      <c r="D1481" s="79"/>
      <c r="E1481" s="79"/>
      <c r="F1481" s="79"/>
      <c r="G1481" s="79"/>
      <c r="H1481" s="79"/>
      <c r="I1481" s="79"/>
      <c r="J1481" s="79"/>
      <c r="K1481" s="79"/>
      <c r="L1481" s="79"/>
      <c r="M1481" s="79"/>
      <c r="N1481" s="79"/>
      <c r="O1481" s="79"/>
      <c r="U1481" s="80"/>
      <c r="X1481" s="81"/>
      <c r="Y1481" s="81"/>
      <c r="Z1481" s="79"/>
      <c r="AJ1481" s="66"/>
      <c r="AK1481" s="65"/>
    </row>
    <row r="1482" spans="1:37" hidden="1">
      <c r="A1482" s="65">
        <f>A1480+1</f>
        <v>12</v>
      </c>
      <c r="B1482" s="71" t="s">
        <v>606</v>
      </c>
      <c r="C1482" s="97">
        <f>C1478/C1476</f>
        <v>0.83750087725031186</v>
      </c>
      <c r="D1482" s="97">
        <f>D1478/D1476</f>
        <v>0.82457286070120206</v>
      </c>
      <c r="E1482" s="97">
        <f t="shared" ref="E1482:O1482" si="769">E1478/E1476</f>
        <v>0.87805715208879853</v>
      </c>
      <c r="F1482" s="97">
        <f t="shared" si="769"/>
        <v>0.82605507017578972</v>
      </c>
      <c r="G1482" s="97">
        <f t="shared" si="769"/>
        <v>0.85880931550222894</v>
      </c>
      <c r="H1482" s="97">
        <f t="shared" si="769"/>
        <v>0.88147947407275884</v>
      </c>
      <c r="I1482" s="97">
        <f t="shared" si="769"/>
        <v>0.86062006709722028</v>
      </c>
      <c r="J1482" s="97">
        <f t="shared" si="769"/>
        <v>0.70006175962132122</v>
      </c>
      <c r="K1482" s="97">
        <f t="shared" si="769"/>
        <v>0.66922706093189965</v>
      </c>
      <c r="L1482" s="97">
        <f t="shared" si="769"/>
        <v>0.97893726178535612</v>
      </c>
      <c r="M1482" s="97">
        <f t="shared" si="769"/>
        <v>0.70805657368324459</v>
      </c>
      <c r="N1482" s="97">
        <f t="shared" si="769"/>
        <v>0.8863234205149163</v>
      </c>
      <c r="O1482" s="97">
        <f t="shared" si="769"/>
        <v>0.83750087725031186</v>
      </c>
      <c r="X1482" s="81"/>
      <c r="Y1482" s="81"/>
      <c r="AJ1482" s="66"/>
      <c r="AK1482" s="65"/>
    </row>
    <row r="1483" spans="1:37" hidden="1">
      <c r="H1483" s="65" t="s">
        <v>80</v>
      </c>
      <c r="J1483" s="102"/>
      <c r="Q1483" s="65" t="s">
        <v>80</v>
      </c>
      <c r="S1483" s="72"/>
      <c r="X1483" s="81"/>
      <c r="Y1483" s="81"/>
      <c r="AJ1483" s="66"/>
      <c r="AK1483" s="65"/>
    </row>
    <row r="1484" spans="1:37" hidden="1">
      <c r="H1484" s="70" t="s">
        <v>112</v>
      </c>
      <c r="Q1484" s="70" t="s">
        <v>112</v>
      </c>
      <c r="S1484" s="103"/>
      <c r="X1484" s="81"/>
      <c r="Y1484" s="81"/>
      <c r="AJ1484" s="66"/>
      <c r="AK1484" s="65"/>
    </row>
    <row r="1485" spans="1:37" hidden="1">
      <c r="H1485" s="70" t="str">
        <f>'Gulf STUDY'!$H$25</f>
        <v>12/13 DEMAND ALLOCATION WITH MDS METHODOLOGY</v>
      </c>
      <c r="Q1485" s="70" t="str">
        <f>'Gulf STUDY'!$H$25</f>
        <v>12/13 DEMAND ALLOCATION WITH MDS METHODOLOGY</v>
      </c>
      <c r="X1485" s="81"/>
      <c r="Y1485" s="81"/>
      <c r="AJ1485" s="66"/>
      <c r="AK1485" s="65"/>
    </row>
    <row r="1486" spans="1:37" hidden="1">
      <c r="H1486" s="65" t="s">
        <v>110</v>
      </c>
      <c r="Q1486" s="65" t="s">
        <v>110</v>
      </c>
      <c r="X1486" s="81"/>
      <c r="Y1486" s="81"/>
      <c r="AJ1486" s="66"/>
      <c r="AK1486" s="65"/>
    </row>
    <row r="1487" spans="1:37" hidden="1">
      <c r="C1487" s="65" t="s">
        <v>59</v>
      </c>
      <c r="J1487" s="65"/>
      <c r="K1487" s="65"/>
      <c r="M1487" s="65"/>
      <c r="N1487" s="65"/>
      <c r="O1487" s="65" t="s">
        <v>59</v>
      </c>
      <c r="P1487" s="65"/>
      <c r="Q1487" s="65"/>
      <c r="R1487" s="65"/>
      <c r="S1487" s="65" t="s">
        <v>115</v>
      </c>
      <c r="X1487" s="81"/>
      <c r="Y1487" s="81"/>
      <c r="AJ1487" s="66"/>
      <c r="AK1487" s="65"/>
    </row>
    <row r="1488" spans="1:37" hidden="1">
      <c r="C1488" s="65" t="s">
        <v>58</v>
      </c>
      <c r="D1488" s="70" t="s">
        <v>119</v>
      </c>
      <c r="E1488" s="70" t="s">
        <v>119</v>
      </c>
      <c r="F1488" s="70" t="s">
        <v>119</v>
      </c>
      <c r="G1488" s="70" t="s">
        <v>119</v>
      </c>
      <c r="H1488" s="70" t="s">
        <v>119</v>
      </c>
      <c r="I1488" s="70" t="s">
        <v>119</v>
      </c>
      <c r="J1488" s="70" t="s">
        <v>119</v>
      </c>
      <c r="K1488" s="70" t="s">
        <v>119</v>
      </c>
      <c r="L1488" s="70" t="s">
        <v>119</v>
      </c>
      <c r="M1488" s="70" t="s">
        <v>119</v>
      </c>
      <c r="N1488" s="70" t="s">
        <v>119</v>
      </c>
      <c r="O1488" s="65" t="s">
        <v>116</v>
      </c>
      <c r="P1488" s="65"/>
      <c r="Q1488" s="70" t="s">
        <v>120</v>
      </c>
      <c r="R1488" s="65"/>
      <c r="S1488" s="65" t="s">
        <v>121</v>
      </c>
      <c r="X1488" s="81"/>
      <c r="Y1488" s="81"/>
      <c r="AJ1488" s="66"/>
      <c r="AK1488" s="65"/>
    </row>
    <row r="1489" spans="1:37" hidden="1">
      <c r="A1489" s="65" t="s">
        <v>118</v>
      </c>
      <c r="B1489" s="65" t="s">
        <v>126</v>
      </c>
      <c r="C1489" s="65" t="s">
        <v>57</v>
      </c>
      <c r="D1489" s="70" t="s">
        <v>127</v>
      </c>
      <c r="E1489" s="70" t="s">
        <v>128</v>
      </c>
      <c r="F1489" s="70" t="s">
        <v>129</v>
      </c>
      <c r="G1489" s="70" t="s">
        <v>130</v>
      </c>
      <c r="H1489" s="70" t="s">
        <v>131</v>
      </c>
      <c r="I1489" s="65" t="s">
        <v>132</v>
      </c>
      <c r="J1489" s="70" t="s">
        <v>133</v>
      </c>
      <c r="K1489" s="70" t="s">
        <v>134</v>
      </c>
      <c r="L1489" s="70" t="s">
        <v>135</v>
      </c>
      <c r="M1489" s="70" t="s">
        <v>136</v>
      </c>
      <c r="N1489" s="70" t="s">
        <v>137</v>
      </c>
      <c r="O1489" s="65" t="s">
        <v>138</v>
      </c>
      <c r="P1489" s="70" t="s">
        <v>139</v>
      </c>
      <c r="Q1489" s="70" t="s">
        <v>140</v>
      </c>
      <c r="R1489" s="65" t="s">
        <v>122</v>
      </c>
      <c r="S1489" s="65" t="s">
        <v>141</v>
      </c>
      <c r="X1489" s="81"/>
      <c r="Y1489" s="81"/>
      <c r="AJ1489" s="66"/>
      <c r="AK1489" s="65"/>
    </row>
    <row r="1490" spans="1:37" hidden="1">
      <c r="A1490" s="65" t="s">
        <v>125</v>
      </c>
      <c r="B1490" s="65" t="s">
        <v>144</v>
      </c>
      <c r="C1490" s="65" t="s">
        <v>145</v>
      </c>
      <c r="D1490" s="70" t="s">
        <v>146</v>
      </c>
      <c r="E1490" s="70" t="s">
        <v>147</v>
      </c>
      <c r="F1490" s="70" t="s">
        <v>148</v>
      </c>
      <c r="G1490" s="65" t="s">
        <v>149</v>
      </c>
      <c r="H1490" s="65" t="s">
        <v>150</v>
      </c>
      <c r="I1490" s="65" t="s">
        <v>151</v>
      </c>
      <c r="J1490" s="70" t="s">
        <v>152</v>
      </c>
      <c r="K1490" s="70" t="s">
        <v>153</v>
      </c>
      <c r="L1490" s="70" t="s">
        <v>154</v>
      </c>
      <c r="M1490" s="70" t="s">
        <v>155</v>
      </c>
      <c r="N1490" s="70" t="s">
        <v>156</v>
      </c>
      <c r="O1490" s="70" t="s">
        <v>157</v>
      </c>
      <c r="P1490" s="70" t="s">
        <v>158</v>
      </c>
      <c r="Q1490" s="70" t="s">
        <v>159</v>
      </c>
      <c r="R1490" s="70" t="s">
        <v>160</v>
      </c>
      <c r="S1490" s="70" t="s">
        <v>161</v>
      </c>
      <c r="X1490" s="81"/>
      <c r="Y1490" s="81"/>
      <c r="AJ1490" s="66"/>
      <c r="AK1490" s="65"/>
    </row>
    <row r="1491" spans="1:37" hidden="1">
      <c r="A1491" s="65" t="s">
        <v>143</v>
      </c>
      <c r="X1491" s="81"/>
      <c r="Y1491" s="81"/>
      <c r="AJ1491" s="66"/>
      <c r="AK1491" s="65"/>
    </row>
    <row r="1492" spans="1:37" hidden="1">
      <c r="X1492" s="81"/>
      <c r="Y1492" s="81"/>
      <c r="AJ1492" s="66"/>
      <c r="AK1492" s="65"/>
    </row>
    <row r="1493" spans="1:37" hidden="1">
      <c r="A1493" s="65">
        <v>1</v>
      </c>
      <c r="B1493" s="65" t="s">
        <v>607</v>
      </c>
      <c r="C1493" s="66">
        <v>12911260.354999999</v>
      </c>
      <c r="D1493" s="66">
        <v>5788338.9879999999</v>
      </c>
      <c r="E1493" s="66">
        <v>218677.81200000001</v>
      </c>
      <c r="F1493" s="66">
        <v>6007016.7999999998</v>
      </c>
      <c r="G1493" s="66">
        <v>317604.39099999995</v>
      </c>
      <c r="H1493" s="66">
        <v>2910398.1669999999</v>
      </c>
      <c r="I1493" s="66">
        <v>1950186.5239999997</v>
      </c>
      <c r="J1493" s="66">
        <v>1055960.0009999999</v>
      </c>
      <c r="K1493" s="66">
        <v>47931</v>
      </c>
      <c r="L1493" s="66">
        <v>40639</v>
      </c>
      <c r="M1493" s="66">
        <v>1144530.0009999999</v>
      </c>
      <c r="N1493" s="66">
        <v>170580.28200000001</v>
      </c>
      <c r="O1493" s="66">
        <v>12500316.164999999</v>
      </c>
      <c r="P1493" s="66">
        <v>368849.20699999999</v>
      </c>
      <c r="Q1493" s="66">
        <v>42094.983</v>
      </c>
      <c r="R1493" s="66">
        <v>410944.19</v>
      </c>
      <c r="S1493" s="66">
        <v>0</v>
      </c>
      <c r="X1493" s="81"/>
      <c r="Y1493" s="81"/>
      <c r="AJ1493" s="66"/>
      <c r="AK1493" s="65"/>
    </row>
    <row r="1494" spans="1:37" hidden="1">
      <c r="A1494" s="65">
        <f>A1493+1</f>
        <v>2</v>
      </c>
      <c r="B1494" s="65" t="s">
        <v>608</v>
      </c>
      <c r="C1494" s="104">
        <v>1</v>
      </c>
      <c r="D1494" s="104">
        <v>0.44831710000000002</v>
      </c>
      <c r="E1494" s="104">
        <v>1.6937000000000001E-2</v>
      </c>
      <c r="F1494" s="104">
        <v>0.4652541</v>
      </c>
      <c r="G1494" s="104">
        <v>2.4598999999999999E-2</v>
      </c>
      <c r="H1494" s="104">
        <v>0.22541549999999999</v>
      </c>
      <c r="I1494" s="104">
        <v>0.1510455</v>
      </c>
      <c r="J1494" s="104">
        <v>8.1785999999999998E-2</v>
      </c>
      <c r="K1494" s="104">
        <v>3.7123E-3</v>
      </c>
      <c r="L1494" s="104">
        <v>3.1476E-3</v>
      </c>
      <c r="M1494" s="104">
        <v>8.86459E-2</v>
      </c>
      <c r="N1494" s="104">
        <v>1.32117E-2</v>
      </c>
      <c r="O1494" s="104">
        <v>0.96817160000000002</v>
      </c>
      <c r="P1494" s="104">
        <v>2.8568E-2</v>
      </c>
      <c r="Q1494" s="104">
        <v>3.2602999999999998E-3</v>
      </c>
      <c r="R1494" s="104">
        <v>3.18284E-2</v>
      </c>
      <c r="S1494" s="104">
        <v>0</v>
      </c>
      <c r="X1494" s="81"/>
      <c r="Y1494" s="81"/>
      <c r="AJ1494" s="66"/>
      <c r="AK1494" s="65"/>
    </row>
    <row r="1495" spans="1:37" hidden="1">
      <c r="X1495" s="81"/>
      <c r="Y1495" s="81"/>
      <c r="AJ1495" s="66"/>
      <c r="AK1495" s="65"/>
    </row>
    <row r="1496" spans="1:37" hidden="1">
      <c r="A1496" s="65">
        <f>A1494+1</f>
        <v>3</v>
      </c>
      <c r="B1496" s="65" t="s">
        <v>609</v>
      </c>
      <c r="C1496" s="66">
        <v>12173165.355099998</v>
      </c>
      <c r="D1496" s="66">
        <v>5407296.9879999999</v>
      </c>
      <c r="E1496" s="66">
        <v>204282.81200000001</v>
      </c>
      <c r="F1496" s="66">
        <v>5611579.7999999998</v>
      </c>
      <c r="G1496" s="66">
        <v>296697.39099999995</v>
      </c>
      <c r="H1496" s="66">
        <v>2719213.1669999999</v>
      </c>
      <c r="I1496" s="66">
        <v>1866507.5239999997</v>
      </c>
      <c r="J1496" s="66">
        <v>1029816.0009999999</v>
      </c>
      <c r="K1496" s="66">
        <v>46100</v>
      </c>
      <c r="L1496" s="66">
        <v>39000</v>
      </c>
      <c r="M1496" s="66">
        <v>1114916.0009999999</v>
      </c>
      <c r="N1496" s="66">
        <v>159351.28200000001</v>
      </c>
      <c r="O1496" s="66">
        <v>11768265.164999999</v>
      </c>
      <c r="P1496" s="66">
        <v>363424.20699999999</v>
      </c>
      <c r="Q1496" s="66">
        <v>41475.983</v>
      </c>
      <c r="R1496" s="66">
        <v>404900.19</v>
      </c>
      <c r="S1496" s="66">
        <v>1E-4</v>
      </c>
      <c r="X1496" s="81"/>
      <c r="Y1496" s="81"/>
      <c r="AJ1496" s="66"/>
      <c r="AK1496" s="65"/>
    </row>
    <row r="1497" spans="1:37" hidden="1">
      <c r="A1497" s="65">
        <f>A1496+1</f>
        <v>4</v>
      </c>
      <c r="B1497" s="65" t="s">
        <v>608</v>
      </c>
      <c r="C1497" s="104">
        <v>1</v>
      </c>
      <c r="D1497" s="104">
        <v>0.44419809999999998</v>
      </c>
      <c r="E1497" s="104">
        <v>1.6781399999999998E-2</v>
      </c>
      <c r="F1497" s="104">
        <v>0.46097949999999999</v>
      </c>
      <c r="G1497" s="104">
        <v>2.4373100000000002E-2</v>
      </c>
      <c r="H1497" s="104">
        <v>0.22337770000000001</v>
      </c>
      <c r="I1497" s="104">
        <v>0.15332960000000001</v>
      </c>
      <c r="J1497" s="104">
        <v>8.4597199999999997E-2</v>
      </c>
      <c r="K1497" s="104">
        <v>3.787E-3</v>
      </c>
      <c r="L1497" s="104">
        <v>3.2038000000000001E-3</v>
      </c>
      <c r="M1497" s="104">
        <v>9.1588000000000003E-2</v>
      </c>
      <c r="N1497" s="104">
        <v>1.30904E-2</v>
      </c>
      <c r="O1497" s="104">
        <v>0.96673830000000005</v>
      </c>
      <c r="P1497" s="104">
        <v>2.9854499999999999E-2</v>
      </c>
      <c r="Q1497" s="104">
        <v>3.4072E-3</v>
      </c>
      <c r="R1497" s="104">
        <v>3.3261699999999998E-2</v>
      </c>
      <c r="S1497" s="104">
        <v>0</v>
      </c>
      <c r="X1497" s="81"/>
      <c r="Y1497" s="81"/>
      <c r="AJ1497" s="66"/>
      <c r="AK1497" s="65"/>
    </row>
    <row r="1498" spans="1:37" hidden="1">
      <c r="X1498" s="81"/>
      <c r="Y1498" s="81"/>
      <c r="AJ1498" s="66"/>
      <c r="AK1498" s="65"/>
    </row>
    <row r="1499" spans="1:37" hidden="1">
      <c r="B1499" s="65" t="s">
        <v>610</v>
      </c>
      <c r="X1499" s="81"/>
      <c r="Y1499" s="81"/>
      <c r="AJ1499" s="66"/>
      <c r="AK1499" s="65"/>
    </row>
    <row r="1500" spans="1:37" hidden="1">
      <c r="B1500" s="83" t="s">
        <v>170</v>
      </c>
      <c r="X1500" s="81"/>
      <c r="Y1500" s="81"/>
      <c r="AJ1500" s="66"/>
      <c r="AK1500" s="65"/>
    </row>
    <row r="1501" spans="1:37" hidden="1">
      <c r="X1501" s="81"/>
      <c r="Y1501" s="81"/>
      <c r="AJ1501" s="66"/>
      <c r="AK1501" s="65"/>
    </row>
    <row r="1502" spans="1:37" hidden="1">
      <c r="A1502" s="65">
        <f>A1497+1</f>
        <v>5</v>
      </c>
      <c r="B1502" s="65" t="s">
        <v>611</v>
      </c>
      <c r="C1502" s="66">
        <v>2292500</v>
      </c>
      <c r="D1502" s="66">
        <v>1206420</v>
      </c>
      <c r="E1502" s="66">
        <v>30843</v>
      </c>
      <c r="F1502" s="66">
        <v>1237263</v>
      </c>
      <c r="G1502" s="66">
        <v>60419</v>
      </c>
      <c r="H1502" s="66">
        <v>488296</v>
      </c>
      <c r="I1502" s="66">
        <v>283714</v>
      </c>
      <c r="J1502" s="66">
        <v>121944</v>
      </c>
      <c r="K1502" s="66">
        <v>8832</v>
      </c>
      <c r="L1502" s="66">
        <v>5054</v>
      </c>
      <c r="M1502" s="66">
        <v>135830</v>
      </c>
      <c r="N1502" s="66">
        <v>9519</v>
      </c>
      <c r="O1502" s="66">
        <v>2215041</v>
      </c>
      <c r="P1502" s="66">
        <v>69487</v>
      </c>
      <c r="Q1502" s="66">
        <v>7972</v>
      </c>
      <c r="R1502" s="66">
        <v>77459</v>
      </c>
      <c r="S1502" s="66">
        <v>0</v>
      </c>
      <c r="X1502" s="81"/>
      <c r="Y1502" s="81"/>
      <c r="AJ1502" s="66"/>
      <c r="AK1502" s="65"/>
    </row>
    <row r="1503" spans="1:37" hidden="1">
      <c r="A1503" s="65">
        <f>A1502+1</f>
        <v>6</v>
      </c>
      <c r="B1503" s="65" t="s">
        <v>608</v>
      </c>
      <c r="C1503" s="104">
        <v>1</v>
      </c>
      <c r="D1503" s="104">
        <v>0.52624649999999995</v>
      </c>
      <c r="E1503" s="104">
        <v>1.34539E-2</v>
      </c>
      <c r="F1503" s="104">
        <v>0.53970030000000002</v>
      </c>
      <c r="G1503" s="104">
        <v>2.6355099999999999E-2</v>
      </c>
      <c r="H1503" s="104">
        <v>0.2129972</v>
      </c>
      <c r="I1503" s="104">
        <v>0.12375760000000001</v>
      </c>
      <c r="J1503" s="104">
        <v>5.31926E-2</v>
      </c>
      <c r="K1503" s="104">
        <v>3.8525999999999999E-3</v>
      </c>
      <c r="L1503" s="104">
        <v>2.2046000000000001E-3</v>
      </c>
      <c r="M1503" s="104">
        <v>5.9249700000000002E-2</v>
      </c>
      <c r="N1503" s="104">
        <v>4.1522E-3</v>
      </c>
      <c r="O1503" s="104">
        <v>0.96621199999999996</v>
      </c>
      <c r="P1503" s="104">
        <v>3.03106E-2</v>
      </c>
      <c r="Q1503" s="104">
        <v>3.4773999999999998E-3</v>
      </c>
      <c r="R1503" s="104">
        <v>3.3787999999999999E-2</v>
      </c>
      <c r="S1503" s="104">
        <v>0</v>
      </c>
      <c r="X1503" s="81"/>
      <c r="Y1503" s="81"/>
      <c r="AJ1503" s="66"/>
      <c r="AK1503" s="65"/>
    </row>
    <row r="1504" spans="1:37" hidden="1">
      <c r="X1504" s="81"/>
      <c r="Y1504" s="81"/>
      <c r="AJ1504" s="66"/>
      <c r="AK1504" s="65"/>
    </row>
    <row r="1505" spans="1:37" hidden="1">
      <c r="A1505" s="65">
        <f>A1503+1</f>
        <v>7</v>
      </c>
      <c r="B1505" s="65" t="s">
        <v>612</v>
      </c>
      <c r="C1505" s="66">
        <v>2054711</v>
      </c>
      <c r="D1505" s="66">
        <v>1184796</v>
      </c>
      <c r="E1505" s="66">
        <v>30290</v>
      </c>
      <c r="F1505" s="66">
        <v>1215086</v>
      </c>
      <c r="G1505" s="66">
        <v>59336</v>
      </c>
      <c r="H1505" s="66">
        <v>479543</v>
      </c>
      <c r="I1505" s="66">
        <v>195033</v>
      </c>
      <c r="J1505" s="66">
        <v>83047</v>
      </c>
      <c r="K1505" s="66">
        <v>8355</v>
      </c>
      <c r="L1505" s="66">
        <v>4963</v>
      </c>
      <c r="M1505" s="66">
        <v>96365</v>
      </c>
      <c r="N1505" s="66">
        <v>9348</v>
      </c>
      <c r="O1505" s="66">
        <v>2054711</v>
      </c>
      <c r="P1505" s="66">
        <v>0</v>
      </c>
      <c r="Q1505" s="66">
        <v>0</v>
      </c>
      <c r="R1505" s="66">
        <v>0</v>
      </c>
      <c r="S1505" s="66">
        <v>0</v>
      </c>
      <c r="X1505" s="81"/>
      <c r="Y1505" s="81"/>
      <c r="AJ1505" s="66"/>
      <c r="AK1505" s="65"/>
    </row>
    <row r="1506" spans="1:37" hidden="1">
      <c r="A1506" s="65">
        <f>A1505+1</f>
        <v>8</v>
      </c>
      <c r="B1506" s="65" t="s">
        <v>608</v>
      </c>
      <c r="C1506" s="104">
        <v>1</v>
      </c>
      <c r="D1506" s="104">
        <v>0.57662420000000003</v>
      </c>
      <c r="E1506" s="104">
        <v>1.47417E-2</v>
      </c>
      <c r="F1506" s="104">
        <v>0.5913659</v>
      </c>
      <c r="G1506" s="104">
        <v>2.8878000000000001E-2</v>
      </c>
      <c r="H1506" s="104">
        <v>0.23338709999999999</v>
      </c>
      <c r="I1506" s="104">
        <v>9.4919799999999999E-2</v>
      </c>
      <c r="J1506" s="104">
        <v>4.0417799999999997E-2</v>
      </c>
      <c r="K1506" s="104">
        <v>4.0663000000000001E-3</v>
      </c>
      <c r="L1506" s="104">
        <v>2.4153999999999998E-3</v>
      </c>
      <c r="M1506" s="104">
        <v>4.6899499999999997E-2</v>
      </c>
      <c r="N1506" s="104">
        <v>4.5494999999999997E-3</v>
      </c>
      <c r="O1506" s="104">
        <v>1</v>
      </c>
      <c r="P1506" s="104">
        <v>0</v>
      </c>
      <c r="Q1506" s="104">
        <v>0</v>
      </c>
      <c r="R1506" s="104">
        <v>0</v>
      </c>
      <c r="S1506" s="104">
        <v>0</v>
      </c>
      <c r="X1506" s="81"/>
      <c r="Y1506" s="81"/>
      <c r="AJ1506" s="66"/>
      <c r="AK1506" s="65"/>
    </row>
    <row r="1507" spans="1:37" hidden="1">
      <c r="X1507" s="81"/>
      <c r="Y1507" s="81"/>
      <c r="AJ1507" s="66"/>
      <c r="AK1507" s="65"/>
    </row>
    <row r="1508" spans="1:37" hidden="1">
      <c r="B1508" s="65" t="s">
        <v>613</v>
      </c>
      <c r="X1508" s="81"/>
      <c r="Y1508" s="81"/>
      <c r="AJ1508" s="66"/>
      <c r="AK1508" s="65"/>
    </row>
    <row r="1509" spans="1:37" hidden="1">
      <c r="B1509" s="83" t="s">
        <v>170</v>
      </c>
      <c r="X1509" s="81"/>
      <c r="Y1509" s="81"/>
      <c r="AJ1509" s="66"/>
      <c r="AK1509" s="65"/>
    </row>
    <row r="1510" spans="1:37" hidden="1">
      <c r="X1510" s="81"/>
      <c r="Y1510" s="81"/>
      <c r="AJ1510" s="66"/>
      <c r="AK1510" s="65"/>
    </row>
    <row r="1511" spans="1:37" hidden="1">
      <c r="A1511" s="65">
        <f>A1506+1</f>
        <v>9</v>
      </c>
      <c r="B1511" s="65" t="s">
        <v>614</v>
      </c>
      <c r="C1511" s="66">
        <v>2653721</v>
      </c>
      <c r="D1511" s="66">
        <v>1494626</v>
      </c>
      <c r="E1511" s="66">
        <v>49522</v>
      </c>
      <c r="F1511" s="66">
        <v>1544148</v>
      </c>
      <c r="G1511" s="66">
        <v>79745</v>
      </c>
      <c r="H1511" s="66">
        <v>602400</v>
      </c>
      <c r="I1511" s="66">
        <v>243729</v>
      </c>
      <c r="J1511" s="66">
        <v>109551</v>
      </c>
      <c r="K1511" s="66">
        <v>30063</v>
      </c>
      <c r="L1511" s="66">
        <v>5496</v>
      </c>
      <c r="M1511" s="66">
        <v>145110</v>
      </c>
      <c r="N1511" s="66">
        <v>38589</v>
      </c>
      <c r="O1511" s="66">
        <v>2653721</v>
      </c>
      <c r="P1511" s="66">
        <v>0</v>
      </c>
      <c r="Q1511" s="66">
        <v>0</v>
      </c>
      <c r="R1511" s="66">
        <v>0</v>
      </c>
      <c r="S1511" s="66">
        <v>0</v>
      </c>
      <c r="X1511" s="81"/>
      <c r="Y1511" s="81"/>
      <c r="AJ1511" s="66"/>
      <c r="AK1511" s="65"/>
    </row>
    <row r="1512" spans="1:37" hidden="1">
      <c r="A1512" s="65">
        <f>A1511+1</f>
        <v>10</v>
      </c>
      <c r="B1512" s="65" t="s">
        <v>608</v>
      </c>
      <c r="C1512" s="104">
        <v>1</v>
      </c>
      <c r="D1512" s="104">
        <v>0.56321900000000003</v>
      </c>
      <c r="E1512" s="104">
        <v>1.8661299999999999E-2</v>
      </c>
      <c r="F1512" s="104">
        <v>0.58188030000000002</v>
      </c>
      <c r="G1512" s="104">
        <v>3.0050299999999999E-2</v>
      </c>
      <c r="H1512" s="104">
        <v>0.22700190000000001</v>
      </c>
      <c r="I1512" s="104">
        <v>9.1844200000000001E-2</v>
      </c>
      <c r="J1512" s="104">
        <v>4.1281999999999999E-2</v>
      </c>
      <c r="K1512" s="104">
        <v>1.1328599999999999E-2</v>
      </c>
      <c r="L1512" s="104">
        <v>2.0711000000000002E-3</v>
      </c>
      <c r="M1512" s="104">
        <v>5.46817E-2</v>
      </c>
      <c r="N1512" s="104">
        <v>1.4541500000000001E-2</v>
      </c>
      <c r="O1512" s="104">
        <v>1</v>
      </c>
      <c r="P1512" s="104">
        <v>0</v>
      </c>
      <c r="Q1512" s="104">
        <v>0</v>
      </c>
      <c r="R1512" s="104">
        <v>0</v>
      </c>
      <c r="S1512" s="104">
        <v>0</v>
      </c>
      <c r="X1512" s="81"/>
      <c r="Y1512" s="81"/>
      <c r="AJ1512" s="66"/>
      <c r="AK1512" s="65"/>
    </row>
    <row r="1513" spans="1:37" hidden="1">
      <c r="X1513" s="81"/>
      <c r="Y1513" s="81"/>
      <c r="AJ1513" s="66"/>
      <c r="AK1513" s="65"/>
    </row>
    <row r="1514" spans="1:37" hidden="1">
      <c r="A1514" s="65">
        <f>A1512+1</f>
        <v>11</v>
      </c>
      <c r="B1514" s="65" t="s">
        <v>615</v>
      </c>
      <c r="C1514" s="66">
        <v>2360537</v>
      </c>
      <c r="D1514" s="66">
        <v>1439704</v>
      </c>
      <c r="E1514" s="66">
        <v>47702</v>
      </c>
      <c r="F1514" s="66">
        <v>1487406</v>
      </c>
      <c r="G1514" s="66">
        <v>76807</v>
      </c>
      <c r="H1514" s="66">
        <v>576587</v>
      </c>
      <c r="I1514" s="66">
        <v>177429</v>
      </c>
      <c r="J1514" s="66">
        <v>5137</v>
      </c>
      <c r="K1514" s="66">
        <v>0</v>
      </c>
      <c r="L1514" s="66">
        <v>0</v>
      </c>
      <c r="M1514" s="66">
        <v>5137</v>
      </c>
      <c r="N1514" s="66">
        <v>37171</v>
      </c>
      <c r="O1514" s="66">
        <v>2360537</v>
      </c>
      <c r="P1514" s="66">
        <v>0</v>
      </c>
      <c r="Q1514" s="66">
        <v>0</v>
      </c>
      <c r="R1514" s="66">
        <v>0</v>
      </c>
      <c r="S1514" s="66">
        <v>0</v>
      </c>
      <c r="X1514" s="81"/>
      <c r="Y1514" s="81"/>
      <c r="AJ1514" s="66"/>
      <c r="AK1514" s="65"/>
    </row>
    <row r="1515" spans="1:37" hidden="1">
      <c r="A1515" s="65">
        <f>A1514+1</f>
        <v>12</v>
      </c>
      <c r="B1515" s="65" t="s">
        <v>608</v>
      </c>
      <c r="C1515" s="104">
        <v>1</v>
      </c>
      <c r="D1515" s="104">
        <v>0.60990529999999998</v>
      </c>
      <c r="E1515" s="104">
        <v>2.02081E-2</v>
      </c>
      <c r="F1515" s="104">
        <v>0.63011340000000005</v>
      </c>
      <c r="G1515" s="104">
        <v>3.2537900000000002E-2</v>
      </c>
      <c r="H1515" s="104">
        <v>0.2442609</v>
      </c>
      <c r="I1515" s="104">
        <v>7.5164800000000004E-2</v>
      </c>
      <c r="J1515" s="104">
        <v>2.1762000000000001E-3</v>
      </c>
      <c r="K1515" s="104">
        <v>0</v>
      </c>
      <c r="L1515" s="104">
        <v>0</v>
      </c>
      <c r="M1515" s="104">
        <v>2.1762000000000001E-3</v>
      </c>
      <c r="N1515" s="104">
        <v>1.5746799999999998E-2</v>
      </c>
      <c r="O1515" s="104">
        <v>1</v>
      </c>
      <c r="P1515" s="104">
        <v>0</v>
      </c>
      <c r="Q1515" s="104">
        <v>0</v>
      </c>
      <c r="R1515" s="104">
        <v>0</v>
      </c>
      <c r="S1515" s="104">
        <v>0</v>
      </c>
      <c r="X1515" s="81"/>
      <c r="Y1515" s="81"/>
      <c r="AJ1515" s="66"/>
      <c r="AK1515" s="65"/>
    </row>
    <row r="1516" spans="1:37" hidden="1">
      <c r="X1516" s="81"/>
      <c r="Y1516" s="81"/>
      <c r="AJ1516" s="66"/>
      <c r="AK1516" s="65"/>
    </row>
    <row r="1517" spans="1:37" hidden="1">
      <c r="B1517" s="65" t="s">
        <v>616</v>
      </c>
      <c r="X1517" s="81"/>
      <c r="Y1517" s="81"/>
      <c r="AJ1517" s="66"/>
      <c r="AK1517" s="65"/>
    </row>
    <row r="1518" spans="1:37" hidden="1">
      <c r="B1518" s="83" t="s">
        <v>170</v>
      </c>
      <c r="X1518" s="81"/>
      <c r="Y1518" s="81"/>
      <c r="AJ1518" s="66"/>
      <c r="AK1518" s="65"/>
    </row>
    <row r="1519" spans="1:37" hidden="1">
      <c r="X1519" s="81"/>
      <c r="Y1519" s="81"/>
      <c r="AJ1519" s="66"/>
      <c r="AK1519" s="65"/>
    </row>
    <row r="1520" spans="1:37" hidden="1">
      <c r="A1520" s="65">
        <f>A1515+1</f>
        <v>13</v>
      </c>
      <c r="B1520" s="65" t="s">
        <v>617</v>
      </c>
      <c r="C1520" s="66">
        <v>436534.0001</v>
      </c>
      <c r="D1520" s="66">
        <v>369181</v>
      </c>
      <c r="E1520" s="66">
        <v>10254</v>
      </c>
      <c r="F1520" s="66">
        <v>379435</v>
      </c>
      <c r="G1520" s="66">
        <v>29154</v>
      </c>
      <c r="H1520" s="66">
        <v>17381</v>
      </c>
      <c r="I1520" s="66">
        <v>306</v>
      </c>
      <c r="J1520" s="66">
        <v>17</v>
      </c>
      <c r="K1520" s="66">
        <v>1.0000500000000001</v>
      </c>
      <c r="L1520" s="66">
        <v>1.0000500000000001</v>
      </c>
      <c r="M1520" s="66">
        <v>19.000100000000003</v>
      </c>
      <c r="N1520" s="66">
        <v>10239</v>
      </c>
      <c r="O1520" s="66">
        <v>436534.0001</v>
      </c>
      <c r="P1520" s="66">
        <v>0</v>
      </c>
      <c r="Q1520" s="66">
        <v>0</v>
      </c>
      <c r="R1520" s="66">
        <v>0</v>
      </c>
      <c r="S1520" s="66">
        <v>0</v>
      </c>
      <c r="X1520" s="81"/>
      <c r="Y1520" s="81"/>
      <c r="AJ1520" s="66"/>
      <c r="AK1520" s="65"/>
    </row>
    <row r="1521" spans="1:37" hidden="1">
      <c r="A1521" s="65">
        <f>A1520+1</f>
        <v>14</v>
      </c>
      <c r="B1521" s="65" t="s">
        <v>608</v>
      </c>
      <c r="C1521" s="104">
        <v>1</v>
      </c>
      <c r="D1521" s="104">
        <v>0.84570959999999995</v>
      </c>
      <c r="E1521" s="104">
        <v>2.3489599999999999E-2</v>
      </c>
      <c r="F1521" s="104">
        <v>0.86919919999999995</v>
      </c>
      <c r="G1521" s="104">
        <v>6.6785200000000003E-2</v>
      </c>
      <c r="H1521" s="104">
        <v>3.9815900000000001E-2</v>
      </c>
      <c r="I1521" s="104">
        <v>7.0109999999999997E-4</v>
      </c>
      <c r="J1521" s="104">
        <v>3.8899999999999997E-5</v>
      </c>
      <c r="K1521" s="104">
        <v>2.3E-6</v>
      </c>
      <c r="L1521" s="104">
        <v>2.3E-6</v>
      </c>
      <c r="M1521" s="104">
        <v>4.35E-5</v>
      </c>
      <c r="N1521" s="104">
        <v>2.3455199999999999E-2</v>
      </c>
      <c r="O1521" s="104">
        <v>1</v>
      </c>
      <c r="P1521" s="104">
        <v>0</v>
      </c>
      <c r="Q1521" s="104">
        <v>0</v>
      </c>
      <c r="R1521" s="104">
        <v>0</v>
      </c>
      <c r="S1521" s="104">
        <v>0</v>
      </c>
      <c r="X1521" s="81"/>
      <c r="Y1521" s="81"/>
      <c r="AJ1521" s="66"/>
      <c r="AK1521" s="65"/>
    </row>
    <row r="1522" spans="1:37" hidden="1">
      <c r="X1522" s="81"/>
      <c r="Y1522" s="81"/>
      <c r="AJ1522" s="66"/>
      <c r="AK1522" s="65"/>
    </row>
    <row r="1523" spans="1:37" hidden="1">
      <c r="A1523" s="65">
        <f>A1521+1</f>
        <v>15</v>
      </c>
      <c r="B1523" s="65" t="s">
        <v>615</v>
      </c>
      <c r="C1523" s="66">
        <v>436465.0001</v>
      </c>
      <c r="D1523" s="66">
        <v>369181</v>
      </c>
      <c r="E1523" s="66">
        <v>10254</v>
      </c>
      <c r="F1523" s="66">
        <v>379435</v>
      </c>
      <c r="G1523" s="66">
        <v>29152</v>
      </c>
      <c r="H1523" s="66">
        <v>17357</v>
      </c>
      <c r="I1523" s="66">
        <v>280</v>
      </c>
      <c r="J1523" s="66">
        <v>2</v>
      </c>
      <c r="K1523" s="66">
        <v>5.0000000000000002E-5</v>
      </c>
      <c r="L1523" s="66">
        <v>5.0000000000000002E-5</v>
      </c>
      <c r="M1523" s="66">
        <v>2.0000999999999998</v>
      </c>
      <c r="N1523" s="66">
        <v>10239</v>
      </c>
      <c r="O1523" s="66">
        <v>436465.0001</v>
      </c>
      <c r="P1523" s="66">
        <v>0</v>
      </c>
      <c r="Q1523" s="66">
        <v>0</v>
      </c>
      <c r="R1523" s="66">
        <v>0</v>
      </c>
      <c r="S1523" s="66">
        <v>0</v>
      </c>
      <c r="X1523" s="81"/>
      <c r="Y1523" s="81"/>
      <c r="AJ1523" s="66"/>
      <c r="AK1523" s="65"/>
    </row>
    <row r="1524" spans="1:37" hidden="1">
      <c r="A1524" s="65">
        <f>A1523+1</f>
        <v>16</v>
      </c>
      <c r="B1524" s="65" t="s">
        <v>608</v>
      </c>
      <c r="C1524" s="104">
        <v>1</v>
      </c>
      <c r="D1524" s="104">
        <v>0.84584329999999996</v>
      </c>
      <c r="E1524" s="104">
        <v>2.3493300000000002E-2</v>
      </c>
      <c r="F1524" s="104">
        <v>0.86933660000000001</v>
      </c>
      <c r="G1524" s="104">
        <v>6.6791199999999995E-2</v>
      </c>
      <c r="H1524" s="104">
        <v>3.9767200000000003E-2</v>
      </c>
      <c r="I1524" s="104">
        <v>6.4159999999999998E-4</v>
      </c>
      <c r="J1524" s="104">
        <v>4.6E-6</v>
      </c>
      <c r="K1524" s="104">
        <v>0</v>
      </c>
      <c r="L1524" s="104">
        <v>0</v>
      </c>
      <c r="M1524" s="104">
        <v>4.6E-6</v>
      </c>
      <c r="N1524" s="104">
        <v>2.3458900000000001E-2</v>
      </c>
      <c r="O1524" s="104">
        <v>1</v>
      </c>
      <c r="P1524" s="104">
        <v>0</v>
      </c>
      <c r="Q1524" s="104">
        <v>0</v>
      </c>
      <c r="R1524" s="104">
        <v>0</v>
      </c>
      <c r="S1524" s="104">
        <v>0</v>
      </c>
      <c r="X1524" s="81"/>
      <c r="Y1524" s="81"/>
      <c r="AJ1524" s="66"/>
      <c r="AK1524" s="65"/>
    </row>
    <row r="1525" spans="1:37" hidden="1">
      <c r="X1525" s="81"/>
      <c r="Y1525" s="81"/>
      <c r="AJ1525" s="66"/>
      <c r="AK1525" s="65"/>
    </row>
    <row r="1526" spans="1:37" hidden="1">
      <c r="A1526" s="65">
        <f>A1524+1</f>
        <v>17</v>
      </c>
      <c r="B1526" s="65" t="s">
        <v>59</v>
      </c>
      <c r="C1526" s="66">
        <v>436565.0001</v>
      </c>
      <c r="D1526" s="66">
        <v>369181</v>
      </c>
      <c r="E1526" s="66">
        <v>10254</v>
      </c>
      <c r="F1526" s="66">
        <v>379435</v>
      </c>
      <c r="G1526" s="66">
        <v>29154</v>
      </c>
      <c r="H1526" s="66">
        <v>17384</v>
      </c>
      <c r="I1526" s="66">
        <v>320</v>
      </c>
      <c r="J1526" s="66">
        <v>27</v>
      </c>
      <c r="K1526" s="66">
        <v>3.0000499999999999</v>
      </c>
      <c r="L1526" s="66">
        <v>1.0000500000000001</v>
      </c>
      <c r="M1526" s="66">
        <v>31.000100000000003</v>
      </c>
      <c r="N1526" s="66">
        <v>10239</v>
      </c>
      <c r="O1526" s="66">
        <v>436563.0001</v>
      </c>
      <c r="P1526" s="66">
        <v>1</v>
      </c>
      <c r="Q1526" s="66">
        <v>1</v>
      </c>
      <c r="R1526" s="66">
        <v>2</v>
      </c>
      <c r="S1526" s="66">
        <v>0</v>
      </c>
      <c r="X1526" s="81"/>
      <c r="Y1526" s="81"/>
      <c r="AJ1526" s="66"/>
      <c r="AK1526" s="65"/>
    </row>
    <row r="1527" spans="1:37" hidden="1">
      <c r="A1527" s="65">
        <f>A1526+1</f>
        <v>18</v>
      </c>
      <c r="B1527" s="65" t="s">
        <v>608</v>
      </c>
      <c r="C1527" s="104">
        <v>1</v>
      </c>
      <c r="D1527" s="104">
        <v>0.8456496</v>
      </c>
      <c r="E1527" s="104">
        <v>2.3487899999999999E-2</v>
      </c>
      <c r="F1527" s="104">
        <v>0.86913750000000001</v>
      </c>
      <c r="G1527" s="104">
        <v>6.6780400000000004E-2</v>
      </c>
      <c r="H1527" s="104">
        <v>3.9820000000000001E-2</v>
      </c>
      <c r="I1527" s="104">
        <v>7.3309999999999998E-4</v>
      </c>
      <c r="J1527" s="104">
        <v>6.1799999999999998E-5</v>
      </c>
      <c r="K1527" s="104">
        <v>6.9E-6</v>
      </c>
      <c r="L1527" s="104">
        <v>2.3E-6</v>
      </c>
      <c r="M1527" s="104">
        <v>7.1000000000000005E-5</v>
      </c>
      <c r="N1527" s="104">
        <v>2.3453600000000002E-2</v>
      </c>
      <c r="O1527" s="104">
        <v>0.99999539999999998</v>
      </c>
      <c r="P1527" s="104">
        <v>2.3E-6</v>
      </c>
      <c r="Q1527" s="104">
        <v>2.3E-6</v>
      </c>
      <c r="R1527" s="104">
        <v>4.6E-6</v>
      </c>
      <c r="S1527" s="104">
        <v>0</v>
      </c>
      <c r="X1527" s="81"/>
      <c r="Y1527" s="81"/>
      <c r="AJ1527" s="66"/>
      <c r="AK1527" s="65"/>
    </row>
    <row r="1528" spans="1:37" hidden="1">
      <c r="H1528" s="65" t="s">
        <v>80</v>
      </c>
      <c r="J1528" s="102"/>
      <c r="Q1528" s="65" t="s">
        <v>80</v>
      </c>
      <c r="S1528" s="72"/>
      <c r="X1528" s="81"/>
      <c r="Y1528" s="81"/>
      <c r="AJ1528" s="66"/>
      <c r="AK1528" s="65"/>
    </row>
    <row r="1529" spans="1:37" hidden="1">
      <c r="H1529" s="70" t="s">
        <v>112</v>
      </c>
      <c r="P1529" s="70"/>
      <c r="Q1529" s="70" t="s">
        <v>112</v>
      </c>
      <c r="S1529" s="103"/>
      <c r="X1529" s="81"/>
      <c r="Y1529" s="81"/>
      <c r="AJ1529" s="66"/>
      <c r="AK1529" s="65"/>
    </row>
    <row r="1530" spans="1:37" hidden="1">
      <c r="H1530" s="70" t="str">
        <f>'Gulf STUDY'!$H$25</f>
        <v>12/13 DEMAND ALLOCATION WITH MDS METHODOLOGY</v>
      </c>
      <c r="Q1530" s="70" t="str">
        <f>'Gulf STUDY'!$H$25</f>
        <v>12/13 DEMAND ALLOCATION WITH MDS METHODOLOGY</v>
      </c>
      <c r="X1530" s="81"/>
      <c r="Y1530" s="81"/>
      <c r="AJ1530" s="66"/>
      <c r="AK1530" s="65"/>
    </row>
    <row r="1531" spans="1:37" hidden="1">
      <c r="H1531" s="65" t="s">
        <v>110</v>
      </c>
      <c r="Q1531" s="65" t="s">
        <v>110</v>
      </c>
      <c r="X1531" s="81"/>
      <c r="Y1531" s="81"/>
      <c r="AJ1531" s="66"/>
      <c r="AK1531" s="65"/>
    </row>
    <row r="1532" spans="1:37" hidden="1">
      <c r="C1532" s="65" t="s">
        <v>59</v>
      </c>
      <c r="J1532" s="65"/>
      <c r="K1532" s="65"/>
      <c r="M1532" s="65"/>
      <c r="N1532" s="65"/>
      <c r="O1532" s="65" t="s">
        <v>59</v>
      </c>
      <c r="P1532" s="65"/>
      <c r="Q1532" s="65"/>
      <c r="R1532" s="65"/>
      <c r="S1532" s="65" t="s">
        <v>115</v>
      </c>
      <c r="X1532" s="81"/>
      <c r="Y1532" s="81"/>
      <c r="AJ1532" s="66"/>
      <c r="AK1532" s="65"/>
    </row>
    <row r="1533" spans="1:37" hidden="1">
      <c r="C1533" s="65" t="s">
        <v>58</v>
      </c>
      <c r="D1533" s="70" t="s">
        <v>119</v>
      </c>
      <c r="E1533" s="70" t="s">
        <v>119</v>
      </c>
      <c r="F1533" s="70" t="s">
        <v>119</v>
      </c>
      <c r="G1533" s="70" t="s">
        <v>119</v>
      </c>
      <c r="H1533" s="70" t="s">
        <v>119</v>
      </c>
      <c r="I1533" s="70" t="s">
        <v>119</v>
      </c>
      <c r="J1533" s="70" t="s">
        <v>119</v>
      </c>
      <c r="K1533" s="70" t="s">
        <v>119</v>
      </c>
      <c r="L1533" s="70" t="s">
        <v>119</v>
      </c>
      <c r="M1533" s="70" t="s">
        <v>119</v>
      </c>
      <c r="N1533" s="70" t="s">
        <v>119</v>
      </c>
      <c r="O1533" s="65" t="s">
        <v>116</v>
      </c>
      <c r="P1533" s="65"/>
      <c r="Q1533" s="70" t="s">
        <v>120</v>
      </c>
      <c r="R1533" s="65"/>
      <c r="S1533" s="65" t="s">
        <v>121</v>
      </c>
      <c r="X1533" s="81"/>
      <c r="Y1533" s="81"/>
      <c r="AJ1533" s="66"/>
      <c r="AK1533" s="65"/>
    </row>
    <row r="1534" spans="1:37" hidden="1">
      <c r="A1534" s="65" t="s">
        <v>118</v>
      </c>
      <c r="B1534" s="65" t="s">
        <v>126</v>
      </c>
      <c r="C1534" s="65" t="s">
        <v>57</v>
      </c>
      <c r="D1534" s="70" t="s">
        <v>127</v>
      </c>
      <c r="E1534" s="70" t="s">
        <v>128</v>
      </c>
      <c r="F1534" s="70" t="s">
        <v>129</v>
      </c>
      <c r="G1534" s="70" t="s">
        <v>130</v>
      </c>
      <c r="H1534" s="70" t="s">
        <v>131</v>
      </c>
      <c r="I1534" s="65" t="s">
        <v>132</v>
      </c>
      <c r="J1534" s="70" t="s">
        <v>133</v>
      </c>
      <c r="K1534" s="70" t="s">
        <v>134</v>
      </c>
      <c r="L1534" s="70" t="s">
        <v>135</v>
      </c>
      <c r="M1534" s="70" t="s">
        <v>136</v>
      </c>
      <c r="N1534" s="70" t="s">
        <v>137</v>
      </c>
      <c r="O1534" s="65" t="s">
        <v>138</v>
      </c>
      <c r="P1534" s="70" t="s">
        <v>139</v>
      </c>
      <c r="Q1534" s="70" t="s">
        <v>140</v>
      </c>
      <c r="R1534" s="65" t="s">
        <v>122</v>
      </c>
      <c r="S1534" s="65" t="s">
        <v>141</v>
      </c>
      <c r="X1534" s="81"/>
      <c r="Y1534" s="81"/>
      <c r="AJ1534" s="66"/>
      <c r="AK1534" s="65"/>
    </row>
    <row r="1535" spans="1:37" hidden="1">
      <c r="A1535" s="65" t="s">
        <v>125</v>
      </c>
      <c r="B1535" s="65" t="s">
        <v>144</v>
      </c>
      <c r="C1535" s="65" t="s">
        <v>145</v>
      </c>
      <c r="D1535" s="70" t="s">
        <v>146</v>
      </c>
      <c r="E1535" s="70" t="s">
        <v>147</v>
      </c>
      <c r="F1535" s="70" t="s">
        <v>148</v>
      </c>
      <c r="G1535" s="65" t="s">
        <v>149</v>
      </c>
      <c r="H1535" s="65" t="s">
        <v>150</v>
      </c>
      <c r="I1535" s="65" t="s">
        <v>151</v>
      </c>
      <c r="J1535" s="70" t="s">
        <v>152</v>
      </c>
      <c r="K1535" s="70" t="s">
        <v>153</v>
      </c>
      <c r="L1535" s="70" t="s">
        <v>154</v>
      </c>
      <c r="M1535" s="70" t="s">
        <v>155</v>
      </c>
      <c r="N1535" s="70" t="s">
        <v>156</v>
      </c>
      <c r="O1535" s="70" t="s">
        <v>157</v>
      </c>
      <c r="P1535" s="70" t="s">
        <v>158</v>
      </c>
      <c r="Q1535" s="70" t="s">
        <v>159</v>
      </c>
      <c r="R1535" s="70" t="s">
        <v>160</v>
      </c>
      <c r="S1535" s="70" t="s">
        <v>161</v>
      </c>
      <c r="X1535" s="81"/>
      <c r="Y1535" s="81"/>
      <c r="AJ1535" s="66"/>
      <c r="AK1535" s="65"/>
    </row>
    <row r="1536" spans="1:37" hidden="1">
      <c r="A1536" s="65" t="s">
        <v>143</v>
      </c>
      <c r="B1536" s="65"/>
      <c r="X1536" s="81"/>
      <c r="Y1536" s="81"/>
      <c r="AJ1536" s="66"/>
      <c r="AK1536" s="65"/>
    </row>
    <row r="1537" spans="1:37" hidden="1">
      <c r="X1537" s="81"/>
      <c r="Y1537" s="81"/>
      <c r="AJ1537" s="66"/>
      <c r="AK1537" s="65"/>
    </row>
    <row r="1538" spans="1:37" hidden="1">
      <c r="B1538" s="66" t="s">
        <v>618</v>
      </c>
      <c r="X1538" s="81"/>
      <c r="Y1538" s="81"/>
      <c r="AJ1538" s="66"/>
      <c r="AK1538" s="65"/>
    </row>
    <row r="1539" spans="1:37" hidden="1">
      <c r="B1539" s="83" t="s">
        <v>170</v>
      </c>
      <c r="X1539" s="81"/>
      <c r="Y1539" s="81"/>
      <c r="AJ1539" s="66"/>
      <c r="AK1539" s="65"/>
    </row>
    <row r="1540" spans="1:37" hidden="1">
      <c r="X1540" s="81"/>
      <c r="Y1540" s="81"/>
      <c r="AJ1540" s="66"/>
      <c r="AK1540" s="65"/>
    </row>
    <row r="1541" spans="1:37" hidden="1">
      <c r="A1541" s="65">
        <f>A1527+1</f>
        <v>19</v>
      </c>
      <c r="B1541" s="66" t="s">
        <v>274</v>
      </c>
      <c r="C1541" s="66">
        <v>38458</v>
      </c>
      <c r="D1541" s="66">
        <v>20006</v>
      </c>
      <c r="E1541" s="66">
        <v>528</v>
      </c>
      <c r="F1541" s="66">
        <v>20534</v>
      </c>
      <c r="G1541" s="66">
        <v>1009</v>
      </c>
      <c r="H1541" s="66">
        <v>8226</v>
      </c>
      <c r="I1541" s="66">
        <v>4839</v>
      </c>
      <c r="J1541" s="66">
        <v>2129</v>
      </c>
      <c r="K1541" s="66">
        <v>148</v>
      </c>
      <c r="L1541" s="66">
        <v>87</v>
      </c>
      <c r="M1541" s="66">
        <v>2364</v>
      </c>
      <c r="N1541" s="66">
        <v>186</v>
      </c>
      <c r="O1541" s="66">
        <v>37158</v>
      </c>
      <c r="P1541" s="66">
        <v>1166</v>
      </c>
      <c r="Q1541" s="66">
        <v>134</v>
      </c>
      <c r="R1541" s="66">
        <v>1300</v>
      </c>
      <c r="S1541" s="66">
        <v>0</v>
      </c>
      <c r="X1541" s="81"/>
      <c r="Y1541" s="81"/>
      <c r="AJ1541" s="66"/>
      <c r="AK1541" s="65"/>
    </row>
    <row r="1542" spans="1:37" hidden="1">
      <c r="B1542" s="66" t="s">
        <v>275</v>
      </c>
      <c r="X1542" s="81"/>
      <c r="Y1542" s="81"/>
      <c r="AJ1542" s="66"/>
      <c r="AK1542" s="65"/>
    </row>
    <row r="1543" spans="1:37" hidden="1">
      <c r="A1543" s="65">
        <f>A1541+1</f>
        <v>20</v>
      </c>
      <c r="B1543" s="66" t="s">
        <v>619</v>
      </c>
      <c r="D1543" s="66">
        <v>18681.692307692312</v>
      </c>
      <c r="E1543" s="66">
        <v>478</v>
      </c>
      <c r="F1543" s="66">
        <v>19159.692307692312</v>
      </c>
      <c r="G1543" s="66">
        <v>936</v>
      </c>
      <c r="H1543" s="66">
        <v>7561</v>
      </c>
      <c r="I1543" s="66">
        <v>4393</v>
      </c>
      <c r="J1543" s="66">
        <v>1888</v>
      </c>
      <c r="K1543" s="66">
        <v>137</v>
      </c>
      <c r="L1543" s="66">
        <v>78</v>
      </c>
      <c r="M1543" s="66">
        <v>2103</v>
      </c>
      <c r="N1543" s="66">
        <v>147</v>
      </c>
      <c r="O1543" s="66">
        <v>34299.692307692312</v>
      </c>
      <c r="X1543" s="81"/>
      <c r="Y1543" s="81"/>
      <c r="AJ1543" s="66"/>
      <c r="AK1543" s="65"/>
    </row>
    <row r="1544" spans="1:37" hidden="1">
      <c r="A1544" s="65">
        <f>A1543+1</f>
        <v>21</v>
      </c>
      <c r="B1544" s="66" t="s">
        <v>620</v>
      </c>
      <c r="D1544" s="66">
        <v>1324.3076923076878</v>
      </c>
      <c r="E1544" s="66">
        <v>50</v>
      </c>
      <c r="F1544" s="66">
        <v>1374.3076923076878</v>
      </c>
      <c r="G1544" s="66">
        <v>73</v>
      </c>
      <c r="H1544" s="66">
        <v>665</v>
      </c>
      <c r="I1544" s="66">
        <v>446</v>
      </c>
      <c r="J1544" s="66">
        <v>241</v>
      </c>
      <c r="K1544" s="66">
        <v>11</v>
      </c>
      <c r="L1544" s="66">
        <v>9</v>
      </c>
      <c r="M1544" s="66">
        <v>261</v>
      </c>
      <c r="N1544" s="66">
        <v>39</v>
      </c>
      <c r="O1544" s="66">
        <v>2858.3076923076878</v>
      </c>
      <c r="X1544" s="81"/>
      <c r="Y1544" s="81"/>
      <c r="AJ1544" s="66"/>
      <c r="AK1544" s="65"/>
    </row>
    <row r="1545" spans="1:37" hidden="1">
      <c r="A1545" s="65">
        <f>A1544+1</f>
        <v>22</v>
      </c>
      <c r="B1545" s="65" t="s">
        <v>608</v>
      </c>
      <c r="C1545" s="104">
        <v>1</v>
      </c>
      <c r="D1545" s="104">
        <v>0.52020390000000005</v>
      </c>
      <c r="E1545" s="104">
        <v>1.37293E-2</v>
      </c>
      <c r="F1545" s="104">
        <v>0.53393310000000005</v>
      </c>
      <c r="G1545" s="104">
        <v>2.62364E-2</v>
      </c>
      <c r="H1545" s="104">
        <v>0.21389569999999999</v>
      </c>
      <c r="I1545" s="104">
        <v>0.12582560000000001</v>
      </c>
      <c r="J1545" s="104">
        <v>5.5359100000000001E-2</v>
      </c>
      <c r="K1545" s="104">
        <v>3.8484000000000001E-3</v>
      </c>
      <c r="L1545" s="104">
        <v>2.2621999999999998E-3</v>
      </c>
      <c r="M1545" s="104">
        <v>6.1469700000000002E-2</v>
      </c>
      <c r="N1545" s="104">
        <v>4.8364000000000002E-3</v>
      </c>
      <c r="O1545" s="104">
        <v>0.96619690000000003</v>
      </c>
      <c r="P1545" s="104">
        <v>3.03188E-2</v>
      </c>
      <c r="Q1545" s="104">
        <v>3.4843000000000001E-3</v>
      </c>
      <c r="R1545" s="104">
        <v>3.3803100000000003E-2</v>
      </c>
      <c r="S1545" s="104">
        <v>0</v>
      </c>
      <c r="X1545" s="81"/>
      <c r="Y1545" s="81"/>
      <c r="AJ1545" s="66"/>
      <c r="AK1545" s="65"/>
    </row>
    <row r="1546" spans="1:37" hidden="1">
      <c r="X1546" s="81"/>
      <c r="Y1546" s="81"/>
      <c r="AJ1546" s="66"/>
      <c r="AK1546" s="65"/>
    </row>
    <row r="1547" spans="1:37" hidden="1">
      <c r="A1547" s="65">
        <f>A1545+1</f>
        <v>23</v>
      </c>
      <c r="B1547" s="66" t="s">
        <v>276</v>
      </c>
      <c r="C1547" s="66">
        <v>3347</v>
      </c>
      <c r="D1547" s="66">
        <v>1763</v>
      </c>
      <c r="E1547" s="66">
        <v>45</v>
      </c>
      <c r="F1547" s="66">
        <v>1808</v>
      </c>
      <c r="G1547" s="66">
        <v>88</v>
      </c>
      <c r="H1547" s="66">
        <v>714</v>
      </c>
      <c r="I1547" s="66">
        <v>413</v>
      </c>
      <c r="J1547" s="66">
        <v>178</v>
      </c>
      <c r="K1547" s="66">
        <v>13</v>
      </c>
      <c r="L1547" s="66">
        <v>8</v>
      </c>
      <c r="M1547" s="66">
        <v>199</v>
      </c>
      <c r="N1547" s="66">
        <v>14</v>
      </c>
      <c r="O1547" s="66">
        <v>3236</v>
      </c>
      <c r="P1547" s="66">
        <v>99</v>
      </c>
      <c r="Q1547" s="66">
        <v>12</v>
      </c>
      <c r="R1547" s="66">
        <v>111</v>
      </c>
      <c r="S1547" s="66">
        <v>0</v>
      </c>
      <c r="X1547" s="81"/>
      <c r="Y1547" s="81"/>
      <c r="AJ1547" s="66"/>
      <c r="AK1547" s="65"/>
    </row>
    <row r="1548" spans="1:37" hidden="1">
      <c r="A1548" s="65">
        <f>A1547+1</f>
        <v>24</v>
      </c>
      <c r="B1548" s="65" t="s">
        <v>608</v>
      </c>
      <c r="C1548" s="104">
        <v>1</v>
      </c>
      <c r="D1548" s="104">
        <v>0.5267404</v>
      </c>
      <c r="E1548" s="104">
        <v>1.3444899999999999E-2</v>
      </c>
      <c r="F1548" s="104">
        <v>0.54018520000000003</v>
      </c>
      <c r="G1548" s="104">
        <v>2.6292200000000002E-2</v>
      </c>
      <c r="H1548" s="104">
        <v>0.2133254</v>
      </c>
      <c r="I1548" s="104">
        <v>0.12339410000000001</v>
      </c>
      <c r="J1548" s="104">
        <v>5.3182E-2</v>
      </c>
      <c r="K1548" s="104">
        <v>3.8841000000000001E-3</v>
      </c>
      <c r="L1548" s="104">
        <v>2.3901999999999999E-3</v>
      </c>
      <c r="M1548" s="104">
        <v>5.9456200000000001E-2</v>
      </c>
      <c r="N1548" s="104">
        <v>4.1828999999999998E-3</v>
      </c>
      <c r="O1548" s="104">
        <v>0.96683600000000003</v>
      </c>
      <c r="P1548" s="104">
        <v>2.9578699999999999E-2</v>
      </c>
      <c r="Q1548" s="104">
        <v>3.5853E-3</v>
      </c>
      <c r="R1548" s="104">
        <v>3.3163999999999999E-2</v>
      </c>
      <c r="S1548" s="104">
        <v>0</v>
      </c>
      <c r="X1548" s="81"/>
      <c r="Y1548" s="81"/>
      <c r="AJ1548" s="66"/>
      <c r="AK1548" s="65"/>
    </row>
    <row r="1549" spans="1:37" hidden="1">
      <c r="X1549" s="81"/>
      <c r="Y1549" s="81"/>
      <c r="AJ1549" s="66"/>
      <c r="AK1549" s="65"/>
    </row>
    <row r="1550" spans="1:37" hidden="1">
      <c r="B1550" s="66" t="s">
        <v>277</v>
      </c>
      <c r="X1550" s="81"/>
      <c r="Y1550" s="81"/>
      <c r="AJ1550" s="66"/>
      <c r="AK1550" s="65"/>
    </row>
    <row r="1551" spans="1:37" hidden="1">
      <c r="A1551" s="65">
        <f>A1548+1</f>
        <v>25</v>
      </c>
      <c r="B1551" s="66" t="s">
        <v>39</v>
      </c>
      <c r="C1551" s="66">
        <v>8921</v>
      </c>
      <c r="D1551" s="66">
        <v>5119</v>
      </c>
      <c r="E1551" s="66">
        <v>163</v>
      </c>
      <c r="F1551" s="66">
        <v>5282</v>
      </c>
      <c r="G1551" s="66">
        <v>271</v>
      </c>
      <c r="H1551" s="66">
        <v>2061</v>
      </c>
      <c r="I1551" s="66">
        <v>797</v>
      </c>
      <c r="J1551" s="66">
        <v>298</v>
      </c>
      <c r="K1551" s="66">
        <v>58</v>
      </c>
      <c r="L1551" s="66">
        <v>14</v>
      </c>
      <c r="M1551" s="66">
        <v>370</v>
      </c>
      <c r="N1551" s="66">
        <v>116</v>
      </c>
      <c r="O1551" s="66">
        <v>8897</v>
      </c>
      <c r="P1551" s="66">
        <v>22</v>
      </c>
      <c r="Q1551" s="66">
        <v>2</v>
      </c>
      <c r="R1551" s="66">
        <v>24</v>
      </c>
      <c r="S1551" s="66">
        <v>0</v>
      </c>
      <c r="X1551" s="81"/>
      <c r="Y1551" s="81"/>
      <c r="AJ1551" s="66"/>
      <c r="AK1551" s="65"/>
    </row>
    <row r="1552" spans="1:37" hidden="1">
      <c r="A1552" s="65">
        <f>A1551+1</f>
        <v>26</v>
      </c>
      <c r="B1552" s="66" t="s">
        <v>44</v>
      </c>
      <c r="C1552" s="66">
        <v>7847</v>
      </c>
      <c r="D1552" s="66">
        <v>5656</v>
      </c>
      <c r="E1552" s="66">
        <v>142</v>
      </c>
      <c r="F1552" s="66">
        <v>5798</v>
      </c>
      <c r="G1552" s="66">
        <v>651</v>
      </c>
      <c r="H1552" s="66">
        <v>470</v>
      </c>
      <c r="I1552" s="66">
        <v>27</v>
      </c>
      <c r="J1552" s="66">
        <v>2</v>
      </c>
      <c r="K1552" s="66">
        <v>0</v>
      </c>
      <c r="L1552" s="66">
        <v>0</v>
      </c>
      <c r="M1552" s="66">
        <v>2</v>
      </c>
      <c r="N1552" s="66">
        <v>899</v>
      </c>
      <c r="O1552" s="66">
        <v>7847</v>
      </c>
      <c r="P1552" s="66">
        <v>0</v>
      </c>
      <c r="Q1552" s="66">
        <v>0</v>
      </c>
      <c r="R1552" s="66">
        <v>0</v>
      </c>
      <c r="S1552" s="66">
        <v>0</v>
      </c>
      <c r="X1552" s="81"/>
      <c r="Y1552" s="81"/>
      <c r="AJ1552" s="66"/>
      <c r="AK1552" s="65"/>
    </row>
    <row r="1553" spans="1:37" hidden="1">
      <c r="A1553" s="65">
        <f>A1552+1</f>
        <v>27</v>
      </c>
      <c r="B1553" s="66" t="s">
        <v>301</v>
      </c>
      <c r="C1553" s="66">
        <v>16768</v>
      </c>
      <c r="D1553" s="66">
        <v>10775</v>
      </c>
      <c r="E1553" s="66">
        <v>305</v>
      </c>
      <c r="F1553" s="66">
        <v>11080</v>
      </c>
      <c r="G1553" s="66">
        <v>922</v>
      </c>
      <c r="H1553" s="66">
        <v>2531</v>
      </c>
      <c r="I1553" s="66">
        <v>824</v>
      </c>
      <c r="J1553" s="66">
        <v>300</v>
      </c>
      <c r="K1553" s="66">
        <v>58</v>
      </c>
      <c r="L1553" s="66">
        <v>14</v>
      </c>
      <c r="M1553" s="66">
        <v>372</v>
      </c>
      <c r="N1553" s="66">
        <v>1015</v>
      </c>
      <c r="O1553" s="66">
        <v>16744</v>
      </c>
      <c r="P1553" s="66">
        <v>22</v>
      </c>
      <c r="Q1553" s="66">
        <v>2</v>
      </c>
      <c r="R1553" s="66">
        <v>24</v>
      </c>
      <c r="S1553" s="66">
        <v>0</v>
      </c>
      <c r="X1553" s="81"/>
      <c r="Y1553" s="81"/>
      <c r="AJ1553" s="66"/>
      <c r="AK1553" s="65"/>
    </row>
    <row r="1554" spans="1:37" hidden="1">
      <c r="A1554" s="65">
        <f>A1553+1</f>
        <v>28</v>
      </c>
      <c r="B1554" s="65" t="s">
        <v>608</v>
      </c>
      <c r="C1554" s="104">
        <v>1</v>
      </c>
      <c r="D1554" s="104">
        <v>0.64259299999999997</v>
      </c>
      <c r="E1554" s="104">
        <v>1.8189400000000001E-2</v>
      </c>
      <c r="F1554" s="104">
        <v>0.66078239999999999</v>
      </c>
      <c r="G1554" s="104">
        <v>5.4985699999999998E-2</v>
      </c>
      <c r="H1554" s="104">
        <v>0.1509423</v>
      </c>
      <c r="I1554" s="104">
        <v>4.9141200000000003E-2</v>
      </c>
      <c r="J1554" s="104">
        <v>1.7891199999999999E-2</v>
      </c>
      <c r="K1554" s="104">
        <v>3.4589999999999998E-3</v>
      </c>
      <c r="L1554" s="104">
        <v>8.3489999999999997E-4</v>
      </c>
      <c r="M1554" s="104">
        <v>2.2185099999999999E-2</v>
      </c>
      <c r="N1554" s="104">
        <v>6.0532000000000002E-2</v>
      </c>
      <c r="O1554" s="104">
        <v>0.99856869999999998</v>
      </c>
      <c r="P1554" s="104">
        <v>1.312E-3</v>
      </c>
      <c r="Q1554" s="104">
        <v>1.193E-4</v>
      </c>
      <c r="R1554" s="104">
        <v>1.4312999999999999E-3</v>
      </c>
      <c r="S1554" s="104">
        <v>0</v>
      </c>
      <c r="X1554" s="81"/>
      <c r="Y1554" s="81"/>
      <c r="AJ1554" s="66"/>
      <c r="AK1554" s="65"/>
    </row>
    <row r="1555" spans="1:37" hidden="1">
      <c r="X1555" s="81"/>
      <c r="Y1555" s="81"/>
      <c r="AJ1555" s="66"/>
      <c r="AK1555" s="65"/>
    </row>
    <row r="1556" spans="1:37" hidden="1">
      <c r="A1556" s="65">
        <f>A1554+1</f>
        <v>29</v>
      </c>
      <c r="B1556" s="66" t="s">
        <v>278</v>
      </c>
      <c r="C1556" s="66">
        <v>10193</v>
      </c>
      <c r="D1556" s="66">
        <v>8591</v>
      </c>
      <c r="E1556" s="66">
        <v>239</v>
      </c>
      <c r="F1556" s="66">
        <v>8830</v>
      </c>
      <c r="G1556" s="66">
        <v>703</v>
      </c>
      <c r="H1556" s="66">
        <v>424</v>
      </c>
      <c r="I1556" s="66">
        <v>9</v>
      </c>
      <c r="J1556" s="66">
        <v>3</v>
      </c>
      <c r="K1556" s="66">
        <v>3</v>
      </c>
      <c r="L1556" s="66">
        <v>1</v>
      </c>
      <c r="M1556" s="66">
        <v>7</v>
      </c>
      <c r="N1556" s="66">
        <v>218</v>
      </c>
      <c r="O1556" s="66">
        <v>10191</v>
      </c>
      <c r="P1556" s="66">
        <v>1</v>
      </c>
      <c r="Q1556" s="66">
        <v>1</v>
      </c>
      <c r="R1556" s="66">
        <v>2</v>
      </c>
      <c r="S1556" s="66">
        <v>0</v>
      </c>
      <c r="X1556" s="81"/>
      <c r="Y1556" s="81"/>
      <c r="AJ1556" s="66"/>
      <c r="AK1556" s="65"/>
    </row>
    <row r="1557" spans="1:37" hidden="1">
      <c r="A1557" s="65">
        <f>A1556+1</f>
        <v>30</v>
      </c>
      <c r="B1557" s="65" t="s">
        <v>608</v>
      </c>
      <c r="C1557" s="104">
        <v>1</v>
      </c>
      <c r="D1557" s="104">
        <v>0.84283330000000001</v>
      </c>
      <c r="E1557" s="104">
        <v>2.34475E-2</v>
      </c>
      <c r="F1557" s="104">
        <v>0.86628079999999996</v>
      </c>
      <c r="G1557" s="104">
        <v>6.89689E-2</v>
      </c>
      <c r="H1557" s="104">
        <v>4.1597200000000001E-2</v>
      </c>
      <c r="I1557" s="104">
        <v>8.83E-4</v>
      </c>
      <c r="J1557" s="104">
        <v>2.943E-4</v>
      </c>
      <c r="K1557" s="104">
        <v>2.943E-4</v>
      </c>
      <c r="L1557" s="104">
        <v>9.8099999999999999E-5</v>
      </c>
      <c r="M1557" s="104">
        <v>6.8670000000000005E-4</v>
      </c>
      <c r="N1557" s="104">
        <v>2.1387199999999999E-2</v>
      </c>
      <c r="O1557" s="104">
        <v>0.99980380000000002</v>
      </c>
      <c r="P1557" s="104">
        <v>9.8099999999999999E-5</v>
      </c>
      <c r="Q1557" s="104">
        <v>9.8099999999999999E-5</v>
      </c>
      <c r="R1557" s="104">
        <v>1.962E-4</v>
      </c>
      <c r="S1557" s="104">
        <v>0</v>
      </c>
      <c r="X1557" s="81"/>
      <c r="Y1557" s="81"/>
      <c r="AJ1557" s="66"/>
      <c r="AK1557" s="65"/>
    </row>
    <row r="1558" spans="1:37" hidden="1">
      <c r="X1558" s="81"/>
      <c r="Y1558" s="81"/>
      <c r="AJ1558" s="66"/>
      <c r="AK1558" s="65"/>
    </row>
    <row r="1559" spans="1:37" hidden="1">
      <c r="B1559" s="66" t="s">
        <v>283</v>
      </c>
      <c r="X1559" s="81"/>
      <c r="Y1559" s="81"/>
      <c r="AJ1559" s="66"/>
      <c r="AK1559" s="65"/>
    </row>
    <row r="1560" spans="1:37" hidden="1">
      <c r="A1560" s="65">
        <f>A1557+1</f>
        <v>31</v>
      </c>
      <c r="B1560" s="66" t="s">
        <v>44</v>
      </c>
      <c r="C1560" s="66">
        <v>11051</v>
      </c>
      <c r="D1560" s="66">
        <v>7149</v>
      </c>
      <c r="E1560" s="66">
        <v>198</v>
      </c>
      <c r="F1560" s="66">
        <v>7347</v>
      </c>
      <c r="G1560" s="66">
        <v>1663</v>
      </c>
      <c r="H1560" s="66">
        <v>1622</v>
      </c>
      <c r="I1560" s="66">
        <v>297</v>
      </c>
      <c r="J1560" s="66">
        <v>104</v>
      </c>
      <c r="K1560" s="66">
        <v>14</v>
      </c>
      <c r="L1560" s="66">
        <v>4</v>
      </c>
      <c r="M1560" s="66">
        <v>122</v>
      </c>
      <c r="N1560" s="66">
        <v>0</v>
      </c>
      <c r="O1560" s="66">
        <v>11051</v>
      </c>
      <c r="P1560" s="66">
        <v>0</v>
      </c>
      <c r="Q1560" s="66">
        <v>0</v>
      </c>
      <c r="R1560" s="66">
        <v>0</v>
      </c>
      <c r="S1560" s="66">
        <v>0</v>
      </c>
      <c r="X1560" s="81"/>
      <c r="Y1560" s="81"/>
      <c r="AJ1560" s="66"/>
      <c r="AK1560" s="65"/>
    </row>
    <row r="1561" spans="1:37" hidden="1">
      <c r="A1561" s="65">
        <f>A1560+1</f>
        <v>32</v>
      </c>
      <c r="B1561" s="66" t="s">
        <v>168</v>
      </c>
      <c r="C1561" s="66">
        <v>1E-4</v>
      </c>
      <c r="D1561" s="66">
        <v>1E-4</v>
      </c>
      <c r="E1561" s="66">
        <v>0</v>
      </c>
      <c r="F1561" s="66">
        <v>1E-4</v>
      </c>
      <c r="G1561" s="66">
        <v>0</v>
      </c>
      <c r="H1561" s="66">
        <v>0</v>
      </c>
      <c r="I1561" s="66">
        <v>0</v>
      </c>
      <c r="J1561" s="66">
        <v>0</v>
      </c>
      <c r="K1561" s="66">
        <v>0</v>
      </c>
      <c r="L1561" s="66">
        <v>0</v>
      </c>
      <c r="M1561" s="66">
        <v>0</v>
      </c>
      <c r="N1561" s="66">
        <v>0</v>
      </c>
      <c r="O1561" s="66">
        <v>1E-4</v>
      </c>
      <c r="P1561" s="66">
        <v>0</v>
      </c>
      <c r="Q1561" s="66">
        <v>0</v>
      </c>
      <c r="R1561" s="66">
        <v>0</v>
      </c>
      <c r="S1561" s="66">
        <v>0</v>
      </c>
      <c r="X1561" s="81"/>
      <c r="Y1561" s="81"/>
      <c r="AJ1561" s="66"/>
      <c r="AK1561" s="65"/>
    </row>
    <row r="1562" spans="1:37" hidden="1">
      <c r="A1562" s="65">
        <f>A1561+1</f>
        <v>33</v>
      </c>
      <c r="B1562" s="66" t="s">
        <v>621</v>
      </c>
      <c r="C1562" s="66">
        <v>11051</v>
      </c>
      <c r="D1562" s="66">
        <v>7149.0001000000002</v>
      </c>
      <c r="E1562" s="66">
        <v>198</v>
      </c>
      <c r="F1562" s="66">
        <v>7347.0001000000002</v>
      </c>
      <c r="G1562" s="66">
        <v>1663</v>
      </c>
      <c r="H1562" s="66">
        <v>1622</v>
      </c>
      <c r="I1562" s="66">
        <v>297</v>
      </c>
      <c r="J1562" s="66">
        <v>104</v>
      </c>
      <c r="K1562" s="66">
        <v>14</v>
      </c>
      <c r="L1562" s="66">
        <v>4</v>
      </c>
      <c r="M1562" s="66">
        <v>122</v>
      </c>
      <c r="N1562" s="66">
        <v>0</v>
      </c>
      <c r="O1562" s="66">
        <v>11051.000100000001</v>
      </c>
      <c r="P1562" s="66">
        <v>0</v>
      </c>
      <c r="Q1562" s="66">
        <v>0</v>
      </c>
      <c r="R1562" s="66">
        <v>0</v>
      </c>
      <c r="S1562" s="66">
        <v>0</v>
      </c>
      <c r="X1562" s="81"/>
      <c r="Y1562" s="81"/>
      <c r="AJ1562" s="66"/>
      <c r="AK1562" s="65"/>
    </row>
    <row r="1563" spans="1:37" hidden="1">
      <c r="A1563" s="65">
        <f>A1562+1</f>
        <v>34</v>
      </c>
      <c r="B1563" s="65" t="s">
        <v>608</v>
      </c>
      <c r="C1563" s="104">
        <v>1</v>
      </c>
      <c r="D1563" s="104">
        <v>0.64690979999999998</v>
      </c>
      <c r="E1563" s="104">
        <v>1.7916899999999999E-2</v>
      </c>
      <c r="F1563" s="104">
        <v>0.66482669999999999</v>
      </c>
      <c r="G1563" s="104">
        <v>0.15048410000000001</v>
      </c>
      <c r="H1563" s="104">
        <v>0.14677399999999999</v>
      </c>
      <c r="I1563" s="104">
        <v>2.6875400000000001E-2</v>
      </c>
      <c r="J1563" s="104">
        <v>9.4108999999999998E-3</v>
      </c>
      <c r="K1563" s="104">
        <v>1.2669000000000001E-3</v>
      </c>
      <c r="L1563" s="104">
        <v>3.6200000000000002E-4</v>
      </c>
      <c r="M1563" s="104">
        <v>1.10397E-2</v>
      </c>
      <c r="N1563" s="104">
        <v>0</v>
      </c>
      <c r="O1563" s="104">
        <v>1</v>
      </c>
      <c r="P1563" s="104">
        <v>0</v>
      </c>
      <c r="Q1563" s="104">
        <v>0</v>
      </c>
      <c r="R1563" s="104">
        <v>0</v>
      </c>
      <c r="S1563" s="104">
        <v>0</v>
      </c>
      <c r="X1563" s="81"/>
      <c r="Y1563" s="81"/>
      <c r="AJ1563" s="66"/>
      <c r="AK1563" s="65"/>
    </row>
    <row r="1564" spans="1:37" hidden="1">
      <c r="X1564" s="81"/>
      <c r="Y1564" s="81"/>
      <c r="AJ1564" s="66"/>
      <c r="AK1564" s="65"/>
    </row>
    <row r="1565" spans="1:37" hidden="1">
      <c r="B1565" s="66" t="s">
        <v>622</v>
      </c>
      <c r="X1565" s="81"/>
      <c r="Y1565" s="81"/>
      <c r="AJ1565" s="66"/>
      <c r="AK1565" s="65"/>
    </row>
    <row r="1566" spans="1:37" hidden="1">
      <c r="A1566" s="65">
        <f>A1563+1</f>
        <v>35</v>
      </c>
      <c r="B1566" s="66" t="s">
        <v>229</v>
      </c>
      <c r="C1566" s="66">
        <v>47867.692307692312</v>
      </c>
      <c r="D1566" s="66">
        <v>25563.692307692312</v>
      </c>
      <c r="E1566" s="66">
        <v>686</v>
      </c>
      <c r="F1566" s="66">
        <v>26249.692307692312</v>
      </c>
      <c r="G1566" s="66">
        <v>1295</v>
      </c>
      <c r="H1566" s="66">
        <v>10336</v>
      </c>
      <c r="I1566" s="66">
        <v>5603</v>
      </c>
      <c r="J1566" s="66">
        <v>2364</v>
      </c>
      <c r="K1566" s="66">
        <v>208</v>
      </c>
      <c r="L1566" s="66">
        <v>100</v>
      </c>
      <c r="M1566" s="66">
        <v>2672</v>
      </c>
      <c r="N1566" s="66">
        <v>277</v>
      </c>
      <c r="O1566" s="66">
        <v>46432.692307692312</v>
      </c>
      <c r="P1566" s="66">
        <v>1287</v>
      </c>
      <c r="Q1566" s="66">
        <v>148</v>
      </c>
      <c r="R1566" s="66">
        <v>1435</v>
      </c>
      <c r="S1566" s="66">
        <v>0</v>
      </c>
      <c r="X1566" s="81"/>
      <c r="Y1566" s="81"/>
      <c r="AJ1566" s="66"/>
      <c r="AK1566" s="65"/>
    </row>
    <row r="1567" spans="1:37" hidden="1">
      <c r="A1567" s="65">
        <f>A1566+1</f>
        <v>36</v>
      </c>
      <c r="B1567" s="66" t="s">
        <v>253</v>
      </c>
      <c r="C1567" s="66">
        <v>29091</v>
      </c>
      <c r="D1567" s="66">
        <v>21396</v>
      </c>
      <c r="E1567" s="66">
        <v>579</v>
      </c>
      <c r="F1567" s="66">
        <v>21975</v>
      </c>
      <c r="G1567" s="66">
        <v>3017</v>
      </c>
      <c r="H1567" s="66">
        <v>2516</v>
      </c>
      <c r="I1567" s="66">
        <v>333</v>
      </c>
      <c r="J1567" s="66">
        <v>109</v>
      </c>
      <c r="K1567" s="66">
        <v>17</v>
      </c>
      <c r="L1567" s="66">
        <v>5</v>
      </c>
      <c r="M1567" s="66">
        <v>131</v>
      </c>
      <c r="N1567" s="66">
        <v>1117</v>
      </c>
      <c r="O1567" s="66">
        <v>29089</v>
      </c>
      <c r="P1567" s="66">
        <v>1</v>
      </c>
      <c r="Q1567" s="66">
        <v>1</v>
      </c>
      <c r="R1567" s="66">
        <v>2</v>
      </c>
      <c r="S1567" s="66">
        <v>0</v>
      </c>
      <c r="X1567" s="81"/>
      <c r="Y1567" s="81"/>
      <c r="AJ1567" s="66"/>
      <c r="AK1567" s="65"/>
    </row>
    <row r="1568" spans="1:37" hidden="1">
      <c r="A1568" s="65">
        <f>A1567+1</f>
        <v>37</v>
      </c>
      <c r="B1568" s="66" t="s">
        <v>230</v>
      </c>
      <c r="C1568" s="66">
        <v>2858.307792307688</v>
      </c>
      <c r="D1568" s="66">
        <v>1324.3077923076878</v>
      </c>
      <c r="E1568" s="66">
        <v>50</v>
      </c>
      <c r="F1568" s="66">
        <v>1374.3077923076878</v>
      </c>
      <c r="G1568" s="66">
        <v>73</v>
      </c>
      <c r="H1568" s="66">
        <v>665</v>
      </c>
      <c r="I1568" s="66">
        <v>446</v>
      </c>
      <c r="J1568" s="66">
        <v>241</v>
      </c>
      <c r="K1568" s="66">
        <v>11</v>
      </c>
      <c r="L1568" s="66">
        <v>9</v>
      </c>
      <c r="M1568" s="66">
        <v>261</v>
      </c>
      <c r="N1568" s="66">
        <v>39</v>
      </c>
      <c r="O1568" s="66">
        <v>2858.307792307688</v>
      </c>
      <c r="P1568" s="66">
        <v>0</v>
      </c>
      <c r="Q1568" s="66">
        <v>0</v>
      </c>
      <c r="R1568" s="66">
        <v>0</v>
      </c>
      <c r="S1568" s="66">
        <v>0</v>
      </c>
      <c r="X1568" s="81"/>
      <c r="Y1568" s="81"/>
      <c r="AJ1568" s="66"/>
      <c r="AK1568" s="65"/>
    </row>
    <row r="1569" spans="1:37" hidden="1">
      <c r="A1569" s="65">
        <f>A1568+1</f>
        <v>38</v>
      </c>
      <c r="B1569" s="66" t="s">
        <v>622</v>
      </c>
      <c r="C1569" s="66">
        <v>79817.000100000005</v>
      </c>
      <c r="D1569" s="66">
        <v>48284.000099999997</v>
      </c>
      <c r="E1569" s="66">
        <v>1315</v>
      </c>
      <c r="F1569" s="66">
        <v>49599.000099999997</v>
      </c>
      <c r="G1569" s="66">
        <v>4385</v>
      </c>
      <c r="H1569" s="66">
        <v>13517</v>
      </c>
      <c r="I1569" s="66">
        <v>6382</v>
      </c>
      <c r="J1569" s="66">
        <v>2714</v>
      </c>
      <c r="K1569" s="66">
        <v>236</v>
      </c>
      <c r="L1569" s="66">
        <v>114</v>
      </c>
      <c r="M1569" s="66">
        <v>3064</v>
      </c>
      <c r="N1569" s="66">
        <v>1433</v>
      </c>
      <c r="O1569" s="66">
        <v>78380.000100000005</v>
      </c>
      <c r="P1569" s="66">
        <v>1288</v>
      </c>
      <c r="Q1569" s="66">
        <v>149</v>
      </c>
      <c r="R1569" s="66">
        <v>1437</v>
      </c>
      <c r="S1569" s="66">
        <v>0</v>
      </c>
      <c r="X1569" s="81"/>
      <c r="Y1569" s="81"/>
      <c r="AJ1569" s="66"/>
      <c r="AK1569" s="65"/>
    </row>
    <row r="1570" spans="1:37" hidden="1">
      <c r="A1570" s="65">
        <f>A1569+1</f>
        <v>39</v>
      </c>
      <c r="B1570" s="65" t="s">
        <v>608</v>
      </c>
      <c r="C1570" s="104">
        <v>1</v>
      </c>
      <c r="D1570" s="104">
        <v>0.60493379999999997</v>
      </c>
      <c r="E1570" s="104">
        <v>1.6475199999999999E-2</v>
      </c>
      <c r="F1570" s="104">
        <v>0.62140899999999999</v>
      </c>
      <c r="G1570" s="104">
        <v>5.49382E-2</v>
      </c>
      <c r="H1570" s="104">
        <v>0.1693499</v>
      </c>
      <c r="I1570" s="104">
        <v>7.9957899999999998E-2</v>
      </c>
      <c r="J1570" s="104">
        <v>3.40028E-2</v>
      </c>
      <c r="K1570" s="104">
        <v>2.9567999999999999E-3</v>
      </c>
      <c r="L1570" s="104">
        <v>1.4283E-3</v>
      </c>
      <c r="M1570" s="104">
        <v>3.83878E-2</v>
      </c>
      <c r="N1570" s="104">
        <v>1.79536E-2</v>
      </c>
      <c r="O1570" s="104">
        <v>0.98199630000000004</v>
      </c>
      <c r="P1570" s="104">
        <v>1.6136899999999999E-2</v>
      </c>
      <c r="Q1570" s="104">
        <v>1.8668000000000001E-3</v>
      </c>
      <c r="R1570" s="104">
        <v>1.8003699999999997E-2</v>
      </c>
      <c r="S1570" s="104">
        <v>0</v>
      </c>
      <c r="X1570" s="81"/>
      <c r="Y1570" s="81"/>
      <c r="AJ1570" s="66"/>
      <c r="AK1570" s="65"/>
    </row>
    <row r="1571" spans="1:37" hidden="1">
      <c r="X1571" s="81"/>
      <c r="Y1571" s="81"/>
      <c r="AJ1571" s="66"/>
      <c r="AK1571" s="65"/>
    </row>
    <row r="1572" spans="1:37" hidden="1">
      <c r="A1572" s="65">
        <f>A1570+1</f>
        <v>40</v>
      </c>
      <c r="B1572" s="66" t="s">
        <v>623</v>
      </c>
      <c r="C1572" s="66">
        <v>14384</v>
      </c>
      <c r="D1572" s="66">
        <v>8701</v>
      </c>
      <c r="E1572" s="66">
        <v>237</v>
      </c>
      <c r="F1572" s="66">
        <v>8938</v>
      </c>
      <c r="G1572" s="66">
        <v>790</v>
      </c>
      <c r="H1572" s="66">
        <v>2436</v>
      </c>
      <c r="I1572" s="66">
        <v>1150</v>
      </c>
      <c r="J1572" s="66">
        <v>489</v>
      </c>
      <c r="K1572" s="66">
        <v>43</v>
      </c>
      <c r="L1572" s="66">
        <v>21</v>
      </c>
      <c r="M1572" s="66">
        <v>553</v>
      </c>
      <c r="N1572" s="66">
        <v>258</v>
      </c>
      <c r="O1572" s="66">
        <v>14125</v>
      </c>
      <c r="P1572" s="66">
        <v>232</v>
      </c>
      <c r="Q1572" s="66">
        <v>27</v>
      </c>
      <c r="R1572" s="66">
        <v>259</v>
      </c>
      <c r="S1572" s="66">
        <v>0</v>
      </c>
      <c r="X1572" s="81"/>
      <c r="Y1572" s="81"/>
      <c r="AJ1572" s="66"/>
      <c r="AK1572" s="65"/>
    </row>
    <row r="1573" spans="1:37" hidden="1">
      <c r="A1573" s="65">
        <f>A1572+1</f>
        <v>41</v>
      </c>
      <c r="B1573" s="65" t="s">
        <v>608</v>
      </c>
      <c r="C1573" s="104">
        <v>1</v>
      </c>
      <c r="D1573" s="104">
        <v>0.60490820000000001</v>
      </c>
      <c r="E1573" s="104">
        <v>1.6476600000000001E-2</v>
      </c>
      <c r="F1573" s="104">
        <v>0.62138490000000002</v>
      </c>
      <c r="G1573" s="104">
        <v>5.4922100000000001E-2</v>
      </c>
      <c r="H1573" s="104">
        <v>0.1693548</v>
      </c>
      <c r="I1573" s="104">
        <v>7.9949900000000004E-2</v>
      </c>
      <c r="J1573" s="104">
        <v>3.3996100000000001E-2</v>
      </c>
      <c r="K1573" s="104">
        <v>2.9894000000000001E-3</v>
      </c>
      <c r="L1573" s="104">
        <v>1.4599999999999999E-3</v>
      </c>
      <c r="M1573" s="104">
        <v>3.8445500000000001E-2</v>
      </c>
      <c r="N1573" s="104">
        <v>1.79366E-2</v>
      </c>
      <c r="O1573" s="104">
        <v>0.98199389999999998</v>
      </c>
      <c r="P1573" s="104">
        <v>1.6129000000000001E-2</v>
      </c>
      <c r="Q1573" s="104">
        <v>1.8771E-3</v>
      </c>
      <c r="R1573" s="104">
        <v>1.8006100000000001E-2</v>
      </c>
      <c r="S1573" s="104">
        <v>0</v>
      </c>
      <c r="X1573" s="81"/>
      <c r="Y1573" s="81"/>
      <c r="AJ1573" s="66"/>
      <c r="AK1573" s="65"/>
    </row>
    <row r="1574" spans="1:37" hidden="1">
      <c r="X1574" s="81"/>
      <c r="Y1574" s="81"/>
      <c r="AJ1574" s="66"/>
      <c r="AK1574" s="65"/>
    </row>
    <row r="1575" spans="1:37" hidden="1">
      <c r="A1575" s="65">
        <f>A1573+1</f>
        <v>42</v>
      </c>
      <c r="B1575" s="66" t="s">
        <v>624</v>
      </c>
      <c r="C1575" s="66">
        <v>94201.000100000005</v>
      </c>
      <c r="D1575" s="66">
        <v>56985.000099999997</v>
      </c>
      <c r="E1575" s="66">
        <v>1552</v>
      </c>
      <c r="F1575" s="66">
        <v>58537.000099999997</v>
      </c>
      <c r="G1575" s="66">
        <v>5175</v>
      </c>
      <c r="H1575" s="66">
        <v>15953</v>
      </c>
      <c r="I1575" s="66">
        <v>7532</v>
      </c>
      <c r="J1575" s="66">
        <v>3203</v>
      </c>
      <c r="K1575" s="66">
        <v>279</v>
      </c>
      <c r="L1575" s="66">
        <v>135</v>
      </c>
      <c r="M1575" s="66">
        <v>3617</v>
      </c>
      <c r="N1575" s="66">
        <v>1691</v>
      </c>
      <c r="O1575" s="66">
        <v>92505.000100000005</v>
      </c>
      <c r="P1575" s="66">
        <v>1520</v>
      </c>
      <c r="Q1575" s="66">
        <v>176</v>
      </c>
      <c r="R1575" s="66">
        <v>1696</v>
      </c>
      <c r="S1575" s="66">
        <v>0</v>
      </c>
      <c r="X1575" s="81"/>
      <c r="Y1575" s="81"/>
      <c r="AJ1575" s="66"/>
      <c r="AK1575" s="65"/>
    </row>
    <row r="1576" spans="1:37" hidden="1">
      <c r="A1576" s="65">
        <f>A1575+1</f>
        <v>43</v>
      </c>
      <c r="B1576" s="65" t="s">
        <v>608</v>
      </c>
      <c r="C1576" s="104">
        <v>1</v>
      </c>
      <c r="D1576" s="104">
        <v>0.60492990000000002</v>
      </c>
      <c r="E1576" s="104">
        <v>1.6475400000000001E-2</v>
      </c>
      <c r="F1576" s="104">
        <v>0.62140530000000005</v>
      </c>
      <c r="G1576" s="104">
        <v>5.4935699999999997E-2</v>
      </c>
      <c r="H1576" s="104">
        <v>0.16935059999999999</v>
      </c>
      <c r="I1576" s="104">
        <v>7.9956700000000006E-2</v>
      </c>
      <c r="J1576" s="104">
        <v>3.4001799999999999E-2</v>
      </c>
      <c r="K1576" s="104">
        <v>2.9618000000000001E-3</v>
      </c>
      <c r="L1576" s="104">
        <v>1.4331000000000001E-3</v>
      </c>
      <c r="M1576" s="104">
        <v>3.8396600000000003E-2</v>
      </c>
      <c r="N1576" s="104">
        <v>1.7951000000000002E-2</v>
      </c>
      <c r="O1576" s="104">
        <v>0.98199590000000003</v>
      </c>
      <c r="P1576" s="104">
        <v>1.6135699999999999E-2</v>
      </c>
      <c r="Q1576" s="104">
        <v>1.8683E-3</v>
      </c>
      <c r="R1576" s="104">
        <v>1.8003999999999999E-2</v>
      </c>
      <c r="S1576" s="104">
        <v>0</v>
      </c>
      <c r="X1576" s="81"/>
      <c r="Y1576" s="81"/>
      <c r="AJ1576" s="66"/>
      <c r="AK1576" s="65"/>
    </row>
    <row r="1577" spans="1:37" hidden="1">
      <c r="X1577" s="81"/>
      <c r="Y1577" s="81"/>
      <c r="AJ1577" s="66"/>
      <c r="AK1577" s="65"/>
    </row>
    <row r="1578" spans="1:37" hidden="1">
      <c r="X1578" s="81"/>
      <c r="Y1578" s="81"/>
      <c r="AJ1578" s="66"/>
      <c r="AK1578" s="65"/>
    </row>
    <row r="1579" spans="1:37" hidden="1">
      <c r="X1579" s="81"/>
      <c r="Y1579" s="81"/>
      <c r="AJ1579" s="66"/>
      <c r="AK1579" s="65"/>
    </row>
    <row r="1580" spans="1:37" hidden="1">
      <c r="B1580" s="72"/>
      <c r="H1580" s="65" t="s">
        <v>80</v>
      </c>
      <c r="J1580" s="79"/>
      <c r="K1580" s="79"/>
      <c r="L1580" s="79"/>
      <c r="M1580" s="79"/>
      <c r="N1580" s="99"/>
      <c r="Q1580" s="65" t="s">
        <v>80</v>
      </c>
      <c r="S1580" s="99"/>
      <c r="U1580" s="80"/>
      <c r="X1580" s="81"/>
      <c r="Y1580" s="81"/>
      <c r="Z1580" s="65"/>
      <c r="AF1580" s="99"/>
      <c r="AJ1580" s="66"/>
      <c r="AK1580" s="65"/>
    </row>
    <row r="1581" spans="1:37" hidden="1">
      <c r="B1581" s="72"/>
      <c r="H1581" s="70" t="str">
        <f>H24</f>
        <v>12 MONTHS ENDING DECEMBER 31, 2012</v>
      </c>
      <c r="J1581" s="79"/>
      <c r="K1581" s="79"/>
      <c r="L1581" s="79"/>
      <c r="M1581" s="79"/>
      <c r="Q1581" s="70" t="str">
        <f>Q24</f>
        <v>12 MONTHS ENDING DECEMBER 31, 2012</v>
      </c>
      <c r="U1581" s="80"/>
      <c r="X1581" s="81"/>
      <c r="Y1581" s="81"/>
      <c r="Z1581" s="70"/>
      <c r="AJ1581" s="66"/>
      <c r="AK1581" s="65"/>
    </row>
    <row r="1582" spans="1:37" hidden="1">
      <c r="H1582" s="70" t="str">
        <f>$H$25</f>
        <v>12/13 DEMAND ALLOCATION WITH MDS METHODOLOGY</v>
      </c>
      <c r="Q1582" s="70" t="str">
        <f>$H$25</f>
        <v>12/13 DEMAND ALLOCATION WITH MDS METHODOLOGY</v>
      </c>
      <c r="X1582" s="81"/>
      <c r="Y1582" s="81"/>
      <c r="Z1582" s="70"/>
      <c r="AJ1582" s="66"/>
      <c r="AK1582" s="65"/>
    </row>
    <row r="1583" spans="1:37" hidden="1">
      <c r="H1583" s="65" t="s">
        <v>625</v>
      </c>
      <c r="J1583" s="79"/>
      <c r="K1583" s="79"/>
      <c r="L1583" s="79"/>
      <c r="M1583" s="79"/>
      <c r="N1583" s="79"/>
      <c r="Q1583" s="65" t="s">
        <v>625</v>
      </c>
      <c r="S1583" s="99"/>
      <c r="U1583" s="80"/>
      <c r="X1583" s="81"/>
      <c r="Y1583" s="81"/>
      <c r="Z1583" s="65"/>
      <c r="AF1583" s="99"/>
      <c r="AJ1583" s="66"/>
      <c r="AK1583" s="65"/>
    </row>
    <row r="1584" spans="1:37" hidden="1">
      <c r="C1584" s="99"/>
      <c r="D1584" s="99"/>
      <c r="E1584" s="99"/>
      <c r="F1584" s="99"/>
      <c r="H1584" s="65" t="s">
        <v>114</v>
      </c>
      <c r="I1584" s="99"/>
      <c r="J1584" s="105"/>
      <c r="K1584" s="105"/>
      <c r="L1584" s="105"/>
      <c r="M1584" s="105"/>
      <c r="N1584" s="105"/>
      <c r="Q1584" s="65" t="s">
        <v>114</v>
      </c>
      <c r="S1584" s="99"/>
      <c r="U1584" s="80"/>
      <c r="X1584" s="81"/>
      <c r="Y1584" s="81"/>
      <c r="Z1584" s="65"/>
      <c r="AF1584" s="99"/>
      <c r="AJ1584" s="66"/>
      <c r="AK1584" s="65"/>
    </row>
    <row r="1585" spans="1:37" hidden="1">
      <c r="H1585" s="70"/>
      <c r="O1585" s="70"/>
      <c r="Q1585" s="65"/>
      <c r="X1585" s="81"/>
      <c r="Y1585" s="81"/>
      <c r="AJ1585" s="66"/>
      <c r="AK1585" s="65"/>
    </row>
    <row r="1586" spans="1:37" hidden="1">
      <c r="H1586" s="70"/>
      <c r="O1586" s="70"/>
      <c r="Q1586" s="65"/>
      <c r="X1586" s="81"/>
      <c r="Y1586" s="81"/>
      <c r="AJ1586" s="66"/>
      <c r="AK1586" s="65"/>
    </row>
    <row r="1587" spans="1:37" hidden="1">
      <c r="C1587" s="65" t="s">
        <v>59</v>
      </c>
      <c r="K1587" s="65"/>
      <c r="L1587" s="65"/>
      <c r="M1587" s="65"/>
      <c r="O1587" s="65" t="s">
        <v>59</v>
      </c>
      <c r="P1587" s="65"/>
      <c r="Q1587" s="65"/>
      <c r="R1587" s="65"/>
      <c r="S1587" s="65" t="s">
        <v>115</v>
      </c>
      <c r="W1587" s="76" t="s">
        <v>116</v>
      </c>
      <c r="X1587" s="76" t="s">
        <v>116</v>
      </c>
      <c r="Y1587" s="76" t="s">
        <v>117</v>
      </c>
      <c r="AF1587" s="65"/>
      <c r="AJ1587" s="66"/>
      <c r="AK1587" s="65"/>
    </row>
    <row r="1588" spans="1:37" hidden="1">
      <c r="C1588" s="65" t="s">
        <v>58</v>
      </c>
      <c r="D1588" s="70" t="s">
        <v>119</v>
      </c>
      <c r="E1588" s="70" t="s">
        <v>119</v>
      </c>
      <c r="F1588" s="70" t="s">
        <v>119</v>
      </c>
      <c r="G1588" s="70" t="s">
        <v>119</v>
      </c>
      <c r="H1588" s="70" t="s">
        <v>119</v>
      </c>
      <c r="I1588" s="70" t="s">
        <v>119</v>
      </c>
      <c r="J1588" s="70" t="s">
        <v>119</v>
      </c>
      <c r="K1588" s="70" t="s">
        <v>119</v>
      </c>
      <c r="L1588" s="70" t="s">
        <v>119</v>
      </c>
      <c r="M1588" s="70" t="s">
        <v>119</v>
      </c>
      <c r="N1588" s="70" t="s">
        <v>119</v>
      </c>
      <c r="O1588" s="65" t="s">
        <v>116</v>
      </c>
      <c r="P1588" s="65"/>
      <c r="Q1588" s="70" t="s">
        <v>120</v>
      </c>
      <c r="R1588" s="65"/>
      <c r="S1588" s="65" t="s">
        <v>121</v>
      </c>
      <c r="W1588" s="76" t="s">
        <v>122</v>
      </c>
      <c r="X1588" s="76" t="s">
        <v>123</v>
      </c>
      <c r="Y1588" s="76" t="s">
        <v>124</v>
      </c>
      <c r="Z1588" s="65"/>
      <c r="AF1588" s="70"/>
      <c r="AJ1588" s="66"/>
      <c r="AK1588" s="65"/>
    </row>
    <row r="1589" spans="1:37" hidden="1">
      <c r="B1589" s="65" t="s">
        <v>126</v>
      </c>
      <c r="C1589" s="65" t="s">
        <v>57</v>
      </c>
      <c r="D1589" s="70" t="s">
        <v>127</v>
      </c>
      <c r="E1589" s="70" t="s">
        <v>128</v>
      </c>
      <c r="F1589" s="70" t="s">
        <v>129</v>
      </c>
      <c r="G1589" s="70" t="s">
        <v>130</v>
      </c>
      <c r="H1589" s="70" t="s">
        <v>131</v>
      </c>
      <c r="I1589" s="65" t="s">
        <v>132</v>
      </c>
      <c r="J1589" s="70" t="s">
        <v>133</v>
      </c>
      <c r="K1589" s="70" t="s">
        <v>134</v>
      </c>
      <c r="L1589" s="70" t="s">
        <v>135</v>
      </c>
      <c r="M1589" s="70" t="s">
        <v>136</v>
      </c>
      <c r="N1589" s="70" t="s">
        <v>137</v>
      </c>
      <c r="O1589" s="65" t="s">
        <v>138</v>
      </c>
      <c r="P1589" s="70" t="s">
        <v>139</v>
      </c>
      <c r="Q1589" s="70" t="s">
        <v>140</v>
      </c>
      <c r="R1589" s="65" t="s">
        <v>122</v>
      </c>
      <c r="S1589" s="65" t="s">
        <v>141</v>
      </c>
      <c r="U1589" s="65" t="s">
        <v>162</v>
      </c>
      <c r="W1589" s="76" t="s">
        <v>142</v>
      </c>
      <c r="X1589" s="76" t="s">
        <v>142</v>
      </c>
      <c r="Y1589" s="76" t="s">
        <v>142</v>
      </c>
      <c r="Z1589" s="65"/>
      <c r="AF1589" s="70"/>
      <c r="AJ1589" s="66"/>
      <c r="AK1589" s="65"/>
    </row>
    <row r="1590" spans="1:37" hidden="1">
      <c r="A1590" s="65" t="s">
        <v>118</v>
      </c>
      <c r="B1590" s="65" t="s">
        <v>144</v>
      </c>
      <c r="C1590" s="65" t="s">
        <v>145</v>
      </c>
      <c r="D1590" s="70" t="s">
        <v>146</v>
      </c>
      <c r="E1590" s="70" t="s">
        <v>147</v>
      </c>
      <c r="F1590" s="70" t="s">
        <v>148</v>
      </c>
      <c r="G1590" s="65" t="s">
        <v>149</v>
      </c>
      <c r="H1590" s="65" t="s">
        <v>150</v>
      </c>
      <c r="I1590" s="65" t="s">
        <v>151</v>
      </c>
      <c r="J1590" s="70" t="s">
        <v>152</v>
      </c>
      <c r="K1590" s="70" t="s">
        <v>153</v>
      </c>
      <c r="L1590" s="70" t="s">
        <v>154</v>
      </c>
      <c r="M1590" s="70" t="s">
        <v>155</v>
      </c>
      <c r="N1590" s="70" t="s">
        <v>156</v>
      </c>
      <c r="O1590" s="70" t="s">
        <v>157</v>
      </c>
      <c r="P1590" s="70" t="s">
        <v>158</v>
      </c>
      <c r="Q1590" s="70" t="s">
        <v>159</v>
      </c>
      <c r="R1590" s="70" t="s">
        <v>160</v>
      </c>
      <c r="S1590" s="70" t="s">
        <v>161</v>
      </c>
      <c r="W1590" s="77" t="s">
        <v>163</v>
      </c>
      <c r="X1590" s="77" t="s">
        <v>164</v>
      </c>
      <c r="Y1590" s="76" t="s">
        <v>165</v>
      </c>
      <c r="Z1590" s="70"/>
      <c r="AF1590" s="76"/>
      <c r="AJ1590" s="66"/>
      <c r="AK1590" s="70"/>
    </row>
    <row r="1591" spans="1:37" hidden="1">
      <c r="A1591" s="65" t="s">
        <v>125</v>
      </c>
      <c r="J1591" s="79"/>
      <c r="K1591" s="79"/>
      <c r="L1591" s="79"/>
      <c r="M1591" s="79"/>
      <c r="N1591" s="79"/>
      <c r="O1591" s="79"/>
      <c r="Q1591" s="103"/>
      <c r="U1591" s="80"/>
      <c r="W1591" s="81" t="str">
        <f>IF((P1591+Q1591)=0," ",ROUND((P1591/(P1591+Q1591)),74))</f>
        <v xml:space="preserve"> </v>
      </c>
      <c r="X1591" s="81" t="str">
        <f>IF((C1591)=0," ",ROUND((P1591/(C1591)),74))</f>
        <v xml:space="preserve"> </v>
      </c>
      <c r="Y1591" s="81" t="str">
        <f>IF((C1591)=0," ",ROUND((R1591/(C1591)),7))</f>
        <v xml:space="preserve"> </v>
      </c>
      <c r="Z1591" s="79"/>
      <c r="AF1591" s="103"/>
      <c r="AJ1591" s="66"/>
      <c r="AK1591" s="65"/>
    </row>
    <row r="1592" spans="1:37" hidden="1">
      <c r="A1592" s="65" t="s">
        <v>143</v>
      </c>
      <c r="B1592" s="65" t="s">
        <v>316</v>
      </c>
      <c r="J1592" s="79"/>
      <c r="K1592" s="79"/>
      <c r="L1592" s="79"/>
      <c r="M1592" s="79"/>
      <c r="N1592" s="79"/>
      <c r="O1592" s="79"/>
      <c r="U1592" s="80"/>
      <c r="W1592" s="81" t="str">
        <f>IF((P1592+Q1592)=0," ",ROUND((P1592/(P1592+Q1592)),74))</f>
        <v xml:space="preserve"> </v>
      </c>
      <c r="X1592" s="81" t="str">
        <f>IF((C1592)=0," ",ROUND((P1592/(C1592)),74))</f>
        <v xml:space="preserve"> </v>
      </c>
      <c r="Y1592" s="81" t="str">
        <f>IF((C1592)=0," ",ROUND((R1592/(C1592)),7))</f>
        <v xml:space="preserve"> </v>
      </c>
      <c r="Z1592" s="79"/>
      <c r="AJ1592" s="66"/>
      <c r="AK1592" s="65"/>
    </row>
    <row r="1593" spans="1:37" hidden="1">
      <c r="B1593" s="83" t="s">
        <v>170</v>
      </c>
      <c r="J1593" s="79"/>
      <c r="K1593" s="79"/>
      <c r="L1593" s="79"/>
      <c r="M1593" s="79"/>
      <c r="N1593" s="79"/>
      <c r="O1593" s="79"/>
      <c r="U1593" s="80"/>
      <c r="W1593" s="81" t="str">
        <f>IF((P1593+Q1593)=0," ",ROUND((P1593/(P1593+Q1593)),74))</f>
        <v xml:space="preserve"> </v>
      </c>
      <c r="X1593" s="81" t="str">
        <f>IF((C1593)=0," ",ROUND((P1593/(C1593)),74))</f>
        <v xml:space="preserve"> </v>
      </c>
      <c r="Y1593" s="81" t="str">
        <f>IF((C1593)=0," ",ROUND((R1593/(C1593)),7))</f>
        <v xml:space="preserve"> </v>
      </c>
      <c r="Z1593" s="79"/>
      <c r="AJ1593" s="66"/>
      <c r="AK1593" s="65"/>
    </row>
    <row r="1594" spans="1:37" hidden="1">
      <c r="J1594" s="79"/>
      <c r="K1594" s="79"/>
      <c r="L1594" s="79"/>
      <c r="M1594" s="79"/>
      <c r="N1594" s="79"/>
      <c r="O1594" s="79"/>
      <c r="U1594" s="80"/>
      <c r="W1594" s="81" t="str">
        <f>IF((P1594+Q1594)=0," ",ROUND((P1594/(P1594+Q1594)),74))</f>
        <v xml:space="preserve"> </v>
      </c>
      <c r="X1594" s="81" t="str">
        <f>IF((C1594)=0," ",ROUND((P1594/(C1594)),74))</f>
        <v xml:space="preserve"> </v>
      </c>
      <c r="Y1594" s="81" t="str">
        <f>IF((C1594)=0," ",ROUND((R1594/(C1594)),7))</f>
        <v xml:space="preserve"> </v>
      </c>
      <c r="Z1594" s="79"/>
      <c r="AJ1594" s="66"/>
      <c r="AK1594" s="65"/>
    </row>
    <row r="1595" spans="1:37" hidden="1">
      <c r="B1595" s="66" t="s">
        <v>317</v>
      </c>
      <c r="J1595" s="79"/>
      <c r="K1595" s="79"/>
      <c r="L1595" s="79"/>
      <c r="M1595" s="79"/>
      <c r="N1595" s="79"/>
      <c r="O1595" s="79"/>
      <c r="U1595" s="80"/>
      <c r="W1595" s="81" t="str">
        <f>IF((P1595+Q1595)=0," ",ROUND((P1595/(P1595+Q1595)),74))</f>
        <v xml:space="preserve"> </v>
      </c>
      <c r="X1595" s="81" t="str">
        <f>IF((C1595)=0," ",ROUND((P1595/(C1595)),74))</f>
        <v xml:space="preserve"> </v>
      </c>
      <c r="Y1595" s="81" t="str">
        <f>IF((C1595)=0," ",ROUND((R1595/(C1595)),7))</f>
        <v xml:space="preserve"> </v>
      </c>
      <c r="Z1595" s="79"/>
      <c r="AJ1595" s="66"/>
      <c r="AK1595" s="65"/>
    </row>
    <row r="1596" spans="1:37" hidden="1">
      <c r="B1596" s="66" t="s">
        <v>626</v>
      </c>
      <c r="C1596" s="79">
        <f>C1771</f>
        <v>1676.0004000000001</v>
      </c>
      <c r="D1596" s="79">
        <f>D1771</f>
        <v>1609</v>
      </c>
      <c r="E1596" s="79">
        <f>E1771</f>
        <v>0</v>
      </c>
      <c r="F1596" s="79">
        <f t="shared" ref="F1596:F1612" si="770">D1596+E1596</f>
        <v>1609</v>
      </c>
      <c r="G1596" s="79">
        <f t="shared" ref="G1596:L1596" si="771">G1771</f>
        <v>50</v>
      </c>
      <c r="H1596" s="79">
        <f t="shared" si="771"/>
        <v>17</v>
      </c>
      <c r="I1596" s="79">
        <f t="shared" si="771"/>
        <v>5.0000000000000002E-5</v>
      </c>
      <c r="J1596" s="79">
        <f t="shared" si="771"/>
        <v>5.0000000000000002E-5</v>
      </c>
      <c r="K1596" s="79">
        <f t="shared" si="771"/>
        <v>5.0000000000000002E-5</v>
      </c>
      <c r="L1596" s="79">
        <f t="shared" si="771"/>
        <v>5.0000000000000002E-5</v>
      </c>
      <c r="M1596" s="79">
        <f t="shared" ref="M1596:M1612" si="772">SUM(J1596:L1596)</f>
        <v>1.5000000000000001E-4</v>
      </c>
      <c r="N1596" s="79">
        <f>N1771</f>
        <v>5.0000000000000002E-5</v>
      </c>
      <c r="O1596" s="79">
        <f t="shared" ref="O1596:O1612" si="773">SUM(F1596:I1596)+SUM(M1596:N1596)</f>
        <v>1676.0002500000001</v>
      </c>
      <c r="P1596" s="79">
        <f>P1771</f>
        <v>5.0000000000000002E-5</v>
      </c>
      <c r="Q1596" s="79">
        <f>Q1771</f>
        <v>5.0000000000000002E-5</v>
      </c>
      <c r="R1596" s="79">
        <f t="shared" ref="R1596:R1612" si="774">P1596+Q1596</f>
        <v>1E-4</v>
      </c>
      <c r="S1596" s="79">
        <v>1E-4</v>
      </c>
      <c r="U1596" s="80">
        <f t="shared" ref="U1596:U1612" si="775">O1596+R1596+S1596-C1596</f>
        <v>4.9999999873762135E-5</v>
      </c>
      <c r="W1596" s="81">
        <f t="shared" ref="W1596:W1623" si="776">IF((O1596+R1596)=0," ",ROUND((O1596/(O1596+R1596)),7))</f>
        <v>0.99999990000000005</v>
      </c>
      <c r="X1596" s="81">
        <f t="shared" ref="X1596:X1623" si="777">IF((C1596)=0," ",ROUND((O1596/(C1596)),7))</f>
        <v>0.99999990000000005</v>
      </c>
      <c r="Y1596" s="81">
        <f t="shared" ref="Y1596:Y1623" si="778">IF((C1596)=0," ",ROUND((S1596/(C1596)),7))</f>
        <v>9.9999999999999995E-8</v>
      </c>
      <c r="Z1596" s="79"/>
      <c r="AF1596" s="79"/>
      <c r="AJ1596" s="66"/>
      <c r="AK1596" s="65"/>
    </row>
    <row r="1597" spans="1:37" hidden="1">
      <c r="B1597" s="71" t="s">
        <v>627</v>
      </c>
      <c r="C1597" s="79">
        <f>C1787</f>
        <v>85.000400000000013</v>
      </c>
      <c r="D1597" s="79">
        <f>D1787</f>
        <v>84</v>
      </c>
      <c r="E1597" s="79">
        <f>E1787</f>
        <v>0</v>
      </c>
      <c r="F1597" s="79">
        <f t="shared" si="770"/>
        <v>84</v>
      </c>
      <c r="G1597" s="79">
        <f t="shared" ref="G1597:Q1597" si="779">G1787</f>
        <v>1</v>
      </c>
      <c r="H1597" s="79">
        <f t="shared" si="779"/>
        <v>0</v>
      </c>
      <c r="I1597" s="79">
        <f t="shared" si="779"/>
        <v>5.0000000000000002E-5</v>
      </c>
      <c r="J1597" s="79">
        <f t="shared" si="779"/>
        <v>5.0000000000000002E-5</v>
      </c>
      <c r="K1597" s="79">
        <f t="shared" si="779"/>
        <v>5.0000000000000002E-5</v>
      </c>
      <c r="L1597" s="79">
        <f t="shared" si="779"/>
        <v>5.0000000000000002E-5</v>
      </c>
      <c r="M1597" s="79">
        <f t="shared" si="772"/>
        <v>1.5000000000000001E-4</v>
      </c>
      <c r="N1597" s="79">
        <f t="shared" si="779"/>
        <v>5.0000000000000002E-5</v>
      </c>
      <c r="O1597" s="79">
        <f t="shared" si="773"/>
        <v>85.000250000000008</v>
      </c>
      <c r="P1597" s="79">
        <f t="shared" si="779"/>
        <v>5.0000000000000002E-5</v>
      </c>
      <c r="Q1597" s="79">
        <f t="shared" si="779"/>
        <v>5.0000000000000002E-5</v>
      </c>
      <c r="R1597" s="79">
        <f t="shared" si="774"/>
        <v>1E-4</v>
      </c>
      <c r="S1597" s="79">
        <v>0</v>
      </c>
      <c r="U1597" s="80">
        <f t="shared" si="775"/>
        <v>-5.0000000001659828E-5</v>
      </c>
      <c r="W1597" s="81">
        <f t="shared" si="776"/>
        <v>0.99999879999999997</v>
      </c>
      <c r="X1597" s="81">
        <f t="shared" si="777"/>
        <v>0.99999819999999995</v>
      </c>
      <c r="Y1597" s="81">
        <f t="shared" si="778"/>
        <v>0</v>
      </c>
      <c r="Z1597" s="79"/>
      <c r="AF1597" s="79"/>
      <c r="AJ1597" s="66"/>
      <c r="AK1597" s="65"/>
    </row>
    <row r="1598" spans="1:37" hidden="1">
      <c r="A1598" s="65">
        <f>A1597+1</f>
        <v>1</v>
      </c>
      <c r="B1598" s="71" t="s">
        <v>628</v>
      </c>
      <c r="C1598" s="79">
        <f>C1789</f>
        <v>31.000400000000003</v>
      </c>
      <c r="D1598" s="79">
        <f t="shared" ref="D1598:S1598" si="780">D1789</f>
        <v>28</v>
      </c>
      <c r="E1598" s="79">
        <f t="shared" si="780"/>
        <v>0</v>
      </c>
      <c r="F1598" s="79">
        <f t="shared" si="770"/>
        <v>28</v>
      </c>
      <c r="G1598" s="79">
        <f t="shared" si="780"/>
        <v>2</v>
      </c>
      <c r="H1598" s="79">
        <f t="shared" si="780"/>
        <v>1</v>
      </c>
      <c r="I1598" s="79">
        <f t="shared" si="780"/>
        <v>5.0000000000000002E-5</v>
      </c>
      <c r="J1598" s="79">
        <f t="shared" si="780"/>
        <v>5.0000000000000002E-5</v>
      </c>
      <c r="K1598" s="79">
        <f t="shared" si="780"/>
        <v>5.0000000000000002E-5</v>
      </c>
      <c r="L1598" s="79">
        <f t="shared" si="780"/>
        <v>5.0000000000000002E-5</v>
      </c>
      <c r="M1598" s="79">
        <f t="shared" si="772"/>
        <v>1.5000000000000001E-4</v>
      </c>
      <c r="N1598" s="79">
        <f t="shared" si="780"/>
        <v>5.0000000000000002E-5</v>
      </c>
      <c r="O1598" s="79">
        <f t="shared" si="773"/>
        <v>31.000250000000001</v>
      </c>
      <c r="P1598" s="79">
        <f t="shared" si="780"/>
        <v>5.0000000000000002E-5</v>
      </c>
      <c r="Q1598" s="79">
        <f t="shared" si="780"/>
        <v>5.0000000000000002E-5</v>
      </c>
      <c r="R1598" s="79">
        <f t="shared" si="774"/>
        <v>1E-4</v>
      </c>
      <c r="S1598" s="79">
        <f t="shared" si="780"/>
        <v>5.0000000000000002E-5</v>
      </c>
      <c r="U1598" s="80">
        <f t="shared" si="775"/>
        <v>0</v>
      </c>
      <c r="W1598" s="81">
        <f t="shared" si="776"/>
        <v>0.99999680000000002</v>
      </c>
      <c r="X1598" s="81">
        <f t="shared" si="777"/>
        <v>0.99999519999999997</v>
      </c>
      <c r="Y1598" s="81">
        <f t="shared" si="778"/>
        <v>1.5999999999999999E-6</v>
      </c>
      <c r="Z1598" s="79"/>
      <c r="AF1598" s="79"/>
      <c r="AJ1598" s="66"/>
      <c r="AK1598" s="65"/>
    </row>
    <row r="1599" spans="1:37" hidden="1">
      <c r="A1599" s="65">
        <f>A1598+1</f>
        <v>2</v>
      </c>
      <c r="B1599" s="66" t="s">
        <v>629</v>
      </c>
      <c r="C1599" s="79">
        <f>C1769</f>
        <v>2832.0009000000005</v>
      </c>
      <c r="D1599" s="79">
        <f>D1769</f>
        <v>2719</v>
      </c>
      <c r="E1599" s="79">
        <f>E1769</f>
        <v>5.0000000000000001E-4</v>
      </c>
      <c r="F1599" s="79">
        <f t="shared" si="770"/>
        <v>2719.0005000000001</v>
      </c>
      <c r="G1599" s="79">
        <f t="shared" ref="G1599:L1599" si="781">G1769</f>
        <v>85</v>
      </c>
      <c r="H1599" s="79">
        <f t="shared" si="781"/>
        <v>28</v>
      </c>
      <c r="I1599" s="79">
        <f t="shared" si="781"/>
        <v>5.0000000000000002E-5</v>
      </c>
      <c r="J1599" s="79">
        <f t="shared" si="781"/>
        <v>5.0000000000000002E-5</v>
      </c>
      <c r="K1599" s="79">
        <f t="shared" si="781"/>
        <v>5.0000000000000002E-5</v>
      </c>
      <c r="L1599" s="79">
        <f t="shared" si="781"/>
        <v>5.0000000000000002E-5</v>
      </c>
      <c r="M1599" s="79">
        <f t="shared" si="772"/>
        <v>1.5000000000000001E-4</v>
      </c>
      <c r="N1599" s="79">
        <f>N1769</f>
        <v>5.0000000000000002E-5</v>
      </c>
      <c r="O1599" s="79">
        <f t="shared" si="773"/>
        <v>2832.0007500000002</v>
      </c>
      <c r="P1599" s="79">
        <f>P1769</f>
        <v>5.0000000000000002E-5</v>
      </c>
      <c r="Q1599" s="79">
        <f>Q1769</f>
        <v>5.0000000000000002E-5</v>
      </c>
      <c r="R1599" s="79">
        <f t="shared" si="774"/>
        <v>1E-4</v>
      </c>
      <c r="S1599" s="79">
        <v>1E-4</v>
      </c>
      <c r="U1599" s="80">
        <f t="shared" si="775"/>
        <v>5.0000000101135811E-5</v>
      </c>
      <c r="W1599" s="81">
        <f t="shared" si="776"/>
        <v>1</v>
      </c>
      <c r="X1599" s="81">
        <f t="shared" si="777"/>
        <v>0.99999990000000005</v>
      </c>
      <c r="Y1599" s="81">
        <f t="shared" si="778"/>
        <v>0</v>
      </c>
      <c r="Z1599" s="79"/>
      <c r="AF1599" s="79"/>
      <c r="AJ1599" s="66"/>
      <c r="AK1599" s="65"/>
    </row>
    <row r="1600" spans="1:37" hidden="1">
      <c r="A1600" s="65">
        <f>A1599+1</f>
        <v>3</v>
      </c>
      <c r="B1600" s="66" t="s">
        <v>630</v>
      </c>
      <c r="C1600" s="79">
        <f>C1767</f>
        <v>1143</v>
      </c>
      <c r="D1600" s="79">
        <f>D1767</f>
        <v>1097.95</v>
      </c>
      <c r="E1600" s="79">
        <f>E1767</f>
        <v>0.05</v>
      </c>
      <c r="F1600" s="79">
        <f t="shared" si="770"/>
        <v>1098</v>
      </c>
      <c r="G1600" s="79">
        <f t="shared" ref="G1600:L1600" si="782">G1767</f>
        <v>34</v>
      </c>
      <c r="H1600" s="79">
        <f t="shared" si="782"/>
        <v>11</v>
      </c>
      <c r="I1600" s="79">
        <f t="shared" si="782"/>
        <v>0</v>
      </c>
      <c r="J1600" s="79">
        <f t="shared" si="782"/>
        <v>0</v>
      </c>
      <c r="K1600" s="79">
        <f t="shared" si="782"/>
        <v>0</v>
      </c>
      <c r="L1600" s="79">
        <f t="shared" si="782"/>
        <v>0</v>
      </c>
      <c r="M1600" s="79">
        <f t="shared" si="772"/>
        <v>0</v>
      </c>
      <c r="N1600" s="79">
        <f>N1767</f>
        <v>0</v>
      </c>
      <c r="O1600" s="79">
        <f t="shared" si="773"/>
        <v>1143</v>
      </c>
      <c r="P1600" s="79">
        <f>P1767</f>
        <v>0</v>
      </c>
      <c r="Q1600" s="79">
        <f>Q1767</f>
        <v>0</v>
      </c>
      <c r="R1600" s="79">
        <f t="shared" si="774"/>
        <v>0</v>
      </c>
      <c r="S1600" s="79">
        <v>0</v>
      </c>
      <c r="U1600" s="80">
        <f t="shared" si="775"/>
        <v>0</v>
      </c>
      <c r="W1600" s="81">
        <f t="shared" si="776"/>
        <v>1</v>
      </c>
      <c r="X1600" s="81">
        <f t="shared" si="777"/>
        <v>1</v>
      </c>
      <c r="Y1600" s="81">
        <f t="shared" si="778"/>
        <v>0</v>
      </c>
      <c r="Z1600" s="79"/>
      <c r="AF1600" s="79"/>
      <c r="AJ1600" s="66"/>
      <c r="AK1600" s="65"/>
    </row>
    <row r="1601" spans="1:37" hidden="1">
      <c r="A1601" s="65">
        <f t="shared" ref="A1601:A1619" si="783">A1600+1</f>
        <v>4</v>
      </c>
      <c r="B1601" s="66" t="s">
        <v>631</v>
      </c>
      <c r="C1601" s="79">
        <f t="shared" ref="C1601:I1601" si="784">C1599-C1600</f>
        <v>1689.0009000000005</v>
      </c>
      <c r="D1601" s="79">
        <f t="shared" si="784"/>
        <v>1621.05</v>
      </c>
      <c r="E1601" s="79">
        <f>E1599-E1600</f>
        <v>-4.9500000000000002E-2</v>
      </c>
      <c r="F1601" s="79">
        <f t="shared" si="770"/>
        <v>1621.0004999999999</v>
      </c>
      <c r="G1601" s="79">
        <f t="shared" si="784"/>
        <v>51</v>
      </c>
      <c r="H1601" s="79">
        <f t="shared" si="784"/>
        <v>17</v>
      </c>
      <c r="I1601" s="79">
        <f t="shared" si="784"/>
        <v>5.0000000000000002E-5</v>
      </c>
      <c r="J1601" s="79">
        <f>J1599-J1600</f>
        <v>5.0000000000000002E-5</v>
      </c>
      <c r="K1601" s="79">
        <f>K1599-K1600</f>
        <v>5.0000000000000002E-5</v>
      </c>
      <c r="L1601" s="79">
        <f>L1599-L1600</f>
        <v>5.0000000000000002E-5</v>
      </c>
      <c r="M1601" s="79">
        <f t="shared" si="772"/>
        <v>1.5000000000000001E-4</v>
      </c>
      <c r="N1601" s="79">
        <f>N1599-N1600</f>
        <v>5.0000000000000002E-5</v>
      </c>
      <c r="O1601" s="79">
        <f t="shared" si="773"/>
        <v>1689.0007499999999</v>
      </c>
      <c r="P1601" s="79">
        <f>P1599-P1600</f>
        <v>5.0000000000000002E-5</v>
      </c>
      <c r="Q1601" s="79">
        <f>Q1599-Q1600</f>
        <v>5.0000000000000002E-5</v>
      </c>
      <c r="R1601" s="79">
        <f t="shared" si="774"/>
        <v>1E-4</v>
      </c>
      <c r="S1601" s="79">
        <f>S1599-S1600</f>
        <v>1E-4</v>
      </c>
      <c r="U1601" s="80">
        <f t="shared" si="775"/>
        <v>4.9999999419014785E-5</v>
      </c>
      <c r="W1601" s="81">
        <f t="shared" si="776"/>
        <v>0.99999990000000005</v>
      </c>
      <c r="X1601" s="81">
        <f t="shared" si="777"/>
        <v>0.99999990000000005</v>
      </c>
      <c r="Y1601" s="81">
        <f t="shared" si="778"/>
        <v>9.9999999999999995E-8</v>
      </c>
      <c r="Z1601" s="79"/>
      <c r="AF1601" s="79"/>
      <c r="AJ1601" s="66"/>
      <c r="AK1601" s="65"/>
    </row>
    <row r="1602" spans="1:37" hidden="1">
      <c r="A1602" s="65">
        <f t="shared" si="783"/>
        <v>5</v>
      </c>
      <c r="B1602" s="66" t="s">
        <v>632</v>
      </c>
      <c r="C1602" s="79">
        <f>C635</f>
        <v>39238</v>
      </c>
      <c r="D1602" s="79">
        <f>D635</f>
        <v>22830.985000000001</v>
      </c>
      <c r="E1602" s="79">
        <f>E635</f>
        <v>674</v>
      </c>
      <c r="F1602" s="79">
        <f t="shared" si="770"/>
        <v>23504.985000000001</v>
      </c>
      <c r="G1602" s="79">
        <f t="shared" ref="G1602:L1602" si="785">G635</f>
        <v>1670</v>
      </c>
      <c r="H1602" s="79">
        <f t="shared" si="785"/>
        <v>7687</v>
      </c>
      <c r="I1602" s="79">
        <f t="shared" si="785"/>
        <v>3732</v>
      </c>
      <c r="J1602" s="79">
        <f t="shared" si="785"/>
        <v>1376</v>
      </c>
      <c r="K1602" s="79">
        <f t="shared" si="785"/>
        <v>105</v>
      </c>
      <c r="L1602" s="79">
        <f t="shared" si="785"/>
        <v>79</v>
      </c>
      <c r="M1602" s="79">
        <f t="shared" si="772"/>
        <v>1560</v>
      </c>
      <c r="N1602" s="79">
        <f>N635</f>
        <v>1084</v>
      </c>
      <c r="O1602" s="79">
        <f t="shared" si="773"/>
        <v>39237.985000000001</v>
      </c>
      <c r="P1602" s="79">
        <f>P635</f>
        <v>5.0000000000000001E-3</v>
      </c>
      <c r="Q1602" s="79">
        <f>Q635</f>
        <v>5.0000000000000001E-3</v>
      </c>
      <c r="R1602" s="79">
        <f t="shared" si="774"/>
        <v>0.01</v>
      </c>
      <c r="S1602" s="79">
        <f>S635</f>
        <v>5.0000000000000001E-3</v>
      </c>
      <c r="U1602" s="80">
        <f t="shared" si="775"/>
        <v>0</v>
      </c>
      <c r="W1602" s="81">
        <f t="shared" si="776"/>
        <v>0.99999970000000005</v>
      </c>
      <c r="X1602" s="81">
        <f t="shared" si="777"/>
        <v>0.99999959999999999</v>
      </c>
      <c r="Y1602" s="81">
        <f t="shared" si="778"/>
        <v>9.9999999999999995E-8</v>
      </c>
      <c r="Z1602" s="79"/>
      <c r="AF1602" s="79"/>
      <c r="AJ1602" s="66"/>
      <c r="AK1602" s="65"/>
    </row>
    <row r="1603" spans="1:37" hidden="1">
      <c r="A1603" s="65">
        <f t="shared" si="783"/>
        <v>6</v>
      </c>
      <c r="B1603" s="66" t="s">
        <v>633</v>
      </c>
      <c r="C1603" s="79">
        <f>C1777</f>
        <v>90.000400000000013</v>
      </c>
      <c r="D1603" s="79">
        <f>D1777</f>
        <v>1.161877804254155E-14</v>
      </c>
      <c r="E1603" s="79">
        <f>E1777</f>
        <v>0</v>
      </c>
      <c r="F1603" s="79">
        <f t="shared" si="770"/>
        <v>1.161877804254155E-14</v>
      </c>
      <c r="G1603" s="79">
        <f t="shared" ref="G1603:L1603" si="786">G1777</f>
        <v>90</v>
      </c>
      <c r="H1603" s="79">
        <f t="shared" si="786"/>
        <v>0</v>
      </c>
      <c r="I1603" s="79">
        <f t="shared" si="786"/>
        <v>5.0000000000000002E-5</v>
      </c>
      <c r="J1603" s="79">
        <f t="shared" si="786"/>
        <v>5.0000000000000002E-5</v>
      </c>
      <c r="K1603" s="79">
        <f t="shared" si="786"/>
        <v>5.0000000000000002E-5</v>
      </c>
      <c r="L1603" s="79">
        <f t="shared" si="786"/>
        <v>5.0000000000000002E-5</v>
      </c>
      <c r="M1603" s="79">
        <f t="shared" si="772"/>
        <v>1.5000000000000001E-4</v>
      </c>
      <c r="N1603" s="79">
        <f>N1777</f>
        <v>5.0000000000000002E-5</v>
      </c>
      <c r="O1603" s="79">
        <f t="shared" si="773"/>
        <v>90.000250000000023</v>
      </c>
      <c r="P1603" s="79">
        <f>P1777</f>
        <v>5.0000000000000002E-5</v>
      </c>
      <c r="Q1603" s="79">
        <f>Q1777</f>
        <v>5.0000000000000002E-5</v>
      </c>
      <c r="R1603" s="79">
        <f t="shared" si="774"/>
        <v>1E-4</v>
      </c>
      <c r="S1603" s="79">
        <f>S1777</f>
        <v>5.0000000000000002E-5</v>
      </c>
      <c r="U1603" s="80"/>
      <c r="W1603" s="81">
        <f t="shared" si="776"/>
        <v>0.99999890000000002</v>
      </c>
      <c r="X1603" s="81">
        <f t="shared" si="777"/>
        <v>0.99999830000000001</v>
      </c>
      <c r="Y1603" s="81">
        <f t="shared" si="778"/>
        <v>5.9999999999999997E-7</v>
      </c>
      <c r="Z1603" s="79"/>
      <c r="AF1603" s="79"/>
      <c r="AJ1603" s="66"/>
      <c r="AK1603" s="65"/>
    </row>
    <row r="1604" spans="1:37" hidden="1">
      <c r="A1604" s="65">
        <f t="shared" si="783"/>
        <v>7</v>
      </c>
      <c r="B1604" s="66" t="s">
        <v>630</v>
      </c>
      <c r="C1604" s="79">
        <f>C1775</f>
        <v>74</v>
      </c>
      <c r="D1604" s="79">
        <f>D1775</f>
        <v>0</v>
      </c>
      <c r="E1604" s="79">
        <f>E1775</f>
        <v>0</v>
      </c>
      <c r="F1604" s="79">
        <f t="shared" si="770"/>
        <v>0</v>
      </c>
      <c r="G1604" s="79">
        <f t="shared" ref="G1604:L1604" si="787">G1775</f>
        <v>74</v>
      </c>
      <c r="H1604" s="79">
        <f t="shared" si="787"/>
        <v>0</v>
      </c>
      <c r="I1604" s="79">
        <f t="shared" si="787"/>
        <v>0</v>
      </c>
      <c r="J1604" s="79">
        <f t="shared" si="787"/>
        <v>0</v>
      </c>
      <c r="K1604" s="79">
        <f t="shared" si="787"/>
        <v>0</v>
      </c>
      <c r="L1604" s="79">
        <f t="shared" si="787"/>
        <v>0</v>
      </c>
      <c r="M1604" s="79">
        <f t="shared" si="772"/>
        <v>0</v>
      </c>
      <c r="N1604" s="79">
        <f>N1775</f>
        <v>0</v>
      </c>
      <c r="O1604" s="79">
        <f t="shared" si="773"/>
        <v>74</v>
      </c>
      <c r="P1604" s="79">
        <f>P1775</f>
        <v>0</v>
      </c>
      <c r="Q1604" s="79">
        <f>Q1775</f>
        <v>0</v>
      </c>
      <c r="R1604" s="79">
        <f t="shared" si="774"/>
        <v>0</v>
      </c>
      <c r="S1604" s="79">
        <f>S1775</f>
        <v>0</v>
      </c>
      <c r="U1604" s="80"/>
      <c r="W1604" s="81">
        <f t="shared" si="776"/>
        <v>1</v>
      </c>
      <c r="X1604" s="81">
        <f t="shared" si="777"/>
        <v>1</v>
      </c>
      <c r="Y1604" s="81">
        <f t="shared" si="778"/>
        <v>0</v>
      </c>
      <c r="Z1604" s="79"/>
      <c r="AF1604" s="79"/>
      <c r="AJ1604" s="66"/>
      <c r="AK1604" s="65"/>
    </row>
    <row r="1605" spans="1:37" hidden="1">
      <c r="A1605" s="65">
        <f t="shared" si="783"/>
        <v>8</v>
      </c>
      <c r="B1605" s="66" t="s">
        <v>631</v>
      </c>
      <c r="C1605" s="79">
        <f>C1603-C1604</f>
        <v>16.000400000000013</v>
      </c>
      <c r="D1605" s="79">
        <f>D1603-D1604</f>
        <v>1.161877804254155E-14</v>
      </c>
      <c r="E1605" s="79">
        <f>E1603-E1604</f>
        <v>0</v>
      </c>
      <c r="F1605" s="79">
        <f t="shared" si="770"/>
        <v>1.161877804254155E-14</v>
      </c>
      <c r="G1605" s="79">
        <f t="shared" ref="G1605:L1605" si="788">G1603-G1604</f>
        <v>16</v>
      </c>
      <c r="H1605" s="79">
        <f t="shared" si="788"/>
        <v>0</v>
      </c>
      <c r="I1605" s="79">
        <f t="shared" si="788"/>
        <v>5.0000000000000002E-5</v>
      </c>
      <c r="J1605" s="79">
        <f t="shared" si="788"/>
        <v>5.0000000000000002E-5</v>
      </c>
      <c r="K1605" s="79">
        <f t="shared" si="788"/>
        <v>5.0000000000000002E-5</v>
      </c>
      <c r="L1605" s="79">
        <f t="shared" si="788"/>
        <v>5.0000000000000002E-5</v>
      </c>
      <c r="M1605" s="79">
        <f t="shared" si="772"/>
        <v>1.5000000000000001E-4</v>
      </c>
      <c r="N1605" s="79">
        <f>N1603-N1604</f>
        <v>5.0000000000000002E-5</v>
      </c>
      <c r="O1605" s="79">
        <f t="shared" si="773"/>
        <v>16.000250000000012</v>
      </c>
      <c r="P1605" s="79">
        <f>P1603-P1604</f>
        <v>5.0000000000000002E-5</v>
      </c>
      <c r="Q1605" s="79">
        <f>Q1603-Q1604</f>
        <v>5.0000000000000002E-5</v>
      </c>
      <c r="R1605" s="79">
        <f t="shared" si="774"/>
        <v>1E-4</v>
      </c>
      <c r="S1605" s="79">
        <f>S1603-S1604</f>
        <v>5.0000000000000002E-5</v>
      </c>
      <c r="U1605" s="80"/>
      <c r="W1605" s="81">
        <f t="shared" si="776"/>
        <v>0.99999380000000004</v>
      </c>
      <c r="X1605" s="81">
        <f t="shared" si="777"/>
        <v>0.99999059999999995</v>
      </c>
      <c r="Y1605" s="81">
        <f t="shared" si="778"/>
        <v>3.1E-6</v>
      </c>
      <c r="Z1605" s="79"/>
      <c r="AF1605" s="79"/>
      <c r="AJ1605" s="66"/>
      <c r="AK1605" s="65"/>
    </row>
    <row r="1606" spans="1:37" hidden="1">
      <c r="A1606" s="65">
        <f t="shared" si="783"/>
        <v>9</v>
      </c>
      <c r="B1606" s="66" t="s">
        <v>634</v>
      </c>
      <c r="C1606" s="79">
        <f>C1765</f>
        <v>133.00089999999997</v>
      </c>
      <c r="D1606" s="79">
        <f>D1765</f>
        <v>106</v>
      </c>
      <c r="E1606" s="79">
        <f>E1765</f>
        <v>5.0000000000000001E-4</v>
      </c>
      <c r="F1606" s="79">
        <f t="shared" si="770"/>
        <v>106.0005</v>
      </c>
      <c r="G1606" s="79">
        <f t="shared" ref="G1606:L1606" si="789">G1765</f>
        <v>24</v>
      </c>
      <c r="H1606" s="79">
        <f t="shared" si="789"/>
        <v>3</v>
      </c>
      <c r="I1606" s="79">
        <f t="shared" si="789"/>
        <v>5.0000000000000002E-5</v>
      </c>
      <c r="J1606" s="79">
        <f t="shared" si="789"/>
        <v>5.0000000000000002E-5</v>
      </c>
      <c r="K1606" s="79">
        <f t="shared" si="789"/>
        <v>5.0000000000000002E-5</v>
      </c>
      <c r="L1606" s="79">
        <f t="shared" si="789"/>
        <v>5.0000000000000002E-5</v>
      </c>
      <c r="M1606" s="79">
        <f t="shared" si="772"/>
        <v>1.5000000000000001E-4</v>
      </c>
      <c r="N1606" s="79">
        <f>N1765</f>
        <v>5.0000000000000002E-5</v>
      </c>
      <c r="O1606" s="79">
        <f t="shared" si="773"/>
        <v>133.00074999999998</v>
      </c>
      <c r="P1606" s="79">
        <f>P1765</f>
        <v>5.0000000000000002E-5</v>
      </c>
      <c r="Q1606" s="79">
        <f>Q1765</f>
        <v>5.0000000000000002E-5</v>
      </c>
      <c r="R1606" s="79">
        <f t="shared" si="774"/>
        <v>1E-4</v>
      </c>
      <c r="S1606" s="79">
        <v>1E-4</v>
      </c>
      <c r="U1606" s="80">
        <f t="shared" si="775"/>
        <v>5.0000000015870683E-5</v>
      </c>
      <c r="W1606" s="81">
        <f t="shared" si="776"/>
        <v>0.99999919999999998</v>
      </c>
      <c r="X1606" s="81">
        <f t="shared" si="777"/>
        <v>0.99999890000000002</v>
      </c>
      <c r="Y1606" s="81">
        <f t="shared" si="778"/>
        <v>7.9999999999999996E-7</v>
      </c>
      <c r="Z1606" s="79"/>
      <c r="AF1606" s="79"/>
      <c r="AJ1606" s="66"/>
      <c r="AK1606" s="65"/>
    </row>
    <row r="1607" spans="1:37" hidden="1">
      <c r="A1607" s="65">
        <f t="shared" si="783"/>
        <v>10</v>
      </c>
      <c r="B1607" s="66" t="s">
        <v>630</v>
      </c>
      <c r="C1607" s="79">
        <f>C1763</f>
        <v>39</v>
      </c>
      <c r="D1607" s="79">
        <f>D1763</f>
        <v>31</v>
      </c>
      <c r="E1607" s="79">
        <f>E1763</f>
        <v>5.0000000000000001E-4</v>
      </c>
      <c r="F1607" s="79">
        <f t="shared" si="770"/>
        <v>31.000499999999999</v>
      </c>
      <c r="G1607" s="79">
        <f t="shared" ref="G1607:L1607" si="790">G1763</f>
        <v>7</v>
      </c>
      <c r="H1607" s="79">
        <f t="shared" si="790"/>
        <v>1</v>
      </c>
      <c r="I1607" s="79">
        <f t="shared" si="790"/>
        <v>0</v>
      </c>
      <c r="J1607" s="79">
        <f t="shared" si="790"/>
        <v>0</v>
      </c>
      <c r="K1607" s="79">
        <f t="shared" si="790"/>
        <v>0</v>
      </c>
      <c r="L1607" s="79">
        <f t="shared" si="790"/>
        <v>0</v>
      </c>
      <c r="M1607" s="79">
        <f t="shared" si="772"/>
        <v>0</v>
      </c>
      <c r="N1607" s="79">
        <f>N1763</f>
        <v>0</v>
      </c>
      <c r="O1607" s="79">
        <f t="shared" si="773"/>
        <v>39.000500000000002</v>
      </c>
      <c r="P1607" s="79">
        <f>P1763</f>
        <v>0</v>
      </c>
      <c r="Q1607" s="79">
        <f>Q1763</f>
        <v>0</v>
      </c>
      <c r="R1607" s="79">
        <f t="shared" si="774"/>
        <v>0</v>
      </c>
      <c r="S1607" s="79">
        <v>0</v>
      </c>
      <c r="U1607" s="80">
        <f t="shared" si="775"/>
        <v>5.0000000000238742E-4</v>
      </c>
      <c r="W1607" s="81">
        <f t="shared" si="776"/>
        <v>1</v>
      </c>
      <c r="X1607" s="81">
        <f t="shared" si="777"/>
        <v>1.0000127999999999</v>
      </c>
      <c r="Y1607" s="81">
        <f t="shared" si="778"/>
        <v>0</v>
      </c>
      <c r="Z1607" s="79"/>
      <c r="AF1607" s="79"/>
      <c r="AJ1607" s="66"/>
      <c r="AK1607" s="65"/>
    </row>
    <row r="1608" spans="1:37" hidden="1">
      <c r="A1608" s="65">
        <f t="shared" si="783"/>
        <v>11</v>
      </c>
      <c r="B1608" s="66" t="s">
        <v>631</v>
      </c>
      <c r="C1608" s="79">
        <f t="shared" ref="C1608:I1608" si="791">C1606-C1607</f>
        <v>94.000899999999973</v>
      </c>
      <c r="D1608" s="79">
        <f t="shared" si="791"/>
        <v>75</v>
      </c>
      <c r="E1608" s="79">
        <f>E1606-E1607</f>
        <v>0</v>
      </c>
      <c r="F1608" s="79">
        <f t="shared" si="770"/>
        <v>75</v>
      </c>
      <c r="G1608" s="79">
        <f t="shared" si="791"/>
        <v>17</v>
      </c>
      <c r="H1608" s="79">
        <f t="shared" si="791"/>
        <v>2</v>
      </c>
      <c r="I1608" s="79">
        <f t="shared" si="791"/>
        <v>5.0000000000000002E-5</v>
      </c>
      <c r="J1608" s="79">
        <f>J1606-J1607</f>
        <v>5.0000000000000002E-5</v>
      </c>
      <c r="K1608" s="79">
        <f>K1606-K1607</f>
        <v>5.0000000000000002E-5</v>
      </c>
      <c r="L1608" s="79">
        <f>L1606-L1607</f>
        <v>5.0000000000000002E-5</v>
      </c>
      <c r="M1608" s="79">
        <f t="shared" si="772"/>
        <v>1.5000000000000001E-4</v>
      </c>
      <c r="N1608" s="79">
        <f>N1606-N1607</f>
        <v>5.0000000000000002E-5</v>
      </c>
      <c r="O1608" s="79">
        <f t="shared" si="773"/>
        <v>94.000250000000008</v>
      </c>
      <c r="P1608" s="79">
        <f>P1606-P1607</f>
        <v>5.0000000000000002E-5</v>
      </c>
      <c r="Q1608" s="79">
        <f>Q1606-Q1607</f>
        <v>5.0000000000000002E-5</v>
      </c>
      <c r="R1608" s="79">
        <f t="shared" si="774"/>
        <v>1E-4</v>
      </c>
      <c r="S1608" s="79">
        <f>S1606-S1607</f>
        <v>1E-4</v>
      </c>
      <c r="U1608" s="80">
        <f t="shared" si="775"/>
        <v>-4.4999999995809503E-4</v>
      </c>
      <c r="W1608" s="81">
        <f t="shared" si="776"/>
        <v>0.99999890000000002</v>
      </c>
      <c r="X1608" s="81">
        <f t="shared" si="777"/>
        <v>0.99999309999999997</v>
      </c>
      <c r="Y1608" s="81">
        <f t="shared" si="778"/>
        <v>1.1000000000000001E-6</v>
      </c>
      <c r="Z1608" s="79"/>
      <c r="AF1608" s="79"/>
      <c r="AJ1608" s="66"/>
      <c r="AK1608" s="65"/>
    </row>
    <row r="1609" spans="1:37" hidden="1">
      <c r="A1609" s="65">
        <f t="shared" si="783"/>
        <v>12</v>
      </c>
      <c r="B1609" s="66" t="s">
        <v>635</v>
      </c>
      <c r="C1609" s="79">
        <f>C1785</f>
        <v>192.00039999999998</v>
      </c>
      <c r="D1609" s="79">
        <f>D1785</f>
        <v>135</v>
      </c>
      <c r="E1609" s="79">
        <f>E1785</f>
        <v>0</v>
      </c>
      <c r="F1609" s="79">
        <f t="shared" si="770"/>
        <v>135</v>
      </c>
      <c r="G1609" s="79">
        <f t="shared" ref="G1609:L1609" si="792">G1785</f>
        <v>27</v>
      </c>
      <c r="H1609" s="79">
        <f t="shared" si="792"/>
        <v>30</v>
      </c>
      <c r="I1609" s="79">
        <f t="shared" si="792"/>
        <v>5.0000000000000002E-5</v>
      </c>
      <c r="J1609" s="79">
        <f t="shared" si="792"/>
        <v>5.0000000000000002E-5</v>
      </c>
      <c r="K1609" s="79">
        <f t="shared" si="792"/>
        <v>5.0000000000000002E-5</v>
      </c>
      <c r="L1609" s="79">
        <f t="shared" si="792"/>
        <v>5.0000000000000002E-5</v>
      </c>
      <c r="M1609" s="79">
        <f t="shared" si="772"/>
        <v>1.5000000000000001E-4</v>
      </c>
      <c r="N1609" s="79">
        <f>N1785</f>
        <v>5.0000000000000002E-5</v>
      </c>
      <c r="O1609" s="79">
        <f t="shared" si="773"/>
        <v>192.00024999999999</v>
      </c>
      <c r="P1609" s="79">
        <f>P1785</f>
        <v>5.0000000000000002E-5</v>
      </c>
      <c r="Q1609" s="79">
        <f>Q1785</f>
        <v>5.0000000000000002E-5</v>
      </c>
      <c r="R1609" s="79">
        <f t="shared" si="774"/>
        <v>1E-4</v>
      </c>
      <c r="S1609" s="79">
        <v>1E-4</v>
      </c>
      <c r="U1609" s="80">
        <f t="shared" si="775"/>
        <v>5.0000000015870683E-5</v>
      </c>
      <c r="W1609" s="81">
        <f t="shared" si="776"/>
        <v>0.99999950000000004</v>
      </c>
      <c r="X1609" s="81">
        <f t="shared" si="777"/>
        <v>0.99999919999999998</v>
      </c>
      <c r="Y1609" s="81">
        <f t="shared" si="778"/>
        <v>4.9999999999999998E-7</v>
      </c>
      <c r="Z1609" s="79"/>
      <c r="AF1609" s="79"/>
      <c r="AJ1609" s="66"/>
      <c r="AK1609" s="65"/>
    </row>
    <row r="1610" spans="1:37" hidden="1">
      <c r="A1610" s="65">
        <f t="shared" si="783"/>
        <v>13</v>
      </c>
      <c r="B1610" s="66" t="s">
        <v>636</v>
      </c>
      <c r="C1610" s="79">
        <f>C1783</f>
        <v>46.000400000000006</v>
      </c>
      <c r="D1610" s="79">
        <f>D1783</f>
        <v>44</v>
      </c>
      <c r="E1610" s="79">
        <f>E1783</f>
        <v>0</v>
      </c>
      <c r="F1610" s="79">
        <f t="shared" si="770"/>
        <v>44</v>
      </c>
      <c r="G1610" s="79">
        <f t="shared" ref="G1610:L1610" si="793">G1783</f>
        <v>2</v>
      </c>
      <c r="H1610" s="79">
        <f t="shared" si="793"/>
        <v>0</v>
      </c>
      <c r="I1610" s="79">
        <f t="shared" si="793"/>
        <v>5.0000000000000002E-5</v>
      </c>
      <c r="J1610" s="79">
        <f t="shared" si="793"/>
        <v>5.0000000000000002E-5</v>
      </c>
      <c r="K1610" s="79">
        <f t="shared" si="793"/>
        <v>5.0000000000000002E-5</v>
      </c>
      <c r="L1610" s="79">
        <f t="shared" si="793"/>
        <v>5.0000000000000002E-5</v>
      </c>
      <c r="M1610" s="79">
        <f t="shared" si="772"/>
        <v>1.5000000000000001E-4</v>
      </c>
      <c r="N1610" s="79">
        <f>N1783</f>
        <v>5.0000000000000002E-5</v>
      </c>
      <c r="O1610" s="79">
        <f t="shared" si="773"/>
        <v>46.000250000000001</v>
      </c>
      <c r="P1610" s="79">
        <f>P1783</f>
        <v>5.0000000000000002E-5</v>
      </c>
      <c r="Q1610" s="79">
        <f>Q1783</f>
        <v>5.0000000000000002E-5</v>
      </c>
      <c r="R1610" s="79">
        <f t="shared" si="774"/>
        <v>1E-4</v>
      </c>
      <c r="S1610" s="79">
        <v>1E-4</v>
      </c>
      <c r="U1610" s="80">
        <f t="shared" si="775"/>
        <v>5.0000000001659828E-5</v>
      </c>
      <c r="W1610" s="81">
        <f t="shared" si="776"/>
        <v>0.99999780000000005</v>
      </c>
      <c r="X1610" s="81">
        <f t="shared" si="777"/>
        <v>0.99999669999999996</v>
      </c>
      <c r="Y1610" s="81">
        <f t="shared" si="778"/>
        <v>2.2000000000000001E-6</v>
      </c>
      <c r="Z1610" s="79"/>
      <c r="AF1610" s="79"/>
      <c r="AJ1610" s="66"/>
      <c r="AK1610" s="65"/>
    </row>
    <row r="1611" spans="1:37" hidden="1">
      <c r="A1611" s="65">
        <f t="shared" si="783"/>
        <v>14</v>
      </c>
      <c r="B1611" s="66" t="s">
        <v>630</v>
      </c>
      <c r="C1611" s="79">
        <f>C1779+C1780+C1781</f>
        <v>40</v>
      </c>
      <c r="D1611" s="79">
        <f>D1779+D1780+D1781</f>
        <v>39</v>
      </c>
      <c r="E1611" s="79">
        <f>E1779+E1780+E1781</f>
        <v>0</v>
      </c>
      <c r="F1611" s="79">
        <f t="shared" si="770"/>
        <v>39</v>
      </c>
      <c r="G1611" s="79">
        <f t="shared" ref="G1611:L1611" si="794">G1779+G1780+G1781</f>
        <v>1</v>
      </c>
      <c r="H1611" s="79">
        <f t="shared" si="794"/>
        <v>0</v>
      </c>
      <c r="I1611" s="79">
        <f t="shared" si="794"/>
        <v>0</v>
      </c>
      <c r="J1611" s="79">
        <f t="shared" si="794"/>
        <v>0</v>
      </c>
      <c r="K1611" s="79">
        <f t="shared" si="794"/>
        <v>0</v>
      </c>
      <c r="L1611" s="79">
        <f t="shared" si="794"/>
        <v>0</v>
      </c>
      <c r="M1611" s="79">
        <f t="shared" si="772"/>
        <v>0</v>
      </c>
      <c r="N1611" s="79">
        <f>N1779+N1780+N1781</f>
        <v>0</v>
      </c>
      <c r="O1611" s="79">
        <f t="shared" si="773"/>
        <v>40</v>
      </c>
      <c r="P1611" s="79">
        <f>P1779+P1780+P1781</f>
        <v>0</v>
      </c>
      <c r="Q1611" s="79">
        <f>Q1779+Q1780+Q1781</f>
        <v>0</v>
      </c>
      <c r="R1611" s="79">
        <f t="shared" si="774"/>
        <v>0</v>
      </c>
      <c r="S1611" s="79">
        <v>0</v>
      </c>
      <c r="U1611" s="80">
        <f t="shared" si="775"/>
        <v>0</v>
      </c>
      <c r="W1611" s="81">
        <f t="shared" si="776"/>
        <v>1</v>
      </c>
      <c r="X1611" s="81">
        <f t="shared" si="777"/>
        <v>1</v>
      </c>
      <c r="Y1611" s="81">
        <f t="shared" si="778"/>
        <v>0</v>
      </c>
      <c r="Z1611" s="79"/>
      <c r="AF1611" s="79"/>
      <c r="AJ1611" s="66"/>
      <c r="AK1611" s="65"/>
    </row>
    <row r="1612" spans="1:37" hidden="1">
      <c r="A1612" s="65">
        <f t="shared" si="783"/>
        <v>15</v>
      </c>
      <c r="B1612" s="66" t="s">
        <v>631</v>
      </c>
      <c r="C1612" s="79">
        <f t="shared" ref="C1612:I1612" si="795">C1610-C1611</f>
        <v>6.0004000000000062</v>
      </c>
      <c r="D1612" s="79">
        <f t="shared" si="795"/>
        <v>5</v>
      </c>
      <c r="E1612" s="79">
        <f>E1610-E1611</f>
        <v>0</v>
      </c>
      <c r="F1612" s="79">
        <f t="shared" si="770"/>
        <v>5</v>
      </c>
      <c r="G1612" s="79">
        <f t="shared" si="795"/>
        <v>1</v>
      </c>
      <c r="H1612" s="79">
        <f t="shared" si="795"/>
        <v>0</v>
      </c>
      <c r="I1612" s="79">
        <f t="shared" si="795"/>
        <v>5.0000000000000002E-5</v>
      </c>
      <c r="J1612" s="79">
        <f>J1610-J1611</f>
        <v>5.0000000000000002E-5</v>
      </c>
      <c r="K1612" s="79">
        <f>K1610-K1611</f>
        <v>5.0000000000000002E-5</v>
      </c>
      <c r="L1612" s="79">
        <f>L1610-L1611</f>
        <v>5.0000000000000002E-5</v>
      </c>
      <c r="M1612" s="79">
        <f t="shared" si="772"/>
        <v>1.5000000000000001E-4</v>
      </c>
      <c r="N1612" s="79">
        <f>N1610-N1611</f>
        <v>5.0000000000000002E-5</v>
      </c>
      <c r="O1612" s="79">
        <f t="shared" si="773"/>
        <v>6.0002500000000003</v>
      </c>
      <c r="P1612" s="79">
        <f>P1610-P1611</f>
        <v>5.0000000000000002E-5</v>
      </c>
      <c r="Q1612" s="79">
        <f>Q1610-Q1611</f>
        <v>5.0000000000000002E-5</v>
      </c>
      <c r="R1612" s="79">
        <f t="shared" si="774"/>
        <v>1E-4</v>
      </c>
      <c r="S1612" s="79">
        <f>S1610-S1611</f>
        <v>1E-4</v>
      </c>
      <c r="U1612" s="80">
        <f t="shared" si="775"/>
        <v>4.9999999993666222E-5</v>
      </c>
      <c r="W1612" s="81">
        <f t="shared" si="776"/>
        <v>0.99998330000000002</v>
      </c>
      <c r="X1612" s="81">
        <f t="shared" si="777"/>
        <v>0.99997499999999995</v>
      </c>
      <c r="Y1612" s="81">
        <f t="shared" si="778"/>
        <v>1.6699999999999999E-5</v>
      </c>
      <c r="Z1612" s="79"/>
      <c r="AF1612" s="79"/>
      <c r="AJ1612" s="66"/>
      <c r="AK1612" s="65"/>
    </row>
    <row r="1613" spans="1:37" hidden="1">
      <c r="A1613" s="65">
        <f t="shared" si="783"/>
        <v>16</v>
      </c>
      <c r="B1613" s="71" t="s">
        <v>637</v>
      </c>
      <c r="C1613" s="79">
        <f>C1773</f>
        <v>356.00039999999996</v>
      </c>
      <c r="D1613" s="79">
        <f>D1773</f>
        <v>334</v>
      </c>
      <c r="E1613" s="79">
        <f>E1773</f>
        <v>0</v>
      </c>
      <c r="F1613" s="79">
        <f>D1613+E1613</f>
        <v>334</v>
      </c>
      <c r="G1613" s="79">
        <f t="shared" ref="G1613:L1613" si="796">G1773</f>
        <v>11</v>
      </c>
      <c r="H1613" s="79">
        <f t="shared" si="796"/>
        <v>11</v>
      </c>
      <c r="I1613" s="79">
        <f t="shared" si="796"/>
        <v>5.0000000000000002E-5</v>
      </c>
      <c r="J1613" s="79">
        <f t="shared" si="796"/>
        <v>5.0000000000000002E-5</v>
      </c>
      <c r="K1613" s="79">
        <f t="shared" si="796"/>
        <v>5.0000000000000002E-5</v>
      </c>
      <c r="L1613" s="79">
        <f t="shared" si="796"/>
        <v>5.0000000000000002E-5</v>
      </c>
      <c r="M1613" s="79">
        <f>SUM(J1613:L1613)</f>
        <v>1.5000000000000001E-4</v>
      </c>
      <c r="N1613" s="79">
        <f>N1773</f>
        <v>5.0000000000000002E-5</v>
      </c>
      <c r="O1613" s="79">
        <f>SUM(F1613:I1613)+SUM(M1613:N1613)</f>
        <v>356.00024999999999</v>
      </c>
      <c r="P1613" s="79">
        <f>P1773</f>
        <v>5.0000000000000002E-5</v>
      </c>
      <c r="Q1613" s="79">
        <f>Q1773</f>
        <v>5.0000000000000002E-5</v>
      </c>
      <c r="R1613" s="79">
        <f>P1613+Q1613</f>
        <v>1E-4</v>
      </c>
      <c r="S1613" s="79">
        <v>1E-4</v>
      </c>
      <c r="U1613" s="80">
        <f>O1613+R1613+S1613-C1613</f>
        <v>4.9999999987448973E-5</v>
      </c>
      <c r="W1613" s="81">
        <f t="shared" si="776"/>
        <v>0.99999970000000005</v>
      </c>
      <c r="X1613" s="81">
        <f t="shared" si="777"/>
        <v>0.99999959999999999</v>
      </c>
      <c r="Y1613" s="81">
        <f t="shared" si="778"/>
        <v>2.9999999999999999E-7</v>
      </c>
      <c r="Z1613" s="79"/>
      <c r="AF1613" s="79"/>
      <c r="AJ1613" s="66"/>
      <c r="AK1613" s="65"/>
    </row>
    <row r="1614" spans="1:37" hidden="1">
      <c r="A1614" s="65">
        <f t="shared" si="783"/>
        <v>17</v>
      </c>
      <c r="B1614" s="66" t="s">
        <v>328</v>
      </c>
      <c r="C1614" s="79">
        <f>C1596+C1597+C1598+C1600+C1601+C1602+C1607+C1608+C1609+C1611+C1612+C1613+C1603</f>
        <v>44679.004599999986</v>
      </c>
      <c r="D1614" s="79">
        <f>D1596+D1597+D1598+D1600+D1601+D1602+D1607+D1608+D1609+D1611+D1612+D1613+D1603</f>
        <v>27889.985000000001</v>
      </c>
      <c r="E1614" s="79">
        <f>E1596+E1597+E1598+E1600+E1601+E1602+E1607+E1608+E1609+E1611+E1612+E1613+E1603</f>
        <v>674.00099999999998</v>
      </c>
      <c r="F1614" s="79">
        <f>D1614+E1614</f>
        <v>28563.986000000001</v>
      </c>
      <c r="G1614" s="79">
        <f t="shared" ref="G1614:L1614" si="797">G1596+G1597+G1598+G1600+G1601+G1602+G1607+G1608+G1609+G1611+G1612+G1613+G1603</f>
        <v>1962</v>
      </c>
      <c r="H1614" s="79">
        <f t="shared" si="797"/>
        <v>7777</v>
      </c>
      <c r="I1614" s="79">
        <f t="shared" si="797"/>
        <v>3732.0004500000005</v>
      </c>
      <c r="J1614" s="79">
        <f t="shared" si="797"/>
        <v>1376.0004500000005</v>
      </c>
      <c r="K1614" s="79">
        <f t="shared" si="797"/>
        <v>105.00045000000001</v>
      </c>
      <c r="L1614" s="79">
        <f t="shared" si="797"/>
        <v>79.000450000000015</v>
      </c>
      <c r="M1614" s="79">
        <f>SUM(J1614:L1614)</f>
        <v>1560.0013500000005</v>
      </c>
      <c r="N1614" s="79">
        <f>N1596+N1597+N1598+N1600+N1601+N1602+N1607+N1608+N1609+N1611+N1612+N1613+N1603</f>
        <v>1084.0004500000005</v>
      </c>
      <c r="O1614" s="79">
        <f>SUM(F1614:I1614)+SUM(M1614:N1614)</f>
        <v>44678.988250000002</v>
      </c>
      <c r="P1614" s="79">
        <f>P1596+P1597+P1598+P1600+P1601+P1602+P1607+P1608+P1609+P1611+P1612+P1613+P1603</f>
        <v>5.4499999999999982E-3</v>
      </c>
      <c r="Q1614" s="79">
        <f>Q1596+Q1597+Q1598+Q1600+Q1601+Q1602+Q1607+Q1608+Q1609+Q1611+Q1612+Q1613+Q1603</f>
        <v>5.4499999999999982E-3</v>
      </c>
      <c r="R1614" s="79">
        <f>P1614+Q1614</f>
        <v>1.0899999999999996E-2</v>
      </c>
      <c r="S1614" s="79">
        <f>S1596+S1597+S1598+S1600+S1601+S1602+S1607+S1608+S1609+S1611+S1612+S1613+S1603</f>
        <v>5.7000000000000011E-3</v>
      </c>
      <c r="U1614" s="80">
        <f>O1614+R1614+S1614-C1614</f>
        <v>2.5000001915032044E-4</v>
      </c>
      <c r="W1614" s="81">
        <f t="shared" si="776"/>
        <v>0.99999979999999999</v>
      </c>
      <c r="X1614" s="81">
        <f t="shared" si="777"/>
        <v>0.99999959999999999</v>
      </c>
      <c r="Y1614" s="81">
        <f t="shared" si="778"/>
        <v>9.9999999999999995E-8</v>
      </c>
      <c r="Z1614" s="79"/>
      <c r="AF1614" s="79"/>
      <c r="AJ1614" s="66"/>
      <c r="AK1614" s="65"/>
    </row>
    <row r="1615" spans="1:37" hidden="1">
      <c r="A1615" s="65">
        <f t="shared" si="783"/>
        <v>18</v>
      </c>
      <c r="B1615" s="66" t="s">
        <v>630</v>
      </c>
      <c r="C1615" s="79">
        <f>C1607+C1600+C1611+C1604</f>
        <v>1296</v>
      </c>
      <c r="D1615" s="79">
        <f>D1607+D1600+D1611+D1604</f>
        <v>1167.95</v>
      </c>
      <c r="E1615" s="79">
        <f>E1607+E1600+E1611+E1604</f>
        <v>5.0500000000000003E-2</v>
      </c>
      <c r="F1615" s="79">
        <f>D1615+E1615</f>
        <v>1168.0005000000001</v>
      </c>
      <c r="G1615" s="79">
        <f t="shared" ref="G1615:L1615" si="798">G1607+G1600+G1611+G1604</f>
        <v>116</v>
      </c>
      <c r="H1615" s="79">
        <f t="shared" si="798"/>
        <v>12</v>
      </c>
      <c r="I1615" s="79">
        <f t="shared" si="798"/>
        <v>0</v>
      </c>
      <c r="J1615" s="79">
        <f t="shared" si="798"/>
        <v>0</v>
      </c>
      <c r="K1615" s="79">
        <f t="shared" si="798"/>
        <v>0</v>
      </c>
      <c r="L1615" s="79">
        <f t="shared" si="798"/>
        <v>0</v>
      </c>
      <c r="M1615" s="79">
        <f>SUM(J1615:L1615)</f>
        <v>0</v>
      </c>
      <c r="N1615" s="79">
        <f>N1607+N1600+N1611+N1604</f>
        <v>0</v>
      </c>
      <c r="O1615" s="79">
        <f>SUM(F1615:I1615)+SUM(M1615:N1615)</f>
        <v>1296.0005000000001</v>
      </c>
      <c r="P1615" s="79">
        <f>P1607+P1600+P1611+P1604</f>
        <v>0</v>
      </c>
      <c r="Q1615" s="79">
        <f>Q1607+Q1600+Q1611+Q1604</f>
        <v>0</v>
      </c>
      <c r="R1615" s="79">
        <f>P1615+Q1615</f>
        <v>0</v>
      </c>
      <c r="S1615" s="79">
        <f>S1607+S1600+S1611+S1604</f>
        <v>0</v>
      </c>
      <c r="U1615" s="80">
        <f>O1615+R1615+S1615-C1615</f>
        <v>5.0000000010186341E-4</v>
      </c>
      <c r="W1615" s="81">
        <f t="shared" si="776"/>
        <v>1</v>
      </c>
      <c r="X1615" s="81">
        <f t="shared" si="777"/>
        <v>1.0000004</v>
      </c>
      <c r="Y1615" s="81">
        <f t="shared" si="778"/>
        <v>0</v>
      </c>
      <c r="Z1615" s="79"/>
      <c r="AF1615" s="79"/>
      <c r="AJ1615" s="66"/>
      <c r="AK1615" s="65"/>
    </row>
    <row r="1616" spans="1:37" hidden="1">
      <c r="A1616" s="65">
        <f t="shared" si="783"/>
        <v>19</v>
      </c>
      <c r="B1616" s="66" t="s">
        <v>631</v>
      </c>
      <c r="C1616" s="79">
        <f>C1596+C1597+C1598+C1601+C1608+C1609+C1612+C1613+C1605</f>
        <v>4145.0046000000002</v>
      </c>
      <c r="D1616" s="79">
        <f>D1596+D1597+D1598+D1601+D1608+D1609+D1612+D1613+D1605</f>
        <v>3891.05</v>
      </c>
      <c r="E1616" s="79">
        <f>E1596+E1597+E1598+E1601+E1608+E1609+E1612+E1613+E1605</f>
        <v>-4.9500000000000002E-2</v>
      </c>
      <c r="F1616" s="79">
        <f>D1616+E1616</f>
        <v>3891.0005000000001</v>
      </c>
      <c r="G1616" s="79">
        <f t="shared" ref="G1616:L1616" si="799">G1596+G1597+G1598+G1601+G1608+G1609+G1612+G1613+G1605</f>
        <v>176</v>
      </c>
      <c r="H1616" s="79">
        <f t="shared" si="799"/>
        <v>78</v>
      </c>
      <c r="I1616" s="79">
        <f t="shared" si="799"/>
        <v>4.500000000000001E-4</v>
      </c>
      <c r="J1616" s="79">
        <f t="shared" si="799"/>
        <v>4.500000000000001E-4</v>
      </c>
      <c r="K1616" s="79">
        <f t="shared" si="799"/>
        <v>4.500000000000001E-4</v>
      </c>
      <c r="L1616" s="79">
        <f t="shared" si="799"/>
        <v>4.500000000000001E-4</v>
      </c>
      <c r="M1616" s="79">
        <f>SUM(J1616:L1616)</f>
        <v>1.3500000000000003E-3</v>
      </c>
      <c r="N1616" s="79">
        <f>N1596+N1597+N1598+N1601+N1608+N1609+N1612+N1613+N1605</f>
        <v>4.500000000000001E-4</v>
      </c>
      <c r="O1616" s="79">
        <f>SUM(F1616:I1616)+SUM(M1616:N1616)</f>
        <v>4145.0027499999997</v>
      </c>
      <c r="P1616" s="79">
        <f>P1596+P1597+P1598+P1601+P1608+P1609+P1612+P1613+P1605</f>
        <v>4.500000000000001E-4</v>
      </c>
      <c r="Q1616" s="79">
        <f>Q1596+Q1597+Q1598+Q1601+Q1608+Q1609+Q1612+Q1613+Q1605</f>
        <v>4.500000000000001E-4</v>
      </c>
      <c r="R1616" s="79">
        <f>P1616+Q1616</f>
        <v>9.0000000000000019E-4</v>
      </c>
      <c r="S1616" s="79">
        <f>S1596+S1597+S1598+S1601+S1608+S1609+S1612+S1613+S1605</f>
        <v>7.000000000000001E-4</v>
      </c>
      <c r="U1616" s="80">
        <f>O1616+R1616+S1616-C1616</f>
        <v>-2.5000000096042641E-4</v>
      </c>
      <c r="W1616" s="81">
        <f t="shared" si="776"/>
        <v>0.99999979999999999</v>
      </c>
      <c r="X1616" s="81">
        <f t="shared" si="777"/>
        <v>0.99999959999999999</v>
      </c>
      <c r="Y1616" s="81">
        <f t="shared" si="778"/>
        <v>1.9999999999999999E-7</v>
      </c>
      <c r="Z1616" s="79"/>
      <c r="AF1616" s="79"/>
      <c r="AJ1616" s="66"/>
      <c r="AK1616" s="65"/>
    </row>
    <row r="1617" spans="1:37" hidden="1">
      <c r="A1617" s="65">
        <f t="shared" si="783"/>
        <v>20</v>
      </c>
      <c r="B1617" s="66" t="s">
        <v>638</v>
      </c>
      <c r="C1617" s="79">
        <f>C1602</f>
        <v>39238</v>
      </c>
      <c r="D1617" s="79">
        <f>D1602</f>
        <v>22830.985000000001</v>
      </c>
      <c r="E1617" s="79">
        <f>E1602</f>
        <v>674</v>
      </c>
      <c r="F1617" s="79">
        <f>D1617+E1617</f>
        <v>23504.985000000001</v>
      </c>
      <c r="G1617" s="79">
        <f t="shared" ref="G1617:L1617" si="800">G1602</f>
        <v>1670</v>
      </c>
      <c r="H1617" s="79">
        <f t="shared" si="800"/>
        <v>7687</v>
      </c>
      <c r="I1617" s="79">
        <f t="shared" si="800"/>
        <v>3732</v>
      </c>
      <c r="J1617" s="79">
        <f t="shared" si="800"/>
        <v>1376</v>
      </c>
      <c r="K1617" s="79">
        <f t="shared" si="800"/>
        <v>105</v>
      </c>
      <c r="L1617" s="79">
        <f t="shared" si="800"/>
        <v>79</v>
      </c>
      <c r="M1617" s="79">
        <f>SUM(J1617:L1617)</f>
        <v>1560</v>
      </c>
      <c r="N1617" s="79">
        <f>N1602</f>
        <v>1084</v>
      </c>
      <c r="O1617" s="79">
        <f>SUM(F1617:I1617)+SUM(M1617:N1617)</f>
        <v>39237.985000000001</v>
      </c>
      <c r="P1617" s="79">
        <f>P1602</f>
        <v>5.0000000000000001E-3</v>
      </c>
      <c r="Q1617" s="79">
        <f>Q1602</f>
        <v>5.0000000000000001E-3</v>
      </c>
      <c r="R1617" s="79">
        <f>P1617+Q1617</f>
        <v>0.01</v>
      </c>
      <c r="S1617" s="79">
        <f>S1602</f>
        <v>5.0000000000000001E-3</v>
      </c>
      <c r="U1617" s="80">
        <f>O1617+R1617+S1617-C1617</f>
        <v>0</v>
      </c>
      <c r="W1617" s="81">
        <f t="shared" si="776"/>
        <v>0.99999970000000005</v>
      </c>
      <c r="X1617" s="81">
        <f t="shared" si="777"/>
        <v>0.99999959999999999</v>
      </c>
      <c r="Y1617" s="81">
        <f t="shared" si="778"/>
        <v>9.9999999999999995E-8</v>
      </c>
      <c r="Z1617" s="79"/>
      <c r="AF1617" s="79"/>
      <c r="AJ1617" s="66"/>
      <c r="AK1617" s="65"/>
    </row>
    <row r="1618" spans="1:37" hidden="1">
      <c r="A1618" s="65">
        <f t="shared" si="783"/>
        <v>21</v>
      </c>
      <c r="C1618" s="79"/>
      <c r="D1618" s="79"/>
      <c r="E1618" s="79"/>
      <c r="F1618" s="79"/>
      <c r="G1618" s="79"/>
      <c r="H1618" s="79"/>
      <c r="I1618" s="79"/>
      <c r="J1618" s="79"/>
      <c r="K1618" s="79"/>
      <c r="L1618" s="79"/>
      <c r="M1618" s="79"/>
      <c r="N1618" s="79"/>
      <c r="O1618" s="79"/>
      <c r="P1618" s="79"/>
      <c r="Q1618" s="79"/>
      <c r="R1618" s="79"/>
      <c r="S1618" s="79"/>
      <c r="U1618" s="80"/>
      <c r="W1618" s="81" t="str">
        <f t="shared" si="776"/>
        <v xml:space="preserve"> </v>
      </c>
      <c r="X1618" s="81" t="str">
        <f t="shared" si="777"/>
        <v xml:space="preserve"> </v>
      </c>
      <c r="Y1618" s="81" t="str">
        <f t="shared" si="778"/>
        <v xml:space="preserve"> </v>
      </c>
      <c r="Z1618" s="79"/>
      <c r="AF1618" s="79"/>
      <c r="AJ1618" s="66"/>
      <c r="AK1618" s="65"/>
    </row>
    <row r="1619" spans="1:37" hidden="1">
      <c r="A1619" s="65">
        <f t="shared" si="783"/>
        <v>22</v>
      </c>
      <c r="B1619" s="66" t="s">
        <v>329</v>
      </c>
      <c r="C1619" s="79"/>
      <c r="D1619" s="79"/>
      <c r="E1619" s="79"/>
      <c r="F1619" s="79"/>
      <c r="G1619" s="79"/>
      <c r="H1619" s="79"/>
      <c r="I1619" s="79"/>
      <c r="J1619" s="79"/>
      <c r="K1619" s="79"/>
      <c r="L1619" s="79"/>
      <c r="M1619" s="79"/>
      <c r="N1619" s="79"/>
      <c r="O1619" s="79"/>
      <c r="P1619" s="79"/>
      <c r="Q1619" s="79"/>
      <c r="R1619" s="79"/>
      <c r="S1619" s="79"/>
      <c r="U1619" s="80"/>
      <c r="W1619" s="81" t="str">
        <f t="shared" si="776"/>
        <v xml:space="preserve"> </v>
      </c>
      <c r="X1619" s="81" t="str">
        <f t="shared" si="777"/>
        <v xml:space="preserve"> </v>
      </c>
      <c r="Y1619" s="81" t="str">
        <f t="shared" si="778"/>
        <v xml:space="preserve"> </v>
      </c>
      <c r="Z1619" s="79"/>
      <c r="AF1619" s="79"/>
      <c r="AJ1619" s="66"/>
      <c r="AK1619" s="65"/>
    </row>
    <row r="1620" spans="1:37" hidden="1">
      <c r="B1620" s="66" t="s">
        <v>639</v>
      </c>
      <c r="C1620" s="79"/>
      <c r="D1620" s="79"/>
      <c r="E1620" s="79"/>
      <c r="F1620" s="79"/>
      <c r="G1620" s="79"/>
      <c r="H1620" s="79"/>
      <c r="I1620" s="79"/>
      <c r="J1620" s="79"/>
      <c r="K1620" s="79"/>
      <c r="L1620" s="79"/>
      <c r="M1620" s="79"/>
      <c r="N1620" s="79"/>
      <c r="O1620" s="79"/>
      <c r="P1620" s="79"/>
      <c r="Q1620" s="79"/>
      <c r="R1620" s="79"/>
      <c r="S1620" s="79"/>
      <c r="U1620" s="80"/>
      <c r="W1620" s="81" t="str">
        <f t="shared" si="776"/>
        <v xml:space="preserve"> </v>
      </c>
      <c r="X1620" s="81" t="str">
        <f t="shared" si="777"/>
        <v xml:space="preserve"> </v>
      </c>
      <c r="Y1620" s="81" t="str">
        <f t="shared" si="778"/>
        <v xml:space="preserve"> </v>
      </c>
      <c r="Z1620" s="79"/>
      <c r="AF1620" s="79"/>
      <c r="AJ1620" s="66"/>
      <c r="AK1620" s="65"/>
    </row>
    <row r="1621" spans="1:37" hidden="1">
      <c r="B1621" s="66" t="s">
        <v>640</v>
      </c>
      <c r="C1621" s="79"/>
      <c r="D1621" s="79"/>
      <c r="E1621" s="79"/>
      <c r="F1621" s="79"/>
      <c r="G1621" s="79"/>
      <c r="H1621" s="79"/>
      <c r="I1621" s="79"/>
      <c r="J1621" s="79"/>
      <c r="K1621" s="79"/>
      <c r="L1621" s="79"/>
      <c r="M1621" s="79"/>
      <c r="N1621" s="79"/>
      <c r="O1621" s="79"/>
      <c r="P1621" s="79"/>
      <c r="Q1621" s="79"/>
      <c r="R1621" s="79"/>
      <c r="S1621" s="79"/>
      <c r="U1621" s="80"/>
      <c r="W1621" s="81" t="str">
        <f t="shared" si="776"/>
        <v xml:space="preserve"> </v>
      </c>
      <c r="X1621" s="81" t="str">
        <f t="shared" si="777"/>
        <v xml:space="preserve"> </v>
      </c>
      <c r="Y1621" s="81" t="str">
        <f t="shared" si="778"/>
        <v xml:space="preserve"> </v>
      </c>
      <c r="Z1621" s="79"/>
      <c r="AF1621" s="79"/>
      <c r="AJ1621" s="66"/>
      <c r="AK1621" s="65"/>
    </row>
    <row r="1622" spans="1:37" hidden="1">
      <c r="B1622" s="66" t="s">
        <v>641</v>
      </c>
      <c r="C1622" s="79">
        <f>O1622+R1622+S1622</f>
        <v>1831</v>
      </c>
      <c r="D1622" s="79">
        <f>D644</f>
        <v>1115.99999</v>
      </c>
      <c r="E1622" s="79">
        <f>E644</f>
        <v>37</v>
      </c>
      <c r="F1622" s="79">
        <f t="shared" ref="F1622" si="801">D1622+E1622</f>
        <v>1152.99999</v>
      </c>
      <c r="G1622" s="79">
        <f t="shared" ref="G1622:L1622" si="802">G644</f>
        <v>60</v>
      </c>
      <c r="H1622" s="79">
        <f t="shared" si="802"/>
        <v>447</v>
      </c>
      <c r="I1622" s="79">
        <f t="shared" si="802"/>
        <v>138</v>
      </c>
      <c r="J1622" s="79">
        <f t="shared" si="802"/>
        <v>4</v>
      </c>
      <c r="K1622" s="79">
        <f t="shared" si="802"/>
        <v>0</v>
      </c>
      <c r="L1622" s="79">
        <f t="shared" si="802"/>
        <v>0</v>
      </c>
      <c r="M1622" s="79">
        <f t="shared" ref="M1622" si="803">SUM(J1622:L1622)</f>
        <v>4</v>
      </c>
      <c r="N1622" s="79">
        <f>N644</f>
        <v>29.00001</v>
      </c>
      <c r="O1622" s="79">
        <f t="shared" ref="O1622" si="804">SUM(F1622:I1622)+SUM(M1622:N1622)</f>
        <v>1831</v>
      </c>
      <c r="P1622" s="79">
        <f>P644</f>
        <v>0</v>
      </c>
      <c r="Q1622" s="79">
        <f>Q644</f>
        <v>0</v>
      </c>
      <c r="R1622" s="79">
        <f>P1622+Q1622</f>
        <v>0</v>
      </c>
      <c r="S1622" s="79">
        <f>S644</f>
        <v>0</v>
      </c>
      <c r="U1622" s="80">
        <f t="shared" ref="U1622" si="805">O1622+R1622+S1622-C1622</f>
        <v>0</v>
      </c>
      <c r="W1622" s="81">
        <f t="shared" si="776"/>
        <v>1</v>
      </c>
      <c r="X1622" s="81">
        <f t="shared" si="777"/>
        <v>1</v>
      </c>
      <c r="Y1622" s="81">
        <f t="shared" si="778"/>
        <v>0</v>
      </c>
      <c r="Z1622" s="79"/>
      <c r="AF1622" s="79"/>
      <c r="AJ1622" s="66"/>
      <c r="AK1622" s="65"/>
    </row>
    <row r="1623" spans="1:37" hidden="1">
      <c r="C1623" s="79"/>
      <c r="D1623" s="79"/>
      <c r="E1623" s="79"/>
      <c r="F1623" s="79"/>
      <c r="G1623" s="79"/>
      <c r="H1623" s="79"/>
      <c r="I1623" s="79"/>
      <c r="J1623" s="79"/>
      <c r="K1623" s="79"/>
      <c r="L1623" s="79"/>
      <c r="M1623" s="79"/>
      <c r="N1623" s="79"/>
      <c r="O1623" s="79"/>
      <c r="P1623" s="79"/>
      <c r="Q1623" s="79"/>
      <c r="R1623" s="79"/>
      <c r="S1623" s="79"/>
      <c r="U1623" s="80"/>
      <c r="W1623" s="81" t="str">
        <f t="shared" si="776"/>
        <v xml:space="preserve"> </v>
      </c>
      <c r="X1623" s="81" t="str">
        <f t="shared" si="777"/>
        <v xml:space="preserve"> </v>
      </c>
      <c r="Y1623" s="81" t="str">
        <f t="shared" si="778"/>
        <v xml:space="preserve"> </v>
      </c>
      <c r="Z1623" s="79"/>
      <c r="AF1623" s="79"/>
      <c r="AJ1623" s="66"/>
      <c r="AK1623" s="65"/>
    </row>
    <row r="1624" spans="1:37" hidden="1">
      <c r="A1624" s="65">
        <f>A1619+1</f>
        <v>23</v>
      </c>
      <c r="B1624" s="66" t="s">
        <v>642</v>
      </c>
      <c r="C1624" s="79">
        <f>C646</f>
        <v>2523</v>
      </c>
      <c r="D1624" s="79">
        <f>D646</f>
        <v>1894</v>
      </c>
      <c r="E1624" s="79">
        <f>E646</f>
        <v>55</v>
      </c>
      <c r="F1624" s="79">
        <f>D1624+E1624</f>
        <v>1949</v>
      </c>
      <c r="G1624" s="79">
        <f t="shared" ref="G1624:L1624" si="806">G646</f>
        <v>137</v>
      </c>
      <c r="H1624" s="79">
        <f t="shared" si="806"/>
        <v>268</v>
      </c>
      <c r="I1624" s="79">
        <f t="shared" si="806"/>
        <v>79</v>
      </c>
      <c r="J1624" s="79">
        <f t="shared" si="806"/>
        <v>29</v>
      </c>
      <c r="K1624" s="79">
        <f t="shared" si="806"/>
        <v>8</v>
      </c>
      <c r="L1624" s="79">
        <f t="shared" si="806"/>
        <v>1</v>
      </c>
      <c r="M1624" s="79">
        <f>SUM(J1624:L1624)</f>
        <v>38</v>
      </c>
      <c r="N1624" s="79">
        <f>N646</f>
        <v>52</v>
      </c>
      <c r="O1624" s="79">
        <f>O646</f>
        <v>2523</v>
      </c>
      <c r="P1624" s="79">
        <f>P646</f>
        <v>0</v>
      </c>
      <c r="Q1624" s="79">
        <f>Q646</f>
        <v>0</v>
      </c>
      <c r="R1624" s="79">
        <f>P1624+Q1624</f>
        <v>0</v>
      </c>
      <c r="S1624" s="79">
        <f>S646</f>
        <v>0</v>
      </c>
      <c r="U1624" s="80">
        <f>O1624+R1624+S1624-C1624</f>
        <v>0</v>
      </c>
      <c r="W1624" s="81">
        <f>IF((O1624+R1624)=0," ",ROUND((O1624/(O1624+R1624)),7))</f>
        <v>1</v>
      </c>
      <c r="X1624" s="81">
        <f>IF((C1624)=0," ",ROUND((O1624/(C1624)),7))</f>
        <v>1</v>
      </c>
      <c r="Y1624" s="81">
        <f>IF((C1624)=0," ",ROUND((S1624/(C1624)),7))</f>
        <v>0</v>
      </c>
      <c r="Z1624" s="79"/>
      <c r="AF1624" s="79"/>
      <c r="AJ1624" s="66"/>
      <c r="AK1624" s="65"/>
    </row>
    <row r="1625" spans="1:37" hidden="1">
      <c r="B1625" s="66" t="s">
        <v>643</v>
      </c>
      <c r="C1625" s="79">
        <f>ROUND(((C111/C$115)*C1624),0)</f>
        <v>686</v>
      </c>
      <c r="D1625" s="79">
        <f>ROUND(((D111/D$115)*D1624),0)</f>
        <v>386</v>
      </c>
      <c r="E1625" s="79">
        <f>ROUND(((E111/E$115)*E1624),0)</f>
        <v>13</v>
      </c>
      <c r="F1625" s="79">
        <f>D1625+E1625</f>
        <v>399</v>
      </c>
      <c r="G1625" s="79">
        <f t="shared" ref="G1625:L1625" si="807">ROUND(((G111/G$115)*G1624),0)</f>
        <v>21</v>
      </c>
      <c r="H1625" s="79">
        <f t="shared" si="807"/>
        <v>156</v>
      </c>
      <c r="I1625" s="79">
        <f t="shared" si="807"/>
        <v>63</v>
      </c>
      <c r="J1625" s="79">
        <f t="shared" si="807"/>
        <v>29</v>
      </c>
      <c r="K1625" s="79">
        <f t="shared" si="807"/>
        <v>8</v>
      </c>
      <c r="L1625" s="79">
        <f t="shared" si="807"/>
        <v>1</v>
      </c>
      <c r="M1625" s="79">
        <f>SUM(J1625:L1625)</f>
        <v>38</v>
      </c>
      <c r="N1625" s="79">
        <f>ROUND(((N111/N$115)*N1624),0)</f>
        <v>10</v>
      </c>
      <c r="O1625" s="79">
        <f>SUM(F1625:I1625)+SUM(M1625:N1625)</f>
        <v>687</v>
      </c>
      <c r="P1625" s="79">
        <v>0</v>
      </c>
      <c r="Q1625" s="79">
        <v>0</v>
      </c>
      <c r="R1625" s="79">
        <f>P1625+Q1625</f>
        <v>0</v>
      </c>
      <c r="S1625" s="79">
        <v>0</v>
      </c>
      <c r="U1625" s="80">
        <f>O1625+R1625+S1625-C1625</f>
        <v>1</v>
      </c>
      <c r="W1625" s="81">
        <f>IF((O1625+R1625)=0," ",ROUND((O1625/(O1625+R1625)),7))</f>
        <v>1</v>
      </c>
      <c r="X1625" s="81">
        <f>IF((C1625)=0," ",ROUND((O1625/(C1625)),7))</f>
        <v>1.0014577</v>
      </c>
      <c r="Y1625" s="81">
        <f>IF((C1625)=0," ",ROUND((S1625/(C1625)),7))</f>
        <v>0</v>
      </c>
      <c r="Z1625" s="79"/>
      <c r="AF1625" s="79"/>
      <c r="AJ1625" s="66"/>
      <c r="AK1625" s="65"/>
    </row>
    <row r="1626" spans="1:37" hidden="1">
      <c r="A1626" s="65">
        <f>A1624+1</f>
        <v>24</v>
      </c>
      <c r="B1626" s="66" t="s">
        <v>644</v>
      </c>
      <c r="C1626" s="79">
        <f t="shared" ref="C1626:I1626" si="808">C1624-C1625</f>
        <v>1837</v>
      </c>
      <c r="D1626" s="79">
        <f t="shared" si="808"/>
        <v>1508</v>
      </c>
      <c r="E1626" s="79">
        <f>E1624-E1625</f>
        <v>42</v>
      </c>
      <c r="F1626" s="79">
        <f>D1626+E1626</f>
        <v>1550</v>
      </c>
      <c r="G1626" s="79">
        <f t="shared" si="808"/>
        <v>116</v>
      </c>
      <c r="H1626" s="79">
        <f t="shared" si="808"/>
        <v>112</v>
      </c>
      <c r="I1626" s="79">
        <f t="shared" si="808"/>
        <v>16</v>
      </c>
      <c r="J1626" s="79">
        <f>J1624-J1625</f>
        <v>0</v>
      </c>
      <c r="K1626" s="79">
        <f>K1624-K1625</f>
        <v>0</v>
      </c>
      <c r="L1626" s="79">
        <f>L1624-L1625</f>
        <v>0</v>
      </c>
      <c r="M1626" s="79">
        <f>SUM(J1626:L1626)</f>
        <v>0</v>
      </c>
      <c r="N1626" s="79">
        <f>N1624-N1625</f>
        <v>42</v>
      </c>
      <c r="O1626" s="79">
        <f>SUM(F1626:I1626)+SUM(M1626:N1626)</f>
        <v>1836</v>
      </c>
      <c r="P1626" s="79">
        <v>0</v>
      </c>
      <c r="Q1626" s="79">
        <v>0</v>
      </c>
      <c r="R1626" s="79">
        <f>P1626+Q1626</f>
        <v>0</v>
      </c>
      <c r="S1626" s="79">
        <v>0</v>
      </c>
      <c r="U1626" s="80">
        <f>O1626+R1626+S1626-C1626</f>
        <v>-1</v>
      </c>
      <c r="W1626" s="81">
        <f>IF((O1626+R1626)=0," ",ROUND((O1626/(O1626+R1626)),7))</f>
        <v>1</v>
      </c>
      <c r="X1626" s="81">
        <f>IF((C1626)=0," ",ROUND((O1626/(C1626)),7))</f>
        <v>0.9994556</v>
      </c>
      <c r="Y1626" s="81">
        <f>IF((C1626)=0," ",ROUND((S1626/(C1626)),7))</f>
        <v>0</v>
      </c>
      <c r="Z1626" s="79"/>
      <c r="AF1626" s="79"/>
      <c r="AJ1626" s="66"/>
      <c r="AK1626" s="65"/>
    </row>
    <row r="1627" spans="1:37" hidden="1">
      <c r="A1627" s="65">
        <f>A1626+1</f>
        <v>25</v>
      </c>
      <c r="C1627" s="79"/>
      <c r="D1627" s="79"/>
      <c r="E1627" s="79"/>
      <c r="F1627" s="79"/>
      <c r="G1627" s="79"/>
      <c r="H1627" s="79"/>
      <c r="I1627" s="79"/>
      <c r="J1627" s="79"/>
      <c r="K1627" s="79"/>
      <c r="L1627" s="79"/>
      <c r="M1627" s="79"/>
      <c r="N1627" s="79"/>
      <c r="O1627" s="79"/>
      <c r="P1627" s="79"/>
      <c r="Q1627" s="79"/>
      <c r="R1627" s="79"/>
      <c r="S1627" s="79"/>
      <c r="U1627" s="80"/>
      <c r="W1627" s="81"/>
      <c r="X1627" s="81"/>
      <c r="Y1627" s="81"/>
      <c r="Z1627" s="79"/>
      <c r="AF1627" s="79"/>
      <c r="AJ1627" s="66"/>
      <c r="AK1627" s="65"/>
    </row>
    <row r="1628" spans="1:37" hidden="1">
      <c r="A1628" s="65">
        <f>A1627+1</f>
        <v>26</v>
      </c>
      <c r="B1628" s="71" t="s">
        <v>645</v>
      </c>
      <c r="C1628" s="79">
        <f>C645</f>
        <v>286</v>
      </c>
      <c r="D1628" s="79">
        <f>D645</f>
        <v>276</v>
      </c>
      <c r="E1628" s="79">
        <f>E645</f>
        <v>0</v>
      </c>
      <c r="F1628" s="79">
        <f>D1628+E1628</f>
        <v>276</v>
      </c>
      <c r="G1628" s="79">
        <f t="shared" ref="G1628:L1628" si="809">G645</f>
        <v>8</v>
      </c>
      <c r="H1628" s="79">
        <f t="shared" si="809"/>
        <v>2</v>
      </c>
      <c r="I1628" s="79">
        <f t="shared" si="809"/>
        <v>0</v>
      </c>
      <c r="J1628" s="79">
        <f t="shared" si="809"/>
        <v>0</v>
      </c>
      <c r="K1628" s="79">
        <f t="shared" si="809"/>
        <v>0</v>
      </c>
      <c r="L1628" s="79">
        <f t="shared" si="809"/>
        <v>0</v>
      </c>
      <c r="M1628" s="79">
        <f>SUM(J1628:L1628)</f>
        <v>0</v>
      </c>
      <c r="N1628" s="79">
        <f>N645</f>
        <v>0</v>
      </c>
      <c r="O1628" s="79">
        <f>O645</f>
        <v>286</v>
      </c>
      <c r="P1628" s="79">
        <f>P645</f>
        <v>0</v>
      </c>
      <c r="Q1628" s="79">
        <f>Q645</f>
        <v>0</v>
      </c>
      <c r="R1628" s="79">
        <f>P1628+Q1628</f>
        <v>0</v>
      </c>
      <c r="S1628" s="79">
        <f>S645</f>
        <v>0</v>
      </c>
      <c r="U1628" s="80"/>
      <c r="W1628" s="81"/>
      <c r="X1628" s="81"/>
      <c r="Y1628" s="81"/>
      <c r="Z1628" s="79"/>
      <c r="AF1628" s="79"/>
      <c r="AJ1628" s="66"/>
      <c r="AK1628" s="65"/>
    </row>
    <row r="1629" spans="1:37" hidden="1">
      <c r="C1629" s="79"/>
      <c r="D1629" s="79"/>
      <c r="E1629" s="79"/>
      <c r="F1629" s="79"/>
      <c r="G1629" s="79"/>
      <c r="H1629" s="79"/>
      <c r="I1629" s="79"/>
      <c r="J1629" s="79"/>
      <c r="K1629" s="79"/>
      <c r="L1629" s="79"/>
      <c r="M1629" s="79"/>
      <c r="N1629" s="79"/>
      <c r="O1629" s="79"/>
      <c r="P1629" s="79"/>
      <c r="Q1629" s="79"/>
      <c r="R1629" s="79"/>
      <c r="S1629" s="79"/>
      <c r="U1629" s="80"/>
      <c r="W1629" s="81"/>
      <c r="X1629" s="81"/>
      <c r="Y1629" s="81"/>
      <c r="Z1629" s="79"/>
      <c r="AF1629" s="79"/>
      <c r="AJ1629" s="66"/>
      <c r="AK1629" s="65"/>
    </row>
    <row r="1630" spans="1:37" hidden="1">
      <c r="A1630" s="65">
        <f>A1628+1</f>
        <v>27</v>
      </c>
      <c r="B1630" s="71" t="s">
        <v>646</v>
      </c>
      <c r="C1630" s="79">
        <f>C648</f>
        <v>20</v>
      </c>
      <c r="D1630" s="79">
        <f t="shared" ref="D1630:S1630" si="810">D648</f>
        <v>11</v>
      </c>
      <c r="E1630" s="79">
        <f t="shared" si="810"/>
        <v>0</v>
      </c>
      <c r="F1630" s="79">
        <f>D1630+E1630</f>
        <v>11</v>
      </c>
      <c r="G1630" s="79">
        <f t="shared" si="810"/>
        <v>1</v>
      </c>
      <c r="H1630" s="79">
        <f t="shared" si="810"/>
        <v>4</v>
      </c>
      <c r="I1630" s="79">
        <f t="shared" si="810"/>
        <v>2</v>
      </c>
      <c r="J1630" s="79">
        <f t="shared" si="810"/>
        <v>1</v>
      </c>
      <c r="K1630" s="79">
        <f t="shared" si="810"/>
        <v>0</v>
      </c>
      <c r="L1630" s="79">
        <f t="shared" si="810"/>
        <v>0</v>
      </c>
      <c r="M1630" s="79">
        <f>SUM(J1630:L1630)</f>
        <v>1</v>
      </c>
      <c r="N1630" s="79">
        <f t="shared" si="810"/>
        <v>0</v>
      </c>
      <c r="O1630" s="79">
        <f t="shared" si="810"/>
        <v>19</v>
      </c>
      <c r="P1630" s="79">
        <f t="shared" si="810"/>
        <v>1</v>
      </c>
      <c r="Q1630" s="79">
        <f t="shared" si="810"/>
        <v>0</v>
      </c>
      <c r="R1630" s="79">
        <f>P1630+Q1630</f>
        <v>1</v>
      </c>
      <c r="S1630" s="79">
        <f t="shared" si="810"/>
        <v>0</v>
      </c>
      <c r="U1630" s="80"/>
      <c r="W1630" s="81"/>
      <c r="X1630" s="81"/>
      <c r="Y1630" s="81"/>
      <c r="Z1630" s="79"/>
      <c r="AF1630" s="79"/>
      <c r="AJ1630" s="66"/>
      <c r="AK1630" s="65"/>
    </row>
    <row r="1631" spans="1:37" hidden="1">
      <c r="B1631" s="66" t="s">
        <v>647</v>
      </c>
      <c r="C1631" s="79"/>
      <c r="D1631" s="79"/>
      <c r="E1631" s="79"/>
      <c r="F1631" s="79"/>
      <c r="G1631" s="79"/>
      <c r="H1631" s="79"/>
      <c r="I1631" s="79"/>
      <c r="J1631" s="79"/>
      <c r="K1631" s="79"/>
      <c r="L1631" s="79"/>
      <c r="M1631" s="79"/>
      <c r="N1631" s="79"/>
      <c r="O1631" s="79"/>
      <c r="P1631" s="79"/>
      <c r="Q1631" s="79"/>
      <c r="R1631" s="79"/>
      <c r="S1631" s="79"/>
      <c r="U1631" s="80"/>
      <c r="W1631" s="81"/>
      <c r="X1631" s="81"/>
      <c r="Y1631" s="81"/>
      <c r="Z1631" s="79"/>
      <c r="AF1631" s="79"/>
      <c r="AJ1631" s="66"/>
      <c r="AK1631" s="65"/>
    </row>
    <row r="1632" spans="1:37" hidden="1">
      <c r="A1632" s="65">
        <f>A1630+1</f>
        <v>28</v>
      </c>
      <c r="B1632" s="66" t="s">
        <v>407</v>
      </c>
      <c r="C1632" s="79"/>
      <c r="D1632" s="79">
        <f>ROUND(((D37/D$34)*D$1630),0)</f>
        <v>10</v>
      </c>
      <c r="E1632" s="79">
        <f>ROUND(((E37/E$34)*E$1630),0)</f>
        <v>0</v>
      </c>
      <c r="F1632" s="79">
        <f t="shared" ref="F1632:F1633" si="811">D1632+E1632</f>
        <v>10</v>
      </c>
      <c r="G1632" s="79">
        <f t="shared" ref="G1632:L1633" si="812">ROUND(((G37/G$34)*G$1630),0)</f>
        <v>1</v>
      </c>
      <c r="H1632" s="79">
        <f t="shared" si="812"/>
        <v>4</v>
      </c>
      <c r="I1632" s="79">
        <f t="shared" si="812"/>
        <v>2</v>
      </c>
      <c r="J1632" s="79">
        <f t="shared" si="812"/>
        <v>1</v>
      </c>
      <c r="K1632" s="79">
        <f t="shared" si="812"/>
        <v>0</v>
      </c>
      <c r="L1632" s="79">
        <f t="shared" si="812"/>
        <v>0</v>
      </c>
      <c r="M1632" s="79">
        <f t="shared" ref="M1632:M1633" si="813">SUM(J1632:L1632)</f>
        <v>1</v>
      </c>
      <c r="N1632" s="79">
        <f>ROUND(((N37/N$34)*N$1630),0)</f>
        <v>0</v>
      </c>
      <c r="O1632" s="79">
        <f t="shared" ref="O1632:O1633" si="814">SUM(F1632:L1632)+N1632</f>
        <v>18</v>
      </c>
      <c r="P1632" s="79"/>
      <c r="Q1632" s="79"/>
      <c r="R1632" s="79"/>
      <c r="S1632" s="79"/>
      <c r="U1632" s="80"/>
      <c r="W1632" s="81"/>
      <c r="X1632" s="81"/>
      <c r="Y1632" s="81"/>
      <c r="Z1632" s="79"/>
      <c r="AF1632" s="79"/>
      <c r="AJ1632" s="66"/>
      <c r="AK1632" s="65"/>
    </row>
    <row r="1633" spans="1:37" hidden="1">
      <c r="B1633" s="66" t="s">
        <v>408</v>
      </c>
      <c r="C1633" s="79"/>
      <c r="D1633" s="79">
        <f>ROUND(((D38/D$34)*D$1630),0)</f>
        <v>1</v>
      </c>
      <c r="E1633" s="79">
        <f>ROUND(((E38/E$34)*E$1630),0)</f>
        <v>0</v>
      </c>
      <c r="F1633" s="79">
        <f t="shared" si="811"/>
        <v>1</v>
      </c>
      <c r="G1633" s="79">
        <f t="shared" si="812"/>
        <v>0</v>
      </c>
      <c r="H1633" s="79">
        <f t="shared" si="812"/>
        <v>0</v>
      </c>
      <c r="I1633" s="79">
        <f t="shared" si="812"/>
        <v>0</v>
      </c>
      <c r="J1633" s="79">
        <f t="shared" si="812"/>
        <v>0</v>
      </c>
      <c r="K1633" s="79">
        <f t="shared" si="812"/>
        <v>0</v>
      </c>
      <c r="L1633" s="79">
        <f t="shared" si="812"/>
        <v>0</v>
      </c>
      <c r="M1633" s="79">
        <f t="shared" si="813"/>
        <v>0</v>
      </c>
      <c r="N1633" s="79">
        <f>ROUND(((N38/N$34)*N$1630),0)</f>
        <v>0</v>
      </c>
      <c r="O1633" s="79">
        <f t="shared" si="814"/>
        <v>1</v>
      </c>
      <c r="P1633" s="79"/>
      <c r="Q1633" s="79"/>
      <c r="R1633" s="79"/>
      <c r="S1633" s="79"/>
      <c r="U1633" s="80"/>
      <c r="W1633" s="81"/>
      <c r="X1633" s="81"/>
      <c r="Y1633" s="81"/>
      <c r="Z1633" s="79"/>
      <c r="AF1633" s="79"/>
      <c r="AJ1633" s="66"/>
      <c r="AK1633" s="65"/>
    </row>
    <row r="1634" spans="1:37" hidden="1">
      <c r="A1634" s="65">
        <f>A1632+1</f>
        <v>29</v>
      </c>
      <c r="C1634" s="79"/>
      <c r="D1634" s="79"/>
      <c r="E1634" s="79"/>
      <c r="F1634" s="79"/>
      <c r="G1634" s="79"/>
      <c r="H1634" s="79"/>
      <c r="I1634" s="79"/>
      <c r="J1634" s="79"/>
      <c r="K1634" s="79"/>
      <c r="L1634" s="79"/>
      <c r="M1634" s="79"/>
      <c r="N1634" s="79"/>
      <c r="O1634" s="79"/>
      <c r="P1634" s="79"/>
      <c r="Q1634" s="79"/>
      <c r="R1634" s="79"/>
      <c r="S1634" s="79"/>
      <c r="U1634" s="80"/>
      <c r="W1634" s="81"/>
      <c r="X1634" s="81"/>
      <c r="Y1634" s="81"/>
      <c r="Z1634" s="79"/>
      <c r="AF1634" s="79"/>
      <c r="AJ1634" s="66"/>
      <c r="AK1634" s="65"/>
    </row>
    <row r="1635" spans="1:37" hidden="1">
      <c r="A1635" s="65">
        <f>A1634+1</f>
        <v>30</v>
      </c>
      <c r="C1635" s="79"/>
      <c r="D1635" s="79"/>
      <c r="E1635" s="79"/>
      <c r="F1635" s="79"/>
      <c r="G1635" s="79"/>
      <c r="H1635" s="79"/>
      <c r="I1635" s="79"/>
      <c r="J1635" s="79"/>
      <c r="K1635" s="79"/>
      <c r="L1635" s="79"/>
      <c r="M1635" s="79"/>
      <c r="N1635" s="79"/>
      <c r="O1635" s="79"/>
      <c r="P1635" s="79"/>
      <c r="Q1635" s="79"/>
      <c r="R1635" s="79"/>
      <c r="S1635" s="79"/>
      <c r="U1635" s="80"/>
      <c r="W1635" s="81"/>
      <c r="X1635" s="81"/>
      <c r="Y1635" s="81"/>
      <c r="Z1635" s="79"/>
      <c r="AF1635" s="79"/>
      <c r="AJ1635" s="66"/>
      <c r="AK1635" s="65"/>
    </row>
    <row r="1636" spans="1:37" hidden="1">
      <c r="B1636" s="66" t="s">
        <v>648</v>
      </c>
      <c r="C1636" s="73">
        <v>0.38574999999999998</v>
      </c>
      <c r="Y1636" s="65"/>
      <c r="AJ1636" s="66"/>
    </row>
    <row r="1637" spans="1:37" hidden="1">
      <c r="B1637" s="66" t="s">
        <v>649</v>
      </c>
      <c r="C1637" s="106">
        <f>(((C1364-S1364)*C1636)-(C1366-S1366))/(C1341-S1341)</f>
        <v>1.3316908271623015E-2</v>
      </c>
      <c r="Y1637" s="65"/>
      <c r="AJ1637" s="66"/>
    </row>
    <row r="1638" spans="1:37" hidden="1">
      <c r="B1638" s="71" t="s">
        <v>650</v>
      </c>
      <c r="C1638" s="107">
        <f>0.00072+0.003321</f>
        <v>4.0410000000000003E-3</v>
      </c>
      <c r="Y1638" s="65"/>
      <c r="AJ1638" s="66"/>
    </row>
    <row r="1639" spans="1:37" hidden="1">
      <c r="B1639" s="71" t="s">
        <v>651</v>
      </c>
      <c r="C1639" s="107">
        <f>0.00072+0.003321</f>
        <v>4.0410000000000003E-3</v>
      </c>
      <c r="Y1639" s="65"/>
      <c r="AJ1639" s="66"/>
    </row>
    <row r="1640" spans="1:37" hidden="1">
      <c r="U1640" s="66"/>
      <c r="V1640" s="66"/>
      <c r="AJ1640" s="66"/>
    </row>
    <row r="1641" spans="1:37" hidden="1">
      <c r="U1641" s="66"/>
      <c r="V1641" s="66"/>
      <c r="AJ1641" s="66"/>
    </row>
    <row r="1642" spans="1:37" hidden="1">
      <c r="A1642" s="66"/>
      <c r="B1642" s="72"/>
      <c r="H1642" s="65" t="s">
        <v>80</v>
      </c>
      <c r="J1642" s="79"/>
      <c r="K1642" s="79"/>
      <c r="L1642" s="79"/>
      <c r="M1642" s="79"/>
      <c r="Q1642" s="65" t="s">
        <v>80</v>
      </c>
      <c r="U1642" s="80"/>
      <c r="X1642" s="81"/>
      <c r="Y1642" s="81"/>
      <c r="Z1642" s="65"/>
      <c r="AJ1642" s="66"/>
      <c r="AK1642" s="65"/>
    </row>
    <row r="1643" spans="1:37" hidden="1">
      <c r="A1643" s="66"/>
      <c r="H1643" s="70" t="str">
        <f>$H$24</f>
        <v>12 MONTHS ENDING DECEMBER 31, 2012</v>
      </c>
      <c r="J1643" s="79"/>
      <c r="K1643" s="79"/>
      <c r="L1643" s="79"/>
      <c r="M1643" s="79"/>
      <c r="Q1643" s="70" t="str">
        <f>$H$24</f>
        <v>12 MONTHS ENDING DECEMBER 31, 2012</v>
      </c>
      <c r="U1643" s="80"/>
      <c r="X1643" s="81"/>
      <c r="Y1643" s="81"/>
      <c r="Z1643" s="70"/>
      <c r="AJ1643" s="66"/>
      <c r="AK1643" s="65"/>
    </row>
    <row r="1644" spans="1:37" hidden="1">
      <c r="H1644" s="70" t="str">
        <f>$H$25</f>
        <v>12/13 DEMAND ALLOCATION WITH MDS METHODOLOGY</v>
      </c>
      <c r="Q1644" s="70" t="str">
        <f>$H$25</f>
        <v>12/13 DEMAND ALLOCATION WITH MDS METHODOLOGY</v>
      </c>
      <c r="S1644" s="99"/>
      <c r="X1644" s="81"/>
      <c r="Y1644" s="81"/>
      <c r="Z1644" s="70"/>
      <c r="AF1644" s="99"/>
      <c r="AJ1644" s="66"/>
      <c r="AK1644" s="65"/>
    </row>
    <row r="1645" spans="1:37" hidden="1">
      <c r="B1645" s="99"/>
      <c r="C1645" s="99"/>
      <c r="D1645" s="99"/>
      <c r="E1645" s="99"/>
      <c r="F1645" s="99"/>
      <c r="H1645" s="65" t="s">
        <v>625</v>
      </c>
      <c r="I1645" s="99"/>
      <c r="J1645" s="105"/>
      <c r="K1645" s="105"/>
      <c r="L1645" s="105"/>
      <c r="M1645" s="105"/>
      <c r="N1645" s="105"/>
      <c r="Q1645" s="65" t="s">
        <v>625</v>
      </c>
      <c r="S1645" s="99"/>
      <c r="U1645" s="80"/>
      <c r="X1645" s="81"/>
      <c r="Y1645" s="81"/>
      <c r="Z1645" s="65"/>
      <c r="AF1645" s="99"/>
      <c r="AJ1645" s="66"/>
      <c r="AK1645" s="65"/>
    </row>
    <row r="1646" spans="1:37" hidden="1">
      <c r="H1646" s="65" t="s">
        <v>114</v>
      </c>
      <c r="Q1646" s="65" t="s">
        <v>114</v>
      </c>
      <c r="X1646" s="81"/>
      <c r="Y1646" s="81"/>
      <c r="Z1646" s="65"/>
      <c r="AJ1646" s="66"/>
      <c r="AK1646" s="65"/>
    </row>
    <row r="1647" spans="1:37" hidden="1">
      <c r="H1647" s="70"/>
      <c r="O1647" s="70"/>
      <c r="Q1647" s="65"/>
      <c r="X1647" s="81"/>
      <c r="Y1647" s="81"/>
      <c r="AJ1647" s="66"/>
      <c r="AK1647" s="65"/>
    </row>
    <row r="1648" spans="1:37" hidden="1">
      <c r="C1648" s="65" t="s">
        <v>59</v>
      </c>
      <c r="K1648" s="65"/>
      <c r="L1648" s="65"/>
      <c r="M1648" s="65"/>
      <c r="O1648" s="65" t="s">
        <v>59</v>
      </c>
      <c r="P1648" s="65"/>
      <c r="Q1648" s="65"/>
      <c r="R1648" s="65"/>
      <c r="S1648" s="65" t="s">
        <v>115</v>
      </c>
      <c r="W1648" s="76" t="s">
        <v>116</v>
      </c>
      <c r="X1648" s="76" t="s">
        <v>116</v>
      </c>
      <c r="Y1648" s="76" t="s">
        <v>117</v>
      </c>
      <c r="AF1648" s="65"/>
      <c r="AJ1648" s="66"/>
      <c r="AK1648" s="65"/>
    </row>
    <row r="1649" spans="1:37" hidden="1">
      <c r="C1649" s="65" t="s">
        <v>58</v>
      </c>
      <c r="D1649" s="70" t="s">
        <v>119</v>
      </c>
      <c r="E1649" s="70" t="s">
        <v>119</v>
      </c>
      <c r="F1649" s="70" t="s">
        <v>119</v>
      </c>
      <c r="G1649" s="70" t="s">
        <v>119</v>
      </c>
      <c r="H1649" s="70" t="s">
        <v>119</v>
      </c>
      <c r="I1649" s="70" t="s">
        <v>119</v>
      </c>
      <c r="J1649" s="70" t="s">
        <v>119</v>
      </c>
      <c r="K1649" s="70" t="s">
        <v>119</v>
      </c>
      <c r="L1649" s="70" t="s">
        <v>119</v>
      </c>
      <c r="M1649" s="70" t="s">
        <v>119</v>
      </c>
      <c r="N1649" s="70" t="s">
        <v>119</v>
      </c>
      <c r="O1649" s="65" t="s">
        <v>116</v>
      </c>
      <c r="P1649" s="65"/>
      <c r="Q1649" s="70" t="s">
        <v>120</v>
      </c>
      <c r="R1649" s="65"/>
      <c r="S1649" s="65" t="s">
        <v>121</v>
      </c>
      <c r="W1649" s="76" t="s">
        <v>122</v>
      </c>
      <c r="X1649" s="76" t="s">
        <v>123</v>
      </c>
      <c r="Y1649" s="76" t="s">
        <v>124</v>
      </c>
      <c r="Z1649" s="65"/>
      <c r="AF1649" s="70"/>
      <c r="AJ1649" s="66"/>
      <c r="AK1649" s="65"/>
    </row>
    <row r="1650" spans="1:37" hidden="1">
      <c r="B1650" s="65" t="s">
        <v>126</v>
      </c>
      <c r="C1650" s="65" t="s">
        <v>57</v>
      </c>
      <c r="D1650" s="70" t="s">
        <v>127</v>
      </c>
      <c r="E1650" s="70" t="s">
        <v>128</v>
      </c>
      <c r="F1650" s="70" t="s">
        <v>129</v>
      </c>
      <c r="G1650" s="70" t="s">
        <v>130</v>
      </c>
      <c r="H1650" s="70" t="s">
        <v>131</v>
      </c>
      <c r="I1650" s="65" t="s">
        <v>132</v>
      </c>
      <c r="J1650" s="70" t="s">
        <v>133</v>
      </c>
      <c r="K1650" s="70" t="s">
        <v>134</v>
      </c>
      <c r="L1650" s="70" t="s">
        <v>135</v>
      </c>
      <c r="M1650" s="70" t="s">
        <v>136</v>
      </c>
      <c r="N1650" s="70" t="s">
        <v>137</v>
      </c>
      <c r="O1650" s="65" t="s">
        <v>138</v>
      </c>
      <c r="P1650" s="70" t="s">
        <v>139</v>
      </c>
      <c r="Q1650" s="70" t="s">
        <v>140</v>
      </c>
      <c r="R1650" s="65" t="s">
        <v>122</v>
      </c>
      <c r="S1650" s="65" t="s">
        <v>141</v>
      </c>
      <c r="U1650" s="65" t="s">
        <v>162</v>
      </c>
      <c r="W1650" s="76" t="s">
        <v>142</v>
      </c>
      <c r="X1650" s="76" t="s">
        <v>142</v>
      </c>
      <c r="Y1650" s="76" t="s">
        <v>142</v>
      </c>
      <c r="Z1650" s="65"/>
      <c r="AF1650" s="70"/>
      <c r="AJ1650" s="66"/>
      <c r="AK1650" s="65"/>
    </row>
    <row r="1651" spans="1:37" hidden="1">
      <c r="A1651" s="65" t="s">
        <v>118</v>
      </c>
      <c r="B1651" s="65" t="s">
        <v>144</v>
      </c>
      <c r="C1651" s="65" t="s">
        <v>145</v>
      </c>
      <c r="D1651" s="70" t="s">
        <v>146</v>
      </c>
      <c r="E1651" s="70" t="s">
        <v>147</v>
      </c>
      <c r="F1651" s="70" t="s">
        <v>148</v>
      </c>
      <c r="G1651" s="65" t="s">
        <v>149</v>
      </c>
      <c r="H1651" s="65" t="s">
        <v>150</v>
      </c>
      <c r="I1651" s="65" t="s">
        <v>151</v>
      </c>
      <c r="J1651" s="70" t="s">
        <v>152</v>
      </c>
      <c r="K1651" s="70" t="s">
        <v>153</v>
      </c>
      <c r="L1651" s="70" t="s">
        <v>154</v>
      </c>
      <c r="M1651" s="70" t="s">
        <v>155</v>
      </c>
      <c r="N1651" s="70" t="s">
        <v>156</v>
      </c>
      <c r="O1651" s="70" t="s">
        <v>157</v>
      </c>
      <c r="P1651" s="70" t="s">
        <v>158</v>
      </c>
      <c r="Q1651" s="70" t="s">
        <v>159</v>
      </c>
      <c r="R1651" s="70" t="s">
        <v>160</v>
      </c>
      <c r="S1651" s="70" t="s">
        <v>161</v>
      </c>
      <c r="W1651" s="77" t="s">
        <v>163</v>
      </c>
      <c r="X1651" s="77" t="s">
        <v>164</v>
      </c>
      <c r="Y1651" s="76" t="s">
        <v>165</v>
      </c>
      <c r="Z1651" s="70"/>
      <c r="AF1651" s="76"/>
      <c r="AJ1651" s="66"/>
      <c r="AK1651" s="70"/>
    </row>
    <row r="1652" spans="1:37" hidden="1">
      <c r="A1652" s="65" t="s">
        <v>125</v>
      </c>
      <c r="C1652" s="79"/>
      <c r="D1652" s="79"/>
      <c r="E1652" s="79"/>
      <c r="F1652" s="79"/>
      <c r="G1652" s="79"/>
      <c r="H1652" s="79"/>
      <c r="I1652" s="79"/>
      <c r="J1652" s="79"/>
      <c r="K1652" s="79"/>
      <c r="O1652" s="79"/>
      <c r="P1652" s="79"/>
      <c r="Q1652" s="79"/>
      <c r="R1652" s="79"/>
      <c r="S1652" s="79"/>
      <c r="U1652" s="80"/>
      <c r="W1652" s="108"/>
      <c r="X1652" s="108"/>
      <c r="Y1652" s="108"/>
      <c r="Z1652" s="79"/>
      <c r="AF1652" s="79"/>
      <c r="AJ1652" s="66"/>
      <c r="AK1652" s="65"/>
    </row>
    <row r="1653" spans="1:37" hidden="1">
      <c r="A1653" s="65" t="s">
        <v>143</v>
      </c>
      <c r="C1653" s="79"/>
      <c r="D1653" s="79"/>
      <c r="E1653" s="79"/>
      <c r="F1653" s="79"/>
      <c r="G1653" s="79"/>
      <c r="H1653" s="79"/>
      <c r="I1653" s="79"/>
      <c r="J1653" s="79"/>
      <c r="K1653" s="79"/>
      <c r="L1653" s="79"/>
      <c r="M1653" s="79"/>
      <c r="N1653" s="79"/>
      <c r="O1653" s="79"/>
      <c r="P1653" s="79"/>
      <c r="Q1653" s="79"/>
      <c r="R1653" s="79"/>
      <c r="S1653" s="79"/>
      <c r="U1653" s="80"/>
      <c r="W1653" s="81" t="str">
        <f t="shared" ref="W1653:W1702" si="815">IF((O1653+R1653)=0," ",ROUND((O1653/(O1653+R1653)),7))</f>
        <v xml:space="preserve"> </v>
      </c>
      <c r="X1653" s="81" t="str">
        <f t="shared" ref="X1653:X1702" si="816">IF((C1653)=0," ",ROUND((O1653/(C1653)),7))</f>
        <v xml:space="preserve"> </v>
      </c>
      <c r="Y1653" s="81" t="str">
        <f t="shared" ref="Y1653:Y1702" si="817">IF((C1653)=0," ",ROUND((S1653/(C1653)),7))</f>
        <v xml:space="preserve"> </v>
      </c>
      <c r="Z1653" s="79"/>
      <c r="AF1653" s="79"/>
      <c r="AJ1653" s="66"/>
      <c r="AK1653" s="65"/>
    </row>
    <row r="1654" spans="1:37" hidden="1">
      <c r="B1654" s="66" t="s">
        <v>652</v>
      </c>
      <c r="C1654" s="79">
        <f>C647</f>
        <v>715</v>
      </c>
      <c r="D1654" s="79">
        <f>D647</f>
        <v>433</v>
      </c>
      <c r="E1654" s="79">
        <f>E647</f>
        <v>12</v>
      </c>
      <c r="F1654" s="79">
        <f>D1654+E1654</f>
        <v>445</v>
      </c>
      <c r="G1654" s="79">
        <f t="shared" ref="G1654:L1654" si="818">G647</f>
        <v>39</v>
      </c>
      <c r="H1654" s="79">
        <f t="shared" si="818"/>
        <v>121</v>
      </c>
      <c r="I1654" s="79">
        <f t="shared" si="818"/>
        <v>57</v>
      </c>
      <c r="J1654" s="79">
        <f t="shared" si="818"/>
        <v>24</v>
      </c>
      <c r="K1654" s="79">
        <f t="shared" si="818"/>
        <v>2</v>
      </c>
      <c r="L1654" s="79">
        <f t="shared" si="818"/>
        <v>1</v>
      </c>
      <c r="M1654" s="79">
        <f>SUM(J1654:L1654)</f>
        <v>27</v>
      </c>
      <c r="N1654" s="79">
        <f>N647</f>
        <v>13</v>
      </c>
      <c r="O1654" s="79">
        <f>O647</f>
        <v>702</v>
      </c>
      <c r="P1654" s="79">
        <f>P647</f>
        <v>12</v>
      </c>
      <c r="Q1654" s="79">
        <f>Q647</f>
        <v>1</v>
      </c>
      <c r="R1654" s="79">
        <f>P1654+Q1654</f>
        <v>13</v>
      </c>
      <c r="S1654" s="79">
        <f>S647</f>
        <v>0</v>
      </c>
      <c r="U1654" s="80">
        <f t="shared" ref="U1654:U1655" si="819">O1654+R1654+S1654-C1654</f>
        <v>0</v>
      </c>
      <c r="W1654" s="81">
        <f t="shared" si="815"/>
        <v>0.98181819999999997</v>
      </c>
      <c r="X1654" s="81">
        <f t="shared" si="816"/>
        <v>0.98181819999999997</v>
      </c>
      <c r="Y1654" s="81">
        <f t="shared" si="817"/>
        <v>0</v>
      </c>
      <c r="Z1654" s="79"/>
      <c r="AF1654" s="79"/>
      <c r="AJ1654" s="66"/>
    </row>
    <row r="1655" spans="1:37" hidden="1">
      <c r="B1655" s="66" t="s">
        <v>653</v>
      </c>
      <c r="C1655" s="66">
        <f>C1654</f>
        <v>715</v>
      </c>
      <c r="D1655" s="66">
        <f t="shared" ref="D1655:I1655" si="820">D1654</f>
        <v>433</v>
      </c>
      <c r="E1655" s="66">
        <f>E1654</f>
        <v>12</v>
      </c>
      <c r="F1655" s="79">
        <f>D1655+E1655</f>
        <v>445</v>
      </c>
      <c r="G1655" s="66">
        <f t="shared" si="820"/>
        <v>39</v>
      </c>
      <c r="H1655" s="66">
        <f t="shared" si="820"/>
        <v>121</v>
      </c>
      <c r="I1655" s="66">
        <f t="shared" si="820"/>
        <v>57</v>
      </c>
      <c r="J1655" s="66">
        <f>J1654</f>
        <v>24</v>
      </c>
      <c r="K1655" s="66">
        <f>K1654</f>
        <v>2</v>
      </c>
      <c r="L1655" s="66">
        <f>L1654</f>
        <v>1</v>
      </c>
      <c r="M1655" s="79">
        <f>SUM(J1655:L1655)</f>
        <v>27</v>
      </c>
      <c r="N1655" s="66">
        <f>N1654</f>
        <v>13</v>
      </c>
      <c r="O1655" s="66">
        <f>O1654</f>
        <v>702</v>
      </c>
      <c r="P1655" s="66">
        <f>P1654</f>
        <v>12</v>
      </c>
      <c r="Q1655" s="66">
        <f>Q1654</f>
        <v>1</v>
      </c>
      <c r="R1655" s="79">
        <f>P1655+Q1655</f>
        <v>13</v>
      </c>
      <c r="S1655" s="66">
        <f>S1654</f>
        <v>0</v>
      </c>
      <c r="U1655" s="80">
        <f t="shared" si="819"/>
        <v>0</v>
      </c>
      <c r="W1655" s="81">
        <f t="shared" si="815"/>
        <v>0.98181819999999997</v>
      </c>
      <c r="X1655" s="81">
        <f t="shared" si="816"/>
        <v>0.98181819999999997</v>
      </c>
      <c r="Y1655" s="81">
        <f t="shared" si="817"/>
        <v>0</v>
      </c>
      <c r="AJ1655" s="66"/>
      <c r="AK1655" s="65"/>
    </row>
    <row r="1656" spans="1:37" hidden="1">
      <c r="A1656" s="65">
        <f>A1635+1</f>
        <v>31</v>
      </c>
      <c r="B1656" s="66" t="s">
        <v>647</v>
      </c>
      <c r="C1656" s="79"/>
      <c r="D1656" s="79"/>
      <c r="E1656" s="79"/>
      <c r="F1656" s="79"/>
      <c r="G1656" s="79"/>
      <c r="H1656" s="79"/>
      <c r="I1656" s="79"/>
      <c r="J1656" s="79"/>
      <c r="K1656" s="79"/>
      <c r="L1656" s="79"/>
      <c r="M1656" s="79"/>
      <c r="O1656" s="79"/>
      <c r="P1656" s="79"/>
      <c r="Q1656" s="79"/>
      <c r="R1656" s="79"/>
      <c r="S1656" s="79"/>
      <c r="U1656" s="80"/>
      <c r="W1656" s="81" t="str">
        <f t="shared" si="815"/>
        <v xml:space="preserve"> </v>
      </c>
      <c r="X1656" s="81" t="str">
        <f t="shared" si="816"/>
        <v xml:space="preserve"> </v>
      </c>
      <c r="Y1656" s="81" t="str">
        <f t="shared" si="817"/>
        <v xml:space="preserve"> </v>
      </c>
      <c r="Z1656" s="79"/>
      <c r="AF1656" s="79"/>
      <c r="AJ1656" s="66"/>
      <c r="AK1656" s="65"/>
    </row>
    <row r="1657" spans="1:37" hidden="1">
      <c r="A1657" s="65">
        <f>A1656+1</f>
        <v>32</v>
      </c>
      <c r="B1657" s="66" t="s">
        <v>407</v>
      </c>
      <c r="C1657" s="79"/>
      <c r="D1657" s="79">
        <f>ROUND(((D37/D$34)*D$1655),0)</f>
        <v>404</v>
      </c>
      <c r="E1657" s="79">
        <f>ROUND(((E37/E$34)*E$1655),0)</f>
        <v>11</v>
      </c>
      <c r="F1657" s="79">
        <f>D1657+E1657</f>
        <v>415</v>
      </c>
      <c r="G1657" s="79">
        <f t="shared" ref="G1657:L1658" si="821">ROUND(((G37/G$34)*G$1655),0)</f>
        <v>36</v>
      </c>
      <c r="H1657" s="79">
        <f t="shared" si="821"/>
        <v>111</v>
      </c>
      <c r="I1657" s="79">
        <f t="shared" si="821"/>
        <v>52</v>
      </c>
      <c r="J1657" s="79">
        <f t="shared" si="821"/>
        <v>21</v>
      </c>
      <c r="K1657" s="79">
        <f t="shared" si="821"/>
        <v>2</v>
      </c>
      <c r="L1657" s="79">
        <f t="shared" si="821"/>
        <v>1</v>
      </c>
      <c r="M1657" s="79">
        <f>SUM(J1657:L1657)</f>
        <v>24</v>
      </c>
      <c r="N1657" s="79">
        <f>ROUND(((N37/N$34)*N$1655),0)</f>
        <v>10</v>
      </c>
      <c r="O1657" s="79">
        <f>SUM(F1657:L1657)+N1657</f>
        <v>648</v>
      </c>
      <c r="P1657" s="79"/>
      <c r="Q1657" s="79"/>
      <c r="R1657" s="79"/>
      <c r="S1657" s="79"/>
      <c r="U1657" s="80"/>
      <c r="W1657" s="81">
        <f t="shared" si="815"/>
        <v>1</v>
      </c>
      <c r="X1657" s="81" t="str">
        <f t="shared" si="816"/>
        <v xml:space="preserve"> </v>
      </c>
      <c r="Y1657" s="81" t="str">
        <f t="shared" si="817"/>
        <v xml:space="preserve"> </v>
      </c>
      <c r="Z1657" s="79"/>
      <c r="AF1657" s="79"/>
      <c r="AJ1657" s="66"/>
      <c r="AK1657" s="65"/>
    </row>
    <row r="1658" spans="1:37" hidden="1">
      <c r="B1658" s="66" t="s">
        <v>408</v>
      </c>
      <c r="C1658" s="79"/>
      <c r="D1658" s="79">
        <f>ROUND(((D38/D$34)*D$1655),0)</f>
        <v>29</v>
      </c>
      <c r="E1658" s="79">
        <f>ROUND(((E38/E$34)*E$1655),0)</f>
        <v>1</v>
      </c>
      <c r="F1658" s="79">
        <f>D1658+E1658</f>
        <v>30</v>
      </c>
      <c r="G1658" s="79">
        <f t="shared" si="821"/>
        <v>3</v>
      </c>
      <c r="H1658" s="79">
        <f t="shared" si="821"/>
        <v>10</v>
      </c>
      <c r="I1658" s="79">
        <f t="shared" si="821"/>
        <v>5</v>
      </c>
      <c r="J1658" s="79">
        <f t="shared" si="821"/>
        <v>3</v>
      </c>
      <c r="K1658" s="79">
        <f t="shared" si="821"/>
        <v>0</v>
      </c>
      <c r="L1658" s="79">
        <f t="shared" si="821"/>
        <v>0</v>
      </c>
      <c r="M1658" s="79">
        <f>SUM(J1658:L1658)</f>
        <v>3</v>
      </c>
      <c r="N1658" s="79">
        <f>ROUND(((N38/N$34)*N$1655),0)</f>
        <v>3</v>
      </c>
      <c r="O1658" s="79">
        <f>SUM(F1658:L1658)+N1658</f>
        <v>54</v>
      </c>
      <c r="P1658" s="79"/>
      <c r="Q1658" s="79"/>
      <c r="R1658" s="79"/>
      <c r="S1658" s="79"/>
      <c r="U1658" s="80"/>
      <c r="W1658" s="81">
        <f t="shared" si="815"/>
        <v>1</v>
      </c>
      <c r="X1658" s="81" t="str">
        <f t="shared" si="816"/>
        <v xml:space="preserve"> </v>
      </c>
      <c r="Y1658" s="81" t="str">
        <f t="shared" si="817"/>
        <v xml:space="preserve"> </v>
      </c>
      <c r="Z1658" s="79"/>
      <c r="AF1658" s="79"/>
      <c r="AJ1658" s="66"/>
      <c r="AK1658" s="65"/>
    </row>
    <row r="1659" spans="1:37" hidden="1">
      <c r="A1659" s="65">
        <f>A1657+1</f>
        <v>33</v>
      </c>
      <c r="W1659" s="81" t="str">
        <f t="shared" si="815"/>
        <v xml:space="preserve"> </v>
      </c>
      <c r="X1659" s="81" t="str">
        <f t="shared" si="816"/>
        <v xml:space="preserve"> </v>
      </c>
      <c r="Y1659" s="81" t="str">
        <f t="shared" si="817"/>
        <v xml:space="preserve"> </v>
      </c>
    </row>
    <row r="1660" spans="1:37" hidden="1">
      <c r="A1660" s="65">
        <f>A1659+1</f>
        <v>34</v>
      </c>
      <c r="B1660" s="66" t="s">
        <v>654</v>
      </c>
      <c r="C1660" s="79">
        <f>C649</f>
        <v>452</v>
      </c>
      <c r="D1660" s="79">
        <f>D649</f>
        <v>274</v>
      </c>
      <c r="E1660" s="79">
        <f>E649</f>
        <v>7</v>
      </c>
      <c r="F1660" s="79">
        <f>D1660+E1660</f>
        <v>281</v>
      </c>
      <c r="G1660" s="79">
        <f t="shared" ref="G1660:L1660" si="822">G649</f>
        <v>25</v>
      </c>
      <c r="H1660" s="79">
        <f t="shared" si="822"/>
        <v>77</v>
      </c>
      <c r="I1660" s="79">
        <f t="shared" si="822"/>
        <v>36</v>
      </c>
      <c r="J1660" s="79">
        <f t="shared" si="822"/>
        <v>15</v>
      </c>
      <c r="K1660" s="79">
        <f t="shared" si="822"/>
        <v>1</v>
      </c>
      <c r="L1660" s="79">
        <f t="shared" si="822"/>
        <v>1</v>
      </c>
      <c r="M1660" s="79">
        <f>SUM(J1660:L1660)</f>
        <v>17</v>
      </c>
      <c r="N1660" s="79">
        <f>N649</f>
        <v>8</v>
      </c>
      <c r="O1660" s="79">
        <f>O649</f>
        <v>444</v>
      </c>
      <c r="P1660" s="79">
        <f>P649</f>
        <v>7</v>
      </c>
      <c r="Q1660" s="79">
        <f>Q649</f>
        <v>1</v>
      </c>
      <c r="R1660" s="79">
        <f>P1660+Q1660</f>
        <v>8</v>
      </c>
      <c r="S1660" s="79">
        <f>S649</f>
        <v>0</v>
      </c>
      <c r="U1660" s="80">
        <f>O1660+R1660+S1660-C1660</f>
        <v>0</v>
      </c>
      <c r="W1660" s="81">
        <f t="shared" si="815"/>
        <v>0.98230090000000003</v>
      </c>
      <c r="X1660" s="81">
        <f t="shared" si="816"/>
        <v>0.98230090000000003</v>
      </c>
      <c r="Y1660" s="81">
        <f t="shared" si="817"/>
        <v>0</v>
      </c>
      <c r="Z1660" s="79"/>
      <c r="AF1660" s="79"/>
      <c r="AJ1660" s="66"/>
      <c r="AK1660" s="65"/>
    </row>
    <row r="1661" spans="1:37" hidden="1">
      <c r="B1661" s="66" t="s">
        <v>653</v>
      </c>
      <c r="C1661" s="79">
        <f t="shared" ref="C1661:I1661" si="823">C1660</f>
        <v>452</v>
      </c>
      <c r="D1661" s="79">
        <f t="shared" si="823"/>
        <v>274</v>
      </c>
      <c r="E1661" s="79">
        <f>E1660</f>
        <v>7</v>
      </c>
      <c r="F1661" s="79">
        <f>D1661+E1661</f>
        <v>281</v>
      </c>
      <c r="G1661" s="79">
        <f t="shared" si="823"/>
        <v>25</v>
      </c>
      <c r="H1661" s="79">
        <f t="shared" si="823"/>
        <v>77</v>
      </c>
      <c r="I1661" s="79">
        <f t="shared" si="823"/>
        <v>36</v>
      </c>
      <c r="J1661" s="79">
        <f>J1660</f>
        <v>15</v>
      </c>
      <c r="K1661" s="79">
        <f>K1660</f>
        <v>1</v>
      </c>
      <c r="L1661" s="79">
        <f>L1660</f>
        <v>1</v>
      </c>
      <c r="M1661" s="79">
        <f>SUM(J1661:L1661)</f>
        <v>17</v>
      </c>
      <c r="N1661" s="79">
        <f>N1660</f>
        <v>8</v>
      </c>
      <c r="O1661" s="79">
        <f>O1660</f>
        <v>444</v>
      </c>
      <c r="P1661" s="79">
        <f>P1660</f>
        <v>7</v>
      </c>
      <c r="Q1661" s="79">
        <f>Q1660</f>
        <v>1</v>
      </c>
      <c r="R1661" s="79">
        <f>P1661+Q1661</f>
        <v>8</v>
      </c>
      <c r="S1661" s="79">
        <f>S1660</f>
        <v>0</v>
      </c>
      <c r="U1661" s="80">
        <f>O1661+R1661+S1661-C1661</f>
        <v>0</v>
      </c>
      <c r="W1661" s="81">
        <f t="shared" si="815"/>
        <v>0.98230090000000003</v>
      </c>
      <c r="X1661" s="81">
        <f t="shared" si="816"/>
        <v>0.98230090000000003</v>
      </c>
      <c r="Y1661" s="81">
        <f t="shared" si="817"/>
        <v>0</v>
      </c>
      <c r="Z1661" s="79"/>
      <c r="AF1661" s="79"/>
      <c r="AJ1661" s="66"/>
      <c r="AK1661" s="65"/>
    </row>
    <row r="1662" spans="1:37" hidden="1">
      <c r="A1662" s="65">
        <f>A1660+1</f>
        <v>35</v>
      </c>
      <c r="B1662" s="66" t="s">
        <v>647</v>
      </c>
      <c r="C1662" s="79"/>
      <c r="D1662" s="79"/>
      <c r="E1662" s="79"/>
      <c r="F1662" s="79"/>
      <c r="G1662" s="79"/>
      <c r="H1662" s="79"/>
      <c r="I1662" s="79"/>
      <c r="J1662" s="79"/>
      <c r="K1662" s="79"/>
      <c r="L1662" s="79"/>
      <c r="M1662" s="79"/>
      <c r="N1662" s="79"/>
      <c r="O1662" s="79"/>
      <c r="P1662" s="79"/>
      <c r="Q1662" s="79"/>
      <c r="R1662" s="79"/>
      <c r="S1662" s="79"/>
      <c r="U1662" s="80"/>
      <c r="W1662" s="81" t="str">
        <f t="shared" si="815"/>
        <v xml:space="preserve"> </v>
      </c>
      <c r="X1662" s="81" t="str">
        <f t="shared" si="816"/>
        <v xml:space="preserve"> </v>
      </c>
      <c r="Y1662" s="81" t="str">
        <f t="shared" si="817"/>
        <v xml:space="preserve"> </v>
      </c>
      <c r="Z1662" s="79"/>
      <c r="AF1662" s="79"/>
      <c r="AJ1662" s="66"/>
      <c r="AK1662" s="65"/>
    </row>
    <row r="1663" spans="1:37" hidden="1">
      <c r="A1663" s="65">
        <f>A1662+1</f>
        <v>36</v>
      </c>
      <c r="B1663" s="66" t="s">
        <v>407</v>
      </c>
      <c r="C1663" s="79"/>
      <c r="D1663" s="79">
        <f>ROUND(((D37/D$34)*D$1661),0)</f>
        <v>256</v>
      </c>
      <c r="E1663" s="79">
        <f>ROUND(((E37/E$34)*E$1661),0)</f>
        <v>6</v>
      </c>
      <c r="F1663" s="79">
        <f t="shared" ref="F1663:F1689" si="824">D1663+E1663</f>
        <v>262</v>
      </c>
      <c r="G1663" s="79">
        <f t="shared" ref="G1663:L1664" si="825">ROUND(((G37/G$34)*G$1661),0)</f>
        <v>23</v>
      </c>
      <c r="H1663" s="79">
        <f t="shared" si="825"/>
        <v>71</v>
      </c>
      <c r="I1663" s="79">
        <f t="shared" si="825"/>
        <v>33</v>
      </c>
      <c r="J1663" s="79">
        <f t="shared" si="825"/>
        <v>13</v>
      </c>
      <c r="K1663" s="79">
        <f t="shared" si="825"/>
        <v>1</v>
      </c>
      <c r="L1663" s="79">
        <f t="shared" si="825"/>
        <v>1</v>
      </c>
      <c r="M1663" s="79">
        <f t="shared" ref="M1663:M1689" si="826">SUM(J1663:L1663)</f>
        <v>15</v>
      </c>
      <c r="N1663" s="79">
        <f>ROUND(((N37/N$34)*N$1661),0)</f>
        <v>6</v>
      </c>
      <c r="O1663" s="79">
        <f>SUM(F1663:L1663)+N1663</f>
        <v>410</v>
      </c>
      <c r="P1663" s="79"/>
      <c r="Q1663" s="79"/>
      <c r="R1663" s="79"/>
      <c r="S1663" s="79"/>
      <c r="U1663" s="80"/>
      <c r="W1663" s="81">
        <f t="shared" si="815"/>
        <v>1</v>
      </c>
      <c r="X1663" s="81" t="str">
        <f t="shared" si="816"/>
        <v xml:space="preserve"> </v>
      </c>
      <c r="Y1663" s="81" t="str">
        <f t="shared" si="817"/>
        <v xml:space="preserve"> </v>
      </c>
      <c r="Z1663" s="79"/>
      <c r="AF1663" s="79"/>
      <c r="AJ1663" s="66"/>
      <c r="AK1663" s="65"/>
    </row>
    <row r="1664" spans="1:37" hidden="1">
      <c r="B1664" s="66" t="s">
        <v>408</v>
      </c>
      <c r="C1664" s="79"/>
      <c r="D1664" s="79">
        <f>ROUND(((D38/D$34)*D$1661),0)</f>
        <v>18</v>
      </c>
      <c r="E1664" s="79">
        <f>ROUND(((E38/E$34)*E$1661),0)</f>
        <v>1</v>
      </c>
      <c r="F1664" s="79">
        <f t="shared" si="824"/>
        <v>19</v>
      </c>
      <c r="G1664" s="79">
        <f t="shared" si="825"/>
        <v>2</v>
      </c>
      <c r="H1664" s="79">
        <f t="shared" si="825"/>
        <v>6</v>
      </c>
      <c r="I1664" s="79">
        <f t="shared" si="825"/>
        <v>3</v>
      </c>
      <c r="J1664" s="79">
        <f t="shared" si="825"/>
        <v>2</v>
      </c>
      <c r="K1664" s="79">
        <f t="shared" si="825"/>
        <v>0</v>
      </c>
      <c r="L1664" s="79">
        <f t="shared" si="825"/>
        <v>0</v>
      </c>
      <c r="M1664" s="79">
        <f t="shared" si="826"/>
        <v>2</v>
      </c>
      <c r="N1664" s="79">
        <f>ROUND(((N38/N$34)*N$1661),0)</f>
        <v>2</v>
      </c>
      <c r="O1664" s="79">
        <f>SUM(F1664:L1664)+N1664</f>
        <v>34</v>
      </c>
      <c r="P1664" s="79"/>
      <c r="Q1664" s="79"/>
      <c r="R1664" s="79"/>
      <c r="S1664" s="79"/>
      <c r="U1664" s="80"/>
      <c r="W1664" s="81">
        <f t="shared" si="815"/>
        <v>1</v>
      </c>
      <c r="X1664" s="81" t="str">
        <f t="shared" si="816"/>
        <v xml:space="preserve"> </v>
      </c>
      <c r="Y1664" s="81" t="str">
        <f t="shared" si="817"/>
        <v xml:space="preserve"> </v>
      </c>
      <c r="Z1664" s="79"/>
      <c r="AF1664" s="79"/>
      <c r="AJ1664" s="66"/>
      <c r="AK1664" s="65"/>
    </row>
    <row r="1665" spans="1:37" hidden="1">
      <c r="A1665" s="65">
        <f>A1663+1</f>
        <v>37</v>
      </c>
      <c r="C1665" s="79"/>
      <c r="D1665" s="79"/>
      <c r="E1665" s="79"/>
      <c r="F1665" s="79"/>
      <c r="G1665" s="79"/>
      <c r="H1665" s="79"/>
      <c r="I1665" s="79"/>
      <c r="J1665" s="79"/>
      <c r="K1665" s="79"/>
      <c r="L1665" s="79"/>
      <c r="M1665" s="79"/>
      <c r="N1665" s="79"/>
      <c r="O1665" s="79"/>
      <c r="P1665" s="79"/>
      <c r="Q1665" s="79"/>
      <c r="R1665" s="79"/>
      <c r="S1665" s="79"/>
      <c r="U1665" s="80"/>
      <c r="W1665" s="81" t="str">
        <f t="shared" si="815"/>
        <v xml:space="preserve"> </v>
      </c>
      <c r="X1665" s="81" t="str">
        <f t="shared" si="816"/>
        <v xml:space="preserve"> </v>
      </c>
      <c r="Y1665" s="81" t="str">
        <f t="shared" si="817"/>
        <v xml:space="preserve"> </v>
      </c>
      <c r="Z1665" s="79"/>
      <c r="AF1665" s="79"/>
      <c r="AJ1665" s="66"/>
      <c r="AK1665" s="65"/>
    </row>
    <row r="1666" spans="1:37" hidden="1">
      <c r="A1666" s="65">
        <f>A1665+1</f>
        <v>38</v>
      </c>
      <c r="B1666" s="66" t="s">
        <v>336</v>
      </c>
      <c r="C1666" s="79">
        <f t="shared" ref="C1666:C1676" si="827">O1666+R1666+S1666</f>
        <v>5827</v>
      </c>
      <c r="D1666" s="79">
        <f>D1622+D1624+D1660+D1654+D1628+D1630</f>
        <v>4003.9999900000003</v>
      </c>
      <c r="E1666" s="79">
        <f>E1622+E1624+E1660+E1654+E1628+E1630</f>
        <v>111</v>
      </c>
      <c r="F1666" s="79">
        <f t="shared" si="824"/>
        <v>4114.9999900000003</v>
      </c>
      <c r="G1666" s="79">
        <f t="shared" ref="G1666:S1666" si="828">G1622+G1624+G1660+G1654+G1628+G1630</f>
        <v>270</v>
      </c>
      <c r="H1666" s="79">
        <f t="shared" si="828"/>
        <v>919</v>
      </c>
      <c r="I1666" s="79">
        <f t="shared" si="828"/>
        <v>312</v>
      </c>
      <c r="J1666" s="79">
        <f t="shared" si="828"/>
        <v>73</v>
      </c>
      <c r="K1666" s="79">
        <f t="shared" si="828"/>
        <v>11</v>
      </c>
      <c r="L1666" s="79">
        <f t="shared" si="828"/>
        <v>3</v>
      </c>
      <c r="M1666" s="79">
        <f t="shared" si="826"/>
        <v>87</v>
      </c>
      <c r="N1666" s="79">
        <f t="shared" si="828"/>
        <v>102.00001</v>
      </c>
      <c r="O1666" s="79">
        <f t="shared" si="828"/>
        <v>5805</v>
      </c>
      <c r="P1666" s="79">
        <f t="shared" si="828"/>
        <v>20</v>
      </c>
      <c r="Q1666" s="79">
        <f t="shared" si="828"/>
        <v>2</v>
      </c>
      <c r="R1666" s="79">
        <f t="shared" ref="R1666:R1677" si="829">P1666+Q1666</f>
        <v>22</v>
      </c>
      <c r="S1666" s="79">
        <f t="shared" si="828"/>
        <v>0</v>
      </c>
      <c r="T1666" s="79"/>
      <c r="U1666" s="80">
        <f>O1666+R1666+S1666-C1666</f>
        <v>0</v>
      </c>
      <c r="W1666" s="81">
        <f t="shared" si="815"/>
        <v>0.99622449999999996</v>
      </c>
      <c r="X1666" s="81">
        <f t="shared" si="816"/>
        <v>0.99622449999999996</v>
      </c>
      <c r="Y1666" s="81">
        <f t="shared" si="817"/>
        <v>0</v>
      </c>
      <c r="Z1666" s="79"/>
      <c r="AF1666" s="79"/>
      <c r="AJ1666" s="66"/>
      <c r="AK1666" s="65"/>
    </row>
    <row r="1667" spans="1:37" hidden="1">
      <c r="B1667" s="66" t="s">
        <v>655</v>
      </c>
      <c r="C1667" s="79">
        <f t="shared" si="827"/>
        <v>1098</v>
      </c>
      <c r="D1667" s="79">
        <f>+D1663+D1657+D1632</f>
        <v>670</v>
      </c>
      <c r="E1667" s="79">
        <f>+E1663+E1657+E1632</f>
        <v>17</v>
      </c>
      <c r="F1667" s="79">
        <f t="shared" si="824"/>
        <v>687</v>
      </c>
      <c r="G1667" s="79">
        <f t="shared" ref="G1667:L1667" si="830">+G1663+G1657+G1632</f>
        <v>60</v>
      </c>
      <c r="H1667" s="79">
        <f t="shared" si="830"/>
        <v>186</v>
      </c>
      <c r="I1667" s="79">
        <f t="shared" si="830"/>
        <v>87</v>
      </c>
      <c r="J1667" s="79">
        <f t="shared" si="830"/>
        <v>35</v>
      </c>
      <c r="K1667" s="79">
        <f t="shared" si="830"/>
        <v>3</v>
      </c>
      <c r="L1667" s="79">
        <f t="shared" si="830"/>
        <v>2</v>
      </c>
      <c r="M1667" s="79">
        <f t="shared" si="826"/>
        <v>40</v>
      </c>
      <c r="N1667" s="79">
        <f t="shared" ref="N1667:O1667" si="831">+N1663+N1657+N1632</f>
        <v>16</v>
      </c>
      <c r="O1667" s="79">
        <f t="shared" si="831"/>
        <v>1076</v>
      </c>
      <c r="P1667" s="79">
        <f>+P1661+P1655+P1630</f>
        <v>20</v>
      </c>
      <c r="Q1667" s="79">
        <f>+Q1661+Q1655+Q1630</f>
        <v>2</v>
      </c>
      <c r="R1667" s="79">
        <f t="shared" si="829"/>
        <v>22</v>
      </c>
      <c r="S1667" s="79">
        <f>+S1661+S1655+S1630</f>
        <v>0</v>
      </c>
      <c r="T1667" s="79"/>
      <c r="U1667" s="80">
        <f t="shared" ref="U1667:U1689" si="832">O1667+R1667+S1667-C1667</f>
        <v>0</v>
      </c>
      <c r="W1667" s="81">
        <f t="shared" si="815"/>
        <v>0.97996360000000005</v>
      </c>
      <c r="X1667" s="81">
        <f t="shared" si="816"/>
        <v>0.97996360000000005</v>
      </c>
      <c r="Y1667" s="81">
        <f t="shared" si="817"/>
        <v>0</v>
      </c>
      <c r="Z1667" s="79"/>
      <c r="AF1667" s="79"/>
      <c r="AJ1667" s="66"/>
      <c r="AK1667" s="65"/>
    </row>
    <row r="1668" spans="1:37" hidden="1">
      <c r="A1668" s="65">
        <f>A1666+1</f>
        <v>39</v>
      </c>
      <c r="B1668" s="66" t="s">
        <v>656</v>
      </c>
      <c r="C1668" s="79">
        <f t="shared" si="827"/>
        <v>0</v>
      </c>
      <c r="D1668" s="79">
        <v>0</v>
      </c>
      <c r="E1668" s="79">
        <v>0</v>
      </c>
      <c r="F1668" s="79">
        <f t="shared" si="824"/>
        <v>0</v>
      </c>
      <c r="G1668" s="79">
        <v>0</v>
      </c>
      <c r="H1668" s="79">
        <v>0</v>
      </c>
      <c r="I1668" s="79">
        <v>0</v>
      </c>
      <c r="J1668" s="79">
        <v>0</v>
      </c>
      <c r="K1668" s="79">
        <v>0</v>
      </c>
      <c r="L1668" s="79">
        <v>0</v>
      </c>
      <c r="M1668" s="79">
        <f t="shared" si="826"/>
        <v>0</v>
      </c>
      <c r="N1668" s="79">
        <v>0</v>
      </c>
      <c r="O1668" s="79">
        <v>0</v>
      </c>
      <c r="P1668" s="79">
        <v>0</v>
      </c>
      <c r="Q1668" s="79">
        <v>0</v>
      </c>
      <c r="R1668" s="79">
        <f t="shared" si="829"/>
        <v>0</v>
      </c>
      <c r="S1668" s="79">
        <v>0</v>
      </c>
      <c r="T1668" s="79"/>
      <c r="U1668" s="80">
        <f t="shared" si="832"/>
        <v>0</v>
      </c>
      <c r="W1668" s="81" t="str">
        <f t="shared" si="815"/>
        <v xml:space="preserve"> </v>
      </c>
      <c r="X1668" s="81" t="str">
        <f t="shared" si="816"/>
        <v xml:space="preserve"> </v>
      </c>
      <c r="Y1668" s="81" t="str">
        <f t="shared" si="817"/>
        <v xml:space="preserve"> </v>
      </c>
      <c r="Z1668" s="79"/>
      <c r="AF1668" s="79"/>
      <c r="AJ1668" s="66"/>
      <c r="AK1668" s="65"/>
    </row>
    <row r="1669" spans="1:37" hidden="1">
      <c r="A1669" s="65">
        <f t="shared" ref="A1669:A1679" si="833">A1668+1</f>
        <v>40</v>
      </c>
      <c r="B1669" s="66" t="s">
        <v>657</v>
      </c>
      <c r="C1669" s="79">
        <f t="shared" si="827"/>
        <v>0</v>
      </c>
      <c r="D1669" s="79">
        <v>0</v>
      </c>
      <c r="E1669" s="79">
        <v>0</v>
      </c>
      <c r="F1669" s="79">
        <f t="shared" si="824"/>
        <v>0</v>
      </c>
      <c r="G1669" s="79">
        <v>0</v>
      </c>
      <c r="H1669" s="79">
        <v>0</v>
      </c>
      <c r="I1669" s="79">
        <v>0</v>
      </c>
      <c r="J1669" s="79">
        <v>0</v>
      </c>
      <c r="K1669" s="79">
        <v>0</v>
      </c>
      <c r="L1669" s="79">
        <v>0</v>
      </c>
      <c r="M1669" s="79">
        <f t="shared" si="826"/>
        <v>0</v>
      </c>
      <c r="N1669" s="79">
        <v>0</v>
      </c>
      <c r="O1669" s="79">
        <v>0</v>
      </c>
      <c r="P1669" s="79">
        <v>0</v>
      </c>
      <c r="Q1669" s="79">
        <v>0</v>
      </c>
      <c r="R1669" s="79">
        <f t="shared" si="829"/>
        <v>0</v>
      </c>
      <c r="S1669" s="79">
        <v>0</v>
      </c>
      <c r="T1669" s="79"/>
      <c r="U1669" s="80">
        <f t="shared" si="832"/>
        <v>0</v>
      </c>
      <c r="W1669" s="81" t="str">
        <f t="shared" si="815"/>
        <v xml:space="preserve"> </v>
      </c>
      <c r="X1669" s="81" t="str">
        <f t="shared" si="816"/>
        <v xml:space="preserve"> </v>
      </c>
      <c r="Y1669" s="81" t="str">
        <f t="shared" si="817"/>
        <v xml:space="preserve"> </v>
      </c>
      <c r="Z1669" s="79"/>
      <c r="AF1669" s="79"/>
      <c r="AJ1669" s="66"/>
      <c r="AK1669" s="65"/>
    </row>
    <row r="1670" spans="1:37" hidden="1">
      <c r="A1670" s="65">
        <f t="shared" si="833"/>
        <v>41</v>
      </c>
      <c r="B1670" s="66" t="s">
        <v>658</v>
      </c>
      <c r="C1670" s="79">
        <f t="shared" si="827"/>
        <v>0</v>
      </c>
      <c r="D1670" s="79">
        <v>0</v>
      </c>
      <c r="E1670" s="79">
        <v>0</v>
      </c>
      <c r="F1670" s="79">
        <f t="shared" si="824"/>
        <v>0</v>
      </c>
      <c r="G1670" s="79">
        <v>0</v>
      </c>
      <c r="H1670" s="79">
        <v>0</v>
      </c>
      <c r="I1670" s="79">
        <v>0</v>
      </c>
      <c r="J1670" s="79">
        <v>0</v>
      </c>
      <c r="K1670" s="79">
        <v>0</v>
      </c>
      <c r="L1670" s="79">
        <v>0</v>
      </c>
      <c r="M1670" s="79">
        <f t="shared" si="826"/>
        <v>0</v>
      </c>
      <c r="N1670" s="79">
        <v>0</v>
      </c>
      <c r="O1670" s="79">
        <v>0</v>
      </c>
      <c r="P1670" s="79">
        <v>0</v>
      </c>
      <c r="Q1670" s="79">
        <v>0</v>
      </c>
      <c r="R1670" s="79">
        <f t="shared" si="829"/>
        <v>0</v>
      </c>
      <c r="S1670" s="79">
        <v>0</v>
      </c>
      <c r="T1670" s="79"/>
      <c r="U1670" s="80">
        <f t="shared" si="832"/>
        <v>0</v>
      </c>
      <c r="W1670" s="81" t="str">
        <f t="shared" si="815"/>
        <v xml:space="preserve"> </v>
      </c>
      <c r="X1670" s="81" t="str">
        <f t="shared" si="816"/>
        <v xml:space="preserve"> </v>
      </c>
      <c r="Y1670" s="81" t="str">
        <f t="shared" si="817"/>
        <v xml:space="preserve"> </v>
      </c>
      <c r="Z1670" s="79"/>
      <c r="AF1670" s="79"/>
      <c r="AJ1670" s="66"/>
      <c r="AK1670" s="65"/>
    </row>
    <row r="1671" spans="1:37" hidden="1">
      <c r="A1671" s="65">
        <f t="shared" si="833"/>
        <v>42</v>
      </c>
      <c r="B1671" s="66" t="s">
        <v>659</v>
      </c>
      <c r="C1671" s="79">
        <f t="shared" si="827"/>
        <v>1831</v>
      </c>
      <c r="D1671" s="79">
        <f>D1622</f>
        <v>1115.99999</v>
      </c>
      <c r="E1671" s="79">
        <f>E1622</f>
        <v>37</v>
      </c>
      <c r="F1671" s="79">
        <f t="shared" si="824"/>
        <v>1152.99999</v>
      </c>
      <c r="G1671" s="79">
        <f t="shared" ref="G1671:L1671" si="834">G1622</f>
        <v>60</v>
      </c>
      <c r="H1671" s="79">
        <f t="shared" si="834"/>
        <v>447</v>
      </c>
      <c r="I1671" s="79">
        <f t="shared" si="834"/>
        <v>138</v>
      </c>
      <c r="J1671" s="79">
        <f t="shared" si="834"/>
        <v>4</v>
      </c>
      <c r="K1671" s="79">
        <f t="shared" si="834"/>
        <v>0</v>
      </c>
      <c r="L1671" s="79">
        <f t="shared" si="834"/>
        <v>0</v>
      </c>
      <c r="M1671" s="79">
        <f t="shared" si="826"/>
        <v>4</v>
      </c>
      <c r="N1671" s="79">
        <f t="shared" ref="N1671:O1671" si="835">N1622</f>
        <v>29.00001</v>
      </c>
      <c r="O1671" s="79">
        <f t="shared" si="835"/>
        <v>1831</v>
      </c>
      <c r="P1671" s="79">
        <f>P1622</f>
        <v>0</v>
      </c>
      <c r="Q1671" s="79">
        <f>Q1622</f>
        <v>0</v>
      </c>
      <c r="R1671" s="79">
        <f t="shared" si="829"/>
        <v>0</v>
      </c>
      <c r="S1671" s="79">
        <f>S1622</f>
        <v>0</v>
      </c>
      <c r="T1671" s="79"/>
      <c r="U1671" s="80">
        <f t="shared" si="832"/>
        <v>0</v>
      </c>
      <c r="W1671" s="81">
        <f t="shared" si="815"/>
        <v>1</v>
      </c>
      <c r="X1671" s="81">
        <f t="shared" si="816"/>
        <v>1</v>
      </c>
      <c r="Y1671" s="81">
        <f t="shared" si="817"/>
        <v>0</v>
      </c>
      <c r="Z1671" s="79"/>
      <c r="AF1671" s="79"/>
      <c r="AJ1671" s="66"/>
      <c r="AK1671" s="65"/>
    </row>
    <row r="1672" spans="1:37" hidden="1">
      <c r="A1672" s="65">
        <f t="shared" si="833"/>
        <v>43</v>
      </c>
      <c r="B1672" s="66" t="s">
        <v>660</v>
      </c>
      <c r="C1672" s="79">
        <f t="shared" si="827"/>
        <v>687</v>
      </c>
      <c r="D1672" s="79">
        <f>+D1625</f>
        <v>386</v>
      </c>
      <c r="E1672" s="79">
        <f>+E1625</f>
        <v>13</v>
      </c>
      <c r="F1672" s="79">
        <f t="shared" si="824"/>
        <v>399</v>
      </c>
      <c r="G1672" s="79">
        <f t="shared" ref="G1672:L1672" si="836">+G1625</f>
        <v>21</v>
      </c>
      <c r="H1672" s="79">
        <f t="shared" si="836"/>
        <v>156</v>
      </c>
      <c r="I1672" s="79">
        <f t="shared" si="836"/>
        <v>63</v>
      </c>
      <c r="J1672" s="79">
        <f t="shared" si="836"/>
        <v>29</v>
      </c>
      <c r="K1672" s="79">
        <f t="shared" si="836"/>
        <v>8</v>
      </c>
      <c r="L1672" s="79">
        <f t="shared" si="836"/>
        <v>1</v>
      </c>
      <c r="M1672" s="79">
        <f t="shared" si="826"/>
        <v>38</v>
      </c>
      <c r="N1672" s="79">
        <f t="shared" ref="N1672:O1672" si="837">+N1625</f>
        <v>10</v>
      </c>
      <c r="O1672" s="79">
        <f t="shared" si="837"/>
        <v>687</v>
      </c>
      <c r="P1672" s="79">
        <f>+P1625</f>
        <v>0</v>
      </c>
      <c r="Q1672" s="79">
        <f>+Q1625</f>
        <v>0</v>
      </c>
      <c r="R1672" s="79">
        <f t="shared" si="829"/>
        <v>0</v>
      </c>
      <c r="S1672" s="79">
        <f>+S1625</f>
        <v>0</v>
      </c>
      <c r="T1672" s="79"/>
      <c r="U1672" s="80">
        <f t="shared" si="832"/>
        <v>0</v>
      </c>
      <c r="W1672" s="81">
        <f t="shared" si="815"/>
        <v>1</v>
      </c>
      <c r="X1672" s="81">
        <f t="shared" si="816"/>
        <v>1</v>
      </c>
      <c r="Y1672" s="81">
        <f t="shared" si="817"/>
        <v>0</v>
      </c>
      <c r="Z1672" s="79"/>
      <c r="AF1672" s="79"/>
      <c r="AJ1672" s="66"/>
      <c r="AK1672" s="65"/>
    </row>
    <row r="1673" spans="1:37" hidden="1">
      <c r="A1673" s="65">
        <f t="shared" si="833"/>
        <v>44</v>
      </c>
      <c r="B1673" s="66" t="s">
        <v>661</v>
      </c>
      <c r="C1673" s="79">
        <f t="shared" si="827"/>
        <v>0</v>
      </c>
      <c r="D1673" s="79">
        <v>0</v>
      </c>
      <c r="E1673" s="79">
        <v>0</v>
      </c>
      <c r="F1673" s="79">
        <f t="shared" si="824"/>
        <v>0</v>
      </c>
      <c r="G1673" s="79">
        <v>0</v>
      </c>
      <c r="H1673" s="79">
        <v>0</v>
      </c>
      <c r="I1673" s="79">
        <v>0</v>
      </c>
      <c r="J1673" s="79">
        <v>0</v>
      </c>
      <c r="K1673" s="79">
        <v>0</v>
      </c>
      <c r="L1673" s="79">
        <v>0</v>
      </c>
      <c r="M1673" s="79">
        <f t="shared" si="826"/>
        <v>0</v>
      </c>
      <c r="N1673" s="79">
        <v>0</v>
      </c>
      <c r="O1673" s="79">
        <v>0</v>
      </c>
      <c r="P1673" s="79">
        <v>0</v>
      </c>
      <c r="Q1673" s="79">
        <v>0</v>
      </c>
      <c r="R1673" s="79">
        <f t="shared" si="829"/>
        <v>0</v>
      </c>
      <c r="S1673" s="79">
        <v>0</v>
      </c>
      <c r="T1673" s="79"/>
      <c r="U1673" s="80">
        <f t="shared" si="832"/>
        <v>0</v>
      </c>
      <c r="W1673" s="81" t="str">
        <f t="shared" si="815"/>
        <v xml:space="preserve"> </v>
      </c>
      <c r="X1673" s="81" t="str">
        <f t="shared" si="816"/>
        <v xml:space="preserve"> </v>
      </c>
      <c r="Y1673" s="81" t="str">
        <f t="shared" si="817"/>
        <v xml:space="preserve"> </v>
      </c>
      <c r="Z1673" s="79"/>
      <c r="AF1673" s="79"/>
      <c r="AJ1673" s="66"/>
      <c r="AK1673" s="65"/>
    </row>
    <row r="1674" spans="1:37" hidden="1">
      <c r="A1674" s="65">
        <f t="shared" si="833"/>
        <v>45</v>
      </c>
      <c r="B1674" s="66" t="s">
        <v>662</v>
      </c>
      <c r="C1674" s="79">
        <f t="shared" si="827"/>
        <v>2122</v>
      </c>
      <c r="D1674" s="79">
        <f>D1626+D1628</f>
        <v>1784</v>
      </c>
      <c r="E1674" s="79">
        <f>E1626+E1628</f>
        <v>42</v>
      </c>
      <c r="F1674" s="79">
        <f t="shared" si="824"/>
        <v>1826</v>
      </c>
      <c r="G1674" s="79">
        <f t="shared" ref="G1674:L1674" si="838">G1626+G1628</f>
        <v>124</v>
      </c>
      <c r="H1674" s="79">
        <f t="shared" si="838"/>
        <v>114</v>
      </c>
      <c r="I1674" s="79">
        <f t="shared" si="838"/>
        <v>16</v>
      </c>
      <c r="J1674" s="79">
        <f t="shared" si="838"/>
        <v>0</v>
      </c>
      <c r="K1674" s="79">
        <f t="shared" si="838"/>
        <v>0</v>
      </c>
      <c r="L1674" s="79">
        <f t="shared" si="838"/>
        <v>0</v>
      </c>
      <c r="M1674" s="79">
        <f t="shared" si="826"/>
        <v>0</v>
      </c>
      <c r="N1674" s="79">
        <f t="shared" ref="N1674:O1674" si="839">N1626+N1628</f>
        <v>42</v>
      </c>
      <c r="O1674" s="79">
        <f t="shared" si="839"/>
        <v>2122</v>
      </c>
      <c r="P1674" s="79">
        <f>P1626+P1628</f>
        <v>0</v>
      </c>
      <c r="Q1674" s="79">
        <f>Q1626+Q1628</f>
        <v>0</v>
      </c>
      <c r="R1674" s="79">
        <f t="shared" si="829"/>
        <v>0</v>
      </c>
      <c r="S1674" s="79">
        <f>S1626+S1628</f>
        <v>0</v>
      </c>
      <c r="T1674" s="79"/>
      <c r="U1674" s="80">
        <f t="shared" si="832"/>
        <v>0</v>
      </c>
      <c r="W1674" s="81">
        <f t="shared" si="815"/>
        <v>1</v>
      </c>
      <c r="X1674" s="81">
        <f t="shared" si="816"/>
        <v>1</v>
      </c>
      <c r="Y1674" s="81">
        <f t="shared" si="817"/>
        <v>0</v>
      </c>
      <c r="Z1674" s="79"/>
      <c r="AF1674" s="79"/>
      <c r="AJ1674" s="66"/>
      <c r="AK1674" s="65"/>
    </row>
    <row r="1675" spans="1:37" hidden="1">
      <c r="A1675" s="65">
        <f t="shared" si="833"/>
        <v>46</v>
      </c>
      <c r="B1675" s="66" t="s">
        <v>663</v>
      </c>
      <c r="C1675" s="79">
        <f t="shared" si="827"/>
        <v>0</v>
      </c>
      <c r="D1675" s="79">
        <v>0</v>
      </c>
      <c r="E1675" s="79">
        <v>0</v>
      </c>
      <c r="F1675" s="79">
        <f t="shared" si="824"/>
        <v>0</v>
      </c>
      <c r="G1675" s="79">
        <v>0</v>
      </c>
      <c r="H1675" s="79">
        <v>0</v>
      </c>
      <c r="I1675" s="79">
        <v>0</v>
      </c>
      <c r="J1675" s="79">
        <v>0</v>
      </c>
      <c r="K1675" s="79">
        <v>0</v>
      </c>
      <c r="L1675" s="79">
        <v>0</v>
      </c>
      <c r="M1675" s="79">
        <f t="shared" si="826"/>
        <v>0</v>
      </c>
      <c r="N1675" s="79">
        <v>0</v>
      </c>
      <c r="O1675" s="79">
        <v>0</v>
      </c>
      <c r="P1675" s="79">
        <v>0</v>
      </c>
      <c r="Q1675" s="79">
        <v>0</v>
      </c>
      <c r="R1675" s="79">
        <f t="shared" si="829"/>
        <v>0</v>
      </c>
      <c r="S1675" s="79">
        <v>0</v>
      </c>
      <c r="T1675" s="79"/>
      <c r="U1675" s="80">
        <f t="shared" si="832"/>
        <v>0</v>
      </c>
      <c r="W1675" s="81" t="str">
        <f t="shared" si="815"/>
        <v xml:space="preserve"> </v>
      </c>
      <c r="X1675" s="81" t="str">
        <f t="shared" si="816"/>
        <v xml:space="preserve"> </v>
      </c>
      <c r="Y1675" s="81" t="str">
        <f t="shared" si="817"/>
        <v xml:space="preserve"> </v>
      </c>
      <c r="Z1675" s="79"/>
      <c r="AF1675" s="79"/>
      <c r="AJ1675" s="66"/>
      <c r="AK1675" s="65"/>
    </row>
    <row r="1676" spans="1:37" hidden="1">
      <c r="A1676" s="65">
        <f t="shared" si="833"/>
        <v>47</v>
      </c>
      <c r="B1676" s="66" t="s">
        <v>664</v>
      </c>
      <c r="C1676" s="79">
        <f t="shared" si="827"/>
        <v>0</v>
      </c>
      <c r="D1676" s="79">
        <v>0</v>
      </c>
      <c r="E1676" s="79">
        <v>0</v>
      </c>
      <c r="F1676" s="79">
        <f t="shared" si="824"/>
        <v>0</v>
      </c>
      <c r="G1676" s="79">
        <v>0</v>
      </c>
      <c r="H1676" s="79">
        <v>0</v>
      </c>
      <c r="I1676" s="79">
        <v>0</v>
      </c>
      <c r="J1676" s="79">
        <v>0</v>
      </c>
      <c r="K1676" s="79">
        <v>0</v>
      </c>
      <c r="L1676" s="79">
        <v>0</v>
      </c>
      <c r="M1676" s="79">
        <f t="shared" si="826"/>
        <v>0</v>
      </c>
      <c r="N1676" s="79">
        <v>0</v>
      </c>
      <c r="O1676" s="79">
        <v>0</v>
      </c>
      <c r="P1676" s="79">
        <v>0</v>
      </c>
      <c r="Q1676" s="79">
        <v>0</v>
      </c>
      <c r="R1676" s="79">
        <f t="shared" si="829"/>
        <v>0</v>
      </c>
      <c r="S1676" s="79">
        <v>0</v>
      </c>
      <c r="T1676" s="79"/>
      <c r="U1676" s="80">
        <f t="shared" si="832"/>
        <v>0</v>
      </c>
      <c r="W1676" s="81" t="str">
        <f t="shared" si="815"/>
        <v xml:space="preserve"> </v>
      </c>
      <c r="X1676" s="81" t="str">
        <f t="shared" si="816"/>
        <v xml:space="preserve"> </v>
      </c>
      <c r="Y1676" s="81" t="str">
        <f t="shared" si="817"/>
        <v xml:space="preserve"> </v>
      </c>
      <c r="Z1676" s="79"/>
      <c r="AF1676" s="79"/>
      <c r="AJ1676" s="66"/>
      <c r="AK1676" s="65"/>
    </row>
    <row r="1677" spans="1:37" hidden="1">
      <c r="A1677" s="65">
        <f t="shared" si="833"/>
        <v>48</v>
      </c>
      <c r="B1677" s="66" t="s">
        <v>168</v>
      </c>
      <c r="C1677" s="79">
        <f>O1677+R1677+S1677</f>
        <v>89</v>
      </c>
      <c r="D1677" s="79">
        <f>+D1664+D1658+D1633</f>
        <v>48</v>
      </c>
      <c r="E1677" s="79">
        <f>+E1664+E1658+E1633</f>
        <v>2</v>
      </c>
      <c r="F1677" s="79">
        <f t="shared" si="824"/>
        <v>50</v>
      </c>
      <c r="G1677" s="79">
        <f t="shared" ref="G1677:L1677" si="840">+G1664+G1658+G1633</f>
        <v>5</v>
      </c>
      <c r="H1677" s="79">
        <f t="shared" si="840"/>
        <v>16</v>
      </c>
      <c r="I1677" s="79">
        <f t="shared" si="840"/>
        <v>8</v>
      </c>
      <c r="J1677" s="79">
        <f t="shared" si="840"/>
        <v>5</v>
      </c>
      <c r="K1677" s="79">
        <f t="shared" si="840"/>
        <v>0</v>
      </c>
      <c r="L1677" s="79">
        <f t="shared" si="840"/>
        <v>0</v>
      </c>
      <c r="M1677" s="79">
        <f t="shared" si="826"/>
        <v>5</v>
      </c>
      <c r="N1677" s="79">
        <f t="shared" ref="N1677:O1677" si="841">+N1664+N1658+N1633</f>
        <v>5</v>
      </c>
      <c r="O1677" s="79">
        <f t="shared" si="841"/>
        <v>89</v>
      </c>
      <c r="P1677" s="79">
        <v>0</v>
      </c>
      <c r="Q1677" s="79">
        <v>0</v>
      </c>
      <c r="R1677" s="79">
        <f t="shared" si="829"/>
        <v>0</v>
      </c>
      <c r="S1677" s="79">
        <v>0</v>
      </c>
      <c r="T1677" s="79"/>
      <c r="U1677" s="80">
        <f t="shared" si="832"/>
        <v>0</v>
      </c>
      <c r="W1677" s="81">
        <f t="shared" si="815"/>
        <v>1</v>
      </c>
      <c r="X1677" s="81">
        <f t="shared" si="816"/>
        <v>1</v>
      </c>
      <c r="Y1677" s="81">
        <f t="shared" si="817"/>
        <v>0</v>
      </c>
      <c r="Z1677" s="79"/>
      <c r="AF1677" s="79"/>
      <c r="AJ1677" s="66"/>
      <c r="AK1677" s="65"/>
    </row>
    <row r="1678" spans="1:37" hidden="1">
      <c r="A1678" s="65">
        <f t="shared" si="833"/>
        <v>49</v>
      </c>
      <c r="C1678" s="79"/>
      <c r="D1678" s="79"/>
      <c r="E1678" s="79"/>
      <c r="F1678" s="79"/>
      <c r="G1678" s="79"/>
      <c r="H1678" s="79"/>
      <c r="I1678" s="79"/>
      <c r="J1678" s="79"/>
      <c r="K1678" s="79"/>
      <c r="L1678" s="79"/>
      <c r="M1678" s="79"/>
      <c r="N1678" s="79"/>
      <c r="O1678" s="79"/>
      <c r="P1678" s="79"/>
      <c r="Q1678" s="79"/>
      <c r="R1678" s="79"/>
      <c r="S1678" s="79"/>
      <c r="T1678" s="79"/>
      <c r="U1678" s="80"/>
      <c r="W1678" s="81" t="str">
        <f t="shared" si="815"/>
        <v xml:space="preserve"> </v>
      </c>
      <c r="X1678" s="81" t="str">
        <f t="shared" si="816"/>
        <v xml:space="preserve"> </v>
      </c>
      <c r="Y1678" s="81" t="str">
        <f t="shared" si="817"/>
        <v xml:space="preserve"> </v>
      </c>
      <c r="Z1678" s="79"/>
      <c r="AF1678" s="79"/>
      <c r="AJ1678" s="66"/>
      <c r="AK1678" s="65"/>
    </row>
    <row r="1679" spans="1:37" hidden="1">
      <c r="A1679" s="65">
        <f t="shared" si="833"/>
        <v>50</v>
      </c>
      <c r="B1679" s="66" t="s">
        <v>337</v>
      </c>
      <c r="C1679" s="79">
        <f>C652</f>
        <v>9.9999999999999995E-8</v>
      </c>
      <c r="D1679" s="79">
        <f>D652</f>
        <v>9.9999999999999995E-8</v>
      </c>
      <c r="E1679" s="79">
        <f>E652</f>
        <v>0</v>
      </c>
      <c r="F1679" s="79">
        <f t="shared" si="824"/>
        <v>9.9999999999999995E-8</v>
      </c>
      <c r="G1679" s="79">
        <f t="shared" ref="G1679:L1679" si="842">G652</f>
        <v>0</v>
      </c>
      <c r="H1679" s="79">
        <f t="shared" si="842"/>
        <v>0</v>
      </c>
      <c r="I1679" s="79">
        <f t="shared" si="842"/>
        <v>0</v>
      </c>
      <c r="J1679" s="79">
        <f t="shared" si="842"/>
        <v>0</v>
      </c>
      <c r="K1679" s="79">
        <f t="shared" si="842"/>
        <v>0</v>
      </c>
      <c r="L1679" s="79">
        <f t="shared" si="842"/>
        <v>0</v>
      </c>
      <c r="M1679" s="79">
        <f t="shared" si="826"/>
        <v>0</v>
      </c>
      <c r="N1679" s="79">
        <f>N652</f>
        <v>0</v>
      </c>
      <c r="O1679" s="79">
        <f>O652</f>
        <v>9.9999999999999995E-8</v>
      </c>
      <c r="P1679" s="79">
        <f>P652</f>
        <v>0</v>
      </c>
      <c r="Q1679" s="79">
        <f>Q652</f>
        <v>0</v>
      </c>
      <c r="R1679" s="79">
        <f t="shared" ref="R1679:R1689" si="843">P1679+Q1679</f>
        <v>0</v>
      </c>
      <c r="S1679" s="79">
        <f>S652</f>
        <v>0</v>
      </c>
      <c r="T1679" s="79"/>
      <c r="U1679" s="80">
        <f t="shared" si="832"/>
        <v>0</v>
      </c>
      <c r="W1679" s="81">
        <f t="shared" si="815"/>
        <v>1</v>
      </c>
      <c r="X1679" s="81">
        <f t="shared" si="816"/>
        <v>1</v>
      </c>
      <c r="Y1679" s="81">
        <f t="shared" si="817"/>
        <v>0</v>
      </c>
      <c r="Z1679" s="79"/>
      <c r="AF1679" s="79"/>
      <c r="AJ1679" s="66"/>
      <c r="AK1679" s="65"/>
    </row>
    <row r="1680" spans="1:37" hidden="1">
      <c r="B1680" s="66" t="s">
        <v>655</v>
      </c>
      <c r="C1680" s="79">
        <v>0</v>
      </c>
      <c r="D1680" s="79">
        <f>D1679-SUM(D1681:D1689)</f>
        <v>9.9999999999999995E-8</v>
      </c>
      <c r="E1680" s="79">
        <v>0</v>
      </c>
      <c r="F1680" s="79">
        <f t="shared" si="824"/>
        <v>9.9999999999999995E-8</v>
      </c>
      <c r="G1680" s="79">
        <v>0</v>
      </c>
      <c r="H1680" s="79">
        <v>0</v>
      </c>
      <c r="I1680" s="79">
        <v>0</v>
      </c>
      <c r="J1680" s="79">
        <v>0</v>
      </c>
      <c r="K1680" s="79">
        <v>0</v>
      </c>
      <c r="L1680" s="79">
        <v>0</v>
      </c>
      <c r="M1680" s="79">
        <f t="shared" si="826"/>
        <v>0</v>
      </c>
      <c r="N1680" s="79">
        <v>0</v>
      </c>
      <c r="O1680" s="79">
        <f t="shared" ref="O1680:O1689" si="844">SUM(F1680:I1680)+SUM(M1680:N1680)</f>
        <v>9.9999999999999995E-8</v>
      </c>
      <c r="P1680" s="79">
        <v>0</v>
      </c>
      <c r="Q1680" s="79">
        <v>0</v>
      </c>
      <c r="R1680" s="79">
        <f t="shared" si="843"/>
        <v>0</v>
      </c>
      <c r="S1680" s="79">
        <v>0</v>
      </c>
      <c r="T1680" s="79"/>
      <c r="U1680" s="80">
        <f t="shared" si="832"/>
        <v>9.9999999999999995E-8</v>
      </c>
      <c r="W1680" s="81">
        <f t="shared" si="815"/>
        <v>1</v>
      </c>
      <c r="X1680" s="81" t="str">
        <f t="shared" si="816"/>
        <v xml:space="preserve"> </v>
      </c>
      <c r="Y1680" s="81" t="str">
        <f t="shared" si="817"/>
        <v xml:space="preserve"> </v>
      </c>
      <c r="Z1680" s="79"/>
      <c r="AF1680" s="79"/>
      <c r="AJ1680" s="66"/>
      <c r="AK1680" s="65"/>
    </row>
    <row r="1681" spans="1:37" hidden="1">
      <c r="A1681" s="65">
        <f>A1679+1</f>
        <v>51</v>
      </c>
      <c r="B1681" s="66" t="s">
        <v>656</v>
      </c>
      <c r="C1681" s="79">
        <v>0</v>
      </c>
      <c r="D1681" s="79">
        <v>0</v>
      </c>
      <c r="E1681" s="79">
        <v>0</v>
      </c>
      <c r="F1681" s="79">
        <f t="shared" si="824"/>
        <v>0</v>
      </c>
      <c r="G1681" s="79">
        <v>0</v>
      </c>
      <c r="H1681" s="79">
        <v>0</v>
      </c>
      <c r="I1681" s="79">
        <v>0</v>
      </c>
      <c r="J1681" s="79">
        <v>0</v>
      </c>
      <c r="K1681" s="79">
        <v>0</v>
      </c>
      <c r="L1681" s="79">
        <v>0</v>
      </c>
      <c r="M1681" s="79">
        <f t="shared" si="826"/>
        <v>0</v>
      </c>
      <c r="N1681" s="79">
        <v>0</v>
      </c>
      <c r="O1681" s="79">
        <f t="shared" si="844"/>
        <v>0</v>
      </c>
      <c r="P1681" s="79">
        <v>0</v>
      </c>
      <c r="Q1681" s="79">
        <v>0</v>
      </c>
      <c r="R1681" s="79">
        <f t="shared" si="843"/>
        <v>0</v>
      </c>
      <c r="S1681" s="79">
        <v>0</v>
      </c>
      <c r="T1681" s="79"/>
      <c r="U1681" s="80">
        <f t="shared" si="832"/>
        <v>0</v>
      </c>
      <c r="W1681" s="81" t="str">
        <f t="shared" si="815"/>
        <v xml:space="preserve"> </v>
      </c>
      <c r="X1681" s="81" t="str">
        <f t="shared" si="816"/>
        <v xml:space="preserve"> </v>
      </c>
      <c r="Y1681" s="81" t="str">
        <f t="shared" si="817"/>
        <v xml:space="preserve"> </v>
      </c>
      <c r="Z1681" s="79"/>
      <c r="AF1681" s="79"/>
      <c r="AJ1681" s="66"/>
      <c r="AK1681" s="65"/>
    </row>
    <row r="1682" spans="1:37" hidden="1">
      <c r="A1682" s="65">
        <f t="shared" ref="A1682:A1691" si="845">A1681+1</f>
        <v>52</v>
      </c>
      <c r="B1682" s="66" t="s">
        <v>657</v>
      </c>
      <c r="C1682" s="79">
        <v>0</v>
      </c>
      <c r="D1682" s="79">
        <v>0</v>
      </c>
      <c r="E1682" s="79">
        <v>0</v>
      </c>
      <c r="F1682" s="79">
        <f t="shared" si="824"/>
        <v>0</v>
      </c>
      <c r="G1682" s="79">
        <v>0</v>
      </c>
      <c r="H1682" s="79">
        <v>0</v>
      </c>
      <c r="I1682" s="79">
        <v>0</v>
      </c>
      <c r="J1682" s="79">
        <v>0</v>
      </c>
      <c r="K1682" s="79">
        <v>0</v>
      </c>
      <c r="L1682" s="79">
        <v>0</v>
      </c>
      <c r="M1682" s="79">
        <f t="shared" si="826"/>
        <v>0</v>
      </c>
      <c r="N1682" s="79">
        <v>0</v>
      </c>
      <c r="O1682" s="79">
        <f t="shared" si="844"/>
        <v>0</v>
      </c>
      <c r="P1682" s="79">
        <v>0</v>
      </c>
      <c r="Q1682" s="79">
        <v>0</v>
      </c>
      <c r="R1682" s="79">
        <f t="shared" si="843"/>
        <v>0</v>
      </c>
      <c r="S1682" s="79">
        <v>0</v>
      </c>
      <c r="T1682" s="79"/>
      <c r="U1682" s="80">
        <f t="shared" si="832"/>
        <v>0</v>
      </c>
      <c r="W1682" s="81" t="str">
        <f t="shared" si="815"/>
        <v xml:space="preserve"> </v>
      </c>
      <c r="X1682" s="81" t="str">
        <f t="shared" si="816"/>
        <v xml:space="preserve"> </v>
      </c>
      <c r="Y1682" s="81" t="str">
        <f t="shared" si="817"/>
        <v xml:space="preserve"> </v>
      </c>
      <c r="Z1682" s="79"/>
      <c r="AF1682" s="79"/>
      <c r="AJ1682" s="66"/>
      <c r="AK1682" s="65"/>
    </row>
    <row r="1683" spans="1:37" hidden="1">
      <c r="A1683" s="65">
        <f t="shared" si="845"/>
        <v>53</v>
      </c>
      <c r="B1683" s="66" t="s">
        <v>659</v>
      </c>
      <c r="C1683" s="79">
        <v>0</v>
      </c>
      <c r="D1683" s="79">
        <v>0</v>
      </c>
      <c r="E1683" s="79">
        <v>0</v>
      </c>
      <c r="F1683" s="79">
        <f t="shared" si="824"/>
        <v>0</v>
      </c>
      <c r="G1683" s="79">
        <v>0</v>
      </c>
      <c r="H1683" s="79">
        <v>0</v>
      </c>
      <c r="I1683" s="79">
        <v>0</v>
      </c>
      <c r="J1683" s="79">
        <v>0</v>
      </c>
      <c r="K1683" s="79">
        <v>0</v>
      </c>
      <c r="L1683" s="79">
        <v>0</v>
      </c>
      <c r="M1683" s="79">
        <f t="shared" si="826"/>
        <v>0</v>
      </c>
      <c r="N1683" s="79">
        <v>0</v>
      </c>
      <c r="O1683" s="79">
        <f t="shared" si="844"/>
        <v>0</v>
      </c>
      <c r="P1683" s="79">
        <v>0</v>
      </c>
      <c r="Q1683" s="79">
        <v>0</v>
      </c>
      <c r="R1683" s="79">
        <f t="shared" si="843"/>
        <v>0</v>
      </c>
      <c r="S1683" s="79">
        <v>0</v>
      </c>
      <c r="T1683" s="79"/>
      <c r="U1683" s="80">
        <f t="shared" si="832"/>
        <v>0</v>
      </c>
      <c r="W1683" s="81" t="str">
        <f t="shared" si="815"/>
        <v xml:space="preserve"> </v>
      </c>
      <c r="X1683" s="81" t="str">
        <f t="shared" si="816"/>
        <v xml:space="preserve"> </v>
      </c>
      <c r="Y1683" s="81" t="str">
        <f t="shared" si="817"/>
        <v xml:space="preserve"> </v>
      </c>
      <c r="Z1683" s="79"/>
      <c r="AF1683" s="79"/>
      <c r="AJ1683" s="66"/>
      <c r="AK1683" s="65"/>
    </row>
    <row r="1684" spans="1:37" hidden="1">
      <c r="A1684" s="65">
        <f t="shared" si="845"/>
        <v>54</v>
      </c>
      <c r="B1684" s="66" t="s">
        <v>660</v>
      </c>
      <c r="C1684" s="79">
        <v>0</v>
      </c>
      <c r="D1684" s="79">
        <v>0</v>
      </c>
      <c r="E1684" s="79">
        <v>0</v>
      </c>
      <c r="F1684" s="79">
        <f t="shared" si="824"/>
        <v>0</v>
      </c>
      <c r="G1684" s="79">
        <v>0</v>
      </c>
      <c r="H1684" s="79">
        <v>0</v>
      </c>
      <c r="I1684" s="79">
        <v>0</v>
      </c>
      <c r="J1684" s="79">
        <v>0</v>
      </c>
      <c r="K1684" s="79">
        <v>0</v>
      </c>
      <c r="L1684" s="79">
        <v>0</v>
      </c>
      <c r="M1684" s="79">
        <f t="shared" si="826"/>
        <v>0</v>
      </c>
      <c r="N1684" s="79">
        <v>0</v>
      </c>
      <c r="O1684" s="79">
        <f t="shared" si="844"/>
        <v>0</v>
      </c>
      <c r="P1684" s="79">
        <v>0</v>
      </c>
      <c r="Q1684" s="79">
        <v>0</v>
      </c>
      <c r="R1684" s="79">
        <f t="shared" si="843"/>
        <v>0</v>
      </c>
      <c r="S1684" s="79">
        <v>0</v>
      </c>
      <c r="T1684" s="79"/>
      <c r="U1684" s="80">
        <f t="shared" si="832"/>
        <v>0</v>
      </c>
      <c r="W1684" s="81" t="str">
        <f t="shared" si="815"/>
        <v xml:space="preserve"> </v>
      </c>
      <c r="X1684" s="81" t="str">
        <f t="shared" si="816"/>
        <v xml:space="preserve"> </v>
      </c>
      <c r="Y1684" s="81" t="str">
        <f t="shared" si="817"/>
        <v xml:space="preserve"> </v>
      </c>
      <c r="Z1684" s="79"/>
      <c r="AF1684" s="79"/>
      <c r="AJ1684" s="66"/>
      <c r="AK1684" s="65"/>
    </row>
    <row r="1685" spans="1:37" hidden="1">
      <c r="A1685" s="65">
        <f t="shared" si="845"/>
        <v>55</v>
      </c>
      <c r="B1685" s="66" t="s">
        <v>661</v>
      </c>
      <c r="C1685" s="79">
        <v>0</v>
      </c>
      <c r="D1685" s="79">
        <v>0</v>
      </c>
      <c r="E1685" s="79">
        <v>0</v>
      </c>
      <c r="F1685" s="79">
        <f t="shared" si="824"/>
        <v>0</v>
      </c>
      <c r="G1685" s="79">
        <v>0</v>
      </c>
      <c r="H1685" s="79">
        <v>0</v>
      </c>
      <c r="I1685" s="79">
        <v>0</v>
      </c>
      <c r="J1685" s="79">
        <v>0</v>
      </c>
      <c r="K1685" s="79">
        <v>0</v>
      </c>
      <c r="L1685" s="79">
        <v>0</v>
      </c>
      <c r="M1685" s="79">
        <f t="shared" si="826"/>
        <v>0</v>
      </c>
      <c r="N1685" s="79">
        <v>0</v>
      </c>
      <c r="O1685" s="79">
        <f t="shared" si="844"/>
        <v>0</v>
      </c>
      <c r="P1685" s="79">
        <v>0</v>
      </c>
      <c r="Q1685" s="79">
        <v>0</v>
      </c>
      <c r="R1685" s="79">
        <f t="shared" si="843"/>
        <v>0</v>
      </c>
      <c r="S1685" s="79">
        <v>0</v>
      </c>
      <c r="T1685" s="79"/>
      <c r="U1685" s="80">
        <f t="shared" si="832"/>
        <v>0</v>
      </c>
      <c r="W1685" s="81" t="str">
        <f t="shared" si="815"/>
        <v xml:space="preserve"> </v>
      </c>
      <c r="X1685" s="81" t="str">
        <f t="shared" si="816"/>
        <v xml:space="preserve"> </v>
      </c>
      <c r="Y1685" s="81" t="str">
        <f t="shared" si="817"/>
        <v xml:space="preserve"> </v>
      </c>
      <c r="Z1685" s="79"/>
      <c r="AF1685" s="79"/>
      <c r="AJ1685" s="66"/>
      <c r="AK1685" s="65"/>
    </row>
    <row r="1686" spans="1:37" hidden="1">
      <c r="A1686" s="65">
        <f t="shared" si="845"/>
        <v>56</v>
      </c>
      <c r="B1686" s="66" t="s">
        <v>662</v>
      </c>
      <c r="C1686" s="79">
        <v>0</v>
      </c>
      <c r="D1686" s="79">
        <v>0</v>
      </c>
      <c r="E1686" s="79">
        <v>0</v>
      </c>
      <c r="F1686" s="79">
        <f t="shared" si="824"/>
        <v>0</v>
      </c>
      <c r="G1686" s="79">
        <v>0</v>
      </c>
      <c r="H1686" s="79">
        <v>0</v>
      </c>
      <c r="I1686" s="79">
        <v>0</v>
      </c>
      <c r="J1686" s="79">
        <v>0</v>
      </c>
      <c r="K1686" s="79">
        <v>0</v>
      </c>
      <c r="L1686" s="79">
        <v>0</v>
      </c>
      <c r="M1686" s="79">
        <f t="shared" si="826"/>
        <v>0</v>
      </c>
      <c r="N1686" s="79">
        <v>0</v>
      </c>
      <c r="O1686" s="79">
        <f t="shared" si="844"/>
        <v>0</v>
      </c>
      <c r="P1686" s="79">
        <v>0</v>
      </c>
      <c r="Q1686" s="79">
        <v>0</v>
      </c>
      <c r="R1686" s="79">
        <f t="shared" si="843"/>
        <v>0</v>
      </c>
      <c r="S1686" s="79">
        <v>0</v>
      </c>
      <c r="T1686" s="79"/>
      <c r="U1686" s="80">
        <f t="shared" si="832"/>
        <v>0</v>
      </c>
      <c r="W1686" s="81" t="str">
        <f t="shared" si="815"/>
        <v xml:space="preserve"> </v>
      </c>
      <c r="X1686" s="81" t="str">
        <f t="shared" si="816"/>
        <v xml:space="preserve"> </v>
      </c>
      <c r="Y1686" s="81" t="str">
        <f t="shared" si="817"/>
        <v xml:space="preserve"> </v>
      </c>
      <c r="Z1686" s="79"/>
      <c r="AF1686" s="79"/>
      <c r="AJ1686" s="66"/>
      <c r="AK1686" s="65"/>
    </row>
    <row r="1687" spans="1:37" hidden="1">
      <c r="A1687" s="65">
        <f t="shared" si="845"/>
        <v>57</v>
      </c>
      <c r="B1687" s="66" t="s">
        <v>663</v>
      </c>
      <c r="C1687" s="79">
        <f>C1679-SUM(C1680:C1686)-C1688-C1689</f>
        <v>9.9999999999999995E-8</v>
      </c>
      <c r="D1687" s="79">
        <v>0</v>
      </c>
      <c r="E1687" s="79">
        <f>E1679-SUM(E1680:E1686)-E1688-E1689</f>
        <v>0</v>
      </c>
      <c r="F1687" s="79">
        <f t="shared" si="824"/>
        <v>0</v>
      </c>
      <c r="G1687" s="79">
        <f t="shared" ref="G1687:L1687" si="846">G1679-SUM(G1680:G1686)-G1688-G1689</f>
        <v>0</v>
      </c>
      <c r="H1687" s="79">
        <f t="shared" si="846"/>
        <v>0</v>
      </c>
      <c r="I1687" s="79">
        <f t="shared" si="846"/>
        <v>0</v>
      </c>
      <c r="J1687" s="79">
        <f t="shared" si="846"/>
        <v>0</v>
      </c>
      <c r="K1687" s="79">
        <f t="shared" si="846"/>
        <v>0</v>
      </c>
      <c r="L1687" s="79">
        <f t="shared" si="846"/>
        <v>0</v>
      </c>
      <c r="M1687" s="79">
        <f t="shared" si="826"/>
        <v>0</v>
      </c>
      <c r="N1687" s="79">
        <f>N1679-SUM(N1680:N1686)-N1688-N1689</f>
        <v>0</v>
      </c>
      <c r="O1687" s="79">
        <f t="shared" si="844"/>
        <v>0</v>
      </c>
      <c r="P1687" s="79">
        <v>0</v>
      </c>
      <c r="Q1687" s="79">
        <v>0</v>
      </c>
      <c r="R1687" s="79">
        <f t="shared" si="843"/>
        <v>0</v>
      </c>
      <c r="S1687" s="79">
        <v>0</v>
      </c>
      <c r="T1687" s="79"/>
      <c r="U1687" s="80">
        <f t="shared" si="832"/>
        <v>-9.9999999999999995E-8</v>
      </c>
      <c r="W1687" s="81" t="str">
        <f t="shared" si="815"/>
        <v xml:space="preserve"> </v>
      </c>
      <c r="X1687" s="81">
        <f t="shared" si="816"/>
        <v>0</v>
      </c>
      <c r="Y1687" s="81">
        <f t="shared" si="817"/>
        <v>0</v>
      </c>
      <c r="Z1687" s="79"/>
      <c r="AF1687" s="79"/>
      <c r="AJ1687" s="66"/>
      <c r="AK1687" s="65"/>
    </row>
    <row r="1688" spans="1:37" hidden="1">
      <c r="A1688" s="65">
        <f t="shared" si="845"/>
        <v>58</v>
      </c>
      <c r="B1688" s="66" t="s">
        <v>664</v>
      </c>
      <c r="C1688" s="79">
        <v>0</v>
      </c>
      <c r="D1688" s="79">
        <v>0</v>
      </c>
      <c r="E1688" s="79">
        <v>0</v>
      </c>
      <c r="F1688" s="79">
        <f t="shared" si="824"/>
        <v>0</v>
      </c>
      <c r="G1688" s="79">
        <v>0</v>
      </c>
      <c r="H1688" s="79">
        <v>0</v>
      </c>
      <c r="I1688" s="79">
        <v>0</v>
      </c>
      <c r="J1688" s="79">
        <v>0</v>
      </c>
      <c r="K1688" s="79">
        <v>0</v>
      </c>
      <c r="L1688" s="79">
        <v>0</v>
      </c>
      <c r="M1688" s="79">
        <f t="shared" si="826"/>
        <v>0</v>
      </c>
      <c r="N1688" s="79">
        <v>0</v>
      </c>
      <c r="O1688" s="79">
        <f t="shared" si="844"/>
        <v>0</v>
      </c>
      <c r="P1688" s="79">
        <v>0</v>
      </c>
      <c r="Q1688" s="79">
        <v>0</v>
      </c>
      <c r="R1688" s="79">
        <f t="shared" si="843"/>
        <v>0</v>
      </c>
      <c r="S1688" s="79">
        <v>0</v>
      </c>
      <c r="T1688" s="79"/>
      <c r="U1688" s="80">
        <f t="shared" si="832"/>
        <v>0</v>
      </c>
      <c r="W1688" s="81" t="str">
        <f t="shared" si="815"/>
        <v xml:space="preserve"> </v>
      </c>
      <c r="X1688" s="81" t="str">
        <f t="shared" si="816"/>
        <v xml:space="preserve"> </v>
      </c>
      <c r="Y1688" s="81" t="str">
        <f t="shared" si="817"/>
        <v xml:space="preserve"> </v>
      </c>
      <c r="Z1688" s="79"/>
      <c r="AF1688" s="79"/>
      <c r="AJ1688" s="66"/>
      <c r="AK1688" s="65"/>
    </row>
    <row r="1689" spans="1:37" hidden="1">
      <c r="A1689" s="65">
        <f t="shared" si="845"/>
        <v>59</v>
      </c>
      <c r="B1689" s="66" t="s">
        <v>168</v>
      </c>
      <c r="C1689" s="79">
        <v>0</v>
      </c>
      <c r="D1689" s="79">
        <v>0</v>
      </c>
      <c r="E1689" s="79">
        <v>0</v>
      </c>
      <c r="F1689" s="79">
        <f t="shared" si="824"/>
        <v>0</v>
      </c>
      <c r="G1689" s="79">
        <v>0</v>
      </c>
      <c r="H1689" s="79">
        <v>0</v>
      </c>
      <c r="I1689" s="79">
        <v>0</v>
      </c>
      <c r="J1689" s="79">
        <v>0</v>
      </c>
      <c r="K1689" s="79">
        <v>0</v>
      </c>
      <c r="L1689" s="79">
        <v>0</v>
      </c>
      <c r="M1689" s="79">
        <f t="shared" si="826"/>
        <v>0</v>
      </c>
      <c r="N1689" s="79">
        <v>0</v>
      </c>
      <c r="O1689" s="79">
        <f t="shared" si="844"/>
        <v>0</v>
      </c>
      <c r="P1689" s="79">
        <v>0</v>
      </c>
      <c r="Q1689" s="79">
        <v>0</v>
      </c>
      <c r="R1689" s="79">
        <f t="shared" si="843"/>
        <v>0</v>
      </c>
      <c r="S1689" s="79">
        <v>0</v>
      </c>
      <c r="T1689" s="79"/>
      <c r="U1689" s="80">
        <f t="shared" si="832"/>
        <v>0</v>
      </c>
      <c r="W1689" s="81" t="str">
        <f t="shared" si="815"/>
        <v xml:space="preserve"> </v>
      </c>
      <c r="X1689" s="81" t="str">
        <f t="shared" si="816"/>
        <v xml:space="preserve"> </v>
      </c>
      <c r="Y1689" s="81" t="str">
        <f t="shared" si="817"/>
        <v xml:space="preserve"> </v>
      </c>
      <c r="Z1689" s="79"/>
      <c r="AF1689" s="79"/>
      <c r="AJ1689" s="66"/>
      <c r="AK1689" s="65"/>
    </row>
    <row r="1690" spans="1:37" hidden="1">
      <c r="A1690" s="65">
        <f t="shared" si="845"/>
        <v>60</v>
      </c>
      <c r="C1690" s="79"/>
      <c r="D1690" s="79"/>
      <c r="E1690" s="79"/>
      <c r="F1690" s="79"/>
      <c r="G1690" s="79"/>
      <c r="H1690" s="79"/>
      <c r="I1690" s="79"/>
      <c r="J1690" s="79"/>
      <c r="K1690" s="79"/>
      <c r="L1690" s="79"/>
      <c r="M1690" s="79"/>
      <c r="N1690" s="79"/>
      <c r="O1690" s="79"/>
      <c r="P1690" s="79"/>
      <c r="Q1690" s="79"/>
      <c r="R1690" s="79"/>
      <c r="S1690" s="79"/>
      <c r="U1690" s="80"/>
      <c r="W1690" s="81" t="str">
        <f t="shared" si="815"/>
        <v xml:space="preserve"> </v>
      </c>
      <c r="X1690" s="81" t="str">
        <f t="shared" si="816"/>
        <v xml:space="preserve"> </v>
      </c>
      <c r="Y1690" s="81" t="str">
        <f t="shared" si="817"/>
        <v xml:space="preserve"> </v>
      </c>
      <c r="Z1690" s="79"/>
      <c r="AF1690" s="79"/>
      <c r="AJ1690" s="66"/>
      <c r="AK1690" s="65"/>
    </row>
    <row r="1691" spans="1:37" hidden="1">
      <c r="A1691" s="65">
        <f t="shared" si="845"/>
        <v>61</v>
      </c>
      <c r="B1691" s="66" t="s">
        <v>665</v>
      </c>
      <c r="C1691" s="79"/>
      <c r="D1691" s="79"/>
      <c r="E1691" s="79"/>
      <c r="F1691" s="79"/>
      <c r="G1691" s="79"/>
      <c r="H1691" s="79"/>
      <c r="I1691" s="79"/>
      <c r="J1691" s="79"/>
      <c r="K1691" s="79"/>
      <c r="L1691" s="79"/>
      <c r="M1691" s="79"/>
      <c r="N1691" s="79"/>
      <c r="O1691" s="79"/>
      <c r="P1691" s="79"/>
      <c r="Q1691" s="79"/>
      <c r="R1691" s="79"/>
      <c r="S1691" s="79"/>
      <c r="U1691" s="80"/>
      <c r="W1691" s="81" t="str">
        <f t="shared" si="815"/>
        <v xml:space="preserve"> </v>
      </c>
      <c r="X1691" s="81" t="str">
        <f t="shared" si="816"/>
        <v xml:space="preserve"> </v>
      </c>
      <c r="Y1691" s="81" t="str">
        <f t="shared" si="817"/>
        <v xml:space="preserve"> </v>
      </c>
      <c r="Z1691" s="79"/>
      <c r="AF1691" s="79"/>
      <c r="AJ1691" s="66"/>
      <c r="AK1691" s="65"/>
    </row>
    <row r="1692" spans="1:37" hidden="1">
      <c r="B1692" s="66" t="s">
        <v>656</v>
      </c>
      <c r="C1692" s="79">
        <f>C654</f>
        <v>6890</v>
      </c>
      <c r="D1692" s="79">
        <f>D654</f>
        <v>3624</v>
      </c>
      <c r="E1692" s="79">
        <f>E654</f>
        <v>93</v>
      </c>
      <c r="F1692" s="79">
        <f>D1692+E1692</f>
        <v>3717</v>
      </c>
      <c r="G1692" s="79">
        <f t="shared" ref="G1692:L1692" si="847">G654</f>
        <v>182</v>
      </c>
      <c r="H1692" s="79">
        <f t="shared" si="847"/>
        <v>1468</v>
      </c>
      <c r="I1692" s="79">
        <f t="shared" si="847"/>
        <v>853</v>
      </c>
      <c r="J1692" s="79">
        <f t="shared" si="847"/>
        <v>366</v>
      </c>
      <c r="K1692" s="79">
        <f t="shared" si="847"/>
        <v>27</v>
      </c>
      <c r="L1692" s="79">
        <f t="shared" si="847"/>
        <v>15</v>
      </c>
      <c r="M1692" s="79">
        <f>SUM(J1692:L1692)</f>
        <v>408</v>
      </c>
      <c r="N1692" s="79">
        <f>N654</f>
        <v>29</v>
      </c>
      <c r="O1692" s="79">
        <f>O654</f>
        <v>6657</v>
      </c>
      <c r="P1692" s="79">
        <f>P654</f>
        <v>209</v>
      </c>
      <c r="Q1692" s="79">
        <f>Q654</f>
        <v>24</v>
      </c>
      <c r="R1692" s="79">
        <f>P1692+Q1692</f>
        <v>233</v>
      </c>
      <c r="S1692" s="79">
        <f>S654</f>
        <v>0</v>
      </c>
      <c r="U1692" s="80">
        <f>O1692+R1692+S1692-C1692</f>
        <v>0</v>
      </c>
      <c r="W1692" s="81">
        <f t="shared" si="815"/>
        <v>0.96618289999999996</v>
      </c>
      <c r="X1692" s="81">
        <f t="shared" si="816"/>
        <v>0.96618289999999996</v>
      </c>
      <c r="Y1692" s="81">
        <f t="shared" si="817"/>
        <v>0</v>
      </c>
      <c r="Z1692" s="79"/>
      <c r="AF1692" s="79"/>
      <c r="AJ1692" s="66"/>
      <c r="AK1692" s="65"/>
    </row>
    <row r="1693" spans="1:37" hidden="1">
      <c r="C1693" s="79"/>
      <c r="D1693" s="79"/>
      <c r="E1693" s="79"/>
      <c r="F1693" s="79"/>
      <c r="G1693" s="79"/>
      <c r="H1693" s="79"/>
      <c r="I1693" s="79"/>
      <c r="J1693" s="79"/>
      <c r="K1693" s="79"/>
      <c r="L1693" s="79"/>
      <c r="M1693" s="79"/>
      <c r="N1693" s="79"/>
      <c r="O1693" s="79"/>
      <c r="P1693" s="79"/>
      <c r="Q1693" s="79"/>
      <c r="R1693" s="79"/>
      <c r="S1693" s="79"/>
      <c r="U1693" s="80"/>
      <c r="W1693" s="81" t="str">
        <f t="shared" si="815"/>
        <v xml:space="preserve"> </v>
      </c>
      <c r="X1693" s="81" t="str">
        <f t="shared" si="816"/>
        <v xml:space="preserve"> </v>
      </c>
      <c r="Y1693" s="81" t="str">
        <f t="shared" si="817"/>
        <v xml:space="preserve"> </v>
      </c>
      <c r="Z1693" s="79"/>
      <c r="AF1693" s="79"/>
      <c r="AJ1693" s="66"/>
      <c r="AK1693" s="65"/>
    </row>
    <row r="1694" spans="1:37" hidden="1">
      <c r="A1694" s="65">
        <f>A1691+1</f>
        <v>62</v>
      </c>
      <c r="B1694" s="66" t="s">
        <v>666</v>
      </c>
      <c r="C1694" s="79"/>
      <c r="D1694" s="79"/>
      <c r="E1694" s="79"/>
      <c r="F1694" s="79"/>
      <c r="G1694" s="79"/>
      <c r="H1694" s="79"/>
      <c r="I1694" s="79"/>
      <c r="J1694" s="79"/>
      <c r="K1694" s="79"/>
      <c r="L1694" s="79"/>
      <c r="M1694" s="79"/>
      <c r="N1694" s="79"/>
      <c r="O1694" s="79"/>
      <c r="P1694" s="79"/>
      <c r="Q1694" s="79"/>
      <c r="R1694" s="79"/>
      <c r="S1694" s="79"/>
      <c r="U1694" s="80"/>
      <c r="W1694" s="81" t="str">
        <f t="shared" si="815"/>
        <v xml:space="preserve"> </v>
      </c>
      <c r="X1694" s="81" t="str">
        <f t="shared" si="816"/>
        <v xml:space="preserve"> </v>
      </c>
      <c r="Y1694" s="81" t="str">
        <f t="shared" si="817"/>
        <v xml:space="preserve"> </v>
      </c>
      <c r="Z1694" s="79"/>
      <c r="AF1694" s="79"/>
      <c r="AJ1694" s="66"/>
      <c r="AK1694" s="65"/>
    </row>
    <row r="1695" spans="1:37" hidden="1">
      <c r="B1695" s="66" t="s">
        <v>656</v>
      </c>
      <c r="C1695" s="79">
        <f>C656</f>
        <v>3820</v>
      </c>
      <c r="D1695" s="79">
        <f>D656</f>
        <v>0</v>
      </c>
      <c r="E1695" s="79">
        <f>E656</f>
        <v>0</v>
      </c>
      <c r="F1695" s="79">
        <f>D1695+E1695</f>
        <v>0</v>
      </c>
      <c r="G1695" s="79">
        <f t="shared" ref="G1695:L1695" si="848">G656</f>
        <v>0</v>
      </c>
      <c r="H1695" s="79">
        <f t="shared" si="848"/>
        <v>0</v>
      </c>
      <c r="I1695" s="79">
        <f t="shared" si="848"/>
        <v>0</v>
      </c>
      <c r="J1695" s="79">
        <f t="shared" si="848"/>
        <v>0</v>
      </c>
      <c r="K1695" s="79">
        <f t="shared" si="848"/>
        <v>0</v>
      </c>
      <c r="L1695" s="79">
        <f t="shared" si="848"/>
        <v>0</v>
      </c>
      <c r="M1695" s="79">
        <f>SUM(J1695:L1695)</f>
        <v>0</v>
      </c>
      <c r="N1695" s="79">
        <f>N656</f>
        <v>0</v>
      </c>
      <c r="O1695" s="79">
        <f>O656</f>
        <v>0</v>
      </c>
      <c r="P1695" s="79">
        <f>P656</f>
        <v>3820</v>
      </c>
      <c r="Q1695" s="79">
        <f>Q656</f>
        <v>0</v>
      </c>
      <c r="R1695" s="79">
        <f>P1695+Q1695</f>
        <v>3820</v>
      </c>
      <c r="S1695" s="79">
        <f>S656</f>
        <v>0</v>
      </c>
      <c r="U1695" s="80">
        <f>O1695+R1695+S1695-C1695</f>
        <v>0</v>
      </c>
      <c r="W1695" s="81">
        <f t="shared" si="815"/>
        <v>0</v>
      </c>
      <c r="X1695" s="81">
        <f t="shared" si="816"/>
        <v>0</v>
      </c>
      <c r="Y1695" s="81">
        <f t="shared" si="817"/>
        <v>0</v>
      </c>
      <c r="Z1695" s="79"/>
      <c r="AF1695" s="79"/>
      <c r="AJ1695" s="66"/>
      <c r="AK1695" s="65"/>
    </row>
    <row r="1696" spans="1:37" hidden="1">
      <c r="C1696" s="79"/>
      <c r="D1696" s="79"/>
      <c r="E1696" s="79"/>
      <c r="F1696" s="79"/>
      <c r="G1696" s="79"/>
      <c r="H1696" s="79"/>
      <c r="I1696" s="79"/>
      <c r="J1696" s="79"/>
      <c r="K1696" s="79"/>
      <c r="L1696" s="79"/>
      <c r="M1696" s="79"/>
      <c r="N1696" s="79"/>
      <c r="O1696" s="79"/>
      <c r="P1696" s="79"/>
      <c r="Q1696" s="79"/>
      <c r="R1696" s="79"/>
      <c r="S1696" s="79"/>
      <c r="U1696" s="80"/>
      <c r="W1696" s="81"/>
      <c r="X1696" s="81"/>
      <c r="Y1696" s="81"/>
      <c r="Z1696" s="79"/>
      <c r="AF1696" s="79"/>
      <c r="AJ1696" s="66"/>
      <c r="AK1696" s="65"/>
    </row>
    <row r="1697" spans="1:37" hidden="1">
      <c r="A1697" s="65">
        <f>A1694+1</f>
        <v>63</v>
      </c>
      <c r="B1697" s="71" t="s">
        <v>667</v>
      </c>
      <c r="C1697" s="79"/>
      <c r="D1697" s="79"/>
      <c r="E1697" s="79"/>
      <c r="F1697" s="79"/>
      <c r="G1697" s="79"/>
      <c r="H1697" s="79"/>
      <c r="I1697" s="79"/>
      <c r="J1697" s="79"/>
      <c r="K1697" s="79"/>
      <c r="L1697" s="79"/>
      <c r="M1697" s="79"/>
      <c r="N1697" s="79"/>
      <c r="O1697" s="79"/>
      <c r="P1697" s="79"/>
      <c r="Q1697" s="79"/>
      <c r="R1697" s="79"/>
      <c r="S1697" s="79"/>
      <c r="U1697" s="80"/>
      <c r="W1697" s="81"/>
      <c r="X1697" s="81"/>
      <c r="Y1697" s="81"/>
      <c r="Z1697" s="79"/>
      <c r="AF1697" s="79"/>
      <c r="AJ1697" s="66"/>
      <c r="AK1697" s="65"/>
    </row>
    <row r="1698" spans="1:37" hidden="1">
      <c r="B1698" s="71" t="s">
        <v>664</v>
      </c>
      <c r="C1698" s="79">
        <f>C655</f>
        <v>8938</v>
      </c>
      <c r="D1698" s="79">
        <f t="shared" ref="D1698:S1698" si="849">D655</f>
        <v>0</v>
      </c>
      <c r="E1698" s="79">
        <f t="shared" si="849"/>
        <v>0</v>
      </c>
      <c r="F1698" s="79">
        <f>D1698+E1698</f>
        <v>0</v>
      </c>
      <c r="G1698" s="79">
        <f t="shared" si="849"/>
        <v>0</v>
      </c>
      <c r="H1698" s="79">
        <f t="shared" si="849"/>
        <v>0</v>
      </c>
      <c r="I1698" s="79">
        <f t="shared" si="849"/>
        <v>8938</v>
      </c>
      <c r="J1698" s="79">
        <f t="shared" si="849"/>
        <v>0</v>
      </c>
      <c r="K1698" s="79">
        <f t="shared" si="849"/>
        <v>0</v>
      </c>
      <c r="L1698" s="79">
        <f t="shared" si="849"/>
        <v>0</v>
      </c>
      <c r="M1698" s="79">
        <f>SUM(J1698:L1698)</f>
        <v>0</v>
      </c>
      <c r="N1698" s="79">
        <f t="shared" si="849"/>
        <v>0</v>
      </c>
      <c r="O1698" s="79">
        <f t="shared" si="849"/>
        <v>8938</v>
      </c>
      <c r="P1698" s="79">
        <f t="shared" si="849"/>
        <v>0</v>
      </c>
      <c r="Q1698" s="79">
        <f t="shared" si="849"/>
        <v>0</v>
      </c>
      <c r="R1698" s="79">
        <f t="shared" si="849"/>
        <v>0</v>
      </c>
      <c r="S1698" s="79">
        <f t="shared" si="849"/>
        <v>0</v>
      </c>
      <c r="U1698" s="80"/>
      <c r="W1698" s="81"/>
      <c r="X1698" s="81"/>
      <c r="Y1698" s="81"/>
      <c r="Z1698" s="79"/>
      <c r="AF1698" s="79"/>
      <c r="AJ1698" s="66"/>
      <c r="AK1698" s="65"/>
    </row>
    <row r="1699" spans="1:37" hidden="1">
      <c r="W1699" s="81" t="str">
        <f t="shared" si="815"/>
        <v xml:space="preserve"> </v>
      </c>
      <c r="X1699" s="81" t="str">
        <f t="shared" si="816"/>
        <v xml:space="preserve"> </v>
      </c>
      <c r="Y1699" s="81" t="str">
        <f t="shared" si="817"/>
        <v xml:space="preserve"> </v>
      </c>
      <c r="AJ1699" s="66"/>
      <c r="AK1699" s="65"/>
    </row>
    <row r="1700" spans="1:37" hidden="1">
      <c r="A1700" s="65">
        <f>A1697+1</f>
        <v>64</v>
      </c>
      <c r="B1700" s="66" t="s">
        <v>343</v>
      </c>
      <c r="C1700" s="79"/>
      <c r="D1700" s="79"/>
      <c r="E1700" s="79"/>
      <c r="F1700" s="79"/>
      <c r="G1700" s="79"/>
      <c r="H1700" s="79"/>
      <c r="I1700" s="79"/>
      <c r="J1700" s="79"/>
      <c r="K1700" s="79"/>
      <c r="L1700" s="79"/>
      <c r="M1700" s="79"/>
      <c r="N1700" s="79"/>
      <c r="O1700" s="79"/>
      <c r="P1700" s="79"/>
      <c r="Q1700" s="79"/>
      <c r="R1700" s="79"/>
      <c r="S1700" s="79"/>
      <c r="U1700" s="80"/>
      <c r="W1700" s="81" t="str">
        <f t="shared" si="815"/>
        <v xml:space="preserve"> </v>
      </c>
      <c r="X1700" s="81" t="str">
        <f t="shared" si="816"/>
        <v xml:space="preserve"> </v>
      </c>
      <c r="Y1700" s="81" t="str">
        <f t="shared" si="817"/>
        <v xml:space="preserve"> </v>
      </c>
      <c r="Z1700" s="79"/>
      <c r="AF1700" s="79"/>
      <c r="AJ1700" s="66"/>
      <c r="AK1700" s="65"/>
    </row>
    <row r="1701" spans="1:37" hidden="1">
      <c r="B1701" s="66" t="s">
        <v>668</v>
      </c>
      <c r="C1701" s="79">
        <f t="shared" ref="C1701:E1702" si="850">C660</f>
        <v>52341</v>
      </c>
      <c r="D1701" s="79">
        <f t="shared" si="850"/>
        <v>0</v>
      </c>
      <c r="E1701" s="79">
        <f t="shared" si="850"/>
        <v>0</v>
      </c>
      <c r="F1701" s="79">
        <f>D1701+E1701</f>
        <v>0</v>
      </c>
      <c r="G1701" s="79">
        <f t="shared" ref="G1701:L1702" si="851">G660</f>
        <v>0</v>
      </c>
      <c r="H1701" s="79">
        <f t="shared" si="851"/>
        <v>0</v>
      </c>
      <c r="I1701" s="79">
        <f t="shared" si="851"/>
        <v>0</v>
      </c>
      <c r="J1701" s="79">
        <f t="shared" si="851"/>
        <v>0</v>
      </c>
      <c r="K1701" s="79">
        <f t="shared" si="851"/>
        <v>0</v>
      </c>
      <c r="L1701" s="79">
        <f t="shared" si="851"/>
        <v>0</v>
      </c>
      <c r="M1701" s="79">
        <f>SUM(J1701:L1701)</f>
        <v>0</v>
      </c>
      <c r="N1701" s="79">
        <f t="shared" ref="N1701:Q1702" si="852">N660</f>
        <v>0</v>
      </c>
      <c r="O1701" s="79">
        <f t="shared" si="852"/>
        <v>0</v>
      </c>
      <c r="P1701" s="79">
        <f t="shared" si="852"/>
        <v>0</v>
      </c>
      <c r="Q1701" s="79">
        <f t="shared" si="852"/>
        <v>0</v>
      </c>
      <c r="R1701" s="79">
        <f>P1701+Q1701</f>
        <v>0</v>
      </c>
      <c r="S1701" s="79">
        <f>S660</f>
        <v>52341</v>
      </c>
      <c r="U1701" s="80">
        <f>O1701+R1701+S1701-C1701</f>
        <v>0</v>
      </c>
      <c r="W1701" s="81" t="str">
        <f t="shared" si="815"/>
        <v xml:space="preserve"> </v>
      </c>
      <c r="X1701" s="81">
        <f t="shared" si="816"/>
        <v>0</v>
      </c>
      <c r="Y1701" s="81">
        <f t="shared" si="817"/>
        <v>1</v>
      </c>
      <c r="Z1701" s="79"/>
      <c r="AF1701" s="79"/>
      <c r="AJ1701" s="66"/>
      <c r="AK1701" s="65"/>
    </row>
    <row r="1702" spans="1:37" hidden="1">
      <c r="B1702" s="66" t="s">
        <v>669</v>
      </c>
      <c r="C1702" s="79">
        <f t="shared" si="850"/>
        <v>10683</v>
      </c>
      <c r="D1702" s="79">
        <f t="shared" si="850"/>
        <v>1511</v>
      </c>
      <c r="E1702" s="79">
        <f t="shared" si="850"/>
        <v>57</v>
      </c>
      <c r="F1702" s="79">
        <f>D1702+E1702</f>
        <v>1568</v>
      </c>
      <c r="G1702" s="79">
        <f t="shared" si="851"/>
        <v>83</v>
      </c>
      <c r="H1702" s="79">
        <f t="shared" si="851"/>
        <v>760</v>
      </c>
      <c r="I1702" s="79">
        <f t="shared" si="851"/>
        <v>509</v>
      </c>
      <c r="J1702" s="79">
        <f t="shared" si="851"/>
        <v>276</v>
      </c>
      <c r="K1702" s="79">
        <f t="shared" si="851"/>
        <v>13</v>
      </c>
      <c r="L1702" s="79">
        <f t="shared" si="851"/>
        <v>11</v>
      </c>
      <c r="M1702" s="79">
        <f>SUM(J1702:L1702)</f>
        <v>300</v>
      </c>
      <c r="N1702" s="79">
        <f t="shared" si="852"/>
        <v>45</v>
      </c>
      <c r="O1702" s="79">
        <f t="shared" si="852"/>
        <v>3265</v>
      </c>
      <c r="P1702" s="79">
        <f t="shared" si="852"/>
        <v>96</v>
      </c>
      <c r="Q1702" s="79">
        <f t="shared" si="852"/>
        <v>11</v>
      </c>
      <c r="R1702" s="79">
        <f>P1702+Q1702</f>
        <v>107</v>
      </c>
      <c r="S1702" s="79">
        <f>S661</f>
        <v>7311</v>
      </c>
      <c r="U1702" s="80">
        <f>O1702+R1702+S1702-C1702</f>
        <v>0</v>
      </c>
      <c r="W1702" s="81">
        <f t="shared" si="815"/>
        <v>0.96826809999999996</v>
      </c>
      <c r="X1702" s="81">
        <f t="shared" si="816"/>
        <v>0.3056258</v>
      </c>
      <c r="Y1702" s="81">
        <f t="shared" si="817"/>
        <v>0.68435829999999997</v>
      </c>
      <c r="Z1702" s="79"/>
      <c r="AF1702" s="79"/>
      <c r="AJ1702" s="66"/>
      <c r="AK1702" s="65"/>
    </row>
    <row r="1703" spans="1:37" hidden="1">
      <c r="A1703" s="65">
        <f>A1700+1</f>
        <v>65</v>
      </c>
      <c r="Y1703" s="65"/>
      <c r="AJ1703" s="66"/>
    </row>
    <row r="1704" spans="1:37" hidden="1">
      <c r="A1704" s="65">
        <f>A1703+1</f>
        <v>66</v>
      </c>
      <c r="AJ1704" s="66"/>
    </row>
    <row r="1705" spans="1:37" hidden="1">
      <c r="X1705" s="108" t="str">
        <f>IF((Q1705+R1705)=0," ",ROUND((Q1705/(Q1705+R1705)),74))</f>
        <v xml:space="preserve"> </v>
      </c>
      <c r="Y1705" s="108" t="str">
        <f>IF((C1705)=0," ",ROUND((Q1705/(C1705)),74))</f>
        <v xml:space="preserve"> </v>
      </c>
      <c r="AJ1705" s="66"/>
      <c r="AK1705" s="65"/>
    </row>
    <row r="1706" spans="1:37" hidden="1">
      <c r="Y1706" s="65"/>
      <c r="AJ1706" s="66"/>
    </row>
    <row r="1707" spans="1:37" hidden="1">
      <c r="B1707" s="72"/>
      <c r="H1707" s="65" t="s">
        <v>80</v>
      </c>
      <c r="J1707" s="79"/>
      <c r="K1707" s="79"/>
      <c r="L1707" s="79"/>
      <c r="M1707" s="79"/>
      <c r="N1707" s="99"/>
      <c r="Q1707" s="65" t="s">
        <v>80</v>
      </c>
      <c r="S1707" s="99"/>
      <c r="U1707" s="80"/>
      <c r="X1707" s="81"/>
      <c r="Y1707" s="81"/>
      <c r="Z1707" s="65"/>
      <c r="AF1707" s="99"/>
      <c r="AJ1707" s="66"/>
      <c r="AK1707" s="65"/>
    </row>
    <row r="1708" spans="1:37" hidden="1">
      <c r="B1708" s="72"/>
      <c r="H1708" s="70" t="str">
        <f>H24</f>
        <v>12 MONTHS ENDING DECEMBER 31, 2012</v>
      </c>
      <c r="J1708" s="79"/>
      <c r="K1708" s="79"/>
      <c r="L1708" s="79"/>
      <c r="M1708" s="79"/>
      <c r="Q1708" s="70" t="str">
        <f>$H$24</f>
        <v>12 MONTHS ENDING DECEMBER 31, 2012</v>
      </c>
      <c r="U1708" s="80"/>
      <c r="X1708" s="81"/>
      <c r="Y1708" s="81"/>
      <c r="Z1708" s="70"/>
      <c r="AJ1708" s="66"/>
      <c r="AK1708" s="65"/>
    </row>
    <row r="1709" spans="1:37" hidden="1">
      <c r="H1709" s="70" t="str">
        <f>$H$25</f>
        <v>12/13 DEMAND ALLOCATION WITH MDS METHODOLOGY</v>
      </c>
      <c r="Q1709" s="70" t="str">
        <f>$H$25</f>
        <v>12/13 DEMAND ALLOCATION WITH MDS METHODOLOGY</v>
      </c>
      <c r="X1709" s="81"/>
      <c r="Y1709" s="81"/>
      <c r="Z1709" s="70"/>
      <c r="AJ1709" s="66"/>
      <c r="AK1709" s="65"/>
    </row>
    <row r="1710" spans="1:37" hidden="1">
      <c r="H1710" s="65" t="s">
        <v>625</v>
      </c>
      <c r="J1710" s="79"/>
      <c r="K1710" s="79"/>
      <c r="L1710" s="79"/>
      <c r="M1710" s="79"/>
      <c r="N1710" s="99"/>
      <c r="Q1710" s="65" t="s">
        <v>625</v>
      </c>
      <c r="S1710" s="99"/>
      <c r="U1710" s="80"/>
      <c r="X1710" s="81"/>
      <c r="Y1710" s="81"/>
      <c r="Z1710" s="65"/>
      <c r="AF1710" s="99"/>
      <c r="AJ1710" s="66"/>
      <c r="AK1710" s="65"/>
    </row>
    <row r="1711" spans="1:37" hidden="1">
      <c r="B1711" s="99"/>
      <c r="C1711" s="99"/>
      <c r="D1711" s="99"/>
      <c r="E1711" s="99"/>
      <c r="F1711" s="99"/>
      <c r="H1711" s="65" t="s">
        <v>114</v>
      </c>
      <c r="I1711" s="99"/>
      <c r="J1711" s="105"/>
      <c r="K1711" s="105"/>
      <c r="L1711" s="105"/>
      <c r="M1711" s="105"/>
      <c r="N1711" s="105"/>
      <c r="Q1711" s="65" t="s">
        <v>114</v>
      </c>
      <c r="S1711" s="99"/>
      <c r="U1711" s="80"/>
      <c r="X1711" s="81"/>
      <c r="Y1711" s="81"/>
      <c r="Z1711" s="65"/>
      <c r="AF1711" s="99"/>
      <c r="AJ1711" s="66"/>
      <c r="AK1711" s="65"/>
    </row>
    <row r="1712" spans="1:37" hidden="1">
      <c r="H1712" s="70"/>
      <c r="O1712" s="70"/>
      <c r="Q1712" s="65"/>
      <c r="X1712" s="81"/>
      <c r="Y1712" s="81"/>
      <c r="AJ1712" s="66"/>
      <c r="AK1712" s="65"/>
    </row>
    <row r="1713" spans="1:37" hidden="1">
      <c r="X1713" s="81"/>
      <c r="Y1713" s="81"/>
      <c r="AJ1713" s="66"/>
      <c r="AK1713" s="65"/>
    </row>
    <row r="1714" spans="1:37" hidden="1">
      <c r="C1714" s="65" t="s">
        <v>59</v>
      </c>
      <c r="K1714" s="65"/>
      <c r="L1714" s="65"/>
      <c r="M1714" s="65"/>
      <c r="O1714" s="65" t="s">
        <v>59</v>
      </c>
      <c r="P1714" s="65"/>
      <c r="Q1714" s="65"/>
      <c r="R1714" s="65"/>
      <c r="S1714" s="65" t="s">
        <v>115</v>
      </c>
      <c r="W1714" s="76" t="s">
        <v>116</v>
      </c>
      <c r="X1714" s="76" t="s">
        <v>116</v>
      </c>
      <c r="Y1714" s="76" t="s">
        <v>117</v>
      </c>
      <c r="AF1714" s="65"/>
      <c r="AJ1714" s="66"/>
      <c r="AK1714" s="65"/>
    </row>
    <row r="1715" spans="1:37" hidden="1">
      <c r="C1715" s="65" t="s">
        <v>58</v>
      </c>
      <c r="D1715" s="70" t="s">
        <v>119</v>
      </c>
      <c r="E1715" s="70" t="s">
        <v>119</v>
      </c>
      <c r="F1715" s="70" t="s">
        <v>119</v>
      </c>
      <c r="G1715" s="70" t="s">
        <v>119</v>
      </c>
      <c r="H1715" s="70" t="s">
        <v>119</v>
      </c>
      <c r="I1715" s="70" t="s">
        <v>119</v>
      </c>
      <c r="J1715" s="70" t="s">
        <v>119</v>
      </c>
      <c r="K1715" s="70" t="s">
        <v>119</v>
      </c>
      <c r="L1715" s="70" t="s">
        <v>119</v>
      </c>
      <c r="M1715" s="70" t="s">
        <v>119</v>
      </c>
      <c r="N1715" s="70" t="s">
        <v>119</v>
      </c>
      <c r="O1715" s="65" t="s">
        <v>116</v>
      </c>
      <c r="P1715" s="65"/>
      <c r="Q1715" s="70" t="s">
        <v>120</v>
      </c>
      <c r="R1715" s="65"/>
      <c r="S1715" s="65" t="s">
        <v>121</v>
      </c>
      <c r="W1715" s="76" t="s">
        <v>122</v>
      </c>
      <c r="X1715" s="76" t="s">
        <v>123</v>
      </c>
      <c r="Y1715" s="76" t="s">
        <v>124</v>
      </c>
      <c r="Z1715" s="65"/>
      <c r="AF1715" s="70"/>
      <c r="AJ1715" s="66"/>
      <c r="AK1715" s="65"/>
    </row>
    <row r="1716" spans="1:37" hidden="1">
      <c r="B1716" s="65" t="s">
        <v>126</v>
      </c>
      <c r="C1716" s="65" t="s">
        <v>57</v>
      </c>
      <c r="D1716" s="70" t="s">
        <v>127</v>
      </c>
      <c r="E1716" s="70" t="s">
        <v>128</v>
      </c>
      <c r="F1716" s="70" t="s">
        <v>129</v>
      </c>
      <c r="G1716" s="70" t="s">
        <v>130</v>
      </c>
      <c r="H1716" s="70" t="s">
        <v>131</v>
      </c>
      <c r="I1716" s="65" t="s">
        <v>132</v>
      </c>
      <c r="J1716" s="70" t="s">
        <v>133</v>
      </c>
      <c r="K1716" s="70" t="s">
        <v>134</v>
      </c>
      <c r="L1716" s="70" t="s">
        <v>135</v>
      </c>
      <c r="M1716" s="70" t="s">
        <v>136</v>
      </c>
      <c r="N1716" s="70" t="s">
        <v>137</v>
      </c>
      <c r="O1716" s="65" t="s">
        <v>138</v>
      </c>
      <c r="P1716" s="70" t="s">
        <v>139</v>
      </c>
      <c r="Q1716" s="70" t="s">
        <v>140</v>
      </c>
      <c r="R1716" s="65" t="s">
        <v>122</v>
      </c>
      <c r="S1716" s="65" t="s">
        <v>141</v>
      </c>
      <c r="U1716" s="65" t="s">
        <v>162</v>
      </c>
      <c r="W1716" s="76" t="s">
        <v>142</v>
      </c>
      <c r="X1716" s="76" t="s">
        <v>142</v>
      </c>
      <c r="Y1716" s="76" t="s">
        <v>142</v>
      </c>
      <c r="Z1716" s="65"/>
      <c r="AF1716" s="70"/>
      <c r="AJ1716" s="66"/>
      <c r="AK1716" s="65"/>
    </row>
    <row r="1717" spans="1:37" hidden="1">
      <c r="A1717" s="65" t="s">
        <v>118</v>
      </c>
      <c r="B1717" s="65" t="s">
        <v>144</v>
      </c>
      <c r="C1717" s="65" t="s">
        <v>145</v>
      </c>
      <c r="D1717" s="70" t="s">
        <v>146</v>
      </c>
      <c r="E1717" s="70" t="s">
        <v>147</v>
      </c>
      <c r="F1717" s="70" t="s">
        <v>148</v>
      </c>
      <c r="G1717" s="65" t="s">
        <v>149</v>
      </c>
      <c r="H1717" s="65" t="s">
        <v>150</v>
      </c>
      <c r="I1717" s="65" t="s">
        <v>151</v>
      </c>
      <c r="J1717" s="70" t="s">
        <v>152</v>
      </c>
      <c r="K1717" s="70" t="s">
        <v>153</v>
      </c>
      <c r="L1717" s="70" t="s">
        <v>154</v>
      </c>
      <c r="M1717" s="70" t="s">
        <v>155</v>
      </c>
      <c r="N1717" s="70" t="s">
        <v>156</v>
      </c>
      <c r="O1717" s="70" t="s">
        <v>157</v>
      </c>
      <c r="P1717" s="70" t="s">
        <v>158</v>
      </c>
      <c r="Q1717" s="70" t="s">
        <v>159</v>
      </c>
      <c r="R1717" s="70" t="s">
        <v>160</v>
      </c>
      <c r="S1717" s="70" t="s">
        <v>161</v>
      </c>
      <c r="W1717" s="77" t="s">
        <v>163</v>
      </c>
      <c r="X1717" s="77" t="s">
        <v>164</v>
      </c>
      <c r="Y1717" s="76" t="s">
        <v>165</v>
      </c>
      <c r="Z1717" s="70"/>
      <c r="AF1717" s="76"/>
      <c r="AJ1717" s="66"/>
      <c r="AK1717" s="70"/>
    </row>
    <row r="1718" spans="1:37" hidden="1">
      <c r="A1718" s="65" t="s">
        <v>125</v>
      </c>
      <c r="W1718" s="108"/>
      <c r="X1718" s="108"/>
      <c r="Y1718" s="108"/>
      <c r="AJ1718" s="66"/>
      <c r="AK1718" s="65"/>
    </row>
    <row r="1719" spans="1:37" hidden="1">
      <c r="A1719" s="65" t="s">
        <v>143</v>
      </c>
      <c r="B1719" s="66" t="s">
        <v>670</v>
      </c>
      <c r="C1719" s="79">
        <f>C1614+C1666+C1679+C1692+C1695+C1701+C1702+C1698</f>
        <v>133178.00460009999</v>
      </c>
      <c r="D1719" s="79">
        <f>D1614+D1666+D1679+D1692+D1695+D1701+D1702+D1698</f>
        <v>37028.984990099998</v>
      </c>
      <c r="E1719" s="79">
        <f>E1614+E1666+E1679+E1692+E1695+E1701+E1702+E1698</f>
        <v>935.00099999999998</v>
      </c>
      <c r="F1719" s="79">
        <f t="shared" ref="F1719:F1730" si="853">D1719+E1719</f>
        <v>37963.985990099995</v>
      </c>
      <c r="G1719" s="79">
        <f t="shared" ref="G1719:L1719" si="854">G1614+G1666+G1679+G1692+G1695+G1701+G1702+G1698</f>
        <v>2497</v>
      </c>
      <c r="H1719" s="79">
        <f t="shared" si="854"/>
        <v>10924</v>
      </c>
      <c r="I1719" s="79">
        <f t="shared" si="854"/>
        <v>14344.00045</v>
      </c>
      <c r="J1719" s="79">
        <f t="shared" si="854"/>
        <v>2091.0004500000005</v>
      </c>
      <c r="K1719" s="79">
        <f t="shared" si="854"/>
        <v>156.00045</v>
      </c>
      <c r="L1719" s="79">
        <f t="shared" si="854"/>
        <v>108.00045000000001</v>
      </c>
      <c r="M1719" s="79">
        <f>SUM(J1719:L1719)</f>
        <v>2355.0013500000005</v>
      </c>
      <c r="N1719" s="79">
        <f>N1614+N1666+N1679+N1692+N1695+N1701+N1702+N1698</f>
        <v>1260.0004600000004</v>
      </c>
      <c r="O1719" s="79">
        <f>O1614+O1666+O1679+O1692+O1695+O1701+O1702+O1698</f>
        <v>69343.988250099996</v>
      </c>
      <c r="P1719" s="79">
        <f>P1614+P1666+P1679+P1692+P1695+P1701+P1702+P1698</f>
        <v>4145.0054500000006</v>
      </c>
      <c r="Q1719" s="79">
        <f>Q1614+Q1666+Q1679+Q1692+Q1695+Q1701+Q1702+Q1698</f>
        <v>37.005449999999996</v>
      </c>
      <c r="R1719" s="79">
        <f t="shared" ref="R1719:R1730" si="855">P1719+Q1719</f>
        <v>4182.0109000000002</v>
      </c>
      <c r="S1719" s="79">
        <f>S1614+S1666+S1679+S1692+S1695+S1701+S1702+S1698</f>
        <v>59652.005700000002</v>
      </c>
      <c r="U1719" s="80">
        <f t="shared" ref="U1719:U1730" si="856">O1719+R1719+S1719-C1719</f>
        <v>2.5000001187436283E-4</v>
      </c>
      <c r="W1719" s="81">
        <f t="shared" ref="W1719:W1745" si="857">IF((O1719+R1719)=0," ",ROUND((O1719/(O1719+R1719)),7))</f>
        <v>0.94312200000000002</v>
      </c>
      <c r="X1719" s="81">
        <f t="shared" ref="X1719:X1745" si="858">IF((C1719)=0," ",ROUND((O1719/(C1719)),7))</f>
        <v>0.52068650000000005</v>
      </c>
      <c r="Y1719" s="81">
        <f t="shared" ref="Y1719:Y1745" si="859">IF((C1719)=0," ",ROUND((S1719/(C1719)),7))</f>
        <v>0.44791180000000003</v>
      </c>
      <c r="Z1719" s="79"/>
      <c r="AF1719" s="79"/>
      <c r="AJ1719" s="66"/>
      <c r="AK1719" s="65"/>
    </row>
    <row r="1720" spans="1:37" hidden="1">
      <c r="B1720" s="66" t="s">
        <v>655</v>
      </c>
      <c r="C1720" s="79">
        <f>C1667+C1680+C1701</f>
        <v>53439</v>
      </c>
      <c r="D1720" s="79">
        <f>D1667+D1680+D1701</f>
        <v>670.00000009999997</v>
      </c>
      <c r="E1720" s="79">
        <f>E1667+E1680+E1701</f>
        <v>17</v>
      </c>
      <c r="F1720" s="79">
        <f t="shared" si="853"/>
        <v>687.00000009999997</v>
      </c>
      <c r="G1720" s="79">
        <f t="shared" ref="G1720:L1720" si="860">G1667+G1680+G1701</f>
        <v>60</v>
      </c>
      <c r="H1720" s="79">
        <f t="shared" si="860"/>
        <v>186</v>
      </c>
      <c r="I1720" s="79">
        <f t="shared" si="860"/>
        <v>87</v>
      </c>
      <c r="J1720" s="79">
        <f t="shared" si="860"/>
        <v>35</v>
      </c>
      <c r="K1720" s="79">
        <f t="shared" si="860"/>
        <v>3</v>
      </c>
      <c r="L1720" s="79">
        <f t="shared" si="860"/>
        <v>2</v>
      </c>
      <c r="M1720" s="79">
        <f t="shared" ref="M1720:M1730" si="861">SUM(J1720:L1720)</f>
        <v>40</v>
      </c>
      <c r="N1720" s="79">
        <f>N1667+N1680+N1701</f>
        <v>16</v>
      </c>
      <c r="O1720" s="79">
        <f>O1667+O1680+O1701</f>
        <v>1076.0000001000001</v>
      </c>
      <c r="P1720" s="79">
        <f>P1667+P1680+P1701</f>
        <v>20</v>
      </c>
      <c r="Q1720" s="79">
        <f>Q1667+Q1680+Q1701</f>
        <v>2</v>
      </c>
      <c r="R1720" s="79">
        <f t="shared" si="855"/>
        <v>22</v>
      </c>
      <c r="S1720" s="79">
        <f>S1667+S1680+S1701</f>
        <v>52341</v>
      </c>
      <c r="U1720" s="80">
        <f t="shared" si="856"/>
        <v>1.0000076144933701E-7</v>
      </c>
      <c r="W1720" s="81">
        <f t="shared" si="857"/>
        <v>0.97996360000000005</v>
      </c>
      <c r="X1720" s="81">
        <f t="shared" si="858"/>
        <v>2.01351E-2</v>
      </c>
      <c r="Y1720" s="81">
        <f t="shared" si="859"/>
        <v>0.97945320000000002</v>
      </c>
      <c r="Z1720" s="79"/>
      <c r="AF1720" s="79"/>
      <c r="AJ1720" s="66"/>
      <c r="AK1720" s="65"/>
    </row>
    <row r="1721" spans="1:37" hidden="1">
      <c r="A1721" s="65">
        <f>A1704+1</f>
        <v>67</v>
      </c>
      <c r="B1721" s="66" t="s">
        <v>656</v>
      </c>
      <c r="C1721" s="79">
        <f>C1668+C1681+C1692+C1695</f>
        <v>10710</v>
      </c>
      <c r="D1721" s="79">
        <f>D1668+D1681+D1692+D1695</f>
        <v>3624</v>
      </c>
      <c r="E1721" s="79">
        <f>E1668+E1681+E1692+E1695</f>
        <v>93</v>
      </c>
      <c r="F1721" s="79">
        <f t="shared" si="853"/>
        <v>3717</v>
      </c>
      <c r="G1721" s="79">
        <f t="shared" ref="G1721:L1721" si="862">G1668+G1681+G1692+G1695</f>
        <v>182</v>
      </c>
      <c r="H1721" s="79">
        <f t="shared" si="862"/>
        <v>1468</v>
      </c>
      <c r="I1721" s="79">
        <f t="shared" si="862"/>
        <v>853</v>
      </c>
      <c r="J1721" s="79">
        <f t="shared" si="862"/>
        <v>366</v>
      </c>
      <c r="K1721" s="79">
        <f t="shared" si="862"/>
        <v>27</v>
      </c>
      <c r="L1721" s="79">
        <f t="shared" si="862"/>
        <v>15</v>
      </c>
      <c r="M1721" s="79">
        <f t="shared" si="861"/>
        <v>408</v>
      </c>
      <c r="N1721" s="79">
        <f>N1668+N1681+N1692+N1695</f>
        <v>29</v>
      </c>
      <c r="O1721" s="79">
        <f>O1668+O1681+O1692+O1695</f>
        <v>6657</v>
      </c>
      <c r="P1721" s="79">
        <f>P1668+P1681+P1692+P1695</f>
        <v>4029</v>
      </c>
      <c r="Q1721" s="79">
        <f>Q1668+Q1681+Q1692+Q1695</f>
        <v>24</v>
      </c>
      <c r="R1721" s="79">
        <f t="shared" si="855"/>
        <v>4053</v>
      </c>
      <c r="S1721" s="79">
        <f>S1668+S1681+S1692+S1695</f>
        <v>0</v>
      </c>
      <c r="U1721" s="80">
        <f t="shared" si="856"/>
        <v>0</v>
      </c>
      <c r="W1721" s="81">
        <f t="shared" si="857"/>
        <v>0.62156860000000003</v>
      </c>
      <c r="X1721" s="81">
        <f t="shared" si="858"/>
        <v>0.62156860000000003</v>
      </c>
      <c r="Y1721" s="81">
        <f t="shared" si="859"/>
        <v>0</v>
      </c>
      <c r="Z1721" s="79"/>
      <c r="AF1721" s="79"/>
      <c r="AJ1721" s="66"/>
      <c r="AK1721" s="65"/>
    </row>
    <row r="1722" spans="1:37" hidden="1">
      <c r="A1722" s="65">
        <f t="shared" ref="A1722:A1732" si="863">A1721+1</f>
        <v>68</v>
      </c>
      <c r="B1722" s="66" t="s">
        <v>657</v>
      </c>
      <c r="C1722" s="79">
        <f>C1669+C1682</f>
        <v>0</v>
      </c>
      <c r="D1722" s="79">
        <f>D1669+D1682</f>
        <v>0</v>
      </c>
      <c r="E1722" s="79">
        <f>E1669+E1682</f>
        <v>0</v>
      </c>
      <c r="F1722" s="79">
        <f t="shared" si="853"/>
        <v>0</v>
      </c>
      <c r="G1722" s="79">
        <f t="shared" ref="G1722:L1722" si="864">G1669+G1682</f>
        <v>0</v>
      </c>
      <c r="H1722" s="79">
        <f t="shared" si="864"/>
        <v>0</v>
      </c>
      <c r="I1722" s="79">
        <f t="shared" si="864"/>
        <v>0</v>
      </c>
      <c r="J1722" s="79">
        <f t="shared" si="864"/>
        <v>0</v>
      </c>
      <c r="K1722" s="79">
        <f t="shared" si="864"/>
        <v>0</v>
      </c>
      <c r="L1722" s="79">
        <f t="shared" si="864"/>
        <v>0</v>
      </c>
      <c r="M1722" s="79">
        <f t="shared" si="861"/>
        <v>0</v>
      </c>
      <c r="N1722" s="79">
        <f>N1669+N1682</f>
        <v>0</v>
      </c>
      <c r="O1722" s="79">
        <f>O1669+O1682</f>
        <v>0</v>
      </c>
      <c r="P1722" s="79">
        <f>P1669+P1682</f>
        <v>0</v>
      </c>
      <c r="Q1722" s="79">
        <f>Q1669+Q1682</f>
        <v>0</v>
      </c>
      <c r="R1722" s="79">
        <f t="shared" si="855"/>
        <v>0</v>
      </c>
      <c r="S1722" s="79">
        <f>S1669+S1682</f>
        <v>0</v>
      </c>
      <c r="U1722" s="80">
        <f t="shared" si="856"/>
        <v>0</v>
      </c>
      <c r="W1722" s="81" t="str">
        <f t="shared" si="857"/>
        <v xml:space="preserve"> </v>
      </c>
      <c r="X1722" s="81" t="str">
        <f t="shared" si="858"/>
        <v xml:space="preserve"> </v>
      </c>
      <c r="Y1722" s="81" t="str">
        <f t="shared" si="859"/>
        <v xml:space="preserve"> </v>
      </c>
      <c r="Z1722" s="79"/>
      <c r="AF1722" s="79"/>
      <c r="AJ1722" s="66"/>
      <c r="AK1722" s="65"/>
    </row>
    <row r="1723" spans="1:37" hidden="1">
      <c r="A1723" s="65">
        <f t="shared" si="863"/>
        <v>69</v>
      </c>
      <c r="B1723" s="66" t="s">
        <v>659</v>
      </c>
      <c r="C1723" s="79">
        <f t="shared" ref="C1723:E1725" si="865">C1671+C1683</f>
        <v>1831</v>
      </c>
      <c r="D1723" s="79">
        <f t="shared" si="865"/>
        <v>1115.99999</v>
      </c>
      <c r="E1723" s="79">
        <f t="shared" si="865"/>
        <v>37</v>
      </c>
      <c r="F1723" s="79">
        <f t="shared" si="853"/>
        <v>1152.99999</v>
      </c>
      <c r="G1723" s="79">
        <f t="shared" ref="G1723:L1725" si="866">G1671+G1683</f>
        <v>60</v>
      </c>
      <c r="H1723" s="79">
        <f t="shared" si="866"/>
        <v>447</v>
      </c>
      <c r="I1723" s="79">
        <f t="shared" si="866"/>
        <v>138</v>
      </c>
      <c r="J1723" s="79">
        <f t="shared" si="866"/>
        <v>4</v>
      </c>
      <c r="K1723" s="79">
        <f t="shared" si="866"/>
        <v>0</v>
      </c>
      <c r="L1723" s="79">
        <f t="shared" si="866"/>
        <v>0</v>
      </c>
      <c r="M1723" s="79">
        <f t="shared" si="861"/>
        <v>4</v>
      </c>
      <c r="N1723" s="79">
        <f t="shared" ref="N1723:Q1725" si="867">N1671+N1683</f>
        <v>29.00001</v>
      </c>
      <c r="O1723" s="79">
        <f t="shared" si="867"/>
        <v>1831</v>
      </c>
      <c r="P1723" s="79">
        <f t="shared" si="867"/>
        <v>0</v>
      </c>
      <c r="Q1723" s="79">
        <f t="shared" si="867"/>
        <v>0</v>
      </c>
      <c r="R1723" s="79">
        <f t="shared" si="855"/>
        <v>0</v>
      </c>
      <c r="S1723" s="79">
        <f>S1671+S1683</f>
        <v>0</v>
      </c>
      <c r="U1723" s="80">
        <f t="shared" si="856"/>
        <v>0</v>
      </c>
      <c r="W1723" s="81">
        <f t="shared" si="857"/>
        <v>1</v>
      </c>
      <c r="X1723" s="81">
        <f t="shared" si="858"/>
        <v>1</v>
      </c>
      <c r="Y1723" s="81">
        <f t="shared" si="859"/>
        <v>0</v>
      </c>
      <c r="Z1723" s="79"/>
      <c r="AF1723" s="79"/>
      <c r="AJ1723" s="66"/>
      <c r="AK1723" s="65"/>
    </row>
    <row r="1724" spans="1:37" hidden="1">
      <c r="A1724" s="65">
        <f t="shared" si="863"/>
        <v>70</v>
      </c>
      <c r="B1724" s="66" t="s">
        <v>660</v>
      </c>
      <c r="C1724" s="79">
        <f t="shared" si="865"/>
        <v>687</v>
      </c>
      <c r="D1724" s="79">
        <f t="shared" si="865"/>
        <v>386</v>
      </c>
      <c r="E1724" s="79">
        <f t="shared" si="865"/>
        <v>13</v>
      </c>
      <c r="F1724" s="79">
        <f t="shared" si="853"/>
        <v>399</v>
      </c>
      <c r="G1724" s="79">
        <f t="shared" si="866"/>
        <v>21</v>
      </c>
      <c r="H1724" s="79">
        <f t="shared" si="866"/>
        <v>156</v>
      </c>
      <c r="I1724" s="79">
        <f t="shared" si="866"/>
        <v>63</v>
      </c>
      <c r="J1724" s="79">
        <f t="shared" si="866"/>
        <v>29</v>
      </c>
      <c r="K1724" s="79">
        <f t="shared" si="866"/>
        <v>8</v>
      </c>
      <c r="L1724" s="79">
        <f t="shared" si="866"/>
        <v>1</v>
      </c>
      <c r="M1724" s="79">
        <f t="shared" si="861"/>
        <v>38</v>
      </c>
      <c r="N1724" s="79">
        <f t="shared" si="867"/>
        <v>10</v>
      </c>
      <c r="O1724" s="79">
        <f t="shared" si="867"/>
        <v>687</v>
      </c>
      <c r="P1724" s="79">
        <f t="shared" si="867"/>
        <v>0</v>
      </c>
      <c r="Q1724" s="79">
        <f t="shared" si="867"/>
        <v>0</v>
      </c>
      <c r="R1724" s="79">
        <f t="shared" si="855"/>
        <v>0</v>
      </c>
      <c r="S1724" s="79">
        <f>S1672+S1684</f>
        <v>0</v>
      </c>
      <c r="U1724" s="80">
        <f t="shared" si="856"/>
        <v>0</v>
      </c>
      <c r="W1724" s="81">
        <f t="shared" si="857"/>
        <v>1</v>
      </c>
      <c r="X1724" s="81">
        <f t="shared" si="858"/>
        <v>1</v>
      </c>
      <c r="Y1724" s="81">
        <f t="shared" si="859"/>
        <v>0</v>
      </c>
      <c r="Z1724" s="79"/>
      <c r="AF1724" s="79"/>
      <c r="AJ1724" s="66"/>
      <c r="AK1724" s="65"/>
    </row>
    <row r="1725" spans="1:37" hidden="1">
      <c r="A1725" s="65">
        <f t="shared" si="863"/>
        <v>71</v>
      </c>
      <c r="B1725" s="66" t="s">
        <v>661</v>
      </c>
      <c r="C1725" s="79">
        <f t="shared" si="865"/>
        <v>0</v>
      </c>
      <c r="D1725" s="79">
        <f t="shared" si="865"/>
        <v>0</v>
      </c>
      <c r="E1725" s="79">
        <f t="shared" si="865"/>
        <v>0</v>
      </c>
      <c r="F1725" s="79">
        <f t="shared" si="853"/>
        <v>0</v>
      </c>
      <c r="G1725" s="79">
        <f t="shared" si="866"/>
        <v>0</v>
      </c>
      <c r="H1725" s="79">
        <f t="shared" si="866"/>
        <v>0</v>
      </c>
      <c r="I1725" s="79">
        <f t="shared" si="866"/>
        <v>0</v>
      </c>
      <c r="J1725" s="79">
        <f t="shared" si="866"/>
        <v>0</v>
      </c>
      <c r="K1725" s="79">
        <f t="shared" si="866"/>
        <v>0</v>
      </c>
      <c r="L1725" s="79">
        <f t="shared" si="866"/>
        <v>0</v>
      </c>
      <c r="M1725" s="79">
        <f t="shared" si="861"/>
        <v>0</v>
      </c>
      <c r="N1725" s="79">
        <f t="shared" si="867"/>
        <v>0</v>
      </c>
      <c r="O1725" s="79">
        <f t="shared" si="867"/>
        <v>0</v>
      </c>
      <c r="P1725" s="79">
        <f t="shared" si="867"/>
        <v>0</v>
      </c>
      <c r="Q1725" s="79">
        <f t="shared" si="867"/>
        <v>0</v>
      </c>
      <c r="R1725" s="79">
        <f t="shared" si="855"/>
        <v>0</v>
      </c>
      <c r="S1725" s="79">
        <f>S1673+S1685</f>
        <v>0</v>
      </c>
      <c r="U1725" s="80">
        <f t="shared" si="856"/>
        <v>0</v>
      </c>
      <c r="W1725" s="81" t="str">
        <f t="shared" si="857"/>
        <v xml:space="preserve"> </v>
      </c>
      <c r="X1725" s="81" t="str">
        <f t="shared" si="858"/>
        <v xml:space="preserve"> </v>
      </c>
      <c r="Y1725" s="81" t="str">
        <f t="shared" si="859"/>
        <v xml:space="preserve"> </v>
      </c>
      <c r="Z1725" s="79"/>
      <c r="AF1725" s="79"/>
      <c r="AJ1725" s="66"/>
      <c r="AK1725" s="65"/>
    </row>
    <row r="1726" spans="1:37" hidden="1">
      <c r="A1726" s="65">
        <f t="shared" si="863"/>
        <v>72</v>
      </c>
      <c r="B1726" s="66" t="s">
        <v>662</v>
      </c>
      <c r="C1726" s="79">
        <f t="shared" ref="C1726:E1727" si="868">C1615+C1674+C1686</f>
        <v>3418</v>
      </c>
      <c r="D1726" s="79">
        <f t="shared" si="868"/>
        <v>2951.95</v>
      </c>
      <c r="E1726" s="79">
        <f t="shared" si="868"/>
        <v>42.0505</v>
      </c>
      <c r="F1726" s="79">
        <f t="shared" si="853"/>
        <v>2994.0004999999996</v>
      </c>
      <c r="G1726" s="79">
        <f t="shared" ref="G1726:L1727" si="869">G1615+G1674+G1686</f>
        <v>240</v>
      </c>
      <c r="H1726" s="79">
        <f t="shared" si="869"/>
        <v>126</v>
      </c>
      <c r="I1726" s="79">
        <f t="shared" si="869"/>
        <v>16</v>
      </c>
      <c r="J1726" s="79">
        <f t="shared" si="869"/>
        <v>0</v>
      </c>
      <c r="K1726" s="79">
        <f t="shared" si="869"/>
        <v>0</v>
      </c>
      <c r="L1726" s="79">
        <f t="shared" si="869"/>
        <v>0</v>
      </c>
      <c r="M1726" s="79">
        <f t="shared" si="861"/>
        <v>0</v>
      </c>
      <c r="N1726" s="79">
        <f t="shared" ref="N1726:Q1727" si="870">N1615+N1674+N1686</f>
        <v>42</v>
      </c>
      <c r="O1726" s="79">
        <f t="shared" si="870"/>
        <v>3418.0005000000001</v>
      </c>
      <c r="P1726" s="79">
        <f t="shared" si="870"/>
        <v>0</v>
      </c>
      <c r="Q1726" s="79">
        <f t="shared" si="870"/>
        <v>0</v>
      </c>
      <c r="R1726" s="79">
        <f t="shared" si="855"/>
        <v>0</v>
      </c>
      <c r="S1726" s="79">
        <f>S1615+S1674+S1686</f>
        <v>0</v>
      </c>
      <c r="U1726" s="80">
        <f t="shared" si="856"/>
        <v>5.0000000010186341E-4</v>
      </c>
      <c r="W1726" s="81">
        <f t="shared" si="857"/>
        <v>1</v>
      </c>
      <c r="X1726" s="81">
        <f t="shared" si="858"/>
        <v>1.0000001000000001</v>
      </c>
      <c r="Y1726" s="81">
        <f t="shared" si="859"/>
        <v>0</v>
      </c>
      <c r="Z1726" s="79"/>
      <c r="AF1726" s="79"/>
      <c r="AJ1726" s="66"/>
      <c r="AK1726" s="65"/>
    </row>
    <row r="1727" spans="1:37" hidden="1">
      <c r="A1727" s="65">
        <f t="shared" si="863"/>
        <v>73</v>
      </c>
      <c r="B1727" s="66" t="s">
        <v>663</v>
      </c>
      <c r="C1727" s="79">
        <f t="shared" si="868"/>
        <v>4145.0046001000001</v>
      </c>
      <c r="D1727" s="79">
        <f t="shared" si="868"/>
        <v>3891.05</v>
      </c>
      <c r="E1727" s="79">
        <f t="shared" si="868"/>
        <v>-4.9500000000000002E-2</v>
      </c>
      <c r="F1727" s="79">
        <f t="shared" si="853"/>
        <v>3891.0005000000001</v>
      </c>
      <c r="G1727" s="79">
        <f t="shared" si="869"/>
        <v>176</v>
      </c>
      <c r="H1727" s="79">
        <f t="shared" si="869"/>
        <v>78</v>
      </c>
      <c r="I1727" s="79">
        <f t="shared" si="869"/>
        <v>4.500000000000001E-4</v>
      </c>
      <c r="J1727" s="79">
        <f t="shared" si="869"/>
        <v>4.500000000000001E-4</v>
      </c>
      <c r="K1727" s="79">
        <f t="shared" si="869"/>
        <v>4.500000000000001E-4</v>
      </c>
      <c r="L1727" s="79">
        <f t="shared" si="869"/>
        <v>4.500000000000001E-4</v>
      </c>
      <c r="M1727" s="79">
        <f t="shared" si="861"/>
        <v>1.3500000000000003E-3</v>
      </c>
      <c r="N1727" s="79">
        <f t="shared" si="870"/>
        <v>4.500000000000001E-4</v>
      </c>
      <c r="O1727" s="79">
        <f t="shared" si="870"/>
        <v>4145.0027499999997</v>
      </c>
      <c r="P1727" s="79">
        <f t="shared" si="870"/>
        <v>4.500000000000001E-4</v>
      </c>
      <c r="Q1727" s="79">
        <f t="shared" si="870"/>
        <v>4.500000000000001E-4</v>
      </c>
      <c r="R1727" s="79">
        <f t="shared" si="855"/>
        <v>9.0000000000000019E-4</v>
      </c>
      <c r="S1727" s="79">
        <f>S1616+S1675+S1687</f>
        <v>7.000000000000001E-4</v>
      </c>
      <c r="U1727" s="80">
        <f t="shared" si="856"/>
        <v>-2.5010000081238104E-4</v>
      </c>
      <c r="W1727" s="81">
        <f t="shared" si="857"/>
        <v>0.99999979999999999</v>
      </c>
      <c r="X1727" s="81">
        <f t="shared" si="858"/>
        <v>0.99999959999999999</v>
      </c>
      <c r="Y1727" s="81">
        <f t="shared" si="859"/>
        <v>1.9999999999999999E-7</v>
      </c>
      <c r="Z1727" s="79"/>
      <c r="AF1727" s="79"/>
      <c r="AJ1727" s="66"/>
      <c r="AK1727" s="65"/>
    </row>
    <row r="1728" spans="1:37" hidden="1">
      <c r="A1728" s="65">
        <f t="shared" si="863"/>
        <v>74</v>
      </c>
      <c r="B1728" s="66" t="s">
        <v>664</v>
      </c>
      <c r="C1728" s="79">
        <f>C1676+C1688+C1698</f>
        <v>8938</v>
      </c>
      <c r="D1728" s="79">
        <f>D1676+D1688+D1698</f>
        <v>0</v>
      </c>
      <c r="E1728" s="79">
        <f>E1676+E1688+E1698</f>
        <v>0</v>
      </c>
      <c r="F1728" s="79">
        <f t="shared" si="853"/>
        <v>0</v>
      </c>
      <c r="G1728" s="79">
        <f t="shared" ref="G1728:L1728" si="871">G1676+G1688+G1698</f>
        <v>0</v>
      </c>
      <c r="H1728" s="79">
        <f t="shared" si="871"/>
        <v>0</v>
      </c>
      <c r="I1728" s="79">
        <f t="shared" si="871"/>
        <v>8938</v>
      </c>
      <c r="J1728" s="79">
        <f t="shared" si="871"/>
        <v>0</v>
      </c>
      <c r="K1728" s="79">
        <f t="shared" si="871"/>
        <v>0</v>
      </c>
      <c r="L1728" s="79">
        <f t="shared" si="871"/>
        <v>0</v>
      </c>
      <c r="M1728" s="79">
        <f t="shared" si="861"/>
        <v>0</v>
      </c>
      <c r="N1728" s="79">
        <f>N1676+N1688+N1698</f>
        <v>0</v>
      </c>
      <c r="O1728" s="79">
        <f>O1676+O1688+O1698</f>
        <v>8938</v>
      </c>
      <c r="P1728" s="79">
        <f>P1676+P1688+P1698</f>
        <v>0</v>
      </c>
      <c r="Q1728" s="79">
        <f>Q1676+Q1688+Q1698</f>
        <v>0</v>
      </c>
      <c r="R1728" s="79">
        <f t="shared" si="855"/>
        <v>0</v>
      </c>
      <c r="S1728" s="79">
        <f>S1676+S1688+S1698</f>
        <v>0</v>
      </c>
      <c r="U1728" s="80">
        <f t="shared" si="856"/>
        <v>0</v>
      </c>
      <c r="W1728" s="81">
        <f t="shared" si="857"/>
        <v>1</v>
      </c>
      <c r="X1728" s="81">
        <f t="shared" si="858"/>
        <v>1</v>
      </c>
      <c r="Y1728" s="81">
        <f t="shared" si="859"/>
        <v>0</v>
      </c>
      <c r="Z1728" s="79"/>
      <c r="AF1728" s="79"/>
      <c r="AJ1728" s="66"/>
      <c r="AK1728" s="65"/>
    </row>
    <row r="1729" spans="1:37" hidden="1">
      <c r="A1729" s="65">
        <f t="shared" si="863"/>
        <v>75</v>
      </c>
      <c r="B1729" s="66" t="s">
        <v>168</v>
      </c>
      <c r="C1729" s="79">
        <f>C1677+C1689+C1702</f>
        <v>10772</v>
      </c>
      <c r="D1729" s="79">
        <f>D1677+D1689+D1702</f>
        <v>1559</v>
      </c>
      <c r="E1729" s="79">
        <f>E1677+E1689+E1702</f>
        <v>59</v>
      </c>
      <c r="F1729" s="79">
        <f t="shared" si="853"/>
        <v>1618</v>
      </c>
      <c r="G1729" s="79">
        <f t="shared" ref="G1729:L1729" si="872">G1677+G1689+G1702</f>
        <v>88</v>
      </c>
      <c r="H1729" s="79">
        <f t="shared" si="872"/>
        <v>776</v>
      </c>
      <c r="I1729" s="79">
        <f t="shared" si="872"/>
        <v>517</v>
      </c>
      <c r="J1729" s="79">
        <f t="shared" si="872"/>
        <v>281</v>
      </c>
      <c r="K1729" s="79">
        <f t="shared" si="872"/>
        <v>13</v>
      </c>
      <c r="L1729" s="79">
        <f t="shared" si="872"/>
        <v>11</v>
      </c>
      <c r="M1729" s="79">
        <f t="shared" si="861"/>
        <v>305</v>
      </c>
      <c r="N1729" s="79">
        <f>N1677+N1689+N1702</f>
        <v>50</v>
      </c>
      <c r="O1729" s="79">
        <f>O1677+O1689+O1702</f>
        <v>3354</v>
      </c>
      <c r="P1729" s="79">
        <f>P1677+P1689+P1702</f>
        <v>96</v>
      </c>
      <c r="Q1729" s="79">
        <f>Q1677+Q1689+Q1702</f>
        <v>11</v>
      </c>
      <c r="R1729" s="79">
        <f t="shared" si="855"/>
        <v>107</v>
      </c>
      <c r="S1729" s="79">
        <f>S1677+S1689+S1702</f>
        <v>7311</v>
      </c>
      <c r="U1729" s="80">
        <f t="shared" si="856"/>
        <v>0</v>
      </c>
      <c r="W1729" s="81">
        <f t="shared" si="857"/>
        <v>0.9690841</v>
      </c>
      <c r="X1729" s="81">
        <f t="shared" si="858"/>
        <v>0.3113628</v>
      </c>
      <c r="Y1729" s="81">
        <f t="shared" si="859"/>
        <v>0.67870399999999997</v>
      </c>
      <c r="Z1729" s="79"/>
      <c r="AF1729" s="79"/>
      <c r="AJ1729" s="66"/>
      <c r="AK1729" s="65"/>
    </row>
    <row r="1730" spans="1:37" hidden="1">
      <c r="A1730" s="65">
        <f t="shared" si="863"/>
        <v>76</v>
      </c>
      <c r="B1730" s="66" t="s">
        <v>671</v>
      </c>
      <c r="C1730" s="79">
        <f>C1617</f>
        <v>39238</v>
      </c>
      <c r="D1730" s="79">
        <f>D1617</f>
        <v>22830.985000000001</v>
      </c>
      <c r="E1730" s="79">
        <f>E1617</f>
        <v>674</v>
      </c>
      <c r="F1730" s="79">
        <f t="shared" si="853"/>
        <v>23504.985000000001</v>
      </c>
      <c r="G1730" s="79">
        <f t="shared" ref="G1730:L1730" si="873">G1617</f>
        <v>1670</v>
      </c>
      <c r="H1730" s="79">
        <f t="shared" si="873"/>
        <v>7687</v>
      </c>
      <c r="I1730" s="79">
        <f t="shared" si="873"/>
        <v>3732</v>
      </c>
      <c r="J1730" s="79">
        <f t="shared" si="873"/>
        <v>1376</v>
      </c>
      <c r="K1730" s="79">
        <f t="shared" si="873"/>
        <v>105</v>
      </c>
      <c r="L1730" s="79">
        <f t="shared" si="873"/>
        <v>79</v>
      </c>
      <c r="M1730" s="79">
        <f t="shared" si="861"/>
        <v>1560</v>
      </c>
      <c r="N1730" s="79">
        <f>N1617</f>
        <v>1084</v>
      </c>
      <c r="O1730" s="79">
        <f>O1617</f>
        <v>39237.985000000001</v>
      </c>
      <c r="P1730" s="79">
        <f>P1617</f>
        <v>5.0000000000000001E-3</v>
      </c>
      <c r="Q1730" s="79">
        <f>Q1617</f>
        <v>5.0000000000000001E-3</v>
      </c>
      <c r="R1730" s="79">
        <f t="shared" si="855"/>
        <v>0.01</v>
      </c>
      <c r="S1730" s="79">
        <f>S1617</f>
        <v>5.0000000000000001E-3</v>
      </c>
      <c r="U1730" s="80">
        <f t="shared" si="856"/>
        <v>0</v>
      </c>
      <c r="W1730" s="81">
        <f t="shared" si="857"/>
        <v>0.99999970000000005</v>
      </c>
      <c r="X1730" s="81">
        <f t="shared" si="858"/>
        <v>0.99999959999999999</v>
      </c>
      <c r="Y1730" s="81">
        <f t="shared" si="859"/>
        <v>9.9999999999999995E-8</v>
      </c>
      <c r="Z1730" s="79"/>
      <c r="AF1730" s="79"/>
      <c r="AJ1730" s="66"/>
      <c r="AK1730" s="65"/>
    </row>
    <row r="1731" spans="1:37" hidden="1">
      <c r="A1731" s="65">
        <f t="shared" si="863"/>
        <v>77</v>
      </c>
      <c r="C1731" s="79"/>
      <c r="D1731" s="79"/>
      <c r="E1731" s="79"/>
      <c r="F1731" s="79"/>
      <c r="G1731" s="79"/>
      <c r="H1731" s="79"/>
      <c r="I1731" s="79"/>
      <c r="J1731" s="79"/>
      <c r="K1731" s="79"/>
      <c r="L1731" s="79"/>
      <c r="M1731" s="79"/>
      <c r="N1731" s="79"/>
      <c r="O1731" s="79"/>
      <c r="P1731" s="79"/>
      <c r="Q1731" s="79"/>
      <c r="R1731" s="79"/>
      <c r="S1731" s="79"/>
      <c r="U1731" s="80"/>
      <c r="W1731" s="81" t="str">
        <f t="shared" si="857"/>
        <v xml:space="preserve"> </v>
      </c>
      <c r="X1731" s="81" t="str">
        <f t="shared" si="858"/>
        <v xml:space="preserve"> </v>
      </c>
      <c r="Y1731" s="81" t="str">
        <f t="shared" si="859"/>
        <v xml:space="preserve"> </v>
      </c>
      <c r="Z1731" s="79"/>
      <c r="AF1731" s="79"/>
      <c r="AJ1731" s="66"/>
      <c r="AK1731" s="65"/>
    </row>
    <row r="1732" spans="1:37" hidden="1">
      <c r="A1732" s="65">
        <f t="shared" si="863"/>
        <v>78</v>
      </c>
      <c r="B1732" s="65" t="s">
        <v>672</v>
      </c>
      <c r="C1732" s="79"/>
      <c r="D1732" s="79"/>
      <c r="E1732" s="79"/>
      <c r="F1732" s="79"/>
      <c r="G1732" s="79"/>
      <c r="H1732" s="79"/>
      <c r="I1732" s="79"/>
      <c r="J1732" s="79"/>
      <c r="K1732" s="79"/>
      <c r="L1732" s="79"/>
      <c r="M1732" s="79"/>
      <c r="N1732" s="79"/>
      <c r="O1732" s="79"/>
      <c r="P1732" s="79"/>
      <c r="Q1732" s="79"/>
      <c r="R1732" s="79"/>
      <c r="S1732" s="79"/>
      <c r="U1732" s="80"/>
      <c r="W1732" s="81" t="str">
        <f t="shared" si="857"/>
        <v xml:space="preserve"> </v>
      </c>
      <c r="X1732" s="81" t="str">
        <f t="shared" si="858"/>
        <v xml:space="preserve"> </v>
      </c>
      <c r="Y1732" s="81" t="str">
        <f t="shared" si="859"/>
        <v xml:space="preserve"> </v>
      </c>
      <c r="Z1732" s="79"/>
      <c r="AF1732" s="79"/>
      <c r="AJ1732" s="66"/>
      <c r="AK1732" s="65"/>
    </row>
    <row r="1733" spans="1:37" hidden="1">
      <c r="B1733" s="66" t="s">
        <v>349</v>
      </c>
      <c r="C1733" s="79">
        <f>-C1602</f>
        <v>-39238</v>
      </c>
      <c r="D1733" s="79">
        <f>-D1602</f>
        <v>-22830.985000000001</v>
      </c>
      <c r="E1733" s="79">
        <f>-E1602</f>
        <v>-674</v>
      </c>
      <c r="F1733" s="79">
        <f>D1733+E1733</f>
        <v>-23504.985000000001</v>
      </c>
      <c r="G1733" s="79">
        <f t="shared" ref="G1733:L1733" si="874">-G1602</f>
        <v>-1670</v>
      </c>
      <c r="H1733" s="79">
        <f t="shared" si="874"/>
        <v>-7687</v>
      </c>
      <c r="I1733" s="79">
        <f t="shared" si="874"/>
        <v>-3732</v>
      </c>
      <c r="J1733" s="79">
        <f t="shared" si="874"/>
        <v>-1376</v>
      </c>
      <c r="K1733" s="79">
        <f t="shared" si="874"/>
        <v>-105</v>
      </c>
      <c r="L1733" s="79">
        <f t="shared" si="874"/>
        <v>-79</v>
      </c>
      <c r="M1733" s="79">
        <f t="shared" ref="M1733:M1745" si="875">SUM(J1733:L1733)</f>
        <v>-1560</v>
      </c>
      <c r="N1733" s="79">
        <f>-N1602</f>
        <v>-1084</v>
      </c>
      <c r="O1733" s="79">
        <f>-O1602</f>
        <v>-39237.985000000001</v>
      </c>
      <c r="P1733" s="79">
        <f>-P1602</f>
        <v>-5.0000000000000001E-3</v>
      </c>
      <c r="Q1733" s="79">
        <f>-Q1602</f>
        <v>-5.0000000000000001E-3</v>
      </c>
      <c r="R1733" s="79">
        <f t="shared" ref="R1733:R1745" si="876">P1733+Q1733</f>
        <v>-0.01</v>
      </c>
      <c r="S1733" s="79">
        <f>-S1602</f>
        <v>-5.0000000000000001E-3</v>
      </c>
      <c r="U1733" s="80">
        <f t="shared" ref="U1733:U1745" si="877">O1733+R1733+S1733-C1733</f>
        <v>0</v>
      </c>
      <c r="W1733" s="81">
        <f t="shared" si="857"/>
        <v>0.99999970000000005</v>
      </c>
      <c r="X1733" s="81">
        <f t="shared" si="858"/>
        <v>0.99999959999999999</v>
      </c>
      <c r="Y1733" s="81">
        <f t="shared" si="859"/>
        <v>9.9999999999999995E-8</v>
      </c>
      <c r="Z1733" s="79"/>
      <c r="AF1733" s="79"/>
      <c r="AJ1733" s="66"/>
      <c r="AK1733" s="65"/>
    </row>
    <row r="1734" spans="1:37" hidden="1">
      <c r="C1734" s="79"/>
      <c r="D1734" s="79"/>
      <c r="E1734" s="79"/>
      <c r="F1734" s="79"/>
      <c r="G1734" s="79"/>
      <c r="H1734" s="79"/>
      <c r="I1734" s="79"/>
      <c r="J1734" s="79"/>
      <c r="K1734" s="79"/>
      <c r="L1734" s="79"/>
      <c r="M1734" s="79"/>
      <c r="N1734" s="79"/>
      <c r="O1734" s="79"/>
      <c r="P1734" s="79"/>
      <c r="Q1734" s="79"/>
      <c r="R1734" s="79"/>
      <c r="S1734" s="79"/>
      <c r="U1734" s="80"/>
      <c r="W1734" s="81" t="str">
        <f t="shared" si="857"/>
        <v xml:space="preserve"> </v>
      </c>
      <c r="X1734" s="81" t="str">
        <f t="shared" si="858"/>
        <v xml:space="preserve"> </v>
      </c>
      <c r="Y1734" s="81" t="str">
        <f t="shared" si="859"/>
        <v xml:space="preserve"> </v>
      </c>
      <c r="Z1734" s="79"/>
      <c r="AF1734" s="79"/>
      <c r="AJ1734" s="66"/>
      <c r="AK1734" s="65"/>
    </row>
    <row r="1735" spans="1:37" hidden="1">
      <c r="A1735" s="65">
        <f>A1732+1</f>
        <v>79</v>
      </c>
      <c r="B1735" s="66" t="s">
        <v>673</v>
      </c>
      <c r="C1735" s="79">
        <f>C1719+C1733</f>
        <v>93940.004600099986</v>
      </c>
      <c r="D1735" s="79">
        <f>D1719+D1733</f>
        <v>14197.999990099997</v>
      </c>
      <c r="E1735" s="79">
        <f>E1719+E1733</f>
        <v>261.00099999999998</v>
      </c>
      <c r="F1735" s="79">
        <f t="shared" ref="F1735:F1745" si="878">D1735+E1735</f>
        <v>14459.000990099998</v>
      </c>
      <c r="G1735" s="79">
        <f t="shared" ref="G1735:L1735" si="879">G1719+G1733</f>
        <v>827</v>
      </c>
      <c r="H1735" s="79">
        <f t="shared" si="879"/>
        <v>3237</v>
      </c>
      <c r="I1735" s="79">
        <f t="shared" si="879"/>
        <v>10612.00045</v>
      </c>
      <c r="J1735" s="79">
        <f t="shared" si="879"/>
        <v>715.00045000000046</v>
      </c>
      <c r="K1735" s="79">
        <f t="shared" si="879"/>
        <v>51.000450000000001</v>
      </c>
      <c r="L1735" s="79">
        <f t="shared" si="879"/>
        <v>29.000450000000015</v>
      </c>
      <c r="M1735" s="79">
        <f t="shared" si="875"/>
        <v>795.00135000000046</v>
      </c>
      <c r="N1735" s="79">
        <f>N1719+N1733</f>
        <v>176.00046000000043</v>
      </c>
      <c r="O1735" s="79">
        <f>O1719+O1733</f>
        <v>30106.003250099995</v>
      </c>
      <c r="P1735" s="79">
        <f>P1719+P1733</f>
        <v>4145.0004500000005</v>
      </c>
      <c r="Q1735" s="79">
        <f>Q1719+Q1733</f>
        <v>37.000449999999994</v>
      </c>
      <c r="R1735" s="79">
        <f t="shared" si="876"/>
        <v>4182.0009</v>
      </c>
      <c r="S1735" s="79">
        <f>S1719+S1733</f>
        <v>59652.000700000004</v>
      </c>
      <c r="U1735" s="80">
        <f t="shared" si="877"/>
        <v>2.5000001187436283E-4</v>
      </c>
      <c r="W1735" s="81">
        <f t="shared" si="857"/>
        <v>0.87803310000000001</v>
      </c>
      <c r="X1735" s="81">
        <f t="shared" si="858"/>
        <v>0.32048120000000002</v>
      </c>
      <c r="Y1735" s="81">
        <f t="shared" si="859"/>
        <v>0.63500100000000004</v>
      </c>
      <c r="Z1735" s="79"/>
      <c r="AF1735" s="79"/>
      <c r="AJ1735" s="66"/>
      <c r="AK1735" s="65"/>
    </row>
    <row r="1736" spans="1:37" hidden="1">
      <c r="B1736" s="66" t="s">
        <v>655</v>
      </c>
      <c r="C1736" s="79">
        <f t="shared" ref="C1736:I1745" si="880">C1720</f>
        <v>53439</v>
      </c>
      <c r="D1736" s="79">
        <f t="shared" si="880"/>
        <v>670.00000009999997</v>
      </c>
      <c r="E1736" s="79">
        <f t="shared" si="880"/>
        <v>17</v>
      </c>
      <c r="F1736" s="79">
        <f t="shared" si="878"/>
        <v>687.00000009999997</v>
      </c>
      <c r="G1736" s="79">
        <f t="shared" ref="G1736:L1745" si="881">G1720</f>
        <v>60</v>
      </c>
      <c r="H1736" s="79">
        <f t="shared" si="881"/>
        <v>186</v>
      </c>
      <c r="I1736" s="79">
        <f t="shared" si="881"/>
        <v>87</v>
      </c>
      <c r="J1736" s="79">
        <f t="shared" si="881"/>
        <v>35</v>
      </c>
      <c r="K1736" s="79">
        <f t="shared" si="881"/>
        <v>3</v>
      </c>
      <c r="L1736" s="79">
        <f t="shared" si="881"/>
        <v>2</v>
      </c>
      <c r="M1736" s="79">
        <f t="shared" si="875"/>
        <v>40</v>
      </c>
      <c r="N1736" s="79">
        <f t="shared" ref="N1736:Q1745" si="882">N1720</f>
        <v>16</v>
      </c>
      <c r="O1736" s="79">
        <f t="shared" si="882"/>
        <v>1076.0000001000001</v>
      </c>
      <c r="P1736" s="79">
        <f t="shared" si="882"/>
        <v>20</v>
      </c>
      <c r="Q1736" s="79">
        <f t="shared" si="882"/>
        <v>2</v>
      </c>
      <c r="R1736" s="79">
        <f t="shared" si="876"/>
        <v>22</v>
      </c>
      <c r="S1736" s="79">
        <f>S1720</f>
        <v>52341</v>
      </c>
      <c r="U1736" s="80">
        <f t="shared" si="877"/>
        <v>1.0000076144933701E-7</v>
      </c>
      <c r="W1736" s="81">
        <f t="shared" si="857"/>
        <v>0.97996360000000005</v>
      </c>
      <c r="X1736" s="81">
        <f t="shared" si="858"/>
        <v>2.01351E-2</v>
      </c>
      <c r="Y1736" s="81">
        <f t="shared" si="859"/>
        <v>0.97945320000000002</v>
      </c>
      <c r="Z1736" s="79"/>
      <c r="AF1736" s="79"/>
      <c r="AJ1736" s="66"/>
      <c r="AK1736" s="65"/>
    </row>
    <row r="1737" spans="1:37" hidden="1">
      <c r="A1737" s="65">
        <f>A1735+1</f>
        <v>80</v>
      </c>
      <c r="B1737" s="66" t="s">
        <v>656</v>
      </c>
      <c r="C1737" s="79">
        <f t="shared" si="880"/>
        <v>10710</v>
      </c>
      <c r="D1737" s="79">
        <f t="shared" si="880"/>
        <v>3624</v>
      </c>
      <c r="E1737" s="79">
        <f t="shared" si="880"/>
        <v>93</v>
      </c>
      <c r="F1737" s="79">
        <f t="shared" si="878"/>
        <v>3717</v>
      </c>
      <c r="G1737" s="79">
        <f t="shared" si="881"/>
        <v>182</v>
      </c>
      <c r="H1737" s="79">
        <f t="shared" si="881"/>
        <v>1468</v>
      </c>
      <c r="I1737" s="79">
        <f t="shared" si="881"/>
        <v>853</v>
      </c>
      <c r="J1737" s="79">
        <f t="shared" si="881"/>
        <v>366</v>
      </c>
      <c r="K1737" s="79">
        <f t="shared" si="881"/>
        <v>27</v>
      </c>
      <c r="L1737" s="79">
        <f t="shared" si="881"/>
        <v>15</v>
      </c>
      <c r="M1737" s="79">
        <f t="shared" si="875"/>
        <v>408</v>
      </c>
      <c r="N1737" s="79">
        <f t="shared" si="882"/>
        <v>29</v>
      </c>
      <c r="O1737" s="79">
        <f t="shared" si="882"/>
        <v>6657</v>
      </c>
      <c r="P1737" s="79">
        <f t="shared" si="882"/>
        <v>4029</v>
      </c>
      <c r="Q1737" s="79">
        <f t="shared" si="882"/>
        <v>24</v>
      </c>
      <c r="R1737" s="79">
        <f t="shared" si="876"/>
        <v>4053</v>
      </c>
      <c r="S1737" s="79">
        <f>S1721</f>
        <v>0</v>
      </c>
      <c r="U1737" s="80">
        <f t="shared" si="877"/>
        <v>0</v>
      </c>
      <c r="W1737" s="81">
        <f t="shared" si="857"/>
        <v>0.62156860000000003</v>
      </c>
      <c r="X1737" s="81">
        <f t="shared" si="858"/>
        <v>0.62156860000000003</v>
      </c>
      <c r="Y1737" s="81">
        <f t="shared" si="859"/>
        <v>0</v>
      </c>
      <c r="Z1737" s="79"/>
      <c r="AF1737" s="79"/>
      <c r="AJ1737" s="66"/>
      <c r="AK1737" s="65"/>
    </row>
    <row r="1738" spans="1:37" hidden="1">
      <c r="A1738" s="65">
        <f t="shared" ref="A1738:A1747" si="883">A1737+1</f>
        <v>81</v>
      </c>
      <c r="B1738" s="66" t="s">
        <v>657</v>
      </c>
      <c r="C1738" s="79">
        <f t="shared" si="880"/>
        <v>0</v>
      </c>
      <c r="D1738" s="79">
        <f t="shared" si="880"/>
        <v>0</v>
      </c>
      <c r="E1738" s="79">
        <f t="shared" si="880"/>
        <v>0</v>
      </c>
      <c r="F1738" s="79">
        <f t="shared" si="878"/>
        <v>0</v>
      </c>
      <c r="G1738" s="79">
        <f t="shared" si="881"/>
        <v>0</v>
      </c>
      <c r="H1738" s="79">
        <f t="shared" si="881"/>
        <v>0</v>
      </c>
      <c r="I1738" s="79">
        <f t="shared" si="881"/>
        <v>0</v>
      </c>
      <c r="J1738" s="79">
        <f t="shared" si="881"/>
        <v>0</v>
      </c>
      <c r="K1738" s="79">
        <f t="shared" si="881"/>
        <v>0</v>
      </c>
      <c r="L1738" s="79">
        <f t="shared" si="881"/>
        <v>0</v>
      </c>
      <c r="M1738" s="79">
        <f t="shared" si="875"/>
        <v>0</v>
      </c>
      <c r="N1738" s="79">
        <f t="shared" si="882"/>
        <v>0</v>
      </c>
      <c r="O1738" s="79">
        <f t="shared" si="882"/>
        <v>0</v>
      </c>
      <c r="P1738" s="79">
        <f t="shared" si="882"/>
        <v>0</v>
      </c>
      <c r="Q1738" s="79">
        <f t="shared" si="882"/>
        <v>0</v>
      </c>
      <c r="R1738" s="79">
        <f t="shared" si="876"/>
        <v>0</v>
      </c>
      <c r="S1738" s="79">
        <f>S1722</f>
        <v>0</v>
      </c>
      <c r="U1738" s="80">
        <f t="shared" si="877"/>
        <v>0</v>
      </c>
      <c r="W1738" s="81" t="str">
        <f t="shared" si="857"/>
        <v xml:space="preserve"> </v>
      </c>
      <c r="X1738" s="81" t="str">
        <f t="shared" si="858"/>
        <v xml:space="preserve"> </v>
      </c>
      <c r="Y1738" s="81" t="str">
        <f t="shared" si="859"/>
        <v xml:space="preserve"> </v>
      </c>
      <c r="Z1738" s="79"/>
      <c r="AF1738" s="79"/>
      <c r="AJ1738" s="66"/>
      <c r="AK1738" s="65"/>
    </row>
    <row r="1739" spans="1:37" hidden="1">
      <c r="A1739" s="65">
        <f t="shared" si="883"/>
        <v>82</v>
      </c>
      <c r="B1739" s="66" t="s">
        <v>659</v>
      </c>
      <c r="C1739" s="79">
        <f t="shared" si="880"/>
        <v>1831</v>
      </c>
      <c r="D1739" s="79">
        <f t="shared" si="880"/>
        <v>1115.99999</v>
      </c>
      <c r="E1739" s="79">
        <f t="shared" si="880"/>
        <v>37</v>
      </c>
      <c r="F1739" s="79">
        <f t="shared" si="878"/>
        <v>1152.99999</v>
      </c>
      <c r="G1739" s="79">
        <f t="shared" si="880"/>
        <v>60</v>
      </c>
      <c r="H1739" s="79">
        <f t="shared" si="880"/>
        <v>447</v>
      </c>
      <c r="I1739" s="79">
        <f t="shared" si="880"/>
        <v>138</v>
      </c>
      <c r="J1739" s="79">
        <f t="shared" si="881"/>
        <v>4</v>
      </c>
      <c r="K1739" s="79">
        <f t="shared" si="881"/>
        <v>0</v>
      </c>
      <c r="L1739" s="79">
        <f t="shared" si="881"/>
        <v>0</v>
      </c>
      <c r="M1739" s="79">
        <f t="shared" si="875"/>
        <v>4</v>
      </c>
      <c r="N1739" s="79">
        <f t="shared" si="882"/>
        <v>29.00001</v>
      </c>
      <c r="O1739" s="79">
        <f t="shared" si="882"/>
        <v>1831</v>
      </c>
      <c r="P1739" s="79">
        <f t="shared" si="882"/>
        <v>0</v>
      </c>
      <c r="Q1739" s="79">
        <f t="shared" si="882"/>
        <v>0</v>
      </c>
      <c r="R1739" s="79">
        <f t="shared" si="876"/>
        <v>0</v>
      </c>
      <c r="S1739" s="79">
        <f t="shared" ref="S1739:S1745" si="884">S1723</f>
        <v>0</v>
      </c>
      <c r="U1739" s="80">
        <f t="shared" si="877"/>
        <v>0</v>
      </c>
      <c r="W1739" s="81">
        <f t="shared" si="857"/>
        <v>1</v>
      </c>
      <c r="X1739" s="81">
        <f t="shared" si="858"/>
        <v>1</v>
      </c>
      <c r="Y1739" s="81">
        <f t="shared" si="859"/>
        <v>0</v>
      </c>
      <c r="Z1739" s="79"/>
      <c r="AF1739" s="79"/>
      <c r="AJ1739" s="66"/>
      <c r="AK1739" s="65"/>
    </row>
    <row r="1740" spans="1:37" hidden="1">
      <c r="A1740" s="65">
        <f t="shared" si="883"/>
        <v>83</v>
      </c>
      <c r="B1740" s="66" t="s">
        <v>660</v>
      </c>
      <c r="C1740" s="79">
        <f t="shared" si="880"/>
        <v>687</v>
      </c>
      <c r="D1740" s="79">
        <f t="shared" si="880"/>
        <v>386</v>
      </c>
      <c r="E1740" s="79">
        <f t="shared" si="880"/>
        <v>13</v>
      </c>
      <c r="F1740" s="79">
        <f t="shared" si="878"/>
        <v>399</v>
      </c>
      <c r="G1740" s="79">
        <f t="shared" si="880"/>
        <v>21</v>
      </c>
      <c r="H1740" s="79">
        <f t="shared" si="880"/>
        <v>156</v>
      </c>
      <c r="I1740" s="79">
        <f t="shared" si="880"/>
        <v>63</v>
      </c>
      <c r="J1740" s="79">
        <f t="shared" si="881"/>
        <v>29</v>
      </c>
      <c r="K1740" s="79">
        <f t="shared" si="881"/>
        <v>8</v>
      </c>
      <c r="L1740" s="79">
        <f t="shared" si="881"/>
        <v>1</v>
      </c>
      <c r="M1740" s="79">
        <f t="shared" si="875"/>
        <v>38</v>
      </c>
      <c r="N1740" s="79">
        <f t="shared" si="882"/>
        <v>10</v>
      </c>
      <c r="O1740" s="79">
        <f t="shared" si="882"/>
        <v>687</v>
      </c>
      <c r="P1740" s="79">
        <f t="shared" si="882"/>
        <v>0</v>
      </c>
      <c r="Q1740" s="79">
        <f t="shared" si="882"/>
        <v>0</v>
      </c>
      <c r="R1740" s="79">
        <f t="shared" si="876"/>
        <v>0</v>
      </c>
      <c r="S1740" s="79">
        <f t="shared" si="884"/>
        <v>0</v>
      </c>
      <c r="U1740" s="80">
        <f t="shared" si="877"/>
        <v>0</v>
      </c>
      <c r="W1740" s="81">
        <f t="shared" si="857"/>
        <v>1</v>
      </c>
      <c r="X1740" s="81">
        <f t="shared" si="858"/>
        <v>1</v>
      </c>
      <c r="Y1740" s="81">
        <f t="shared" si="859"/>
        <v>0</v>
      </c>
      <c r="Z1740" s="79"/>
      <c r="AF1740" s="79"/>
      <c r="AJ1740" s="66"/>
      <c r="AK1740" s="65"/>
    </row>
    <row r="1741" spans="1:37" hidden="1">
      <c r="A1741" s="65">
        <f t="shared" si="883"/>
        <v>84</v>
      </c>
      <c r="B1741" s="66" t="s">
        <v>661</v>
      </c>
      <c r="C1741" s="79">
        <f t="shared" si="880"/>
        <v>0</v>
      </c>
      <c r="D1741" s="79">
        <f t="shared" si="880"/>
        <v>0</v>
      </c>
      <c r="E1741" s="79">
        <f t="shared" si="880"/>
        <v>0</v>
      </c>
      <c r="F1741" s="79">
        <f t="shared" si="878"/>
        <v>0</v>
      </c>
      <c r="G1741" s="79">
        <f t="shared" si="880"/>
        <v>0</v>
      </c>
      <c r="H1741" s="79">
        <f t="shared" si="880"/>
        <v>0</v>
      </c>
      <c r="I1741" s="79">
        <f t="shared" si="880"/>
        <v>0</v>
      </c>
      <c r="J1741" s="79">
        <f t="shared" si="881"/>
        <v>0</v>
      </c>
      <c r="K1741" s="79">
        <f t="shared" si="881"/>
        <v>0</v>
      </c>
      <c r="L1741" s="79">
        <f t="shared" si="881"/>
        <v>0</v>
      </c>
      <c r="M1741" s="79">
        <f t="shared" si="875"/>
        <v>0</v>
      </c>
      <c r="N1741" s="79">
        <f t="shared" si="882"/>
        <v>0</v>
      </c>
      <c r="O1741" s="79">
        <f t="shared" si="882"/>
        <v>0</v>
      </c>
      <c r="P1741" s="79">
        <f t="shared" si="882"/>
        <v>0</v>
      </c>
      <c r="Q1741" s="79">
        <f t="shared" si="882"/>
        <v>0</v>
      </c>
      <c r="R1741" s="79">
        <f t="shared" si="876"/>
        <v>0</v>
      </c>
      <c r="S1741" s="79">
        <f t="shared" si="884"/>
        <v>0</v>
      </c>
      <c r="U1741" s="80">
        <f t="shared" si="877"/>
        <v>0</v>
      </c>
      <c r="W1741" s="81" t="str">
        <f t="shared" si="857"/>
        <v xml:space="preserve"> </v>
      </c>
      <c r="X1741" s="81" t="str">
        <f t="shared" si="858"/>
        <v xml:space="preserve"> </v>
      </c>
      <c r="Y1741" s="81" t="str">
        <f t="shared" si="859"/>
        <v xml:space="preserve"> </v>
      </c>
      <c r="Z1741" s="79"/>
      <c r="AF1741" s="79"/>
      <c r="AJ1741" s="66"/>
      <c r="AK1741" s="65"/>
    </row>
    <row r="1742" spans="1:37" hidden="1">
      <c r="A1742" s="65">
        <f t="shared" si="883"/>
        <v>85</v>
      </c>
      <c r="B1742" s="66" t="s">
        <v>662</v>
      </c>
      <c r="C1742" s="79">
        <f t="shared" si="880"/>
        <v>3418</v>
      </c>
      <c r="D1742" s="79">
        <f t="shared" si="880"/>
        <v>2951.95</v>
      </c>
      <c r="E1742" s="79">
        <f t="shared" si="880"/>
        <v>42.0505</v>
      </c>
      <c r="F1742" s="79">
        <f t="shared" si="878"/>
        <v>2994.0004999999996</v>
      </c>
      <c r="G1742" s="79">
        <f t="shared" si="880"/>
        <v>240</v>
      </c>
      <c r="H1742" s="79">
        <f t="shared" si="880"/>
        <v>126</v>
      </c>
      <c r="I1742" s="79">
        <f t="shared" si="880"/>
        <v>16</v>
      </c>
      <c r="J1742" s="79">
        <f t="shared" si="881"/>
        <v>0</v>
      </c>
      <c r="K1742" s="79">
        <f t="shared" si="881"/>
        <v>0</v>
      </c>
      <c r="L1742" s="79">
        <f t="shared" si="881"/>
        <v>0</v>
      </c>
      <c r="M1742" s="79">
        <f t="shared" si="875"/>
        <v>0</v>
      </c>
      <c r="N1742" s="79">
        <f t="shared" si="882"/>
        <v>42</v>
      </c>
      <c r="O1742" s="79">
        <f t="shared" si="882"/>
        <v>3418.0005000000001</v>
      </c>
      <c r="P1742" s="79">
        <f t="shared" si="882"/>
        <v>0</v>
      </c>
      <c r="Q1742" s="79">
        <f t="shared" si="882"/>
        <v>0</v>
      </c>
      <c r="R1742" s="79">
        <f t="shared" si="876"/>
        <v>0</v>
      </c>
      <c r="S1742" s="79">
        <f t="shared" si="884"/>
        <v>0</v>
      </c>
      <c r="U1742" s="80">
        <f t="shared" si="877"/>
        <v>5.0000000010186341E-4</v>
      </c>
      <c r="W1742" s="81">
        <f t="shared" si="857"/>
        <v>1</v>
      </c>
      <c r="X1742" s="81">
        <f t="shared" si="858"/>
        <v>1.0000001000000001</v>
      </c>
      <c r="Y1742" s="81">
        <f t="shared" si="859"/>
        <v>0</v>
      </c>
      <c r="Z1742" s="79"/>
      <c r="AF1742" s="79"/>
      <c r="AJ1742" s="66"/>
      <c r="AK1742" s="65"/>
    </row>
    <row r="1743" spans="1:37" hidden="1">
      <c r="A1743" s="65">
        <f t="shared" si="883"/>
        <v>86</v>
      </c>
      <c r="B1743" s="66" t="s">
        <v>663</v>
      </c>
      <c r="C1743" s="79">
        <f t="shared" si="880"/>
        <v>4145.0046001000001</v>
      </c>
      <c r="D1743" s="79">
        <f t="shared" si="880"/>
        <v>3891.05</v>
      </c>
      <c r="E1743" s="79">
        <f t="shared" si="880"/>
        <v>-4.9500000000000002E-2</v>
      </c>
      <c r="F1743" s="79">
        <f t="shared" si="878"/>
        <v>3891.0005000000001</v>
      </c>
      <c r="G1743" s="79">
        <f t="shared" si="880"/>
        <v>176</v>
      </c>
      <c r="H1743" s="79">
        <f t="shared" si="880"/>
        <v>78</v>
      </c>
      <c r="I1743" s="79">
        <f t="shared" si="880"/>
        <v>4.500000000000001E-4</v>
      </c>
      <c r="J1743" s="79">
        <f t="shared" si="881"/>
        <v>4.500000000000001E-4</v>
      </c>
      <c r="K1743" s="79">
        <f t="shared" si="881"/>
        <v>4.500000000000001E-4</v>
      </c>
      <c r="L1743" s="79">
        <f t="shared" si="881"/>
        <v>4.500000000000001E-4</v>
      </c>
      <c r="M1743" s="79">
        <f t="shared" si="875"/>
        <v>1.3500000000000003E-3</v>
      </c>
      <c r="N1743" s="79">
        <f t="shared" si="882"/>
        <v>4.500000000000001E-4</v>
      </c>
      <c r="O1743" s="79">
        <f t="shared" si="882"/>
        <v>4145.0027499999997</v>
      </c>
      <c r="P1743" s="79">
        <f t="shared" si="882"/>
        <v>4.500000000000001E-4</v>
      </c>
      <c r="Q1743" s="79">
        <f t="shared" si="882"/>
        <v>4.500000000000001E-4</v>
      </c>
      <c r="R1743" s="79">
        <f t="shared" si="876"/>
        <v>9.0000000000000019E-4</v>
      </c>
      <c r="S1743" s="79">
        <f t="shared" si="884"/>
        <v>7.000000000000001E-4</v>
      </c>
      <c r="U1743" s="80">
        <f t="shared" si="877"/>
        <v>-2.5010000081238104E-4</v>
      </c>
      <c r="W1743" s="81">
        <f t="shared" si="857"/>
        <v>0.99999979999999999</v>
      </c>
      <c r="X1743" s="81">
        <f t="shared" si="858"/>
        <v>0.99999959999999999</v>
      </c>
      <c r="Y1743" s="81">
        <f t="shared" si="859"/>
        <v>1.9999999999999999E-7</v>
      </c>
      <c r="Z1743" s="79"/>
      <c r="AF1743" s="79"/>
      <c r="AJ1743" s="66"/>
      <c r="AK1743" s="65"/>
    </row>
    <row r="1744" spans="1:37" hidden="1">
      <c r="A1744" s="65">
        <f t="shared" si="883"/>
        <v>87</v>
      </c>
      <c r="B1744" s="66" t="s">
        <v>664</v>
      </c>
      <c r="C1744" s="79">
        <f t="shared" si="880"/>
        <v>8938</v>
      </c>
      <c r="D1744" s="79">
        <f t="shared" si="880"/>
        <v>0</v>
      </c>
      <c r="E1744" s="79">
        <f t="shared" si="880"/>
        <v>0</v>
      </c>
      <c r="F1744" s="79">
        <f t="shared" si="878"/>
        <v>0</v>
      </c>
      <c r="G1744" s="79">
        <f t="shared" si="880"/>
        <v>0</v>
      </c>
      <c r="H1744" s="79">
        <f t="shared" si="880"/>
        <v>0</v>
      </c>
      <c r="I1744" s="79">
        <f t="shared" si="880"/>
        <v>8938</v>
      </c>
      <c r="J1744" s="79">
        <f t="shared" si="881"/>
        <v>0</v>
      </c>
      <c r="K1744" s="79">
        <f t="shared" si="881"/>
        <v>0</v>
      </c>
      <c r="L1744" s="79">
        <f t="shared" si="881"/>
        <v>0</v>
      </c>
      <c r="M1744" s="79">
        <f t="shared" si="875"/>
        <v>0</v>
      </c>
      <c r="N1744" s="79">
        <f t="shared" si="882"/>
        <v>0</v>
      </c>
      <c r="O1744" s="79">
        <f t="shared" si="882"/>
        <v>8938</v>
      </c>
      <c r="P1744" s="79">
        <f t="shared" si="882"/>
        <v>0</v>
      </c>
      <c r="Q1744" s="79">
        <f t="shared" si="882"/>
        <v>0</v>
      </c>
      <c r="R1744" s="79">
        <f t="shared" si="876"/>
        <v>0</v>
      </c>
      <c r="S1744" s="79">
        <f t="shared" si="884"/>
        <v>0</v>
      </c>
      <c r="U1744" s="80">
        <f t="shared" si="877"/>
        <v>0</v>
      </c>
      <c r="W1744" s="81">
        <f t="shared" si="857"/>
        <v>1</v>
      </c>
      <c r="X1744" s="81">
        <f t="shared" si="858"/>
        <v>1</v>
      </c>
      <c r="Y1744" s="81">
        <f t="shared" si="859"/>
        <v>0</v>
      </c>
      <c r="Z1744" s="79"/>
      <c r="AF1744" s="79"/>
      <c r="AJ1744" s="66"/>
      <c r="AK1744" s="65"/>
    </row>
    <row r="1745" spans="1:37" hidden="1">
      <c r="A1745" s="65">
        <f t="shared" si="883"/>
        <v>88</v>
      </c>
      <c r="B1745" s="66" t="s">
        <v>168</v>
      </c>
      <c r="C1745" s="79">
        <f t="shared" si="880"/>
        <v>10772</v>
      </c>
      <c r="D1745" s="79">
        <f t="shared" si="880"/>
        <v>1559</v>
      </c>
      <c r="E1745" s="79">
        <f t="shared" si="880"/>
        <v>59</v>
      </c>
      <c r="F1745" s="79">
        <f t="shared" si="878"/>
        <v>1618</v>
      </c>
      <c r="G1745" s="79">
        <f t="shared" si="880"/>
        <v>88</v>
      </c>
      <c r="H1745" s="79">
        <f t="shared" si="880"/>
        <v>776</v>
      </c>
      <c r="I1745" s="79">
        <f t="shared" si="880"/>
        <v>517</v>
      </c>
      <c r="J1745" s="79">
        <f t="shared" si="881"/>
        <v>281</v>
      </c>
      <c r="K1745" s="79">
        <f t="shared" si="881"/>
        <v>13</v>
      </c>
      <c r="L1745" s="79">
        <f t="shared" si="881"/>
        <v>11</v>
      </c>
      <c r="M1745" s="79">
        <f t="shared" si="875"/>
        <v>305</v>
      </c>
      <c r="N1745" s="79">
        <f t="shared" si="882"/>
        <v>50</v>
      </c>
      <c r="O1745" s="79">
        <f t="shared" si="882"/>
        <v>3354</v>
      </c>
      <c r="P1745" s="79">
        <f t="shared" si="882"/>
        <v>96</v>
      </c>
      <c r="Q1745" s="79">
        <f t="shared" si="882"/>
        <v>11</v>
      </c>
      <c r="R1745" s="79">
        <f t="shared" si="876"/>
        <v>107</v>
      </c>
      <c r="S1745" s="79">
        <f t="shared" si="884"/>
        <v>7311</v>
      </c>
      <c r="U1745" s="80">
        <f t="shared" si="877"/>
        <v>0</v>
      </c>
      <c r="W1745" s="81">
        <f t="shared" si="857"/>
        <v>0.9690841</v>
      </c>
      <c r="X1745" s="81">
        <f t="shared" si="858"/>
        <v>0.3113628</v>
      </c>
      <c r="Y1745" s="81">
        <f t="shared" si="859"/>
        <v>0.67870399999999997</v>
      </c>
      <c r="Z1745" s="79"/>
      <c r="AF1745" s="79"/>
      <c r="AJ1745" s="66"/>
      <c r="AK1745" s="65"/>
    </row>
    <row r="1746" spans="1:37" hidden="1">
      <c r="A1746" s="65">
        <f t="shared" si="883"/>
        <v>89</v>
      </c>
      <c r="W1746" s="108"/>
      <c r="X1746" s="108"/>
      <c r="Y1746" s="108"/>
      <c r="AJ1746" s="66"/>
      <c r="AK1746" s="65"/>
    </row>
    <row r="1747" spans="1:37" hidden="1">
      <c r="A1747" s="65">
        <f t="shared" si="883"/>
        <v>90</v>
      </c>
      <c r="W1747" s="108"/>
      <c r="X1747" s="108"/>
      <c r="Y1747" s="108"/>
      <c r="AJ1747" s="66"/>
      <c r="AK1747" s="65"/>
    </row>
    <row r="1748" spans="1:37" hidden="1">
      <c r="X1748" s="108"/>
      <c r="Y1748" s="108"/>
      <c r="AJ1748" s="66"/>
      <c r="AK1748" s="65"/>
    </row>
    <row r="1749" spans="1:37" hidden="1">
      <c r="Y1749" s="65"/>
      <c r="AJ1749" s="66"/>
    </row>
    <row r="1750" spans="1:37" hidden="1">
      <c r="B1750" s="72"/>
      <c r="C1750" s="79"/>
      <c r="H1750" s="65" t="s">
        <v>80</v>
      </c>
      <c r="I1750" s="79"/>
      <c r="J1750" s="79"/>
      <c r="K1750" s="79"/>
      <c r="L1750" s="79"/>
      <c r="M1750" s="79"/>
      <c r="N1750" s="99"/>
      <c r="Q1750" s="65" t="s">
        <v>80</v>
      </c>
      <c r="S1750" s="99"/>
      <c r="U1750" s="80"/>
      <c r="X1750" s="108"/>
      <c r="Y1750" s="108"/>
      <c r="Z1750" s="65"/>
      <c r="AF1750" s="99"/>
      <c r="AJ1750" s="66"/>
      <c r="AK1750" s="65"/>
    </row>
    <row r="1751" spans="1:37" hidden="1">
      <c r="B1751" s="72"/>
      <c r="C1751" s="79"/>
      <c r="H1751" s="70" t="str">
        <f>H24</f>
        <v>12 MONTHS ENDING DECEMBER 31, 2012</v>
      </c>
      <c r="I1751" s="79"/>
      <c r="J1751" s="79"/>
      <c r="K1751" s="79"/>
      <c r="L1751" s="79"/>
      <c r="M1751" s="79"/>
      <c r="Q1751" s="70" t="str">
        <f>Q24</f>
        <v>12 MONTHS ENDING DECEMBER 31, 2012</v>
      </c>
      <c r="U1751" s="80"/>
      <c r="X1751" s="108"/>
      <c r="Y1751" s="108"/>
      <c r="Z1751" s="70"/>
      <c r="AJ1751" s="66"/>
      <c r="AK1751" s="65"/>
    </row>
    <row r="1752" spans="1:37" hidden="1">
      <c r="C1752" s="79"/>
      <c r="H1752" s="70" t="str">
        <f>$H$25</f>
        <v>12/13 DEMAND ALLOCATION WITH MDS METHODOLOGY</v>
      </c>
      <c r="Q1752" s="70" t="str">
        <f>$H$25</f>
        <v>12/13 DEMAND ALLOCATION WITH MDS METHODOLOGY</v>
      </c>
      <c r="X1752" s="108"/>
      <c r="Y1752" s="108"/>
      <c r="Z1752" s="70"/>
      <c r="AJ1752" s="66"/>
      <c r="AK1752" s="65"/>
    </row>
    <row r="1753" spans="1:37" hidden="1">
      <c r="C1753" s="79"/>
      <c r="H1753" s="80" t="s">
        <v>674</v>
      </c>
      <c r="J1753" s="79"/>
      <c r="K1753" s="79"/>
      <c r="L1753" s="79"/>
      <c r="M1753" s="79"/>
      <c r="N1753" s="105"/>
      <c r="Q1753" s="80" t="s">
        <v>674</v>
      </c>
      <c r="S1753" s="99"/>
      <c r="U1753" s="80"/>
      <c r="X1753" s="108"/>
      <c r="Y1753" s="108"/>
      <c r="Z1753" s="80"/>
      <c r="AF1753" s="99"/>
      <c r="AJ1753" s="66"/>
      <c r="AK1753" s="65"/>
    </row>
    <row r="1754" spans="1:37" hidden="1">
      <c r="C1754" s="79"/>
      <c r="H1754" s="87" t="s">
        <v>114</v>
      </c>
      <c r="J1754" s="79"/>
      <c r="K1754" s="79"/>
      <c r="L1754" s="79"/>
      <c r="M1754" s="79"/>
      <c r="N1754" s="79"/>
      <c r="Q1754" s="87" t="s">
        <v>114</v>
      </c>
      <c r="S1754" s="99"/>
      <c r="U1754" s="80"/>
      <c r="X1754" s="108"/>
      <c r="Y1754" s="108"/>
      <c r="Z1754" s="87"/>
      <c r="AF1754" s="99"/>
      <c r="AJ1754" s="66"/>
      <c r="AK1754" s="65"/>
    </row>
    <row r="1755" spans="1:37" hidden="1">
      <c r="H1755" s="70"/>
      <c r="O1755" s="70"/>
      <c r="Q1755" s="65"/>
      <c r="X1755" s="108"/>
      <c r="Y1755" s="108"/>
      <c r="AJ1755" s="66"/>
      <c r="AK1755" s="65"/>
    </row>
    <row r="1756" spans="1:37" hidden="1">
      <c r="X1756" s="108"/>
      <c r="Y1756" s="108"/>
      <c r="AJ1756" s="66"/>
      <c r="AK1756" s="65"/>
    </row>
    <row r="1757" spans="1:37" hidden="1">
      <c r="C1757" s="65" t="s">
        <v>59</v>
      </c>
      <c r="K1757" s="65"/>
      <c r="L1757" s="65"/>
      <c r="M1757" s="65"/>
      <c r="O1757" s="65" t="s">
        <v>59</v>
      </c>
      <c r="P1757" s="65"/>
      <c r="Q1757" s="65"/>
      <c r="R1757" s="65"/>
      <c r="S1757" s="65" t="s">
        <v>115</v>
      </c>
      <c r="W1757" s="65" t="s">
        <v>116</v>
      </c>
      <c r="X1757" s="65" t="s">
        <v>116</v>
      </c>
      <c r="Y1757" s="65" t="s">
        <v>117</v>
      </c>
      <c r="AF1757" s="65"/>
      <c r="AJ1757" s="66"/>
      <c r="AK1757" s="65"/>
    </row>
    <row r="1758" spans="1:37" hidden="1">
      <c r="C1758" s="65" t="s">
        <v>58</v>
      </c>
      <c r="D1758" s="70" t="s">
        <v>119</v>
      </c>
      <c r="E1758" s="70" t="s">
        <v>119</v>
      </c>
      <c r="F1758" s="70" t="s">
        <v>119</v>
      </c>
      <c r="G1758" s="70" t="s">
        <v>119</v>
      </c>
      <c r="H1758" s="70" t="s">
        <v>119</v>
      </c>
      <c r="I1758" s="70" t="s">
        <v>119</v>
      </c>
      <c r="J1758" s="70" t="s">
        <v>119</v>
      </c>
      <c r="K1758" s="70" t="s">
        <v>119</v>
      </c>
      <c r="L1758" s="70" t="s">
        <v>119</v>
      </c>
      <c r="M1758" s="70" t="s">
        <v>119</v>
      </c>
      <c r="N1758" s="70" t="s">
        <v>119</v>
      </c>
      <c r="O1758" s="65" t="s">
        <v>116</v>
      </c>
      <c r="P1758" s="65"/>
      <c r="Q1758" s="70" t="s">
        <v>120</v>
      </c>
      <c r="R1758" s="65"/>
      <c r="S1758" s="65" t="s">
        <v>121</v>
      </c>
      <c r="W1758" s="76" t="s">
        <v>122</v>
      </c>
      <c r="X1758" s="76" t="s">
        <v>123</v>
      </c>
      <c r="Y1758" s="76" t="s">
        <v>124</v>
      </c>
      <c r="Z1758" s="65"/>
      <c r="AF1758" s="70"/>
      <c r="AJ1758" s="66"/>
      <c r="AK1758" s="65"/>
    </row>
    <row r="1759" spans="1:37" hidden="1">
      <c r="B1759" s="65" t="s">
        <v>126</v>
      </c>
      <c r="C1759" s="65" t="s">
        <v>57</v>
      </c>
      <c r="D1759" s="70" t="s">
        <v>127</v>
      </c>
      <c r="E1759" s="70" t="s">
        <v>128</v>
      </c>
      <c r="F1759" s="70" t="s">
        <v>129</v>
      </c>
      <c r="G1759" s="70" t="s">
        <v>130</v>
      </c>
      <c r="H1759" s="70" t="s">
        <v>131</v>
      </c>
      <c r="I1759" s="65" t="s">
        <v>132</v>
      </c>
      <c r="J1759" s="70" t="s">
        <v>133</v>
      </c>
      <c r="K1759" s="70" t="s">
        <v>134</v>
      </c>
      <c r="L1759" s="70" t="s">
        <v>135</v>
      </c>
      <c r="M1759" s="70" t="s">
        <v>136</v>
      </c>
      <c r="N1759" s="70" t="s">
        <v>137</v>
      </c>
      <c r="O1759" s="65" t="s">
        <v>138</v>
      </c>
      <c r="P1759" s="70" t="s">
        <v>139</v>
      </c>
      <c r="Q1759" s="70" t="s">
        <v>140</v>
      </c>
      <c r="R1759" s="65" t="s">
        <v>122</v>
      </c>
      <c r="S1759" s="65" t="s">
        <v>141</v>
      </c>
      <c r="U1759" s="65" t="s">
        <v>162</v>
      </c>
      <c r="W1759" s="76" t="s">
        <v>142</v>
      </c>
      <c r="X1759" s="76" t="s">
        <v>142</v>
      </c>
      <c r="Y1759" s="76" t="s">
        <v>142</v>
      </c>
      <c r="Z1759" s="65"/>
      <c r="AF1759" s="70"/>
      <c r="AJ1759" s="66"/>
      <c r="AK1759" s="65"/>
    </row>
    <row r="1760" spans="1:37" hidden="1">
      <c r="A1760" s="65" t="s">
        <v>118</v>
      </c>
      <c r="B1760" s="65" t="s">
        <v>144</v>
      </c>
      <c r="C1760" s="65" t="s">
        <v>145</v>
      </c>
      <c r="D1760" s="70" t="s">
        <v>146</v>
      </c>
      <c r="E1760" s="70" t="s">
        <v>147</v>
      </c>
      <c r="F1760" s="70" t="s">
        <v>148</v>
      </c>
      <c r="G1760" s="65" t="s">
        <v>149</v>
      </c>
      <c r="H1760" s="65" t="s">
        <v>150</v>
      </c>
      <c r="I1760" s="65" t="s">
        <v>151</v>
      </c>
      <c r="J1760" s="70" t="s">
        <v>152</v>
      </c>
      <c r="K1760" s="70" t="s">
        <v>153</v>
      </c>
      <c r="L1760" s="70" t="s">
        <v>154</v>
      </c>
      <c r="M1760" s="70" t="s">
        <v>155</v>
      </c>
      <c r="N1760" s="70" t="s">
        <v>156</v>
      </c>
      <c r="O1760" s="70" t="s">
        <v>157</v>
      </c>
      <c r="P1760" s="70" t="s">
        <v>158</v>
      </c>
      <c r="Q1760" s="70" t="s">
        <v>159</v>
      </c>
      <c r="R1760" s="70" t="s">
        <v>160</v>
      </c>
      <c r="S1760" s="70" t="s">
        <v>161</v>
      </c>
      <c r="W1760" s="77" t="s">
        <v>163</v>
      </c>
      <c r="X1760" s="77" t="s">
        <v>164</v>
      </c>
      <c r="Y1760" s="76" t="s">
        <v>165</v>
      </c>
      <c r="Z1760" s="70"/>
      <c r="AF1760" s="76"/>
      <c r="AJ1760" s="66"/>
      <c r="AK1760" s="70"/>
    </row>
    <row r="1761" spans="1:37" hidden="1">
      <c r="A1761" s="65" t="s">
        <v>125</v>
      </c>
      <c r="C1761" s="79"/>
      <c r="D1761" s="79"/>
      <c r="E1761" s="79"/>
      <c r="F1761" s="79"/>
      <c r="G1761" s="79"/>
      <c r="H1761" s="79"/>
      <c r="I1761" s="79"/>
      <c r="J1761" s="79"/>
      <c r="K1761" s="79"/>
      <c r="L1761" s="79"/>
      <c r="M1761" s="79"/>
      <c r="N1761" s="79"/>
      <c r="O1761" s="79"/>
      <c r="P1761" s="79"/>
      <c r="Q1761" s="79"/>
      <c r="R1761" s="79"/>
      <c r="S1761" s="79"/>
      <c r="U1761" s="80"/>
      <c r="W1761" s="108" t="str">
        <f>IF((P1761+Q1761)=0," ",ROUND((P1761/(P1761+Q1761)),74))</f>
        <v xml:space="preserve"> </v>
      </c>
      <c r="X1761" s="108" t="str">
        <f>IF((C1761)=0," ",ROUND((P1761/(C1761)),74))</f>
        <v xml:space="preserve"> </v>
      </c>
      <c r="Y1761" s="108" t="str">
        <f>IF((C1761)=0," ",ROUND((R1761/(C1761)),7))</f>
        <v xml:space="preserve"> </v>
      </c>
      <c r="Z1761" s="79"/>
      <c r="AF1761" s="79"/>
      <c r="AJ1761" s="66"/>
      <c r="AK1761" s="65"/>
    </row>
    <row r="1762" spans="1:37" hidden="1">
      <c r="A1762" s="65" t="s">
        <v>143</v>
      </c>
      <c r="B1762" s="66" t="s">
        <v>675</v>
      </c>
      <c r="C1762" s="79"/>
      <c r="D1762" s="79"/>
      <c r="E1762" s="79"/>
      <c r="F1762" s="79"/>
      <c r="G1762" s="79"/>
      <c r="H1762" s="79"/>
      <c r="I1762" s="79"/>
      <c r="J1762" s="79"/>
      <c r="K1762" s="79"/>
      <c r="L1762" s="79"/>
      <c r="M1762" s="79"/>
      <c r="N1762" s="79"/>
      <c r="O1762" s="79"/>
      <c r="P1762" s="79"/>
      <c r="Q1762" s="79"/>
      <c r="R1762" s="79"/>
      <c r="S1762" s="79"/>
      <c r="U1762" s="80"/>
      <c r="W1762" s="108" t="str">
        <f>IF((P1762+Q1762)=0," ",ROUND((P1762/(P1762+Q1762)),74))</f>
        <v xml:space="preserve"> </v>
      </c>
      <c r="X1762" s="108" t="str">
        <f>IF((C1762)=0," ",ROUND((P1762/(C1762)),74))</f>
        <v xml:space="preserve"> </v>
      </c>
      <c r="Y1762" s="108" t="str">
        <f>IF((C1762)=0," ",ROUND((R1762/(C1762)),7))</f>
        <v xml:space="preserve"> </v>
      </c>
      <c r="Z1762" s="79"/>
      <c r="AF1762" s="79"/>
      <c r="AJ1762" s="66"/>
      <c r="AK1762" s="65"/>
    </row>
    <row r="1763" spans="1:37" hidden="1">
      <c r="B1763" s="66" t="s">
        <v>676</v>
      </c>
      <c r="C1763" s="79">
        <f>ROUND((C1765*0.2961),0)</f>
        <v>39</v>
      </c>
      <c r="D1763" s="79">
        <f>ROUND((D1765*0.2961),0)</f>
        <v>31</v>
      </c>
      <c r="E1763" s="79">
        <f>ROUND((E1765*0.2961),0)+0.0005</f>
        <v>5.0000000000000001E-4</v>
      </c>
      <c r="F1763" s="79">
        <f>D1763+E1763</f>
        <v>31.000499999999999</v>
      </c>
      <c r="G1763" s="79">
        <f t="shared" ref="G1763:L1763" si="885">ROUND((G1765*0.2961),0)</f>
        <v>7</v>
      </c>
      <c r="H1763" s="79">
        <f t="shared" si="885"/>
        <v>1</v>
      </c>
      <c r="I1763" s="79">
        <f t="shared" si="885"/>
        <v>0</v>
      </c>
      <c r="J1763" s="79">
        <f t="shared" si="885"/>
        <v>0</v>
      </c>
      <c r="K1763" s="79">
        <f t="shared" si="885"/>
        <v>0</v>
      </c>
      <c r="L1763" s="79">
        <f t="shared" si="885"/>
        <v>0</v>
      </c>
      <c r="M1763" s="79">
        <f>SUM(J1763:L1763)</f>
        <v>0</v>
      </c>
      <c r="N1763" s="79">
        <f>ROUND((N1765*0.2961),0)</f>
        <v>0</v>
      </c>
      <c r="O1763" s="79">
        <f>SUM(F1763:I1763)+SUM(M1763:N1763)</f>
        <v>39.000500000000002</v>
      </c>
      <c r="P1763" s="79">
        <f>ROUND((P1765*0.2961),0)</f>
        <v>0</v>
      </c>
      <c r="Q1763" s="79">
        <f>ROUND((Q1765*0.2961),0)</f>
        <v>0</v>
      </c>
      <c r="R1763" s="79">
        <f>P1763+Q1763</f>
        <v>0</v>
      </c>
      <c r="S1763" s="79">
        <f>ROUND((S1765*0.2961),0)</f>
        <v>0</v>
      </c>
      <c r="U1763" s="80">
        <f t="shared" ref="U1763:U1769" si="886">O1763+R1763+S1763-C1763</f>
        <v>5.0000000000238742E-4</v>
      </c>
      <c r="W1763" s="81">
        <f t="shared" ref="W1763:W1796" si="887">IF((O1763+R1763)=0," ",ROUND((O1763/(O1763+R1763)),7))</f>
        <v>1</v>
      </c>
      <c r="X1763" s="81">
        <f t="shared" ref="X1763:X1796" si="888">IF((C1763)=0," ",ROUND((O1763/(C1763)),7))</f>
        <v>1.0000127999999999</v>
      </c>
      <c r="Y1763" s="81">
        <f t="shared" ref="Y1763:Y1796" si="889">IF((C1763)=0," ",ROUND((S1763/(C1763)),7))</f>
        <v>0</v>
      </c>
      <c r="Z1763" s="79"/>
      <c r="AF1763" s="79"/>
      <c r="AJ1763" s="66"/>
      <c r="AK1763" s="65"/>
    </row>
    <row r="1764" spans="1:37" hidden="1">
      <c r="B1764" s="66" t="s">
        <v>677</v>
      </c>
      <c r="C1764" s="79">
        <f>C1765-C1763</f>
        <v>94.000899999999973</v>
      </c>
      <c r="D1764" s="79">
        <f>C1764-E1764-SUM(G1764:I1764)-SUM(M1764:N1764)-R1764-S1764</f>
        <v>75.00049999999996</v>
      </c>
      <c r="E1764" s="79">
        <f>E1765-E1763</f>
        <v>0</v>
      </c>
      <c r="F1764" s="79">
        <f t="shared" ref="F1764:F1771" si="890">D1764+E1764</f>
        <v>75.00049999999996</v>
      </c>
      <c r="G1764" s="79">
        <f t="shared" ref="G1764:L1764" si="891">G1765-G1763</f>
        <v>17</v>
      </c>
      <c r="H1764" s="79">
        <f t="shared" si="891"/>
        <v>2</v>
      </c>
      <c r="I1764" s="79">
        <f t="shared" si="891"/>
        <v>5.0000000000000002E-5</v>
      </c>
      <c r="J1764" s="79">
        <f t="shared" si="891"/>
        <v>5.0000000000000002E-5</v>
      </c>
      <c r="K1764" s="79">
        <f t="shared" si="891"/>
        <v>5.0000000000000002E-5</v>
      </c>
      <c r="L1764" s="79">
        <f t="shared" si="891"/>
        <v>5.0000000000000002E-5</v>
      </c>
      <c r="M1764" s="79">
        <f>SUM(J1764:L1764)</f>
        <v>1.5000000000000001E-4</v>
      </c>
      <c r="N1764" s="79">
        <f>N1765-N1763</f>
        <v>5.0000000000000002E-5</v>
      </c>
      <c r="O1764" s="79">
        <f>SUM(F1764:I1764)+SUM(M1764:N1764)</f>
        <v>94.000749999999968</v>
      </c>
      <c r="P1764" s="79">
        <f>P1765-P1763</f>
        <v>5.0000000000000002E-5</v>
      </c>
      <c r="Q1764" s="79">
        <f>Q1765-Q1763</f>
        <v>5.0000000000000002E-5</v>
      </c>
      <c r="R1764" s="79">
        <f t="shared" ref="R1764:R1771" si="892">P1764+Q1764</f>
        <v>1E-4</v>
      </c>
      <c r="S1764" s="79">
        <f>S1765-S1763</f>
        <v>5.0000000000000002E-5</v>
      </c>
      <c r="U1764" s="80">
        <f t="shared" si="886"/>
        <v>0</v>
      </c>
      <c r="W1764" s="81">
        <f t="shared" si="887"/>
        <v>0.99999890000000002</v>
      </c>
      <c r="X1764" s="81">
        <f t="shared" si="888"/>
        <v>0.99999839999999995</v>
      </c>
      <c r="Y1764" s="81">
        <f t="shared" si="889"/>
        <v>4.9999999999999998E-7</v>
      </c>
      <c r="Z1764" s="79"/>
      <c r="AF1764" s="79"/>
      <c r="AJ1764" s="66"/>
      <c r="AK1764" s="65"/>
    </row>
    <row r="1765" spans="1:37" hidden="1">
      <c r="A1765" s="65">
        <f>A1764+1</f>
        <v>1</v>
      </c>
      <c r="B1765" s="66" t="s">
        <v>678</v>
      </c>
      <c r="C1765" s="79">
        <f>$C$637</f>
        <v>133.00089999999997</v>
      </c>
      <c r="D1765" s="79">
        <f>$D$637</f>
        <v>106</v>
      </c>
      <c r="E1765" s="79">
        <f>E$637</f>
        <v>5.0000000000000001E-4</v>
      </c>
      <c r="F1765" s="79">
        <f t="shared" si="890"/>
        <v>106.0005</v>
      </c>
      <c r="G1765" s="79">
        <f>$G$637</f>
        <v>24</v>
      </c>
      <c r="H1765" s="79">
        <f>$H$637</f>
        <v>3</v>
      </c>
      <c r="I1765" s="79">
        <f>$I$637</f>
        <v>5.0000000000000002E-5</v>
      </c>
      <c r="J1765" s="79">
        <f>$J$637</f>
        <v>5.0000000000000002E-5</v>
      </c>
      <c r="K1765" s="79">
        <f>$K$637</f>
        <v>5.0000000000000002E-5</v>
      </c>
      <c r="L1765" s="79">
        <f>$L$637</f>
        <v>5.0000000000000002E-5</v>
      </c>
      <c r="M1765" s="79">
        <f>SUM(J1765:L1765)</f>
        <v>1.5000000000000001E-4</v>
      </c>
      <c r="N1765" s="79">
        <f>$N$637</f>
        <v>5.0000000000000002E-5</v>
      </c>
      <c r="O1765" s="79">
        <f>SUM(F1765:I1765)+SUM(M1765:N1765)</f>
        <v>133.00074999999998</v>
      </c>
      <c r="P1765" s="79">
        <f>$P$637</f>
        <v>5.0000000000000002E-5</v>
      </c>
      <c r="Q1765" s="79">
        <f>$Q$637</f>
        <v>5.0000000000000002E-5</v>
      </c>
      <c r="R1765" s="79">
        <f t="shared" si="892"/>
        <v>1E-4</v>
      </c>
      <c r="S1765" s="79">
        <f>$S$637</f>
        <v>5.0000000000000002E-5</v>
      </c>
      <c r="U1765" s="80">
        <f t="shared" si="886"/>
        <v>0</v>
      </c>
      <c r="W1765" s="81">
        <f t="shared" si="887"/>
        <v>0.99999919999999998</v>
      </c>
      <c r="X1765" s="81">
        <f t="shared" si="888"/>
        <v>0.99999890000000002</v>
      </c>
      <c r="Y1765" s="81">
        <f t="shared" si="889"/>
        <v>3.9999999999999998E-7</v>
      </c>
      <c r="Z1765" s="79"/>
      <c r="AF1765" s="79"/>
      <c r="AJ1765" s="66"/>
      <c r="AK1765" s="65"/>
    </row>
    <row r="1766" spans="1:37" hidden="1">
      <c r="A1766" s="65">
        <f>A1765+1</f>
        <v>2</v>
      </c>
      <c r="C1766" s="79"/>
      <c r="D1766" s="79"/>
      <c r="E1766" s="79"/>
      <c r="F1766" s="79"/>
      <c r="G1766" s="79"/>
      <c r="H1766" s="79"/>
      <c r="I1766" s="79"/>
      <c r="J1766" s="79"/>
      <c r="K1766" s="79"/>
      <c r="L1766" s="79"/>
      <c r="M1766" s="79"/>
      <c r="N1766" s="79"/>
      <c r="O1766" s="79"/>
      <c r="P1766" s="79"/>
      <c r="Q1766" s="79"/>
      <c r="R1766" s="79"/>
      <c r="S1766" s="79"/>
      <c r="U1766" s="80"/>
      <c r="W1766" s="81" t="str">
        <f t="shared" si="887"/>
        <v xml:space="preserve"> </v>
      </c>
      <c r="X1766" s="81" t="str">
        <f t="shared" si="888"/>
        <v xml:space="preserve"> </v>
      </c>
      <c r="Y1766" s="81" t="str">
        <f t="shared" si="889"/>
        <v xml:space="preserve"> </v>
      </c>
      <c r="Z1766" s="79"/>
      <c r="AF1766" s="79"/>
      <c r="AJ1766" s="66"/>
      <c r="AK1766" s="65"/>
    </row>
    <row r="1767" spans="1:37" hidden="1">
      <c r="A1767" s="65">
        <f>A1766+1</f>
        <v>3</v>
      </c>
      <c r="B1767" s="66" t="s">
        <v>679</v>
      </c>
      <c r="C1767" s="79">
        <f>ROUND((C1769*0.4036),0)</f>
        <v>1143</v>
      </c>
      <c r="D1767" s="79">
        <f>C1767-E1767-SUM(G1767:I1767)-SUM(M1767:N1767)-R1767-S1767</f>
        <v>1097.95</v>
      </c>
      <c r="E1767" s="79">
        <f>ROUND((E1769*0.4036),0)+0.05</f>
        <v>0.05</v>
      </c>
      <c r="F1767" s="79">
        <f t="shared" si="890"/>
        <v>1098</v>
      </c>
      <c r="G1767" s="79">
        <f t="shared" ref="G1767:L1767" si="893">ROUND((G1769*0.4036),0)</f>
        <v>34</v>
      </c>
      <c r="H1767" s="79">
        <f t="shared" si="893"/>
        <v>11</v>
      </c>
      <c r="I1767" s="79">
        <f t="shared" si="893"/>
        <v>0</v>
      </c>
      <c r="J1767" s="79">
        <f t="shared" si="893"/>
        <v>0</v>
      </c>
      <c r="K1767" s="79">
        <f t="shared" si="893"/>
        <v>0</v>
      </c>
      <c r="L1767" s="79">
        <f t="shared" si="893"/>
        <v>0</v>
      </c>
      <c r="M1767" s="79">
        <f>SUM(J1767:L1767)</f>
        <v>0</v>
      </c>
      <c r="N1767" s="79">
        <f>ROUND((N1769*0.4036),0)</f>
        <v>0</v>
      </c>
      <c r="O1767" s="79">
        <f>SUM(F1767:I1767)+SUM(M1767:N1767)</f>
        <v>1143</v>
      </c>
      <c r="P1767" s="79">
        <f>ROUND((P1769*0.4036),0)</f>
        <v>0</v>
      </c>
      <c r="Q1767" s="79">
        <f>ROUND((Q1769*0.4036),0)</f>
        <v>0</v>
      </c>
      <c r="R1767" s="79">
        <f t="shared" si="892"/>
        <v>0</v>
      </c>
      <c r="S1767" s="79">
        <f>ROUND((S1769*0.4036),0)</f>
        <v>0</v>
      </c>
      <c r="U1767" s="80">
        <f t="shared" si="886"/>
        <v>0</v>
      </c>
      <c r="W1767" s="81">
        <f t="shared" si="887"/>
        <v>1</v>
      </c>
      <c r="X1767" s="81">
        <f t="shared" si="888"/>
        <v>1</v>
      </c>
      <c r="Y1767" s="81">
        <f t="shared" si="889"/>
        <v>0</v>
      </c>
      <c r="Z1767" s="79"/>
      <c r="AF1767" s="79"/>
      <c r="AJ1767" s="66"/>
      <c r="AK1767" s="65"/>
    </row>
    <row r="1768" spans="1:37" hidden="1">
      <c r="B1768" s="66" t="s">
        <v>680</v>
      </c>
      <c r="C1768" s="79">
        <f>C1769-C1767</f>
        <v>1689.0009000000005</v>
      </c>
      <c r="D1768" s="79">
        <f>C1768-E1768-SUM(G1768:I1768)-SUM(M1768:N1768)-R1768-S1768</f>
        <v>1621.0500000000004</v>
      </c>
      <c r="E1768" s="79">
        <f>E1769-E1767</f>
        <v>-4.9500000000000002E-2</v>
      </c>
      <c r="F1768" s="79">
        <f t="shared" si="890"/>
        <v>1621.0005000000003</v>
      </c>
      <c r="G1768" s="79">
        <f t="shared" ref="G1768:L1768" si="894">G1769-G1767</f>
        <v>51</v>
      </c>
      <c r="H1768" s="79">
        <f t="shared" si="894"/>
        <v>17</v>
      </c>
      <c r="I1768" s="79">
        <f t="shared" si="894"/>
        <v>5.0000000000000002E-5</v>
      </c>
      <c r="J1768" s="79">
        <f t="shared" si="894"/>
        <v>5.0000000000000002E-5</v>
      </c>
      <c r="K1768" s="79">
        <f t="shared" si="894"/>
        <v>5.0000000000000002E-5</v>
      </c>
      <c r="L1768" s="79">
        <f t="shared" si="894"/>
        <v>5.0000000000000002E-5</v>
      </c>
      <c r="M1768" s="79">
        <f>SUM(J1768:L1768)</f>
        <v>1.5000000000000001E-4</v>
      </c>
      <c r="N1768" s="79">
        <f>N1769-N1767</f>
        <v>5.0000000000000002E-5</v>
      </c>
      <c r="O1768" s="79">
        <f>SUM(F1768:I1768)+SUM(M1768:N1768)</f>
        <v>1689.0007500000004</v>
      </c>
      <c r="P1768" s="79">
        <f>P1769-P1767</f>
        <v>5.0000000000000002E-5</v>
      </c>
      <c r="Q1768" s="79">
        <f>Q1769-Q1767</f>
        <v>5.0000000000000002E-5</v>
      </c>
      <c r="R1768" s="79">
        <f t="shared" si="892"/>
        <v>1E-4</v>
      </c>
      <c r="S1768" s="79">
        <f>S1769-S1767</f>
        <v>5.0000000000000002E-5</v>
      </c>
      <c r="U1768" s="80">
        <f t="shared" si="886"/>
        <v>0</v>
      </c>
      <c r="W1768" s="81">
        <f t="shared" si="887"/>
        <v>0.99999990000000005</v>
      </c>
      <c r="X1768" s="81">
        <f t="shared" si="888"/>
        <v>0.99999990000000005</v>
      </c>
      <c r="Y1768" s="81">
        <f t="shared" si="889"/>
        <v>0</v>
      </c>
      <c r="Z1768" s="79"/>
      <c r="AF1768" s="79"/>
      <c r="AJ1768" s="66"/>
      <c r="AK1768" s="65"/>
    </row>
    <row r="1769" spans="1:37" hidden="1">
      <c r="A1769" s="65">
        <f>A1767+1</f>
        <v>4</v>
      </c>
      <c r="B1769" s="66" t="s">
        <v>681</v>
      </c>
      <c r="C1769" s="79">
        <f>$C$634</f>
        <v>2832.0009000000005</v>
      </c>
      <c r="D1769" s="79">
        <f>$D$634</f>
        <v>2719</v>
      </c>
      <c r="E1769" s="79">
        <f>E$634</f>
        <v>5.0000000000000001E-4</v>
      </c>
      <c r="F1769" s="79">
        <f t="shared" si="890"/>
        <v>2719.0005000000001</v>
      </c>
      <c r="G1769" s="79">
        <f>$G$634</f>
        <v>85</v>
      </c>
      <c r="H1769" s="79">
        <f>$H$634</f>
        <v>28</v>
      </c>
      <c r="I1769" s="79">
        <f>$I$634</f>
        <v>5.0000000000000002E-5</v>
      </c>
      <c r="J1769" s="79">
        <f>$J$634</f>
        <v>5.0000000000000002E-5</v>
      </c>
      <c r="K1769" s="79">
        <f>$K$634</f>
        <v>5.0000000000000002E-5</v>
      </c>
      <c r="L1769" s="79">
        <f>$L$634</f>
        <v>5.0000000000000002E-5</v>
      </c>
      <c r="M1769" s="79">
        <f>SUM(J1769:L1769)</f>
        <v>1.5000000000000001E-4</v>
      </c>
      <c r="N1769" s="79">
        <f>$N$634</f>
        <v>5.0000000000000002E-5</v>
      </c>
      <c r="O1769" s="79">
        <f>SUM(F1769:I1769)+SUM(M1769:N1769)</f>
        <v>2832.0007500000002</v>
      </c>
      <c r="P1769" s="79">
        <f>$P$634</f>
        <v>5.0000000000000002E-5</v>
      </c>
      <c r="Q1769" s="79">
        <f>$Q$634</f>
        <v>5.0000000000000002E-5</v>
      </c>
      <c r="R1769" s="79">
        <f t="shared" si="892"/>
        <v>1E-4</v>
      </c>
      <c r="S1769" s="79">
        <f>$S$634</f>
        <v>5.0000000000000002E-5</v>
      </c>
      <c r="U1769" s="80">
        <f t="shared" si="886"/>
        <v>0</v>
      </c>
      <c r="W1769" s="81">
        <f t="shared" si="887"/>
        <v>1</v>
      </c>
      <c r="X1769" s="81">
        <f t="shared" si="888"/>
        <v>0.99999990000000005</v>
      </c>
      <c r="Y1769" s="81">
        <f t="shared" si="889"/>
        <v>0</v>
      </c>
      <c r="Z1769" s="79"/>
      <c r="AF1769" s="79"/>
      <c r="AJ1769" s="66"/>
      <c r="AK1769" s="65"/>
    </row>
    <row r="1770" spans="1:37" hidden="1">
      <c r="A1770" s="65">
        <f>A1769+1</f>
        <v>5</v>
      </c>
      <c r="C1770" s="79"/>
      <c r="D1770" s="79"/>
      <c r="E1770" s="79"/>
      <c r="F1770" s="79"/>
      <c r="G1770" s="79"/>
      <c r="H1770" s="79"/>
      <c r="I1770" s="79"/>
      <c r="J1770" s="79"/>
      <c r="K1770" s="79"/>
      <c r="L1770" s="79"/>
      <c r="M1770" s="79"/>
      <c r="N1770" s="79"/>
      <c r="O1770" s="79"/>
      <c r="P1770" s="79"/>
      <c r="Q1770" s="79"/>
      <c r="R1770" s="79"/>
      <c r="S1770" s="79"/>
      <c r="U1770" s="80"/>
      <c r="W1770" s="81" t="str">
        <f t="shared" si="887"/>
        <v xml:space="preserve"> </v>
      </c>
      <c r="X1770" s="81" t="str">
        <f t="shared" si="888"/>
        <v xml:space="preserve"> </v>
      </c>
      <c r="Y1770" s="81" t="str">
        <f t="shared" si="889"/>
        <v xml:space="preserve"> </v>
      </c>
      <c r="Z1770" s="79"/>
      <c r="AF1770" s="79"/>
      <c r="AJ1770" s="66"/>
      <c r="AK1770" s="65"/>
    </row>
    <row r="1771" spans="1:37" hidden="1">
      <c r="A1771" s="65">
        <f>A1770+1</f>
        <v>6</v>
      </c>
      <c r="B1771" s="66" t="s">
        <v>682</v>
      </c>
      <c r="C1771" s="79">
        <f>$C$631</f>
        <v>1676.0004000000001</v>
      </c>
      <c r="D1771" s="79">
        <f>$D$631</f>
        <v>1609</v>
      </c>
      <c r="E1771" s="79">
        <f>E$631</f>
        <v>0</v>
      </c>
      <c r="F1771" s="79">
        <f t="shared" si="890"/>
        <v>1609</v>
      </c>
      <c r="G1771" s="79">
        <f>$G$631</f>
        <v>50</v>
      </c>
      <c r="H1771" s="79">
        <f>$H$631</f>
        <v>17</v>
      </c>
      <c r="I1771" s="79">
        <f>$I$631</f>
        <v>5.0000000000000002E-5</v>
      </c>
      <c r="J1771" s="79">
        <f>$J$631</f>
        <v>5.0000000000000002E-5</v>
      </c>
      <c r="K1771" s="79">
        <f>$K$631</f>
        <v>5.0000000000000002E-5</v>
      </c>
      <c r="L1771" s="79">
        <f>$L$631</f>
        <v>5.0000000000000002E-5</v>
      </c>
      <c r="M1771" s="79">
        <f>SUM(J1771:L1771)</f>
        <v>1.5000000000000001E-4</v>
      </c>
      <c r="N1771" s="79">
        <f>$N$631</f>
        <v>5.0000000000000002E-5</v>
      </c>
      <c r="O1771" s="79">
        <f>SUM(F1771:I1771)+SUM(M1771:N1771)</f>
        <v>1676.0002500000001</v>
      </c>
      <c r="P1771" s="79">
        <f>$P$631</f>
        <v>5.0000000000000002E-5</v>
      </c>
      <c r="Q1771" s="79">
        <f>$Q$631</f>
        <v>5.0000000000000002E-5</v>
      </c>
      <c r="R1771" s="79">
        <f t="shared" si="892"/>
        <v>1E-4</v>
      </c>
      <c r="S1771" s="79">
        <f>$S$631</f>
        <v>5.0000000000000002E-5</v>
      </c>
      <c r="U1771" s="80">
        <f>O1771+R1771+S1771-C1771</f>
        <v>0</v>
      </c>
      <c r="W1771" s="81">
        <f t="shared" si="887"/>
        <v>0.99999990000000005</v>
      </c>
      <c r="X1771" s="81">
        <f t="shared" si="888"/>
        <v>0.99999990000000005</v>
      </c>
      <c r="Y1771" s="81">
        <f t="shared" si="889"/>
        <v>0</v>
      </c>
      <c r="Z1771" s="79"/>
      <c r="AF1771" s="79"/>
      <c r="AJ1771" s="66"/>
      <c r="AK1771" s="65"/>
    </row>
    <row r="1772" spans="1:37" hidden="1">
      <c r="C1772" s="79"/>
      <c r="D1772" s="79"/>
      <c r="E1772" s="79"/>
      <c r="F1772" s="79"/>
      <c r="G1772" s="79"/>
      <c r="H1772" s="79"/>
      <c r="I1772" s="79"/>
      <c r="J1772" s="79"/>
      <c r="K1772" s="79"/>
      <c r="L1772" s="79"/>
      <c r="M1772" s="79"/>
      <c r="N1772" s="79"/>
      <c r="O1772" s="79"/>
      <c r="P1772" s="79"/>
      <c r="Q1772" s="79"/>
      <c r="R1772" s="79"/>
      <c r="S1772" s="79"/>
      <c r="U1772" s="80"/>
      <c r="W1772" s="81" t="str">
        <f t="shared" si="887"/>
        <v xml:space="preserve"> </v>
      </c>
      <c r="X1772" s="81" t="str">
        <f t="shared" si="888"/>
        <v xml:space="preserve"> </v>
      </c>
      <c r="Y1772" s="81" t="str">
        <f t="shared" si="889"/>
        <v xml:space="preserve"> </v>
      </c>
      <c r="Z1772" s="79"/>
      <c r="AF1772" s="79"/>
      <c r="AJ1772" s="66"/>
      <c r="AK1772" s="65"/>
    </row>
    <row r="1773" spans="1:37" hidden="1">
      <c r="A1773" s="65">
        <f>A1771+1</f>
        <v>7</v>
      </c>
      <c r="B1773" s="71" t="s">
        <v>683</v>
      </c>
      <c r="C1773" s="79">
        <f>$C$640</f>
        <v>356.00039999999996</v>
      </c>
      <c r="D1773" s="79">
        <f>$D$640</f>
        <v>334</v>
      </c>
      <c r="E1773" s="79">
        <f>E$640</f>
        <v>0</v>
      </c>
      <c r="F1773" s="79">
        <f>D1773+E1773</f>
        <v>334</v>
      </c>
      <c r="G1773" s="79">
        <f>$G$640</f>
        <v>11</v>
      </c>
      <c r="H1773" s="79">
        <f>$H$640</f>
        <v>11</v>
      </c>
      <c r="I1773" s="79">
        <f>$I$640</f>
        <v>5.0000000000000002E-5</v>
      </c>
      <c r="J1773" s="79">
        <f>$J$640</f>
        <v>5.0000000000000002E-5</v>
      </c>
      <c r="K1773" s="79">
        <f>$K$640</f>
        <v>5.0000000000000002E-5</v>
      </c>
      <c r="L1773" s="79">
        <f>$L$640</f>
        <v>5.0000000000000002E-5</v>
      </c>
      <c r="M1773" s="79">
        <f>SUM(J1773:L1773)</f>
        <v>1.5000000000000001E-4</v>
      </c>
      <c r="N1773" s="79">
        <f>$N$640</f>
        <v>5.0000000000000002E-5</v>
      </c>
      <c r="O1773" s="79">
        <f>SUM(F1773:I1773)+SUM(M1773:N1773)</f>
        <v>356.00024999999999</v>
      </c>
      <c r="P1773" s="79">
        <f>$P$640</f>
        <v>5.0000000000000002E-5</v>
      </c>
      <c r="Q1773" s="79">
        <f>$Q$640</f>
        <v>5.0000000000000002E-5</v>
      </c>
      <c r="R1773" s="79">
        <f>P1773+Q1773</f>
        <v>1E-4</v>
      </c>
      <c r="S1773" s="79">
        <f>$S$640</f>
        <v>5.0000000000000002E-5</v>
      </c>
      <c r="U1773" s="80">
        <f>O1773+R1773+S1773-C1773</f>
        <v>0</v>
      </c>
      <c r="W1773" s="81">
        <f t="shared" si="887"/>
        <v>0.99999970000000005</v>
      </c>
      <c r="X1773" s="81">
        <f t="shared" si="888"/>
        <v>0.99999959999999999</v>
      </c>
      <c r="Y1773" s="81">
        <f t="shared" si="889"/>
        <v>9.9999999999999995E-8</v>
      </c>
      <c r="Z1773" s="79"/>
      <c r="AF1773" s="79"/>
      <c r="AJ1773" s="66"/>
      <c r="AK1773" s="65"/>
    </row>
    <row r="1774" spans="1:37" hidden="1">
      <c r="B1774" s="71"/>
      <c r="C1774" s="79"/>
      <c r="D1774" s="79"/>
      <c r="E1774" s="79"/>
      <c r="F1774" s="79"/>
      <c r="G1774" s="79"/>
      <c r="H1774" s="79"/>
      <c r="I1774" s="79"/>
      <c r="J1774" s="79"/>
      <c r="K1774" s="79"/>
      <c r="L1774" s="79"/>
      <c r="M1774" s="79"/>
      <c r="N1774" s="79"/>
      <c r="O1774" s="79"/>
      <c r="P1774" s="79"/>
      <c r="Q1774" s="79"/>
      <c r="R1774" s="79"/>
      <c r="S1774" s="79"/>
      <c r="U1774" s="80"/>
      <c r="W1774" s="81" t="str">
        <f t="shared" si="887"/>
        <v xml:space="preserve"> </v>
      </c>
      <c r="X1774" s="81" t="str">
        <f t="shared" si="888"/>
        <v xml:space="preserve"> </v>
      </c>
      <c r="Y1774" s="81" t="str">
        <f t="shared" si="889"/>
        <v xml:space="preserve"> </v>
      </c>
      <c r="Z1774" s="79"/>
      <c r="AF1774" s="79"/>
      <c r="AJ1774" s="66"/>
      <c r="AK1774" s="65"/>
    </row>
    <row r="1775" spans="1:37" hidden="1">
      <c r="A1775" s="65">
        <f>A1773+1</f>
        <v>8</v>
      </c>
      <c r="B1775" s="66" t="s">
        <v>684</v>
      </c>
      <c r="C1775" s="79">
        <f>ROUND((C1777*0.8224),0)</f>
        <v>74</v>
      </c>
      <c r="D1775" s="79">
        <f>C1775-E1775-SUM(G1775:I1775)-SUM(M1775:N1775)-R1775-S1775</f>
        <v>0</v>
      </c>
      <c r="E1775" s="79">
        <f>ROUND((E1777*0.8224),0)</f>
        <v>0</v>
      </c>
      <c r="F1775" s="79">
        <f>D1775+E1775</f>
        <v>0</v>
      </c>
      <c r="G1775" s="79">
        <f t="shared" ref="G1775:L1775" si="895">ROUND((G1777*0.8224),0)</f>
        <v>74</v>
      </c>
      <c r="H1775" s="79">
        <f t="shared" si="895"/>
        <v>0</v>
      </c>
      <c r="I1775" s="79">
        <f t="shared" si="895"/>
        <v>0</v>
      </c>
      <c r="J1775" s="79">
        <f t="shared" si="895"/>
        <v>0</v>
      </c>
      <c r="K1775" s="79">
        <f t="shared" si="895"/>
        <v>0</v>
      </c>
      <c r="L1775" s="79">
        <f t="shared" si="895"/>
        <v>0</v>
      </c>
      <c r="M1775" s="79">
        <f>SUM(J1775:L1775)</f>
        <v>0</v>
      </c>
      <c r="N1775" s="79">
        <f>ROUND((N1777*0.8224),0)</f>
        <v>0</v>
      </c>
      <c r="O1775" s="79">
        <f>SUM(F1775:I1775)+SUM(M1775:N1775)</f>
        <v>74</v>
      </c>
      <c r="P1775" s="79">
        <f>ROUND((P1777*0.8224),0)</f>
        <v>0</v>
      </c>
      <c r="Q1775" s="79">
        <f>ROUND((Q1777*0.8224),0)</f>
        <v>0</v>
      </c>
      <c r="R1775" s="79">
        <f>P1775+Q1775</f>
        <v>0</v>
      </c>
      <c r="S1775" s="79">
        <f>ROUND((S1777*0.8224),0)</f>
        <v>0</v>
      </c>
      <c r="U1775" s="80"/>
      <c r="W1775" s="81">
        <f t="shared" si="887"/>
        <v>1</v>
      </c>
      <c r="X1775" s="81">
        <f t="shared" si="888"/>
        <v>1</v>
      </c>
      <c r="Y1775" s="81">
        <f t="shared" si="889"/>
        <v>0</v>
      </c>
      <c r="Z1775" s="79"/>
      <c r="AF1775" s="79"/>
      <c r="AJ1775" s="66"/>
      <c r="AK1775" s="65"/>
    </row>
    <row r="1776" spans="1:37" hidden="1">
      <c r="B1776" s="66" t="s">
        <v>685</v>
      </c>
      <c r="C1776" s="79">
        <f>C1777-C1775</f>
        <v>16.000400000000013</v>
      </c>
      <c r="D1776" s="79">
        <f>C1776-E1776-SUM(G1776:I1776)-SUM(M1776:N1776)-R1776-S1776</f>
        <v>1.161877804254155E-14</v>
      </c>
      <c r="E1776" s="79">
        <f>E1777-E1775</f>
        <v>0</v>
      </c>
      <c r="F1776" s="79">
        <f>D1776+E1776</f>
        <v>1.161877804254155E-14</v>
      </c>
      <c r="G1776" s="79">
        <f>G1777-G1775</f>
        <v>16</v>
      </c>
      <c r="H1776" s="79">
        <f t="shared" ref="H1776:N1776" si="896">H1777-H1775</f>
        <v>0</v>
      </c>
      <c r="I1776" s="79">
        <f t="shared" si="896"/>
        <v>5.0000000000000002E-5</v>
      </c>
      <c r="J1776" s="79">
        <f t="shared" si="896"/>
        <v>5.0000000000000002E-5</v>
      </c>
      <c r="K1776" s="79">
        <f t="shared" si="896"/>
        <v>5.0000000000000002E-5</v>
      </c>
      <c r="L1776" s="79">
        <f t="shared" si="896"/>
        <v>5.0000000000000002E-5</v>
      </c>
      <c r="M1776" s="79">
        <f>SUM(J1776:L1776)</f>
        <v>1.5000000000000001E-4</v>
      </c>
      <c r="N1776" s="79">
        <f t="shared" si="896"/>
        <v>5.0000000000000002E-5</v>
      </c>
      <c r="O1776" s="79">
        <f>SUM(F1776:I1776)+SUM(M1776:N1776)</f>
        <v>16.000250000000012</v>
      </c>
      <c r="P1776" s="79">
        <f>P1777-P1775</f>
        <v>5.0000000000000002E-5</v>
      </c>
      <c r="Q1776" s="79">
        <f>Q1777-Q1775</f>
        <v>5.0000000000000002E-5</v>
      </c>
      <c r="R1776" s="79">
        <f>P1776+Q1776</f>
        <v>1E-4</v>
      </c>
      <c r="S1776" s="79">
        <f>S1777-S1775</f>
        <v>5.0000000000000002E-5</v>
      </c>
      <c r="U1776" s="80"/>
      <c r="W1776" s="81">
        <f t="shared" si="887"/>
        <v>0.99999380000000004</v>
      </c>
      <c r="X1776" s="81">
        <f t="shared" si="888"/>
        <v>0.99999059999999995</v>
      </c>
      <c r="Y1776" s="81">
        <f t="shared" si="889"/>
        <v>3.1E-6</v>
      </c>
      <c r="Z1776" s="79"/>
      <c r="AF1776" s="79"/>
      <c r="AJ1776" s="66"/>
      <c r="AK1776" s="65"/>
    </row>
    <row r="1777" spans="1:37" hidden="1">
      <c r="A1777" s="65">
        <f>A1775+1</f>
        <v>9</v>
      </c>
      <c r="B1777" s="66" t="s">
        <v>686</v>
      </c>
      <c r="C1777" s="79">
        <f>C$636</f>
        <v>90.000400000000013</v>
      </c>
      <c r="D1777" s="79">
        <f>C1777-E1777-SUM(G1777:I1777)-SUM(M1777:N1777)-R1777-S1777</f>
        <v>1.161877804254155E-14</v>
      </c>
      <c r="E1777" s="79">
        <f>E$636</f>
        <v>0</v>
      </c>
      <c r="F1777" s="79">
        <f>D1777+E1777</f>
        <v>1.161877804254155E-14</v>
      </c>
      <c r="G1777" s="79">
        <f t="shared" ref="G1777:L1777" si="897">G$636</f>
        <v>90</v>
      </c>
      <c r="H1777" s="79">
        <f t="shared" si="897"/>
        <v>0</v>
      </c>
      <c r="I1777" s="79">
        <f t="shared" si="897"/>
        <v>5.0000000000000002E-5</v>
      </c>
      <c r="J1777" s="79">
        <f t="shared" si="897"/>
        <v>5.0000000000000002E-5</v>
      </c>
      <c r="K1777" s="79">
        <f t="shared" si="897"/>
        <v>5.0000000000000002E-5</v>
      </c>
      <c r="L1777" s="79">
        <f t="shared" si="897"/>
        <v>5.0000000000000002E-5</v>
      </c>
      <c r="M1777" s="79">
        <f>SUM(J1777:L1777)</f>
        <v>1.5000000000000001E-4</v>
      </c>
      <c r="N1777" s="79">
        <f>N$636</f>
        <v>5.0000000000000002E-5</v>
      </c>
      <c r="O1777" s="79">
        <f>SUM(F1777:I1777)+SUM(M1777:N1777)</f>
        <v>90.000250000000023</v>
      </c>
      <c r="P1777" s="79">
        <f>P$636</f>
        <v>5.0000000000000002E-5</v>
      </c>
      <c r="Q1777" s="79">
        <f>Q$636</f>
        <v>5.0000000000000002E-5</v>
      </c>
      <c r="R1777" s="79">
        <f>P1777+Q1777</f>
        <v>1E-4</v>
      </c>
      <c r="S1777" s="79">
        <f>S$636</f>
        <v>5.0000000000000002E-5</v>
      </c>
      <c r="U1777" s="80"/>
      <c r="W1777" s="81">
        <f t="shared" si="887"/>
        <v>0.99999890000000002</v>
      </c>
      <c r="X1777" s="81">
        <f t="shared" si="888"/>
        <v>0.99999830000000001</v>
      </c>
      <c r="Y1777" s="81">
        <f t="shared" si="889"/>
        <v>5.9999999999999997E-7</v>
      </c>
      <c r="Z1777" s="79"/>
      <c r="AF1777" s="79"/>
      <c r="AJ1777" s="66"/>
      <c r="AK1777" s="65"/>
    </row>
    <row r="1778" spans="1:37" hidden="1">
      <c r="A1778" s="65">
        <f>A1777+1</f>
        <v>10</v>
      </c>
      <c r="C1778" s="79"/>
      <c r="D1778" s="79"/>
      <c r="E1778" s="79"/>
      <c r="F1778" s="79"/>
      <c r="G1778" s="79"/>
      <c r="H1778" s="79"/>
      <c r="I1778" s="79"/>
      <c r="J1778" s="79"/>
      <c r="K1778" s="79"/>
      <c r="L1778" s="79"/>
      <c r="M1778" s="79"/>
      <c r="N1778" s="79"/>
      <c r="O1778" s="79"/>
      <c r="P1778" s="79"/>
      <c r="Q1778" s="79"/>
      <c r="R1778" s="79"/>
      <c r="S1778" s="79"/>
      <c r="U1778" s="80"/>
      <c r="W1778" s="81" t="str">
        <f t="shared" si="887"/>
        <v xml:space="preserve"> </v>
      </c>
      <c r="X1778" s="81" t="str">
        <f t="shared" si="888"/>
        <v xml:space="preserve"> </v>
      </c>
      <c r="Y1778" s="81" t="str">
        <f t="shared" si="889"/>
        <v xml:space="preserve"> </v>
      </c>
      <c r="Z1778" s="79"/>
      <c r="AF1778" s="79"/>
      <c r="AJ1778" s="66"/>
      <c r="AK1778" s="65"/>
    </row>
    <row r="1779" spans="1:37" hidden="1">
      <c r="A1779" s="65">
        <f>A1778+1</f>
        <v>11</v>
      </c>
      <c r="B1779" s="66" t="s">
        <v>687</v>
      </c>
      <c r="C1779" s="79">
        <f>ROUND((C1783*0.201),0)</f>
        <v>9</v>
      </c>
      <c r="D1779" s="79">
        <f>ROUND((D1783*0.201),0)</f>
        <v>9</v>
      </c>
      <c r="E1779" s="79">
        <f>ROUND((E1783*0.201),0)</f>
        <v>0</v>
      </c>
      <c r="F1779" s="79">
        <f>D1779+E1779</f>
        <v>9</v>
      </c>
      <c r="G1779" s="79">
        <f t="shared" ref="G1779:L1779" si="898">ROUND((G1783*0.201),0)</f>
        <v>0</v>
      </c>
      <c r="H1779" s="79">
        <f t="shared" si="898"/>
        <v>0</v>
      </c>
      <c r="I1779" s="79">
        <f t="shared" si="898"/>
        <v>0</v>
      </c>
      <c r="J1779" s="79">
        <f t="shared" si="898"/>
        <v>0</v>
      </c>
      <c r="K1779" s="79">
        <f t="shared" si="898"/>
        <v>0</v>
      </c>
      <c r="L1779" s="79">
        <f t="shared" si="898"/>
        <v>0</v>
      </c>
      <c r="M1779" s="79">
        <f>SUM(J1779:L1779)</f>
        <v>0</v>
      </c>
      <c r="N1779" s="79">
        <f>ROUND((N1783*0.201),0)</f>
        <v>0</v>
      </c>
      <c r="O1779" s="79">
        <f>SUM(F1779:I1779)+SUM(M1779:N1779)</f>
        <v>9</v>
      </c>
      <c r="P1779" s="79">
        <f>ROUND((P1783*0.201),0)</f>
        <v>0</v>
      </c>
      <c r="Q1779" s="79">
        <f>ROUND((Q1783*0.201),0)</f>
        <v>0</v>
      </c>
      <c r="R1779" s="79">
        <f>P1779+Q1779</f>
        <v>0</v>
      </c>
      <c r="S1779" s="79">
        <f>ROUND((S1783*0.201),0)</f>
        <v>0</v>
      </c>
      <c r="U1779" s="80">
        <f>O1779+R1779+S1779-C1779</f>
        <v>0</v>
      </c>
      <c r="W1779" s="81">
        <f t="shared" si="887"/>
        <v>1</v>
      </c>
      <c r="X1779" s="81">
        <f t="shared" si="888"/>
        <v>1</v>
      </c>
      <c r="Y1779" s="81">
        <f t="shared" si="889"/>
        <v>0</v>
      </c>
      <c r="Z1779" s="79"/>
      <c r="AF1779" s="79"/>
      <c r="AJ1779" s="66"/>
      <c r="AK1779" s="65"/>
    </row>
    <row r="1780" spans="1:37" hidden="1">
      <c r="B1780" s="66" t="s">
        <v>688</v>
      </c>
      <c r="C1780" s="79">
        <f>ROUND((C1783*0.6214),0)</f>
        <v>29</v>
      </c>
      <c r="D1780" s="79">
        <f>C1780-E1780-SUM(G1780:I1780)-SUM(M1780:N1780)-R1780-S1780</f>
        <v>28</v>
      </c>
      <c r="E1780" s="79">
        <f>ROUND((E1783*0.6214),0)</f>
        <v>0</v>
      </c>
      <c r="F1780" s="79">
        <f>D1780+E1780</f>
        <v>28</v>
      </c>
      <c r="G1780" s="79">
        <f t="shared" ref="G1780:L1780" si="899">ROUND((G1783*0.6214),0)</f>
        <v>1</v>
      </c>
      <c r="H1780" s="79">
        <f t="shared" si="899"/>
        <v>0</v>
      </c>
      <c r="I1780" s="79">
        <f t="shared" si="899"/>
        <v>0</v>
      </c>
      <c r="J1780" s="79">
        <f t="shared" si="899"/>
        <v>0</v>
      </c>
      <c r="K1780" s="79">
        <f t="shared" si="899"/>
        <v>0</v>
      </c>
      <c r="L1780" s="79">
        <f t="shared" si="899"/>
        <v>0</v>
      </c>
      <c r="M1780" s="79">
        <f>SUM(J1780:L1780)</f>
        <v>0</v>
      </c>
      <c r="N1780" s="79">
        <f>ROUND((N1783*0.6214),0)</f>
        <v>0</v>
      </c>
      <c r="O1780" s="79">
        <f>SUM(F1780:I1780)+SUM(M1780:N1780)</f>
        <v>29</v>
      </c>
      <c r="P1780" s="79">
        <f>ROUND((P1783*0.6214),0)</f>
        <v>0</v>
      </c>
      <c r="Q1780" s="79">
        <f>ROUND((Q1783*0.6214),0)</f>
        <v>0</v>
      </c>
      <c r="R1780" s="79">
        <f>P1780+Q1780</f>
        <v>0</v>
      </c>
      <c r="S1780" s="79">
        <f>ROUND((S1783*0.6214),0)</f>
        <v>0</v>
      </c>
      <c r="U1780" s="80">
        <f>O1780+R1780+S1780-C1780</f>
        <v>0</v>
      </c>
      <c r="W1780" s="81">
        <f t="shared" si="887"/>
        <v>1</v>
      </c>
      <c r="X1780" s="81">
        <f t="shared" si="888"/>
        <v>1</v>
      </c>
      <c r="Y1780" s="81">
        <f t="shared" si="889"/>
        <v>0</v>
      </c>
      <c r="Z1780" s="79"/>
      <c r="AF1780" s="79"/>
      <c r="AJ1780" s="66"/>
      <c r="AK1780" s="65"/>
    </row>
    <row r="1781" spans="1:37" hidden="1">
      <c r="A1781" s="65">
        <f>A1779+1</f>
        <v>12</v>
      </c>
      <c r="B1781" s="66" t="s">
        <v>689</v>
      </c>
      <c r="C1781" s="79">
        <f>ROUND((C1783*0.0493),0)</f>
        <v>2</v>
      </c>
      <c r="D1781" s="79">
        <f>C1781-E1781-SUM(G1781:I1781)-SUM(M1781:N1781)-R1781-S1781</f>
        <v>2</v>
      </c>
      <c r="E1781" s="79">
        <f>ROUND((E1783*0.0493),0)</f>
        <v>0</v>
      </c>
      <c r="F1781" s="79">
        <f>D1781+E1781</f>
        <v>2</v>
      </c>
      <c r="G1781" s="79">
        <f t="shared" ref="G1781:L1781" si="900">ROUND((G1783*0.0493),0)</f>
        <v>0</v>
      </c>
      <c r="H1781" s="79">
        <f t="shared" si="900"/>
        <v>0</v>
      </c>
      <c r="I1781" s="79">
        <f t="shared" si="900"/>
        <v>0</v>
      </c>
      <c r="J1781" s="79">
        <f t="shared" si="900"/>
        <v>0</v>
      </c>
      <c r="K1781" s="79">
        <f t="shared" si="900"/>
        <v>0</v>
      </c>
      <c r="L1781" s="79">
        <f t="shared" si="900"/>
        <v>0</v>
      </c>
      <c r="M1781" s="79">
        <f>SUM(J1781:L1781)</f>
        <v>0</v>
      </c>
      <c r="N1781" s="79">
        <f>ROUND((N1783*0.0493),0)</f>
        <v>0</v>
      </c>
      <c r="O1781" s="79">
        <f>SUM(F1781:I1781)+SUM(M1781:N1781)</f>
        <v>2</v>
      </c>
      <c r="P1781" s="79">
        <f>ROUND((P1783*0.0493),0)</f>
        <v>0</v>
      </c>
      <c r="Q1781" s="79">
        <f>ROUND((Q1783*0.0493),0)</f>
        <v>0</v>
      </c>
      <c r="R1781" s="79">
        <f>P1781+Q1781</f>
        <v>0</v>
      </c>
      <c r="S1781" s="79">
        <f>ROUND((S1783*0.0493),0)</f>
        <v>0</v>
      </c>
      <c r="U1781" s="80">
        <f>O1781+R1781+S1781-C1781</f>
        <v>0</v>
      </c>
      <c r="W1781" s="81">
        <f t="shared" si="887"/>
        <v>1</v>
      </c>
      <c r="X1781" s="81">
        <f t="shared" si="888"/>
        <v>1</v>
      </c>
      <c r="Y1781" s="81">
        <f t="shared" si="889"/>
        <v>0</v>
      </c>
      <c r="Z1781" s="79"/>
      <c r="AF1781" s="79"/>
      <c r="AJ1781" s="66"/>
      <c r="AK1781" s="65"/>
    </row>
    <row r="1782" spans="1:37" hidden="1">
      <c r="A1782" s="65">
        <f>A1781+1</f>
        <v>13</v>
      </c>
      <c r="B1782" s="66" t="s">
        <v>690</v>
      </c>
      <c r="C1782" s="79">
        <f>C1783-C1779-C1780-C1781</f>
        <v>6.0004000000000062</v>
      </c>
      <c r="D1782" s="79">
        <f>C1782-E1782-SUM(G1782:I1782)-SUM(M1782:N1782)-R1782-S1782</f>
        <v>5.0000000000000062</v>
      </c>
      <c r="E1782" s="79">
        <f>E1783-E1779-E1780-E1781</f>
        <v>0</v>
      </c>
      <c r="F1782" s="79">
        <f>D1782+E1782</f>
        <v>5.0000000000000062</v>
      </c>
      <c r="G1782" s="79">
        <f t="shared" ref="G1782:L1782" si="901">G1783-G1779-G1780-G1781</f>
        <v>1</v>
      </c>
      <c r="H1782" s="79">
        <f t="shared" si="901"/>
        <v>0</v>
      </c>
      <c r="I1782" s="79">
        <f t="shared" si="901"/>
        <v>5.0000000000000002E-5</v>
      </c>
      <c r="J1782" s="79">
        <f t="shared" si="901"/>
        <v>5.0000000000000002E-5</v>
      </c>
      <c r="K1782" s="79">
        <f t="shared" si="901"/>
        <v>5.0000000000000002E-5</v>
      </c>
      <c r="L1782" s="79">
        <f t="shared" si="901"/>
        <v>5.0000000000000002E-5</v>
      </c>
      <c r="M1782" s="79">
        <f>SUM(J1782:L1782)</f>
        <v>1.5000000000000001E-4</v>
      </c>
      <c r="N1782" s="79">
        <f>N1783-N1779-N1780-N1781</f>
        <v>5.0000000000000002E-5</v>
      </c>
      <c r="O1782" s="79">
        <f>SUM(F1782:I1782)+SUM(M1782:N1782)</f>
        <v>6.0002500000000065</v>
      </c>
      <c r="P1782" s="79">
        <f>P1783-P1779-P1780-P1781</f>
        <v>5.0000000000000002E-5</v>
      </c>
      <c r="Q1782" s="79">
        <f>Q1783-Q1779-Q1780-Q1781</f>
        <v>5.0000000000000002E-5</v>
      </c>
      <c r="R1782" s="79">
        <f>P1782+Q1782</f>
        <v>1E-4</v>
      </c>
      <c r="S1782" s="79">
        <f>S1783-S1779-S1780-S1781</f>
        <v>5.0000000000000002E-5</v>
      </c>
      <c r="U1782" s="80">
        <f>O1782+R1782+S1782-C1782</f>
        <v>0</v>
      </c>
      <c r="W1782" s="81">
        <f t="shared" si="887"/>
        <v>0.99998330000000002</v>
      </c>
      <c r="X1782" s="81">
        <f t="shared" si="888"/>
        <v>0.99997499999999995</v>
      </c>
      <c r="Y1782" s="81">
        <f t="shared" si="889"/>
        <v>8.3000000000000002E-6</v>
      </c>
      <c r="Z1782" s="79"/>
      <c r="AF1782" s="79"/>
      <c r="AJ1782" s="66"/>
      <c r="AK1782" s="65"/>
    </row>
    <row r="1783" spans="1:37" hidden="1">
      <c r="A1783" s="65">
        <f>A1782+1</f>
        <v>14</v>
      </c>
      <c r="B1783" s="66" t="s">
        <v>691</v>
      </c>
      <c r="C1783" s="79">
        <f>$C$639</f>
        <v>46.000400000000006</v>
      </c>
      <c r="D1783" s="79">
        <f>D$639</f>
        <v>44</v>
      </c>
      <c r="E1783" s="79">
        <f>E$639</f>
        <v>0</v>
      </c>
      <c r="F1783" s="79">
        <f>D1783+E1783</f>
        <v>44</v>
      </c>
      <c r="G1783" s="79">
        <f>$G$639</f>
        <v>2</v>
      </c>
      <c r="H1783" s="79">
        <f>$H$639</f>
        <v>0</v>
      </c>
      <c r="I1783" s="79">
        <f>$I$639</f>
        <v>5.0000000000000002E-5</v>
      </c>
      <c r="J1783" s="79">
        <f>$J$639</f>
        <v>5.0000000000000002E-5</v>
      </c>
      <c r="K1783" s="79">
        <f>$K$639</f>
        <v>5.0000000000000002E-5</v>
      </c>
      <c r="L1783" s="79">
        <f>$L$639</f>
        <v>5.0000000000000002E-5</v>
      </c>
      <c r="M1783" s="79">
        <f>SUM(J1783:L1783)</f>
        <v>1.5000000000000001E-4</v>
      </c>
      <c r="N1783" s="79">
        <f>$N$639</f>
        <v>5.0000000000000002E-5</v>
      </c>
      <c r="O1783" s="79">
        <f>SUM(F1783:I1783)+SUM(M1783:N1783)</f>
        <v>46.000250000000001</v>
      </c>
      <c r="P1783" s="79">
        <f>$P$639</f>
        <v>5.0000000000000002E-5</v>
      </c>
      <c r="Q1783" s="79">
        <f>$Q$639</f>
        <v>5.0000000000000002E-5</v>
      </c>
      <c r="R1783" s="79">
        <f>P1783+Q1783</f>
        <v>1E-4</v>
      </c>
      <c r="S1783" s="79">
        <f>$S$639</f>
        <v>5.0000000000000002E-5</v>
      </c>
      <c r="U1783" s="80">
        <f>O1783+R1783+S1783-C1783</f>
        <v>0</v>
      </c>
      <c r="W1783" s="81">
        <f t="shared" si="887"/>
        <v>0.99999780000000005</v>
      </c>
      <c r="X1783" s="81">
        <f t="shared" si="888"/>
        <v>0.99999669999999996</v>
      </c>
      <c r="Y1783" s="81">
        <f t="shared" si="889"/>
        <v>1.1000000000000001E-6</v>
      </c>
      <c r="Z1783" s="79"/>
      <c r="AF1783" s="79"/>
      <c r="AJ1783" s="66"/>
      <c r="AK1783" s="65"/>
    </row>
    <row r="1784" spans="1:37" hidden="1">
      <c r="A1784" s="65">
        <f>A1783+1</f>
        <v>15</v>
      </c>
      <c r="C1784" s="79"/>
      <c r="D1784" s="79"/>
      <c r="E1784" s="79"/>
      <c r="F1784" s="79"/>
      <c r="G1784" s="79"/>
      <c r="H1784" s="79"/>
      <c r="I1784" s="79"/>
      <c r="J1784" s="79"/>
      <c r="K1784" s="79"/>
      <c r="L1784" s="79"/>
      <c r="M1784" s="79"/>
      <c r="N1784" s="79"/>
      <c r="O1784" s="79"/>
      <c r="P1784" s="79"/>
      <c r="Q1784" s="79"/>
      <c r="R1784" s="79"/>
      <c r="S1784" s="79"/>
      <c r="U1784" s="80"/>
      <c r="W1784" s="81" t="str">
        <f t="shared" si="887"/>
        <v xml:space="preserve"> </v>
      </c>
      <c r="X1784" s="81" t="str">
        <f t="shared" si="888"/>
        <v xml:space="preserve"> </v>
      </c>
      <c r="Y1784" s="81" t="str">
        <f t="shared" si="889"/>
        <v xml:space="preserve"> </v>
      </c>
      <c r="Z1784" s="79"/>
      <c r="AF1784" s="79"/>
      <c r="AJ1784" s="66"/>
      <c r="AK1784" s="65"/>
    </row>
    <row r="1785" spans="1:37" hidden="1">
      <c r="A1785" s="65">
        <f>A1784+1</f>
        <v>16</v>
      </c>
      <c r="B1785" s="66" t="s">
        <v>692</v>
      </c>
      <c r="C1785" s="79">
        <f>$C$638</f>
        <v>192.00039999999998</v>
      </c>
      <c r="D1785" s="79">
        <f>$D$638</f>
        <v>135</v>
      </c>
      <c r="E1785" s="79">
        <f>E$638</f>
        <v>0</v>
      </c>
      <c r="F1785" s="79">
        <f>D1785+E1785</f>
        <v>135</v>
      </c>
      <c r="G1785" s="79">
        <f>$G$638</f>
        <v>27</v>
      </c>
      <c r="H1785" s="79">
        <f>$H$638</f>
        <v>30</v>
      </c>
      <c r="I1785" s="79">
        <f>$I$638</f>
        <v>5.0000000000000002E-5</v>
      </c>
      <c r="J1785" s="79">
        <f>$J$638</f>
        <v>5.0000000000000002E-5</v>
      </c>
      <c r="K1785" s="79">
        <f>$K$638</f>
        <v>5.0000000000000002E-5</v>
      </c>
      <c r="L1785" s="79">
        <f>$L$638</f>
        <v>5.0000000000000002E-5</v>
      </c>
      <c r="M1785" s="79">
        <f>SUM(J1785:L1785)</f>
        <v>1.5000000000000001E-4</v>
      </c>
      <c r="N1785" s="79">
        <f>$N$638</f>
        <v>5.0000000000000002E-5</v>
      </c>
      <c r="O1785" s="79">
        <f>SUM(F1785:I1785)+SUM(M1785:N1785)</f>
        <v>192.00024999999999</v>
      </c>
      <c r="P1785" s="79">
        <f>$P$638</f>
        <v>5.0000000000000002E-5</v>
      </c>
      <c r="Q1785" s="79">
        <f>$Q$638</f>
        <v>5.0000000000000002E-5</v>
      </c>
      <c r="R1785" s="79">
        <f>P1785+Q1785</f>
        <v>1E-4</v>
      </c>
      <c r="S1785" s="79">
        <f>$S$638</f>
        <v>5.0000000000000002E-5</v>
      </c>
      <c r="U1785" s="80">
        <f>O1785+R1785+S1785-C1785</f>
        <v>0</v>
      </c>
      <c r="W1785" s="81">
        <f t="shared" si="887"/>
        <v>0.99999950000000004</v>
      </c>
      <c r="X1785" s="81">
        <f t="shared" si="888"/>
        <v>0.99999919999999998</v>
      </c>
      <c r="Y1785" s="81">
        <f t="shared" si="889"/>
        <v>2.9999999999999999E-7</v>
      </c>
      <c r="Z1785" s="79"/>
      <c r="AF1785" s="79"/>
      <c r="AJ1785" s="66"/>
      <c r="AK1785" s="65"/>
    </row>
    <row r="1786" spans="1:37" hidden="1">
      <c r="C1786" s="79"/>
      <c r="D1786" s="79"/>
      <c r="E1786" s="79"/>
      <c r="F1786" s="79"/>
      <c r="G1786" s="79"/>
      <c r="H1786" s="79"/>
      <c r="I1786" s="79"/>
      <c r="J1786" s="79"/>
      <c r="K1786" s="79"/>
      <c r="L1786" s="79"/>
      <c r="M1786" s="79"/>
      <c r="N1786" s="79"/>
      <c r="O1786" s="79"/>
      <c r="P1786" s="79"/>
      <c r="Q1786" s="79"/>
      <c r="R1786" s="79"/>
      <c r="S1786" s="79"/>
      <c r="U1786" s="80"/>
      <c r="W1786" s="81" t="str">
        <f t="shared" si="887"/>
        <v xml:space="preserve"> </v>
      </c>
      <c r="X1786" s="81" t="str">
        <f t="shared" si="888"/>
        <v xml:space="preserve"> </v>
      </c>
      <c r="Y1786" s="81" t="str">
        <f t="shared" si="889"/>
        <v xml:space="preserve"> </v>
      </c>
      <c r="Z1786" s="79"/>
      <c r="AF1786" s="79"/>
      <c r="AJ1786" s="66"/>
      <c r="AK1786" s="65"/>
    </row>
    <row r="1787" spans="1:37" hidden="1">
      <c r="A1787" s="65">
        <f>A1785+1</f>
        <v>17</v>
      </c>
      <c r="B1787" s="71" t="s">
        <v>693</v>
      </c>
      <c r="C1787" s="79">
        <f>$C$632</f>
        <v>85.000400000000013</v>
      </c>
      <c r="D1787" s="79">
        <f>$D$632</f>
        <v>84</v>
      </c>
      <c r="E1787" s="79">
        <f>E$632</f>
        <v>0</v>
      </c>
      <c r="F1787" s="79">
        <f>D1787+E1787</f>
        <v>84</v>
      </c>
      <c r="G1787" s="79">
        <f>$G$632</f>
        <v>1</v>
      </c>
      <c r="H1787" s="79">
        <f>$H$632</f>
        <v>0</v>
      </c>
      <c r="I1787" s="79">
        <f>$I$632</f>
        <v>5.0000000000000002E-5</v>
      </c>
      <c r="J1787" s="79">
        <f>$J$632</f>
        <v>5.0000000000000002E-5</v>
      </c>
      <c r="K1787" s="79">
        <f>$K$632</f>
        <v>5.0000000000000002E-5</v>
      </c>
      <c r="L1787" s="79">
        <f>$L$632</f>
        <v>5.0000000000000002E-5</v>
      </c>
      <c r="M1787" s="79">
        <f>SUM(J1787:L1787)</f>
        <v>1.5000000000000001E-4</v>
      </c>
      <c r="N1787" s="79">
        <f>$N$632</f>
        <v>5.0000000000000002E-5</v>
      </c>
      <c r="O1787" s="79">
        <f>SUM(F1787:I1787)+SUM(M1787:N1787)</f>
        <v>85.000250000000008</v>
      </c>
      <c r="P1787" s="79">
        <f>$P$632</f>
        <v>5.0000000000000002E-5</v>
      </c>
      <c r="Q1787" s="79">
        <f>$Q$632</f>
        <v>5.0000000000000002E-5</v>
      </c>
      <c r="R1787" s="79">
        <f>P1787+Q1787</f>
        <v>1E-4</v>
      </c>
      <c r="S1787" s="79">
        <f>$S$632</f>
        <v>5.0000000000000002E-5</v>
      </c>
      <c r="U1787" s="80">
        <f>O1787+R1787+S1787-C1787</f>
        <v>0</v>
      </c>
      <c r="W1787" s="81">
        <f t="shared" si="887"/>
        <v>0.99999879999999997</v>
      </c>
      <c r="X1787" s="81">
        <f t="shared" si="888"/>
        <v>0.99999819999999995</v>
      </c>
      <c r="Y1787" s="81">
        <f t="shared" si="889"/>
        <v>5.9999999999999997E-7</v>
      </c>
      <c r="Z1787" s="79"/>
      <c r="AF1787" s="79"/>
      <c r="AJ1787" s="66"/>
    </row>
    <row r="1788" spans="1:37" hidden="1">
      <c r="W1788" s="81" t="str">
        <f t="shared" si="887"/>
        <v xml:space="preserve"> </v>
      </c>
      <c r="X1788" s="81" t="str">
        <f t="shared" si="888"/>
        <v xml:space="preserve"> </v>
      </c>
      <c r="Y1788" s="81" t="str">
        <f t="shared" si="889"/>
        <v xml:space="preserve"> </v>
      </c>
    </row>
    <row r="1789" spans="1:37" hidden="1">
      <c r="A1789" s="65">
        <f>A1787+1</f>
        <v>18</v>
      </c>
      <c r="B1789" s="71" t="s">
        <v>694</v>
      </c>
      <c r="C1789" s="79">
        <f>$C$633</f>
        <v>31.000400000000003</v>
      </c>
      <c r="D1789" s="79">
        <f>$D$633</f>
        <v>28</v>
      </c>
      <c r="E1789" s="79">
        <f>E$633</f>
        <v>0</v>
      </c>
      <c r="F1789" s="79">
        <f>D1789+E1789</f>
        <v>28</v>
      </c>
      <c r="G1789" s="79">
        <f>$G$633</f>
        <v>2</v>
      </c>
      <c r="H1789" s="79">
        <f>$H$633</f>
        <v>1</v>
      </c>
      <c r="I1789" s="79">
        <f>$I$633</f>
        <v>5.0000000000000002E-5</v>
      </c>
      <c r="J1789" s="79">
        <f>$J$633</f>
        <v>5.0000000000000002E-5</v>
      </c>
      <c r="K1789" s="79">
        <f>$K$633</f>
        <v>5.0000000000000002E-5</v>
      </c>
      <c r="L1789" s="79">
        <f>$L$633</f>
        <v>5.0000000000000002E-5</v>
      </c>
      <c r="M1789" s="79">
        <f>SUM(J1789:L1789)</f>
        <v>1.5000000000000001E-4</v>
      </c>
      <c r="N1789" s="79">
        <f>$N$633</f>
        <v>5.0000000000000002E-5</v>
      </c>
      <c r="O1789" s="79">
        <f>SUM(F1789:I1789)+SUM(M1789:N1789)</f>
        <v>31.000250000000001</v>
      </c>
      <c r="P1789" s="79">
        <f>$P$633</f>
        <v>5.0000000000000002E-5</v>
      </c>
      <c r="Q1789" s="79">
        <f>$Q$633</f>
        <v>5.0000000000000002E-5</v>
      </c>
      <c r="R1789" s="79">
        <f>P1789+Q1789</f>
        <v>1E-4</v>
      </c>
      <c r="S1789" s="79">
        <f>$S$633</f>
        <v>5.0000000000000002E-5</v>
      </c>
      <c r="U1789" s="80">
        <f>O1789+R1789+S1789-C1789</f>
        <v>0</v>
      </c>
      <c r="W1789" s="81">
        <f t="shared" si="887"/>
        <v>0.99999680000000002</v>
      </c>
      <c r="X1789" s="81">
        <f t="shared" si="888"/>
        <v>0.99999519999999997</v>
      </c>
      <c r="Y1789" s="81">
        <f t="shared" si="889"/>
        <v>1.5999999999999999E-6</v>
      </c>
      <c r="Z1789" s="79"/>
      <c r="AF1789" s="79"/>
      <c r="AJ1789" s="66"/>
    </row>
    <row r="1790" spans="1:37" hidden="1">
      <c r="W1790" s="81" t="str">
        <f t="shared" si="887"/>
        <v xml:space="preserve"> </v>
      </c>
      <c r="X1790" s="81" t="str">
        <f t="shared" si="888"/>
        <v xml:space="preserve"> </v>
      </c>
      <c r="Y1790" s="81" t="str">
        <f t="shared" si="889"/>
        <v xml:space="preserve"> </v>
      </c>
    </row>
    <row r="1791" spans="1:37" hidden="1">
      <c r="A1791" s="65">
        <f>A1789+1</f>
        <v>19</v>
      </c>
      <c r="B1791" s="66" t="s">
        <v>695</v>
      </c>
      <c r="C1791" s="79">
        <f>C1765+C1769+C1771+C1773+C1783+C1785+C1787+C1789+C1777</f>
        <v>5441.0046000000002</v>
      </c>
      <c r="D1791" s="79">
        <f t="shared" ref="D1791:S1791" si="902">D1765+D1769+D1771+D1773+D1783+D1785+D1787+D1789+D1777</f>
        <v>5059</v>
      </c>
      <c r="E1791" s="79">
        <f t="shared" si="902"/>
        <v>1E-3</v>
      </c>
      <c r="F1791" s="79">
        <f>D1791+E1791</f>
        <v>5059.0010000000002</v>
      </c>
      <c r="G1791" s="79">
        <f t="shared" si="902"/>
        <v>292</v>
      </c>
      <c r="H1791" s="79">
        <f t="shared" si="902"/>
        <v>90</v>
      </c>
      <c r="I1791" s="79">
        <f t="shared" si="902"/>
        <v>4.500000000000001E-4</v>
      </c>
      <c r="J1791" s="79">
        <f t="shared" si="902"/>
        <v>4.500000000000001E-4</v>
      </c>
      <c r="K1791" s="79">
        <f t="shared" si="902"/>
        <v>4.500000000000001E-4</v>
      </c>
      <c r="L1791" s="79">
        <f t="shared" si="902"/>
        <v>4.500000000000001E-4</v>
      </c>
      <c r="M1791" s="79">
        <f>SUM(J1791:L1791)</f>
        <v>1.3500000000000003E-3</v>
      </c>
      <c r="N1791" s="79">
        <f t="shared" si="902"/>
        <v>4.500000000000001E-4</v>
      </c>
      <c r="O1791" s="79">
        <f>SUM(F1791:I1791)+SUM(M1791:N1791)</f>
        <v>5441.0032499999998</v>
      </c>
      <c r="P1791" s="79">
        <f t="shared" si="902"/>
        <v>4.500000000000001E-4</v>
      </c>
      <c r="Q1791" s="79">
        <f t="shared" si="902"/>
        <v>4.500000000000001E-4</v>
      </c>
      <c r="R1791" s="79">
        <f>P1791+Q1791</f>
        <v>9.0000000000000019E-4</v>
      </c>
      <c r="S1791" s="79">
        <f t="shared" si="902"/>
        <v>4.500000000000001E-4</v>
      </c>
      <c r="U1791" s="80">
        <f>O1791+R1791+S1791-C1791</f>
        <v>0</v>
      </c>
      <c r="W1791" s="81">
        <f t="shared" si="887"/>
        <v>0.99999979999999999</v>
      </c>
      <c r="X1791" s="81">
        <f t="shared" si="888"/>
        <v>0.99999979999999999</v>
      </c>
      <c r="Y1791" s="81">
        <f t="shared" si="889"/>
        <v>9.9999999999999995E-8</v>
      </c>
      <c r="Z1791" s="79"/>
      <c r="AF1791" s="79"/>
      <c r="AJ1791" s="66"/>
      <c r="AK1791" s="65"/>
    </row>
    <row r="1792" spans="1:37" hidden="1">
      <c r="B1792" s="66" t="s">
        <v>696</v>
      </c>
      <c r="C1792" s="79">
        <f>C1763+C1767+C1779</f>
        <v>1191</v>
      </c>
      <c r="D1792" s="79">
        <f>D1763+D1767+D1779</f>
        <v>1137.95</v>
      </c>
      <c r="E1792" s="79">
        <f>E1763+E1767+E1779</f>
        <v>5.0500000000000003E-2</v>
      </c>
      <c r="F1792" s="79">
        <f>D1792+E1792</f>
        <v>1138.0005000000001</v>
      </c>
      <c r="G1792" s="79">
        <f t="shared" ref="G1792:L1792" si="903">G1763+G1767+G1779</f>
        <v>41</v>
      </c>
      <c r="H1792" s="79">
        <f t="shared" si="903"/>
        <v>12</v>
      </c>
      <c r="I1792" s="79">
        <f t="shared" si="903"/>
        <v>0</v>
      </c>
      <c r="J1792" s="79">
        <f t="shared" si="903"/>
        <v>0</v>
      </c>
      <c r="K1792" s="79">
        <f t="shared" si="903"/>
        <v>0</v>
      </c>
      <c r="L1792" s="79">
        <f t="shared" si="903"/>
        <v>0</v>
      </c>
      <c r="M1792" s="79">
        <f>SUM(J1792:L1792)</f>
        <v>0</v>
      </c>
      <c r="N1792" s="79">
        <f>N1763+N1767+N1779</f>
        <v>0</v>
      </c>
      <c r="O1792" s="79">
        <f>SUM(F1792:I1792)+SUM(M1792:N1792)</f>
        <v>1191.0005000000001</v>
      </c>
      <c r="P1792" s="79">
        <f>P1763+P1767+P1779</f>
        <v>0</v>
      </c>
      <c r="Q1792" s="79">
        <f>Q1763+Q1767+Q1779</f>
        <v>0</v>
      </c>
      <c r="R1792" s="79">
        <f>P1792+Q1792</f>
        <v>0</v>
      </c>
      <c r="S1792" s="79">
        <f>S1763+S1767+S1779</f>
        <v>0</v>
      </c>
      <c r="U1792" s="80">
        <f>O1792+R1792+S1792-C1792</f>
        <v>5.0000000010186341E-4</v>
      </c>
      <c r="W1792" s="81">
        <f t="shared" si="887"/>
        <v>1</v>
      </c>
      <c r="X1792" s="81">
        <f t="shared" si="888"/>
        <v>1.0000004</v>
      </c>
      <c r="Y1792" s="81">
        <f t="shared" si="889"/>
        <v>0</v>
      </c>
      <c r="Z1792" s="79"/>
      <c r="AF1792" s="79"/>
      <c r="AJ1792" s="66"/>
      <c r="AK1792" s="65"/>
    </row>
    <row r="1793" spans="1:37" hidden="1">
      <c r="A1793" s="65">
        <f>A1791+1</f>
        <v>20</v>
      </c>
      <c r="B1793" s="66" t="s">
        <v>697</v>
      </c>
      <c r="C1793" s="79">
        <f t="shared" ref="C1793:E1794" si="904">C1780</f>
        <v>29</v>
      </c>
      <c r="D1793" s="79">
        <f t="shared" si="904"/>
        <v>28</v>
      </c>
      <c r="E1793" s="79">
        <f t="shared" si="904"/>
        <v>0</v>
      </c>
      <c r="F1793" s="79">
        <f>D1793+E1793</f>
        <v>28</v>
      </c>
      <c r="G1793" s="79">
        <f t="shared" ref="G1793:L1794" si="905">G1780</f>
        <v>1</v>
      </c>
      <c r="H1793" s="79">
        <f t="shared" si="905"/>
        <v>0</v>
      </c>
      <c r="I1793" s="79">
        <f t="shared" si="905"/>
        <v>0</v>
      </c>
      <c r="J1793" s="79">
        <f t="shared" si="905"/>
        <v>0</v>
      </c>
      <c r="K1793" s="79">
        <f t="shared" si="905"/>
        <v>0</v>
      </c>
      <c r="L1793" s="79">
        <f t="shared" si="905"/>
        <v>0</v>
      </c>
      <c r="M1793" s="79">
        <f>SUM(J1793:L1793)</f>
        <v>0</v>
      </c>
      <c r="N1793" s="79">
        <f>N1780</f>
        <v>0</v>
      </c>
      <c r="O1793" s="79">
        <f>SUM(F1793:I1793)+SUM(M1793:N1793)</f>
        <v>29</v>
      </c>
      <c r="P1793" s="79">
        <f>P1780</f>
        <v>0</v>
      </c>
      <c r="Q1793" s="79">
        <f>Q1780</f>
        <v>0</v>
      </c>
      <c r="R1793" s="79">
        <f>P1793+Q1793</f>
        <v>0</v>
      </c>
      <c r="S1793" s="79">
        <f>S1780</f>
        <v>0</v>
      </c>
      <c r="U1793" s="80">
        <f>O1793+R1793+S1793-C1793</f>
        <v>0</v>
      </c>
      <c r="W1793" s="81">
        <f t="shared" si="887"/>
        <v>1</v>
      </c>
      <c r="X1793" s="81">
        <f t="shared" si="888"/>
        <v>1</v>
      </c>
      <c r="Y1793" s="81">
        <f t="shared" si="889"/>
        <v>0</v>
      </c>
      <c r="Z1793" s="79"/>
      <c r="AF1793" s="79"/>
      <c r="AJ1793" s="66"/>
      <c r="AK1793" s="65"/>
    </row>
    <row r="1794" spans="1:37" hidden="1">
      <c r="A1794" s="65">
        <f>A1793+1</f>
        <v>21</v>
      </c>
      <c r="B1794" s="66" t="s">
        <v>698</v>
      </c>
      <c r="C1794" s="79">
        <f t="shared" si="904"/>
        <v>2</v>
      </c>
      <c r="D1794" s="79">
        <f t="shared" si="904"/>
        <v>2</v>
      </c>
      <c r="E1794" s="79">
        <f t="shared" si="904"/>
        <v>0</v>
      </c>
      <c r="F1794" s="79">
        <f>D1794+E1794</f>
        <v>2</v>
      </c>
      <c r="G1794" s="79">
        <f t="shared" si="905"/>
        <v>0</v>
      </c>
      <c r="H1794" s="79">
        <f t="shared" si="905"/>
        <v>0</v>
      </c>
      <c r="I1794" s="79">
        <f t="shared" si="905"/>
        <v>0</v>
      </c>
      <c r="J1794" s="79">
        <f t="shared" si="905"/>
        <v>0</v>
      </c>
      <c r="K1794" s="79">
        <f t="shared" si="905"/>
        <v>0</v>
      </c>
      <c r="L1794" s="79">
        <f t="shared" si="905"/>
        <v>0</v>
      </c>
      <c r="M1794" s="79">
        <f>SUM(J1794:L1794)</f>
        <v>0</v>
      </c>
      <c r="N1794" s="79">
        <f>N1781</f>
        <v>0</v>
      </c>
      <c r="O1794" s="79">
        <f>SUM(F1794:I1794)+SUM(M1794:N1794)</f>
        <v>2</v>
      </c>
      <c r="P1794" s="79">
        <f>P1781</f>
        <v>0</v>
      </c>
      <c r="Q1794" s="79">
        <f>Q1781</f>
        <v>0</v>
      </c>
      <c r="R1794" s="79">
        <f>P1794+Q1794</f>
        <v>0</v>
      </c>
      <c r="S1794" s="79">
        <f>S1781</f>
        <v>0</v>
      </c>
      <c r="U1794" s="80">
        <f>O1794+R1794+S1794-C1794</f>
        <v>0</v>
      </c>
      <c r="W1794" s="81">
        <f t="shared" si="887"/>
        <v>1</v>
      </c>
      <c r="X1794" s="81">
        <f t="shared" si="888"/>
        <v>1</v>
      </c>
      <c r="Y1794" s="81">
        <f t="shared" si="889"/>
        <v>0</v>
      </c>
      <c r="Z1794" s="79"/>
      <c r="AF1794" s="79"/>
      <c r="AJ1794" s="66"/>
      <c r="AK1794" s="65"/>
    </row>
    <row r="1795" spans="1:37" hidden="1">
      <c r="A1795" s="65">
        <f>A1794+1</f>
        <v>22</v>
      </c>
      <c r="B1795" s="66" t="s">
        <v>699</v>
      </c>
      <c r="C1795" s="79">
        <f>C1775</f>
        <v>74</v>
      </c>
      <c r="D1795" s="79">
        <f t="shared" ref="D1795:S1795" si="906">D1775</f>
        <v>0</v>
      </c>
      <c r="E1795" s="79">
        <f t="shared" si="906"/>
        <v>0</v>
      </c>
      <c r="F1795" s="79">
        <f t="shared" si="906"/>
        <v>0</v>
      </c>
      <c r="G1795" s="79">
        <f t="shared" si="906"/>
        <v>74</v>
      </c>
      <c r="H1795" s="79">
        <f t="shared" si="906"/>
        <v>0</v>
      </c>
      <c r="I1795" s="79">
        <f t="shared" si="906"/>
        <v>0</v>
      </c>
      <c r="J1795" s="79">
        <f t="shared" si="906"/>
        <v>0</v>
      </c>
      <c r="K1795" s="79">
        <f t="shared" si="906"/>
        <v>0</v>
      </c>
      <c r="L1795" s="79">
        <f t="shared" si="906"/>
        <v>0</v>
      </c>
      <c r="M1795" s="79">
        <f t="shared" si="906"/>
        <v>0</v>
      </c>
      <c r="N1795" s="79">
        <f t="shared" si="906"/>
        <v>0</v>
      </c>
      <c r="O1795" s="79">
        <f t="shared" si="906"/>
        <v>74</v>
      </c>
      <c r="P1795" s="79">
        <f t="shared" si="906"/>
        <v>0</v>
      </c>
      <c r="Q1795" s="79">
        <f t="shared" si="906"/>
        <v>0</v>
      </c>
      <c r="R1795" s="79">
        <f t="shared" si="906"/>
        <v>0</v>
      </c>
      <c r="S1795" s="79">
        <f t="shared" si="906"/>
        <v>0</v>
      </c>
      <c r="U1795" s="80"/>
      <c r="W1795" s="81">
        <f t="shared" si="887"/>
        <v>1</v>
      </c>
      <c r="X1795" s="81">
        <f t="shared" si="888"/>
        <v>1</v>
      </c>
      <c r="Y1795" s="81">
        <f t="shared" si="889"/>
        <v>0</v>
      </c>
      <c r="Z1795" s="79"/>
      <c r="AF1795" s="79"/>
      <c r="AJ1795" s="66"/>
      <c r="AK1795" s="65"/>
    </row>
    <row r="1796" spans="1:37" hidden="1">
      <c r="A1796" s="65">
        <f>A1795+1</f>
        <v>23</v>
      </c>
      <c r="B1796" s="66" t="s">
        <v>700</v>
      </c>
      <c r="C1796" s="79">
        <f>C1764+C1768+C1771+C1773+C1782+C1785+C1787+C1789+C1776</f>
        <v>4145.0046000000002</v>
      </c>
      <c r="D1796" s="79">
        <f>D1764+D1768+D1771+D1773+D1782+D1785+D1787+D1789+D1776</f>
        <v>3891.0505000000003</v>
      </c>
      <c r="E1796" s="79">
        <f>E1764+E1768+E1771+E1773+E1782+E1785+E1787+E1789+E1776</f>
        <v>-4.9500000000000002E-2</v>
      </c>
      <c r="F1796" s="79">
        <f>D1796+E1796</f>
        <v>3891.0010000000002</v>
      </c>
      <c r="G1796" s="79">
        <f t="shared" ref="G1796:S1796" si="907">G1764+G1768+G1771+G1773+G1782+G1785+G1787+G1789+G1776</f>
        <v>176</v>
      </c>
      <c r="H1796" s="79">
        <f t="shared" si="907"/>
        <v>78</v>
      </c>
      <c r="I1796" s="79">
        <f t="shared" si="907"/>
        <v>4.500000000000001E-4</v>
      </c>
      <c r="J1796" s="79">
        <f t="shared" si="907"/>
        <v>4.500000000000001E-4</v>
      </c>
      <c r="K1796" s="79">
        <f t="shared" si="907"/>
        <v>4.500000000000001E-4</v>
      </c>
      <c r="L1796" s="79">
        <f t="shared" si="907"/>
        <v>4.500000000000001E-4</v>
      </c>
      <c r="M1796" s="79">
        <f>SUM(J1796:L1796)</f>
        <v>1.3500000000000003E-3</v>
      </c>
      <c r="N1796" s="79">
        <f t="shared" si="907"/>
        <v>4.500000000000001E-4</v>
      </c>
      <c r="O1796" s="79">
        <f>SUM(F1796:I1796)+SUM(M1796:N1796)</f>
        <v>4145.0032499999998</v>
      </c>
      <c r="P1796" s="79">
        <f t="shared" si="907"/>
        <v>4.500000000000001E-4</v>
      </c>
      <c r="Q1796" s="79">
        <f t="shared" si="907"/>
        <v>4.500000000000001E-4</v>
      </c>
      <c r="R1796" s="79">
        <f>P1796+Q1796</f>
        <v>9.0000000000000019E-4</v>
      </c>
      <c r="S1796" s="79">
        <f t="shared" si="907"/>
        <v>4.500000000000001E-4</v>
      </c>
      <c r="U1796" s="80">
        <f>O1796+R1796+S1796-C1796</f>
        <v>0</v>
      </c>
      <c r="W1796" s="81">
        <f t="shared" si="887"/>
        <v>0.99999979999999999</v>
      </c>
      <c r="X1796" s="81">
        <f t="shared" si="888"/>
        <v>0.99999970000000005</v>
      </c>
      <c r="Y1796" s="81">
        <f t="shared" si="889"/>
        <v>9.9999999999999995E-8</v>
      </c>
      <c r="Z1796" s="79"/>
      <c r="AF1796" s="79"/>
      <c r="AJ1796" s="66"/>
      <c r="AK1796" s="65"/>
    </row>
    <row r="1797" spans="1:37" hidden="1">
      <c r="A1797" s="65">
        <f>A1796+1</f>
        <v>24</v>
      </c>
      <c r="Y1797" s="65"/>
      <c r="AJ1797" s="66"/>
    </row>
    <row r="1798" spans="1:37" hidden="1">
      <c r="A1798" s="65">
        <f>A1797+1</f>
        <v>25</v>
      </c>
      <c r="W1798" s="108"/>
      <c r="X1798" s="108"/>
      <c r="AJ1798" s="66"/>
      <c r="AK1798" s="65"/>
    </row>
    <row r="1799" spans="1:37" hidden="1">
      <c r="W1799" s="108"/>
      <c r="X1799" s="108"/>
      <c r="AJ1799" s="66"/>
      <c r="AK1799" s="65"/>
    </row>
    <row r="1800" spans="1:37" hidden="1">
      <c r="W1800" s="108"/>
      <c r="X1800" s="108"/>
      <c r="AJ1800" s="66"/>
      <c r="AK1800" s="65"/>
    </row>
    <row r="1801" spans="1:37" hidden="1">
      <c r="B1801" s="72"/>
      <c r="C1801" s="79"/>
      <c r="H1801" s="65" t="s">
        <v>80</v>
      </c>
      <c r="I1801" s="79"/>
      <c r="J1801" s="79"/>
      <c r="K1801" s="79"/>
      <c r="L1801" s="79"/>
      <c r="M1801" s="79"/>
      <c r="N1801" s="79"/>
      <c r="Q1801" s="65" t="s">
        <v>80</v>
      </c>
      <c r="R1801" s="79"/>
      <c r="S1801" s="79"/>
      <c r="U1801" s="80"/>
      <c r="W1801" s="81"/>
      <c r="X1801" s="81"/>
      <c r="Y1801" s="81"/>
      <c r="Z1801" s="65"/>
      <c r="AJ1801" s="66"/>
      <c r="AK1801" s="65"/>
    </row>
    <row r="1802" spans="1:37" hidden="1">
      <c r="B1802" s="72"/>
      <c r="C1802" s="79"/>
      <c r="H1802" s="70" t="str">
        <f>H24</f>
        <v>12 MONTHS ENDING DECEMBER 31, 2012</v>
      </c>
      <c r="I1802" s="79"/>
      <c r="J1802" s="79"/>
      <c r="K1802" s="79"/>
      <c r="L1802" s="79"/>
      <c r="M1802" s="79"/>
      <c r="N1802" s="79"/>
      <c r="Q1802" s="70" t="str">
        <f>Q24</f>
        <v>12 MONTHS ENDING DECEMBER 31, 2012</v>
      </c>
      <c r="S1802" s="79"/>
      <c r="U1802" s="80"/>
      <c r="X1802" s="81"/>
      <c r="Y1802" s="81"/>
      <c r="Z1802" s="70"/>
      <c r="AF1802" s="79"/>
      <c r="AJ1802" s="66"/>
      <c r="AK1802" s="65"/>
    </row>
    <row r="1803" spans="1:37" hidden="1">
      <c r="C1803" s="79"/>
      <c r="H1803" s="70" t="str">
        <f>$H$25</f>
        <v>12/13 DEMAND ALLOCATION WITH MDS METHODOLOGY</v>
      </c>
      <c r="Q1803" s="70" t="str">
        <f>$H$25</f>
        <v>12/13 DEMAND ALLOCATION WITH MDS METHODOLOGY</v>
      </c>
      <c r="S1803" s="79"/>
      <c r="X1803" s="81"/>
      <c r="Y1803" s="81"/>
      <c r="Z1803" s="70"/>
      <c r="AF1803" s="79"/>
      <c r="AJ1803" s="66"/>
      <c r="AK1803" s="65"/>
    </row>
    <row r="1804" spans="1:37" hidden="1">
      <c r="C1804" s="79"/>
      <c r="H1804" s="80" t="s">
        <v>701</v>
      </c>
      <c r="I1804" s="79"/>
      <c r="J1804" s="79"/>
      <c r="K1804" s="79"/>
      <c r="L1804" s="79"/>
      <c r="M1804" s="79"/>
      <c r="N1804" s="79"/>
      <c r="Q1804" s="80" t="s">
        <v>701</v>
      </c>
      <c r="S1804" s="79"/>
      <c r="U1804" s="80"/>
      <c r="X1804" s="81"/>
      <c r="Y1804" s="81"/>
      <c r="Z1804" s="80"/>
      <c r="AF1804" s="79"/>
      <c r="AJ1804" s="66"/>
      <c r="AK1804" s="65"/>
    </row>
    <row r="1805" spans="1:37" hidden="1">
      <c r="C1805" s="79"/>
      <c r="H1805" s="87" t="s">
        <v>114</v>
      </c>
      <c r="J1805" s="79"/>
      <c r="K1805" s="79"/>
      <c r="L1805" s="79"/>
      <c r="M1805" s="79"/>
      <c r="N1805" s="79"/>
      <c r="Q1805" s="87" t="s">
        <v>114</v>
      </c>
      <c r="S1805" s="79"/>
      <c r="U1805" s="80"/>
      <c r="X1805" s="81"/>
      <c r="Y1805" s="81"/>
      <c r="Z1805" s="87"/>
      <c r="AF1805" s="79"/>
      <c r="AJ1805" s="66"/>
      <c r="AK1805" s="65"/>
    </row>
    <row r="1806" spans="1:37" hidden="1">
      <c r="A1806" s="66"/>
      <c r="H1806" s="70"/>
      <c r="O1806" s="70"/>
      <c r="Q1806" s="65"/>
      <c r="X1806" s="81"/>
      <c r="Y1806" s="81"/>
      <c r="AF1806" s="79"/>
      <c r="AJ1806" s="66"/>
      <c r="AK1806" s="65"/>
    </row>
    <row r="1807" spans="1:37" hidden="1">
      <c r="A1807" s="66"/>
      <c r="X1807" s="81"/>
      <c r="Y1807" s="81"/>
      <c r="AJ1807" s="66"/>
      <c r="AK1807" s="65"/>
    </row>
    <row r="1808" spans="1:37" hidden="1">
      <c r="A1808" s="66"/>
      <c r="C1808" s="65" t="s">
        <v>59</v>
      </c>
      <c r="K1808" s="65"/>
      <c r="L1808" s="65"/>
      <c r="M1808" s="65"/>
      <c r="O1808" s="65" t="s">
        <v>59</v>
      </c>
      <c r="P1808" s="65"/>
      <c r="Q1808" s="65"/>
      <c r="R1808" s="65"/>
      <c r="S1808" s="65" t="s">
        <v>115</v>
      </c>
      <c r="W1808" s="76" t="s">
        <v>116</v>
      </c>
      <c r="X1808" s="76" t="s">
        <v>116</v>
      </c>
      <c r="Y1808" s="76" t="s">
        <v>117</v>
      </c>
      <c r="AJ1808" s="66"/>
      <c r="AK1808" s="65"/>
    </row>
    <row r="1809" spans="1:37" hidden="1">
      <c r="C1809" s="65" t="s">
        <v>58</v>
      </c>
      <c r="D1809" s="70" t="s">
        <v>119</v>
      </c>
      <c r="E1809" s="70" t="s">
        <v>119</v>
      </c>
      <c r="F1809" s="70" t="s">
        <v>119</v>
      </c>
      <c r="G1809" s="70" t="s">
        <v>119</v>
      </c>
      <c r="H1809" s="70" t="s">
        <v>119</v>
      </c>
      <c r="I1809" s="70" t="s">
        <v>119</v>
      </c>
      <c r="J1809" s="70" t="s">
        <v>119</v>
      </c>
      <c r="K1809" s="70" t="s">
        <v>119</v>
      </c>
      <c r="L1809" s="70" t="s">
        <v>119</v>
      </c>
      <c r="M1809" s="70" t="s">
        <v>119</v>
      </c>
      <c r="N1809" s="70" t="s">
        <v>119</v>
      </c>
      <c r="O1809" s="65" t="s">
        <v>116</v>
      </c>
      <c r="P1809" s="65"/>
      <c r="Q1809" s="70" t="s">
        <v>120</v>
      </c>
      <c r="R1809" s="65"/>
      <c r="S1809" s="65" t="s">
        <v>121</v>
      </c>
      <c r="W1809" s="76" t="s">
        <v>122</v>
      </c>
      <c r="X1809" s="76" t="s">
        <v>123</v>
      </c>
      <c r="Y1809" s="76" t="s">
        <v>124</v>
      </c>
      <c r="Z1809" s="65"/>
      <c r="AJ1809" s="66"/>
      <c r="AK1809" s="65"/>
    </row>
    <row r="1810" spans="1:37" hidden="1">
      <c r="B1810" s="65" t="s">
        <v>126</v>
      </c>
      <c r="C1810" s="65" t="s">
        <v>57</v>
      </c>
      <c r="D1810" s="70" t="s">
        <v>127</v>
      </c>
      <c r="E1810" s="70" t="s">
        <v>128</v>
      </c>
      <c r="F1810" s="70" t="s">
        <v>129</v>
      </c>
      <c r="G1810" s="70" t="s">
        <v>130</v>
      </c>
      <c r="H1810" s="70" t="s">
        <v>131</v>
      </c>
      <c r="I1810" s="65" t="s">
        <v>132</v>
      </c>
      <c r="J1810" s="70" t="s">
        <v>133</v>
      </c>
      <c r="K1810" s="70" t="s">
        <v>134</v>
      </c>
      <c r="L1810" s="70" t="s">
        <v>135</v>
      </c>
      <c r="M1810" s="70" t="s">
        <v>136</v>
      </c>
      <c r="N1810" s="70" t="s">
        <v>137</v>
      </c>
      <c r="O1810" s="65" t="s">
        <v>138</v>
      </c>
      <c r="P1810" s="70" t="s">
        <v>139</v>
      </c>
      <c r="Q1810" s="70" t="s">
        <v>140</v>
      </c>
      <c r="R1810" s="65" t="s">
        <v>122</v>
      </c>
      <c r="S1810" s="65" t="s">
        <v>141</v>
      </c>
      <c r="U1810" s="65" t="s">
        <v>162</v>
      </c>
      <c r="W1810" s="76" t="s">
        <v>142</v>
      </c>
      <c r="X1810" s="76" t="s">
        <v>142</v>
      </c>
      <c r="Y1810" s="76" t="s">
        <v>142</v>
      </c>
      <c r="Z1810" s="65"/>
      <c r="AJ1810" s="66"/>
      <c r="AK1810" s="65"/>
    </row>
    <row r="1811" spans="1:37" hidden="1">
      <c r="A1811" s="65" t="s">
        <v>118</v>
      </c>
      <c r="B1811" s="65" t="s">
        <v>144</v>
      </c>
      <c r="C1811" s="65" t="s">
        <v>145</v>
      </c>
      <c r="D1811" s="70" t="s">
        <v>146</v>
      </c>
      <c r="E1811" s="70" t="s">
        <v>147</v>
      </c>
      <c r="F1811" s="70" t="s">
        <v>148</v>
      </c>
      <c r="G1811" s="65" t="s">
        <v>149</v>
      </c>
      <c r="H1811" s="65" t="s">
        <v>150</v>
      </c>
      <c r="I1811" s="65" t="s">
        <v>151</v>
      </c>
      <c r="J1811" s="70" t="s">
        <v>152</v>
      </c>
      <c r="K1811" s="70" t="s">
        <v>153</v>
      </c>
      <c r="L1811" s="70" t="s">
        <v>154</v>
      </c>
      <c r="M1811" s="70" t="s">
        <v>155</v>
      </c>
      <c r="N1811" s="70" t="s">
        <v>156</v>
      </c>
      <c r="O1811" s="70" t="s">
        <v>157</v>
      </c>
      <c r="P1811" s="70" t="s">
        <v>158</v>
      </c>
      <c r="Q1811" s="70" t="s">
        <v>159</v>
      </c>
      <c r="R1811" s="70" t="s">
        <v>160</v>
      </c>
      <c r="S1811" s="70" t="s">
        <v>161</v>
      </c>
      <c r="W1811" s="77" t="s">
        <v>163</v>
      </c>
      <c r="X1811" s="77" t="s">
        <v>164</v>
      </c>
      <c r="Y1811" s="76" t="s">
        <v>165</v>
      </c>
      <c r="Z1811" s="70"/>
      <c r="AJ1811" s="66"/>
      <c r="AK1811" s="65"/>
    </row>
    <row r="1812" spans="1:37" hidden="1">
      <c r="A1812" s="65" t="s">
        <v>125</v>
      </c>
      <c r="C1812" s="79"/>
      <c r="D1812" s="79"/>
      <c r="E1812" s="79"/>
      <c r="F1812" s="79"/>
      <c r="G1812" s="79"/>
      <c r="H1812" s="79"/>
      <c r="I1812" s="79"/>
      <c r="J1812" s="79"/>
      <c r="K1812" s="79"/>
      <c r="L1812" s="79"/>
      <c r="M1812" s="79"/>
      <c r="N1812" s="79"/>
      <c r="O1812" s="79"/>
      <c r="P1812" s="79"/>
      <c r="Q1812" s="79"/>
      <c r="R1812" s="79"/>
      <c r="S1812" s="79"/>
      <c r="U1812" s="80"/>
      <c r="W1812" s="81" t="str">
        <f>IF((P1812+Q1812)=0," ",ROUND((P1812/(P1812+Q1812)),74))</f>
        <v xml:space="preserve"> </v>
      </c>
      <c r="X1812" s="81" t="str">
        <f>IF((C1812)=0," ",ROUND((P1812/(C1812)),74))</f>
        <v xml:space="preserve"> </v>
      </c>
      <c r="Y1812" s="81" t="str">
        <f>IF((C1812)=0," ",ROUND((R1812/(C1812)),7))</f>
        <v xml:space="preserve"> </v>
      </c>
      <c r="Z1812" s="79"/>
      <c r="AF1812" s="76"/>
      <c r="AJ1812" s="66"/>
      <c r="AK1812" s="65"/>
    </row>
    <row r="1813" spans="1:37" hidden="1">
      <c r="A1813" s="65" t="s">
        <v>143</v>
      </c>
      <c r="B1813" s="65" t="s">
        <v>316</v>
      </c>
      <c r="C1813" s="79"/>
      <c r="D1813" s="79"/>
      <c r="E1813" s="79"/>
      <c r="F1813" s="79"/>
      <c r="G1813" s="79"/>
      <c r="H1813" s="79"/>
      <c r="I1813" s="79"/>
      <c r="J1813" s="79"/>
      <c r="K1813" s="79"/>
      <c r="L1813" s="79"/>
      <c r="M1813" s="79"/>
      <c r="N1813" s="79"/>
      <c r="O1813" s="79"/>
      <c r="P1813" s="79"/>
      <c r="Q1813" s="79"/>
      <c r="R1813" s="79"/>
      <c r="S1813" s="79"/>
      <c r="U1813" s="80"/>
      <c r="W1813" s="81" t="str">
        <f>IF((P1813+Q1813)=0," ",ROUND((P1813/(P1813+Q1813)),74))</f>
        <v xml:space="preserve"> </v>
      </c>
      <c r="X1813" s="81" t="str">
        <f>IF((C1813)=0," ",ROUND((P1813/(C1813)),74))</f>
        <v xml:space="preserve"> </v>
      </c>
      <c r="Y1813" s="81" t="str">
        <f>IF((C1813)=0," ",ROUND((R1813/(C1813)),7))</f>
        <v xml:space="preserve"> </v>
      </c>
      <c r="Z1813" s="79"/>
      <c r="AF1813" s="79"/>
      <c r="AJ1813" s="66"/>
      <c r="AK1813" s="65"/>
    </row>
    <row r="1814" spans="1:37" hidden="1">
      <c r="A1814" s="66"/>
      <c r="B1814" s="83" t="s">
        <v>170</v>
      </c>
      <c r="C1814" s="79"/>
      <c r="D1814" s="79"/>
      <c r="E1814" s="79"/>
      <c r="F1814" s="79"/>
      <c r="G1814" s="79"/>
      <c r="H1814" s="79"/>
      <c r="I1814" s="79"/>
      <c r="J1814" s="79"/>
      <c r="K1814" s="79"/>
      <c r="L1814" s="79"/>
      <c r="M1814" s="79"/>
      <c r="N1814" s="79"/>
      <c r="O1814" s="79"/>
      <c r="P1814" s="79"/>
      <c r="Q1814" s="79"/>
      <c r="R1814" s="79"/>
      <c r="S1814" s="79"/>
      <c r="U1814" s="80"/>
      <c r="W1814" s="81" t="str">
        <f>IF((P1814+Q1814)=0," ",ROUND((P1814/(P1814+Q1814)),74))</f>
        <v xml:space="preserve"> </v>
      </c>
      <c r="X1814" s="81" t="str">
        <f>IF((C1814)=0," ",ROUND((P1814/(C1814)),74))</f>
        <v xml:space="preserve"> </v>
      </c>
      <c r="Y1814" s="81" t="str">
        <f>IF((C1814)=0," ",ROUND((R1814/(C1814)),7))</f>
        <v xml:space="preserve"> </v>
      </c>
      <c r="Z1814" s="79"/>
      <c r="AF1814" s="79"/>
      <c r="AJ1814" s="66"/>
      <c r="AK1814" s="65"/>
    </row>
    <row r="1815" spans="1:37" hidden="1">
      <c r="A1815" s="66"/>
      <c r="C1815" s="79"/>
      <c r="D1815" s="79"/>
      <c r="E1815" s="79"/>
      <c r="F1815" s="79"/>
      <c r="G1815" s="79"/>
      <c r="H1815" s="79"/>
      <c r="I1815" s="79"/>
      <c r="J1815" s="79"/>
      <c r="K1815" s="79"/>
      <c r="L1815" s="79"/>
      <c r="M1815" s="79"/>
      <c r="N1815" s="79"/>
      <c r="O1815" s="79"/>
      <c r="P1815" s="79"/>
      <c r="Q1815" s="79"/>
      <c r="R1815" s="79"/>
      <c r="S1815" s="79"/>
      <c r="U1815" s="80"/>
      <c r="W1815" s="81" t="str">
        <f>IF((P1815+Q1815)=0," ",ROUND((P1815/(P1815+Q1815)),74))</f>
        <v xml:space="preserve"> </v>
      </c>
      <c r="X1815" s="81" t="str">
        <f>IF((C1815)=0," ",ROUND((P1815/(C1815)),74))</f>
        <v xml:space="preserve"> </v>
      </c>
      <c r="Y1815" s="81" t="str">
        <f>IF((C1815)=0," ",ROUND((R1815/(C1815)),7))</f>
        <v xml:space="preserve"> </v>
      </c>
      <c r="Z1815" s="79"/>
      <c r="AF1815" s="79"/>
      <c r="AJ1815" s="66"/>
      <c r="AK1815" s="65"/>
    </row>
    <row r="1816" spans="1:37" hidden="1">
      <c r="A1816" s="66"/>
      <c r="B1816" s="66" t="s">
        <v>317</v>
      </c>
      <c r="C1816" s="79"/>
      <c r="D1816" s="79"/>
      <c r="E1816" s="79"/>
      <c r="F1816" s="79"/>
      <c r="G1816" s="79"/>
      <c r="H1816" s="79"/>
      <c r="I1816" s="79"/>
      <c r="J1816" s="79"/>
      <c r="K1816" s="79"/>
      <c r="L1816" s="79"/>
      <c r="M1816" s="79"/>
      <c r="N1816" s="79"/>
      <c r="O1816" s="79"/>
      <c r="P1816" s="79"/>
      <c r="Q1816" s="79"/>
      <c r="R1816" s="79"/>
      <c r="S1816" s="79"/>
      <c r="U1816" s="80"/>
      <c r="W1816" s="81" t="str">
        <f>IF((P1816+Q1816)=0," ",ROUND((P1816/(P1816+Q1816)),74))</f>
        <v xml:space="preserve"> </v>
      </c>
      <c r="X1816" s="81" t="str">
        <f>IF((C1816)=0," ",ROUND((P1816/(C1816)),74))</f>
        <v xml:space="preserve"> </v>
      </c>
      <c r="Y1816" s="81" t="str">
        <f>IF((C1816)=0," ",ROUND((R1816/(C1816)),7))</f>
        <v xml:space="preserve"> </v>
      </c>
      <c r="Z1816" s="79"/>
      <c r="AF1816" s="79"/>
      <c r="AJ1816" s="66"/>
      <c r="AK1816" s="65"/>
    </row>
    <row r="1817" spans="1:37" hidden="1">
      <c r="A1817" s="66"/>
      <c r="B1817" s="66" t="s">
        <v>702</v>
      </c>
      <c r="C1817" s="79">
        <f>C1883</f>
        <v>0</v>
      </c>
      <c r="D1817" s="79">
        <f>D1883</f>
        <v>0</v>
      </c>
      <c r="E1817" s="79">
        <f>E1883</f>
        <v>0</v>
      </c>
      <c r="F1817" s="79">
        <f>D1817+E1817</f>
        <v>0</v>
      </c>
      <c r="G1817" s="79">
        <f t="shared" ref="G1817:L1817" si="908">G1883</f>
        <v>0</v>
      </c>
      <c r="H1817" s="79">
        <f t="shared" si="908"/>
        <v>0</v>
      </c>
      <c r="I1817" s="79">
        <f t="shared" si="908"/>
        <v>0</v>
      </c>
      <c r="J1817" s="79">
        <f t="shared" si="908"/>
        <v>0</v>
      </c>
      <c r="K1817" s="79">
        <f t="shared" si="908"/>
        <v>0</v>
      </c>
      <c r="L1817" s="79">
        <f t="shared" si="908"/>
        <v>0</v>
      </c>
      <c r="M1817" s="79">
        <f t="shared" ref="M1817:M1825" si="909">SUM(J1817:L1817)</f>
        <v>0</v>
      </c>
      <c r="N1817" s="79">
        <f>N1883</f>
        <v>0</v>
      </c>
      <c r="O1817" s="79">
        <f>SUM(F1817:I1817)+SUM(M1817:N1817)</f>
        <v>0</v>
      </c>
      <c r="P1817" s="79">
        <f>P1883</f>
        <v>0</v>
      </c>
      <c r="Q1817" s="79">
        <f>Q1883</f>
        <v>0</v>
      </c>
      <c r="R1817" s="79">
        <f t="shared" ref="R1817:R1848" si="910">P1817+Q1817</f>
        <v>0</v>
      </c>
      <c r="S1817" s="79">
        <f>S1883</f>
        <v>0</v>
      </c>
      <c r="U1817" s="80">
        <f>O1817+R1817+S1817-C1817</f>
        <v>0</v>
      </c>
      <c r="W1817" s="81" t="str">
        <f t="shared" ref="W1817:W1864" si="911">IF((O1817+R1817)=0," ",ROUND((O1817/(O1817+R1817)),7))</f>
        <v xml:space="preserve"> </v>
      </c>
      <c r="X1817" s="81" t="str">
        <f t="shared" ref="X1817:X1864" si="912">IF((C1817)=0," ",ROUND((O1817/(C1817)),7))</f>
        <v xml:space="preserve"> </v>
      </c>
      <c r="Y1817" s="81" t="str">
        <f t="shared" ref="Y1817:Y1864" si="913">IF((C1817)=0," ",ROUND((S1817/(C1817)),7))</f>
        <v xml:space="preserve"> </v>
      </c>
      <c r="Z1817" s="79"/>
      <c r="AF1817" s="79"/>
      <c r="AJ1817" s="66"/>
      <c r="AK1817" s="65"/>
    </row>
    <row r="1818" spans="1:37" hidden="1">
      <c r="A1818" s="66"/>
      <c r="B1818" s="71" t="s">
        <v>703</v>
      </c>
      <c r="C1818" s="79">
        <f>C1885</f>
        <v>0</v>
      </c>
      <c r="D1818" s="79">
        <f t="shared" ref="D1818:S1818" si="914">D1885</f>
        <v>0</v>
      </c>
      <c r="E1818" s="79">
        <f t="shared" si="914"/>
        <v>0</v>
      </c>
      <c r="F1818" s="79">
        <f>D1818+E1818</f>
        <v>0</v>
      </c>
      <c r="G1818" s="79">
        <f t="shared" si="914"/>
        <v>0</v>
      </c>
      <c r="H1818" s="79">
        <f t="shared" si="914"/>
        <v>0</v>
      </c>
      <c r="I1818" s="79">
        <f t="shared" si="914"/>
        <v>0</v>
      </c>
      <c r="J1818" s="79">
        <f t="shared" si="914"/>
        <v>0</v>
      </c>
      <c r="K1818" s="79">
        <f t="shared" si="914"/>
        <v>0</v>
      </c>
      <c r="L1818" s="79">
        <f t="shared" si="914"/>
        <v>0</v>
      </c>
      <c r="M1818" s="79">
        <f t="shared" si="909"/>
        <v>0</v>
      </c>
      <c r="N1818" s="79">
        <f t="shared" si="914"/>
        <v>0</v>
      </c>
      <c r="O1818" s="79">
        <f>SUM(F1818:I1818)+SUM(M1818:N1818)</f>
        <v>0</v>
      </c>
      <c r="P1818" s="79">
        <f t="shared" si="914"/>
        <v>0</v>
      </c>
      <c r="Q1818" s="79">
        <f t="shared" si="914"/>
        <v>0</v>
      </c>
      <c r="R1818" s="79">
        <f t="shared" si="910"/>
        <v>0</v>
      </c>
      <c r="S1818" s="79">
        <f t="shared" si="914"/>
        <v>0</v>
      </c>
      <c r="U1818" s="80">
        <f>O1818+R1818+S1818-C1818</f>
        <v>0</v>
      </c>
      <c r="W1818" s="81" t="str">
        <f t="shared" si="911"/>
        <v xml:space="preserve"> </v>
      </c>
      <c r="X1818" s="81" t="str">
        <f t="shared" si="912"/>
        <v xml:space="preserve"> </v>
      </c>
      <c r="Y1818" s="81" t="str">
        <f t="shared" si="913"/>
        <v xml:space="preserve"> </v>
      </c>
      <c r="Z1818" s="79"/>
      <c r="AF1818" s="79"/>
      <c r="AJ1818" s="66"/>
      <c r="AK1818" s="65"/>
    </row>
    <row r="1819" spans="1:37" hidden="1">
      <c r="A1819" s="65">
        <f>A1818+1</f>
        <v>1</v>
      </c>
      <c r="B1819" s="71" t="s">
        <v>704</v>
      </c>
      <c r="C1819" s="79">
        <f>C1905</f>
        <v>0</v>
      </c>
      <c r="D1819" s="79">
        <f>D1905</f>
        <v>0</v>
      </c>
      <c r="E1819" s="79">
        <f>E1905</f>
        <v>0</v>
      </c>
      <c r="F1819" s="79">
        <f>D1819+E1819</f>
        <v>0</v>
      </c>
      <c r="G1819" s="79">
        <f t="shared" ref="G1819:L1819" si="915">G1905</f>
        <v>0</v>
      </c>
      <c r="H1819" s="79">
        <f t="shared" si="915"/>
        <v>0</v>
      </c>
      <c r="I1819" s="79">
        <f t="shared" si="915"/>
        <v>0</v>
      </c>
      <c r="J1819" s="79">
        <f t="shared" si="915"/>
        <v>0</v>
      </c>
      <c r="K1819" s="79">
        <f t="shared" si="915"/>
        <v>0</v>
      </c>
      <c r="L1819" s="79">
        <f t="shared" si="915"/>
        <v>0</v>
      </c>
      <c r="M1819" s="79">
        <f t="shared" si="909"/>
        <v>0</v>
      </c>
      <c r="N1819" s="79">
        <f>N1905</f>
        <v>0</v>
      </c>
      <c r="O1819" s="79">
        <f>SUM(F1819:I1819)+SUM(M1819:N1819)</f>
        <v>0</v>
      </c>
      <c r="P1819" s="79">
        <f>P1905</f>
        <v>0</v>
      </c>
      <c r="Q1819" s="79">
        <f>Q1905</f>
        <v>0</v>
      </c>
      <c r="R1819" s="79">
        <f t="shared" si="910"/>
        <v>0</v>
      </c>
      <c r="S1819" s="79">
        <f>S1905</f>
        <v>0</v>
      </c>
      <c r="U1819" s="80">
        <f>O1819+R1819+S1819-C1819</f>
        <v>0</v>
      </c>
      <c r="W1819" s="81" t="str">
        <f t="shared" si="911"/>
        <v xml:space="preserve"> </v>
      </c>
      <c r="X1819" s="81" t="str">
        <f t="shared" si="912"/>
        <v xml:space="preserve"> </v>
      </c>
      <c r="Y1819" s="81" t="str">
        <f t="shared" si="913"/>
        <v xml:space="preserve"> </v>
      </c>
      <c r="Z1819" s="79"/>
      <c r="AF1819" s="79"/>
      <c r="AJ1819" s="66"/>
      <c r="AK1819" s="65"/>
    </row>
    <row r="1820" spans="1:37" hidden="1">
      <c r="A1820" s="65">
        <f>A1819+1</f>
        <v>2</v>
      </c>
      <c r="B1820" s="66" t="s">
        <v>705</v>
      </c>
      <c r="C1820" s="79">
        <f>C1895</f>
        <v>0</v>
      </c>
      <c r="D1820" s="79">
        <f>D1895</f>
        <v>0</v>
      </c>
      <c r="E1820" s="79">
        <f>E1895</f>
        <v>0</v>
      </c>
      <c r="F1820" s="79">
        <f t="shared" ref="F1820:F1835" si="916">D1820+E1820</f>
        <v>0</v>
      </c>
      <c r="G1820" s="79">
        <f t="shared" ref="G1820:L1820" si="917">G1895</f>
        <v>0</v>
      </c>
      <c r="H1820" s="79">
        <f t="shared" si="917"/>
        <v>0</v>
      </c>
      <c r="I1820" s="79">
        <f t="shared" si="917"/>
        <v>0</v>
      </c>
      <c r="J1820" s="79">
        <f t="shared" si="917"/>
        <v>0</v>
      </c>
      <c r="K1820" s="79">
        <f t="shared" si="917"/>
        <v>0</v>
      </c>
      <c r="L1820" s="79">
        <f t="shared" si="917"/>
        <v>0</v>
      </c>
      <c r="M1820" s="79">
        <f t="shared" si="909"/>
        <v>0</v>
      </c>
      <c r="N1820" s="79">
        <f>N1895</f>
        <v>0</v>
      </c>
      <c r="O1820" s="79">
        <f t="shared" ref="O1820:O1825" si="918">SUM(F1820:I1820)+SUM(M1820:N1820)</f>
        <v>0</v>
      </c>
      <c r="P1820" s="79">
        <f>P1895</f>
        <v>0</v>
      </c>
      <c r="Q1820" s="79">
        <f>Q1895</f>
        <v>0</v>
      </c>
      <c r="R1820" s="79">
        <f t="shared" si="910"/>
        <v>0</v>
      </c>
      <c r="S1820" s="79">
        <f>S1895</f>
        <v>0</v>
      </c>
      <c r="U1820" s="80">
        <f t="shared" ref="U1820:U1848" si="919">O1820+R1820+S1820-C1820</f>
        <v>0</v>
      </c>
      <c r="W1820" s="81" t="str">
        <f t="shared" si="911"/>
        <v xml:space="preserve"> </v>
      </c>
      <c r="X1820" s="81" t="str">
        <f t="shared" si="912"/>
        <v xml:space="preserve"> </v>
      </c>
      <c r="Y1820" s="81" t="str">
        <f t="shared" si="913"/>
        <v xml:space="preserve"> </v>
      </c>
      <c r="Z1820" s="79"/>
      <c r="AF1820" s="79"/>
      <c r="AJ1820" s="66"/>
      <c r="AK1820" s="65"/>
    </row>
    <row r="1821" spans="1:37" hidden="1">
      <c r="A1821" s="65">
        <f>A1820+1</f>
        <v>3</v>
      </c>
      <c r="B1821" s="66" t="s">
        <v>706</v>
      </c>
      <c r="C1821" s="79">
        <f>C1893</f>
        <v>0</v>
      </c>
      <c r="D1821" s="79">
        <f>D1893</f>
        <v>0</v>
      </c>
      <c r="E1821" s="79">
        <f>E1893</f>
        <v>0</v>
      </c>
      <c r="F1821" s="79">
        <f>D1821+E1821</f>
        <v>0</v>
      </c>
      <c r="G1821" s="79">
        <f t="shared" ref="G1821:L1821" si="920">G1893</f>
        <v>0</v>
      </c>
      <c r="H1821" s="79">
        <f t="shared" si="920"/>
        <v>0</v>
      </c>
      <c r="I1821" s="79">
        <f t="shared" si="920"/>
        <v>0</v>
      </c>
      <c r="J1821" s="79">
        <f t="shared" si="920"/>
        <v>0</v>
      </c>
      <c r="K1821" s="79">
        <f t="shared" si="920"/>
        <v>0</v>
      </c>
      <c r="L1821" s="79">
        <f t="shared" si="920"/>
        <v>0</v>
      </c>
      <c r="M1821" s="79">
        <f t="shared" si="909"/>
        <v>0</v>
      </c>
      <c r="N1821" s="79">
        <f>N1893</f>
        <v>0</v>
      </c>
      <c r="O1821" s="79">
        <f>SUM(F1821:I1821)+SUM(M1821:N1821)</f>
        <v>0</v>
      </c>
      <c r="P1821" s="79">
        <f>P1893</f>
        <v>0</v>
      </c>
      <c r="Q1821" s="79">
        <f>Q1893</f>
        <v>0</v>
      </c>
      <c r="R1821" s="79">
        <f t="shared" si="910"/>
        <v>0</v>
      </c>
      <c r="S1821" s="79">
        <f>S1893</f>
        <v>0</v>
      </c>
      <c r="U1821" s="80">
        <f t="shared" si="919"/>
        <v>0</v>
      </c>
      <c r="W1821" s="81" t="str">
        <f t="shared" si="911"/>
        <v xml:space="preserve"> </v>
      </c>
      <c r="X1821" s="81" t="str">
        <f t="shared" si="912"/>
        <v xml:space="preserve"> </v>
      </c>
      <c r="Y1821" s="81" t="str">
        <f t="shared" si="913"/>
        <v xml:space="preserve"> </v>
      </c>
      <c r="Z1821" s="79"/>
      <c r="AF1821" s="79"/>
      <c r="AJ1821" s="66"/>
      <c r="AK1821" s="65"/>
    </row>
    <row r="1822" spans="1:37" hidden="1">
      <c r="A1822" s="65">
        <f t="shared" ref="A1822:A1850" si="921">A1821+1</f>
        <v>4</v>
      </c>
      <c r="B1822" s="66" t="s">
        <v>707</v>
      </c>
      <c r="C1822" s="79">
        <f>C1820-C1821</f>
        <v>0</v>
      </c>
      <c r="D1822" s="79">
        <f t="shared" ref="D1822:I1822" si="922">D1820-D1821</f>
        <v>0</v>
      </c>
      <c r="E1822" s="79">
        <f>E1820-E1821</f>
        <v>0</v>
      </c>
      <c r="F1822" s="79">
        <f t="shared" si="916"/>
        <v>0</v>
      </c>
      <c r="G1822" s="79">
        <f t="shared" si="922"/>
        <v>0</v>
      </c>
      <c r="H1822" s="79">
        <f t="shared" si="922"/>
        <v>0</v>
      </c>
      <c r="I1822" s="79">
        <f t="shared" si="922"/>
        <v>0</v>
      </c>
      <c r="J1822" s="79">
        <f>J1820-J1821</f>
        <v>0</v>
      </c>
      <c r="K1822" s="79">
        <f>K1820-K1821</f>
        <v>0</v>
      </c>
      <c r="L1822" s="79">
        <f>L1820-L1821</f>
        <v>0</v>
      </c>
      <c r="M1822" s="79">
        <f t="shared" si="909"/>
        <v>0</v>
      </c>
      <c r="N1822" s="79">
        <f>N1820-N1821</f>
        <v>0</v>
      </c>
      <c r="O1822" s="79">
        <f t="shared" si="918"/>
        <v>0</v>
      </c>
      <c r="P1822" s="79">
        <f>P1820-P1821</f>
        <v>0</v>
      </c>
      <c r="Q1822" s="79">
        <f>Q1820-Q1821</f>
        <v>0</v>
      </c>
      <c r="R1822" s="79">
        <f t="shared" si="910"/>
        <v>0</v>
      </c>
      <c r="S1822" s="79">
        <f>S1820-S1821</f>
        <v>0</v>
      </c>
      <c r="U1822" s="80">
        <f t="shared" si="919"/>
        <v>0</v>
      </c>
      <c r="W1822" s="81" t="str">
        <f t="shared" si="911"/>
        <v xml:space="preserve"> </v>
      </c>
      <c r="X1822" s="81" t="str">
        <f t="shared" si="912"/>
        <v xml:space="preserve"> </v>
      </c>
      <c r="Y1822" s="81" t="str">
        <f t="shared" si="913"/>
        <v xml:space="preserve"> </v>
      </c>
      <c r="Z1822" s="79"/>
      <c r="AF1822" s="79"/>
      <c r="AJ1822" s="66"/>
      <c r="AK1822" s="65"/>
    </row>
    <row r="1823" spans="1:37" hidden="1">
      <c r="A1823" s="65">
        <f t="shared" si="921"/>
        <v>5</v>
      </c>
      <c r="B1823" s="66" t="s">
        <v>708</v>
      </c>
      <c r="C1823" s="79">
        <f>C1891</f>
        <v>0</v>
      </c>
      <c r="D1823" s="79">
        <f>D1891</f>
        <v>0</v>
      </c>
      <c r="E1823" s="79">
        <f>E1891</f>
        <v>0</v>
      </c>
      <c r="F1823" s="79">
        <f t="shared" si="916"/>
        <v>0</v>
      </c>
      <c r="G1823" s="79">
        <f t="shared" ref="G1823:L1823" si="923">G1891</f>
        <v>0</v>
      </c>
      <c r="H1823" s="79">
        <f t="shared" si="923"/>
        <v>0</v>
      </c>
      <c r="I1823" s="79">
        <f t="shared" si="923"/>
        <v>0</v>
      </c>
      <c r="J1823" s="79">
        <f t="shared" si="923"/>
        <v>0</v>
      </c>
      <c r="K1823" s="79">
        <f t="shared" si="923"/>
        <v>0</v>
      </c>
      <c r="L1823" s="79">
        <f t="shared" si="923"/>
        <v>0</v>
      </c>
      <c r="M1823" s="79">
        <f t="shared" si="909"/>
        <v>0</v>
      </c>
      <c r="N1823" s="79">
        <f>N1891</f>
        <v>0</v>
      </c>
      <c r="O1823" s="79">
        <f t="shared" si="918"/>
        <v>0</v>
      </c>
      <c r="P1823" s="79">
        <f>P1891</f>
        <v>0</v>
      </c>
      <c r="Q1823" s="79">
        <f>Q1891</f>
        <v>0</v>
      </c>
      <c r="R1823" s="79">
        <f t="shared" si="910"/>
        <v>0</v>
      </c>
      <c r="S1823" s="79">
        <f>S1891</f>
        <v>0</v>
      </c>
      <c r="U1823" s="80">
        <f t="shared" si="919"/>
        <v>0</v>
      </c>
      <c r="W1823" s="81" t="str">
        <f t="shared" si="911"/>
        <v xml:space="preserve"> </v>
      </c>
      <c r="X1823" s="81" t="str">
        <f t="shared" si="912"/>
        <v xml:space="preserve"> </v>
      </c>
      <c r="Y1823" s="81" t="str">
        <f t="shared" si="913"/>
        <v xml:space="preserve"> </v>
      </c>
      <c r="Z1823" s="79"/>
      <c r="AF1823" s="79"/>
      <c r="AJ1823" s="66"/>
      <c r="AK1823" s="65"/>
    </row>
    <row r="1824" spans="1:37" hidden="1">
      <c r="A1824" s="65">
        <f t="shared" si="921"/>
        <v>6</v>
      </c>
      <c r="B1824" s="66" t="s">
        <v>706</v>
      </c>
      <c r="C1824" s="79">
        <f>C1889</f>
        <v>0</v>
      </c>
      <c r="D1824" s="79">
        <f>D1889</f>
        <v>0</v>
      </c>
      <c r="E1824" s="79">
        <f>E1889</f>
        <v>0</v>
      </c>
      <c r="F1824" s="79">
        <f t="shared" si="916"/>
        <v>0</v>
      </c>
      <c r="G1824" s="79">
        <f t="shared" ref="G1824:L1824" si="924">G1889</f>
        <v>0</v>
      </c>
      <c r="H1824" s="79">
        <f t="shared" si="924"/>
        <v>0</v>
      </c>
      <c r="I1824" s="79">
        <f t="shared" si="924"/>
        <v>0</v>
      </c>
      <c r="J1824" s="79">
        <f t="shared" si="924"/>
        <v>0</v>
      </c>
      <c r="K1824" s="79">
        <f t="shared" si="924"/>
        <v>0</v>
      </c>
      <c r="L1824" s="79">
        <f t="shared" si="924"/>
        <v>0</v>
      </c>
      <c r="M1824" s="79">
        <f t="shared" si="909"/>
        <v>0</v>
      </c>
      <c r="N1824" s="79">
        <f>N1889</f>
        <v>0</v>
      </c>
      <c r="O1824" s="79">
        <f t="shared" si="918"/>
        <v>0</v>
      </c>
      <c r="P1824" s="79">
        <f>P1889</f>
        <v>0</v>
      </c>
      <c r="Q1824" s="79">
        <f>Q1889</f>
        <v>0</v>
      </c>
      <c r="R1824" s="79">
        <f t="shared" si="910"/>
        <v>0</v>
      </c>
      <c r="S1824" s="79">
        <f>S1889</f>
        <v>0</v>
      </c>
      <c r="U1824" s="80">
        <f t="shared" si="919"/>
        <v>0</v>
      </c>
      <c r="W1824" s="81" t="str">
        <f t="shared" si="911"/>
        <v xml:space="preserve"> </v>
      </c>
      <c r="X1824" s="81" t="str">
        <f t="shared" si="912"/>
        <v xml:space="preserve"> </v>
      </c>
      <c r="Y1824" s="81" t="str">
        <f t="shared" si="913"/>
        <v xml:space="preserve"> </v>
      </c>
      <c r="Z1824" s="79"/>
      <c r="AF1824" s="79"/>
      <c r="AJ1824" s="66"/>
      <c r="AK1824" s="65"/>
    </row>
    <row r="1825" spans="1:37" hidden="1">
      <c r="A1825" s="65">
        <f t="shared" si="921"/>
        <v>7</v>
      </c>
      <c r="B1825" s="66" t="s">
        <v>707</v>
      </c>
      <c r="C1825" s="79">
        <f t="shared" ref="C1825:I1825" si="925">C1823-C1824</f>
        <v>0</v>
      </c>
      <c r="D1825" s="79">
        <f t="shared" si="925"/>
        <v>0</v>
      </c>
      <c r="E1825" s="79">
        <f>E1823-E1824</f>
        <v>0</v>
      </c>
      <c r="F1825" s="79">
        <f t="shared" si="916"/>
        <v>0</v>
      </c>
      <c r="G1825" s="79">
        <f t="shared" si="925"/>
        <v>0</v>
      </c>
      <c r="H1825" s="79">
        <f t="shared" si="925"/>
        <v>0</v>
      </c>
      <c r="I1825" s="79">
        <f t="shared" si="925"/>
        <v>0</v>
      </c>
      <c r="J1825" s="79">
        <f>J1823-J1824</f>
        <v>0</v>
      </c>
      <c r="K1825" s="79">
        <f>K1823-K1824</f>
        <v>0</v>
      </c>
      <c r="L1825" s="79">
        <f>L1823-L1824</f>
        <v>0</v>
      </c>
      <c r="M1825" s="79">
        <f t="shared" si="909"/>
        <v>0</v>
      </c>
      <c r="N1825" s="79">
        <f>N1823-N1824</f>
        <v>0</v>
      </c>
      <c r="O1825" s="79">
        <f t="shared" si="918"/>
        <v>0</v>
      </c>
      <c r="P1825" s="79">
        <f>P1823-P1824</f>
        <v>0</v>
      </c>
      <c r="Q1825" s="79">
        <f>Q1823-Q1824</f>
        <v>0</v>
      </c>
      <c r="R1825" s="79">
        <f t="shared" si="910"/>
        <v>0</v>
      </c>
      <c r="S1825" s="79">
        <f>S1823-S1824</f>
        <v>0</v>
      </c>
      <c r="U1825" s="80">
        <f t="shared" si="919"/>
        <v>0</v>
      </c>
      <c r="W1825" s="81" t="str">
        <f t="shared" si="911"/>
        <v xml:space="preserve"> </v>
      </c>
      <c r="X1825" s="81" t="str">
        <f t="shared" si="912"/>
        <v xml:space="preserve"> </v>
      </c>
      <c r="Y1825" s="81" t="str">
        <f t="shared" si="913"/>
        <v xml:space="preserve"> </v>
      </c>
      <c r="Z1825" s="79"/>
      <c r="AF1825" s="79"/>
      <c r="AJ1825" s="66"/>
      <c r="AK1825" s="65"/>
    </row>
    <row r="1826" spans="1:37" hidden="1">
      <c r="A1826" s="65">
        <f t="shared" si="921"/>
        <v>8</v>
      </c>
      <c r="B1826" s="66" t="s">
        <v>709</v>
      </c>
      <c r="C1826" s="79">
        <f>C1905</f>
        <v>0</v>
      </c>
      <c r="D1826" s="79">
        <f>D1905</f>
        <v>0</v>
      </c>
      <c r="E1826" s="79">
        <f>E1905</f>
        <v>0</v>
      </c>
      <c r="F1826" s="79">
        <f t="shared" si="916"/>
        <v>0</v>
      </c>
      <c r="G1826" s="79">
        <f t="shared" ref="G1826:L1826" si="926">G1905</f>
        <v>0</v>
      </c>
      <c r="H1826" s="79">
        <f t="shared" si="926"/>
        <v>0</v>
      </c>
      <c r="I1826" s="79">
        <f t="shared" si="926"/>
        <v>0</v>
      </c>
      <c r="J1826" s="79">
        <f t="shared" si="926"/>
        <v>0</v>
      </c>
      <c r="K1826" s="79">
        <f t="shared" si="926"/>
        <v>0</v>
      </c>
      <c r="L1826" s="79">
        <f t="shared" si="926"/>
        <v>0</v>
      </c>
      <c r="M1826" s="79">
        <f t="shared" ref="M1826:M1835" si="927">SUM(J1826:L1826)</f>
        <v>0</v>
      </c>
      <c r="N1826" s="79">
        <f>N1905</f>
        <v>0</v>
      </c>
      <c r="O1826" s="79">
        <f t="shared" ref="O1826:O1835" si="928">SUM(F1826:I1826)+SUM(M1826:N1826)</f>
        <v>0</v>
      </c>
      <c r="P1826" s="79">
        <f>P1905</f>
        <v>0</v>
      </c>
      <c r="Q1826" s="79">
        <f>Q1905</f>
        <v>0</v>
      </c>
      <c r="R1826" s="79">
        <f t="shared" si="910"/>
        <v>0</v>
      </c>
      <c r="S1826" s="79">
        <f>S1905</f>
        <v>0</v>
      </c>
      <c r="U1826" s="80">
        <f t="shared" si="919"/>
        <v>0</v>
      </c>
      <c r="W1826" s="81" t="str">
        <f t="shared" si="911"/>
        <v xml:space="preserve"> </v>
      </c>
      <c r="X1826" s="81" t="str">
        <f t="shared" si="912"/>
        <v xml:space="preserve"> </v>
      </c>
      <c r="Y1826" s="81" t="str">
        <f t="shared" si="913"/>
        <v xml:space="preserve"> </v>
      </c>
      <c r="Z1826" s="79"/>
      <c r="AF1826" s="79"/>
      <c r="AJ1826" s="66"/>
      <c r="AK1826" s="65"/>
    </row>
    <row r="1827" spans="1:37" hidden="1">
      <c r="A1827" s="65">
        <f t="shared" si="921"/>
        <v>9</v>
      </c>
      <c r="B1827" s="66" t="s">
        <v>710</v>
      </c>
      <c r="C1827" s="79">
        <f>C635</f>
        <v>39238</v>
      </c>
      <c r="D1827" s="79">
        <f>D635</f>
        <v>22830.985000000001</v>
      </c>
      <c r="E1827" s="79">
        <f>E635</f>
        <v>674</v>
      </c>
      <c r="F1827" s="79">
        <f t="shared" si="916"/>
        <v>23504.985000000001</v>
      </c>
      <c r="G1827" s="79">
        <f t="shared" ref="G1827:L1827" si="929">G635</f>
        <v>1670</v>
      </c>
      <c r="H1827" s="79">
        <f t="shared" si="929"/>
        <v>7687</v>
      </c>
      <c r="I1827" s="79">
        <f t="shared" si="929"/>
        <v>3732</v>
      </c>
      <c r="J1827" s="79">
        <f t="shared" si="929"/>
        <v>1376</v>
      </c>
      <c r="K1827" s="79">
        <f t="shared" si="929"/>
        <v>105</v>
      </c>
      <c r="L1827" s="79">
        <f t="shared" si="929"/>
        <v>79</v>
      </c>
      <c r="M1827" s="79">
        <f t="shared" si="927"/>
        <v>1560</v>
      </c>
      <c r="N1827" s="79">
        <f>N635</f>
        <v>1084</v>
      </c>
      <c r="O1827" s="79">
        <f t="shared" si="928"/>
        <v>39237.985000000001</v>
      </c>
      <c r="P1827" s="79">
        <f>P635</f>
        <v>5.0000000000000001E-3</v>
      </c>
      <c r="Q1827" s="79">
        <f>Q635</f>
        <v>5.0000000000000001E-3</v>
      </c>
      <c r="R1827" s="79">
        <f t="shared" si="910"/>
        <v>0.01</v>
      </c>
      <c r="S1827" s="79">
        <f>S635</f>
        <v>5.0000000000000001E-3</v>
      </c>
      <c r="U1827" s="80">
        <f t="shared" si="919"/>
        <v>0</v>
      </c>
      <c r="W1827" s="81">
        <f t="shared" si="911"/>
        <v>0.99999970000000005</v>
      </c>
      <c r="X1827" s="81">
        <f t="shared" si="912"/>
        <v>0.99999959999999999</v>
      </c>
      <c r="Y1827" s="81">
        <f t="shared" si="913"/>
        <v>9.9999999999999995E-8</v>
      </c>
      <c r="Z1827" s="79"/>
      <c r="AF1827" s="79"/>
      <c r="AJ1827" s="66"/>
      <c r="AK1827" s="65"/>
    </row>
    <row r="1828" spans="1:37" hidden="1">
      <c r="A1828" s="65">
        <f t="shared" si="921"/>
        <v>10</v>
      </c>
      <c r="B1828" s="66" t="s">
        <v>711</v>
      </c>
      <c r="C1828" s="79">
        <f>C1903</f>
        <v>0</v>
      </c>
      <c r="D1828" s="79">
        <f>D1903</f>
        <v>0</v>
      </c>
      <c r="E1828" s="79">
        <f>E1903</f>
        <v>0</v>
      </c>
      <c r="F1828" s="79">
        <f t="shared" si="916"/>
        <v>0</v>
      </c>
      <c r="G1828" s="79">
        <f t="shared" ref="G1828:L1828" si="930">G1903</f>
        <v>0</v>
      </c>
      <c r="H1828" s="79">
        <f t="shared" si="930"/>
        <v>0</v>
      </c>
      <c r="I1828" s="79">
        <f t="shared" si="930"/>
        <v>0</v>
      </c>
      <c r="J1828" s="79">
        <f t="shared" si="930"/>
        <v>0</v>
      </c>
      <c r="K1828" s="79">
        <f t="shared" si="930"/>
        <v>0</v>
      </c>
      <c r="L1828" s="79">
        <f t="shared" si="930"/>
        <v>0</v>
      </c>
      <c r="M1828" s="79">
        <f t="shared" si="927"/>
        <v>0</v>
      </c>
      <c r="N1828" s="79">
        <f>N1903</f>
        <v>0</v>
      </c>
      <c r="O1828" s="79">
        <f t="shared" si="928"/>
        <v>0</v>
      </c>
      <c r="P1828" s="79">
        <f>P1903</f>
        <v>0</v>
      </c>
      <c r="Q1828" s="79">
        <f>Q1903</f>
        <v>0</v>
      </c>
      <c r="R1828" s="79">
        <f t="shared" si="910"/>
        <v>0</v>
      </c>
      <c r="S1828" s="79">
        <f>S1903</f>
        <v>0</v>
      </c>
      <c r="U1828" s="80">
        <f t="shared" si="919"/>
        <v>0</v>
      </c>
      <c r="W1828" s="81" t="str">
        <f t="shared" si="911"/>
        <v xml:space="preserve"> </v>
      </c>
      <c r="X1828" s="81" t="str">
        <f t="shared" si="912"/>
        <v xml:space="preserve"> </v>
      </c>
      <c r="Y1828" s="81" t="str">
        <f t="shared" si="913"/>
        <v xml:space="preserve"> </v>
      </c>
      <c r="Z1828" s="79"/>
      <c r="AF1828" s="79"/>
      <c r="AJ1828" s="66"/>
      <c r="AK1828" s="65"/>
    </row>
    <row r="1829" spans="1:37" hidden="1">
      <c r="A1829" s="65">
        <f t="shared" si="921"/>
        <v>11</v>
      </c>
      <c r="B1829" s="66" t="s">
        <v>712</v>
      </c>
      <c r="C1829" s="79">
        <f>C1899+C1900+C1901</f>
        <v>0</v>
      </c>
      <c r="D1829" s="79">
        <f>D1899+D1900+D1901</f>
        <v>0</v>
      </c>
      <c r="E1829" s="79">
        <f>E1899+E1900+E1901</f>
        <v>0</v>
      </c>
      <c r="F1829" s="79">
        <f t="shared" si="916"/>
        <v>0</v>
      </c>
      <c r="G1829" s="79">
        <f t="shared" ref="G1829:L1829" si="931">G1899+G1900+G1901</f>
        <v>0</v>
      </c>
      <c r="H1829" s="79">
        <f t="shared" si="931"/>
        <v>0</v>
      </c>
      <c r="I1829" s="79">
        <f t="shared" si="931"/>
        <v>0</v>
      </c>
      <c r="J1829" s="79">
        <f t="shared" si="931"/>
        <v>0</v>
      </c>
      <c r="K1829" s="79">
        <f t="shared" si="931"/>
        <v>0</v>
      </c>
      <c r="L1829" s="79">
        <f t="shared" si="931"/>
        <v>0</v>
      </c>
      <c r="M1829" s="79">
        <f t="shared" si="927"/>
        <v>0</v>
      </c>
      <c r="N1829" s="79">
        <f>N1899+N1900+N1901</f>
        <v>0</v>
      </c>
      <c r="O1829" s="79">
        <f t="shared" si="928"/>
        <v>0</v>
      </c>
      <c r="P1829" s="79">
        <f>P1899+P1900+P1901</f>
        <v>0</v>
      </c>
      <c r="Q1829" s="79">
        <f>Q1899+Q1900+Q1901</f>
        <v>0</v>
      </c>
      <c r="R1829" s="79">
        <f t="shared" si="910"/>
        <v>0</v>
      </c>
      <c r="S1829" s="79">
        <f>S1899+S1900+S1901</f>
        <v>0</v>
      </c>
      <c r="U1829" s="80">
        <f t="shared" si="919"/>
        <v>0</v>
      </c>
      <c r="W1829" s="81" t="str">
        <f t="shared" si="911"/>
        <v xml:space="preserve"> </v>
      </c>
      <c r="X1829" s="81" t="str">
        <f t="shared" si="912"/>
        <v xml:space="preserve"> </v>
      </c>
      <c r="Y1829" s="81" t="str">
        <f t="shared" si="913"/>
        <v xml:space="preserve"> </v>
      </c>
      <c r="Z1829" s="79"/>
      <c r="AF1829" s="79"/>
      <c r="AJ1829" s="66"/>
      <c r="AK1829" s="65"/>
    </row>
    <row r="1830" spans="1:37" hidden="1">
      <c r="A1830" s="65">
        <f t="shared" si="921"/>
        <v>12</v>
      </c>
      <c r="B1830" s="66" t="s">
        <v>713</v>
      </c>
      <c r="C1830" s="79">
        <f t="shared" ref="C1830:I1830" si="932">C1828-C1829</f>
        <v>0</v>
      </c>
      <c r="D1830" s="79">
        <f t="shared" si="932"/>
        <v>0</v>
      </c>
      <c r="E1830" s="79">
        <f>E1828-E1829</f>
        <v>0</v>
      </c>
      <c r="F1830" s="79">
        <f t="shared" si="916"/>
        <v>0</v>
      </c>
      <c r="G1830" s="79">
        <f t="shared" si="932"/>
        <v>0</v>
      </c>
      <c r="H1830" s="79">
        <f t="shared" si="932"/>
        <v>0</v>
      </c>
      <c r="I1830" s="79">
        <f t="shared" si="932"/>
        <v>0</v>
      </c>
      <c r="J1830" s="79">
        <f>J1828-J1829</f>
        <v>0</v>
      </c>
      <c r="K1830" s="79">
        <f>K1828-K1829</f>
        <v>0</v>
      </c>
      <c r="L1830" s="79">
        <f>L1828-L1829</f>
        <v>0</v>
      </c>
      <c r="M1830" s="79">
        <f t="shared" si="927"/>
        <v>0</v>
      </c>
      <c r="N1830" s="79">
        <f>N1828-N1829</f>
        <v>0</v>
      </c>
      <c r="O1830" s="79">
        <f t="shared" si="928"/>
        <v>0</v>
      </c>
      <c r="P1830" s="79">
        <f>P1828-P1829</f>
        <v>0</v>
      </c>
      <c r="Q1830" s="79">
        <f>Q1828-Q1829</f>
        <v>0</v>
      </c>
      <c r="R1830" s="79">
        <f t="shared" si="910"/>
        <v>0</v>
      </c>
      <c r="S1830" s="79">
        <f>S1828-S1829</f>
        <v>0</v>
      </c>
      <c r="U1830" s="80">
        <f t="shared" si="919"/>
        <v>0</v>
      </c>
      <c r="W1830" s="81" t="str">
        <f t="shared" si="911"/>
        <v xml:space="preserve"> </v>
      </c>
      <c r="X1830" s="81" t="str">
        <f t="shared" si="912"/>
        <v xml:space="preserve"> </v>
      </c>
      <c r="Y1830" s="81" t="str">
        <f t="shared" si="913"/>
        <v xml:space="preserve"> </v>
      </c>
      <c r="Z1830" s="79"/>
      <c r="AF1830" s="79"/>
      <c r="AJ1830" s="66"/>
      <c r="AK1830" s="65"/>
    </row>
    <row r="1831" spans="1:37" hidden="1">
      <c r="A1831" s="65">
        <f t="shared" si="921"/>
        <v>13</v>
      </c>
      <c r="B1831" s="66" t="s">
        <v>714</v>
      </c>
      <c r="C1831" s="79">
        <f>C1897</f>
        <v>0</v>
      </c>
      <c r="D1831" s="79">
        <f>D1897</f>
        <v>0</v>
      </c>
      <c r="E1831" s="79">
        <f>E1897</f>
        <v>0</v>
      </c>
      <c r="F1831" s="79">
        <f t="shared" si="916"/>
        <v>0</v>
      </c>
      <c r="G1831" s="79">
        <f t="shared" ref="G1831:L1831" si="933">G1897</f>
        <v>0</v>
      </c>
      <c r="H1831" s="79">
        <f t="shared" si="933"/>
        <v>0</v>
      </c>
      <c r="I1831" s="79">
        <f t="shared" si="933"/>
        <v>0</v>
      </c>
      <c r="J1831" s="79">
        <f t="shared" si="933"/>
        <v>0</v>
      </c>
      <c r="K1831" s="79">
        <f t="shared" si="933"/>
        <v>0</v>
      </c>
      <c r="L1831" s="79">
        <f t="shared" si="933"/>
        <v>0</v>
      </c>
      <c r="M1831" s="79">
        <f t="shared" si="927"/>
        <v>0</v>
      </c>
      <c r="N1831" s="79">
        <f>N1897</f>
        <v>0</v>
      </c>
      <c r="O1831" s="79">
        <f t="shared" si="928"/>
        <v>0</v>
      </c>
      <c r="P1831" s="79">
        <f>P1897</f>
        <v>0</v>
      </c>
      <c r="Q1831" s="79">
        <f>Q1897</f>
        <v>0</v>
      </c>
      <c r="R1831" s="79">
        <f t="shared" si="910"/>
        <v>0</v>
      </c>
      <c r="S1831" s="79">
        <f>S1897</f>
        <v>0</v>
      </c>
      <c r="U1831" s="80">
        <f t="shared" si="919"/>
        <v>0</v>
      </c>
      <c r="W1831" s="81" t="str">
        <f t="shared" si="911"/>
        <v xml:space="preserve"> </v>
      </c>
      <c r="X1831" s="81" t="str">
        <f t="shared" si="912"/>
        <v xml:space="preserve"> </v>
      </c>
      <c r="Y1831" s="81" t="str">
        <f t="shared" si="913"/>
        <v xml:space="preserve"> </v>
      </c>
      <c r="Z1831" s="79"/>
      <c r="AF1831" s="79"/>
      <c r="AJ1831" s="66"/>
      <c r="AK1831" s="65"/>
    </row>
    <row r="1832" spans="1:37" hidden="1">
      <c r="A1832" s="65">
        <f t="shared" si="921"/>
        <v>14</v>
      </c>
      <c r="B1832" s="66" t="s">
        <v>328</v>
      </c>
      <c r="C1832" s="79">
        <f>C1817+C1818+C1819+C1821+C1822+C1824+C1825+C1826+C1827+C1829+C1830+C1831</f>
        <v>39238</v>
      </c>
      <c r="D1832" s="79">
        <f>D1817+D1818+D1819+D1821+D1822+D1824+D1825+D1826+D1827+D1829+D1830+D1831</f>
        <v>22830.985000000001</v>
      </c>
      <c r="E1832" s="79">
        <f>E1817+E1818+E1819+E1821+E1822+E1824+E1825+E1826+E1827+E1829+E1830+E1831</f>
        <v>674</v>
      </c>
      <c r="F1832" s="79">
        <f t="shared" si="916"/>
        <v>23504.985000000001</v>
      </c>
      <c r="G1832" s="79">
        <f t="shared" ref="G1832:L1832" si="934">G1817+G1818+G1819+G1821+G1822+G1824+G1825+G1826+G1827+G1829+G1830+G1831</f>
        <v>1670</v>
      </c>
      <c r="H1832" s="79">
        <f t="shared" si="934"/>
        <v>7687</v>
      </c>
      <c r="I1832" s="79">
        <f t="shared" si="934"/>
        <v>3732</v>
      </c>
      <c r="J1832" s="79">
        <f t="shared" si="934"/>
        <v>1376</v>
      </c>
      <c r="K1832" s="79">
        <f t="shared" si="934"/>
        <v>105</v>
      </c>
      <c r="L1832" s="79">
        <f t="shared" si="934"/>
        <v>79</v>
      </c>
      <c r="M1832" s="79">
        <f t="shared" si="927"/>
        <v>1560</v>
      </c>
      <c r="N1832" s="79">
        <f>N1817+N1818+N1819+N1821+N1822+N1824+N1825+N1826+N1827+N1829+N1830+N1831</f>
        <v>1084</v>
      </c>
      <c r="O1832" s="79">
        <f t="shared" si="928"/>
        <v>39237.985000000001</v>
      </c>
      <c r="P1832" s="79">
        <f>P1817+P1818+P1819+P1821+P1822+P1824+P1825+P1826+P1827+P1829+P1830+P1831</f>
        <v>5.0000000000000001E-3</v>
      </c>
      <c r="Q1832" s="79">
        <f>Q1817+Q1818+Q1819+Q1821+Q1822+Q1824+Q1825+Q1826+Q1827+Q1829+Q1830+Q1831</f>
        <v>5.0000000000000001E-3</v>
      </c>
      <c r="R1832" s="79">
        <f t="shared" si="910"/>
        <v>0.01</v>
      </c>
      <c r="S1832" s="79">
        <f>S1817+S1818+S1819+S1821+S1822+S1824+S1825+S1826+S1827+S1829+S1830+S1831</f>
        <v>5.0000000000000001E-3</v>
      </c>
      <c r="U1832" s="80">
        <f t="shared" si="919"/>
        <v>0</v>
      </c>
      <c r="W1832" s="81">
        <f t="shared" si="911"/>
        <v>0.99999970000000005</v>
      </c>
      <c r="X1832" s="81">
        <f t="shared" si="912"/>
        <v>0.99999959999999999</v>
      </c>
      <c r="Y1832" s="81">
        <f t="shared" si="913"/>
        <v>9.9999999999999995E-8</v>
      </c>
      <c r="Z1832" s="79"/>
      <c r="AF1832" s="79"/>
      <c r="AJ1832" s="66"/>
      <c r="AK1832" s="65"/>
    </row>
    <row r="1833" spans="1:37" hidden="1">
      <c r="A1833" s="65">
        <f t="shared" si="921"/>
        <v>15</v>
      </c>
      <c r="B1833" s="66" t="s">
        <v>630</v>
      </c>
      <c r="C1833" s="79">
        <f>C1821+C1824+C1829</f>
        <v>0</v>
      </c>
      <c r="D1833" s="79">
        <f>D1821+D1824+D1829</f>
        <v>0</v>
      </c>
      <c r="E1833" s="79">
        <f>E1821+E1824+E1829</f>
        <v>0</v>
      </c>
      <c r="F1833" s="79">
        <f t="shared" si="916"/>
        <v>0</v>
      </c>
      <c r="G1833" s="79">
        <f t="shared" ref="G1833:S1833" si="935">G1821+G1824+G1829</f>
        <v>0</v>
      </c>
      <c r="H1833" s="79">
        <f t="shared" si="935"/>
        <v>0</v>
      </c>
      <c r="I1833" s="79">
        <f t="shared" si="935"/>
        <v>0</v>
      </c>
      <c r="J1833" s="79">
        <f t="shared" si="935"/>
        <v>0</v>
      </c>
      <c r="K1833" s="79">
        <f t="shared" si="935"/>
        <v>0</v>
      </c>
      <c r="L1833" s="79">
        <f t="shared" si="935"/>
        <v>0</v>
      </c>
      <c r="M1833" s="79">
        <f t="shared" si="927"/>
        <v>0</v>
      </c>
      <c r="N1833" s="79">
        <f t="shared" si="935"/>
        <v>0</v>
      </c>
      <c r="O1833" s="79">
        <f t="shared" si="928"/>
        <v>0</v>
      </c>
      <c r="P1833" s="79">
        <f t="shared" si="935"/>
        <v>0</v>
      </c>
      <c r="Q1833" s="79">
        <f t="shared" si="935"/>
        <v>0</v>
      </c>
      <c r="R1833" s="79">
        <f t="shared" si="910"/>
        <v>0</v>
      </c>
      <c r="S1833" s="79">
        <f t="shared" si="935"/>
        <v>0</v>
      </c>
      <c r="U1833" s="80">
        <f t="shared" si="919"/>
        <v>0</v>
      </c>
      <c r="W1833" s="81" t="str">
        <f t="shared" si="911"/>
        <v xml:space="preserve"> </v>
      </c>
      <c r="X1833" s="81" t="str">
        <f t="shared" si="912"/>
        <v xml:space="preserve"> </v>
      </c>
      <c r="Y1833" s="81" t="str">
        <f t="shared" si="913"/>
        <v xml:space="preserve"> </v>
      </c>
      <c r="Z1833" s="79"/>
      <c r="AF1833" s="79"/>
      <c r="AJ1833" s="66"/>
      <c r="AK1833" s="65"/>
    </row>
    <row r="1834" spans="1:37" hidden="1">
      <c r="A1834" s="65">
        <f t="shared" si="921"/>
        <v>16</v>
      </c>
      <c r="B1834" s="66" t="s">
        <v>631</v>
      </c>
      <c r="C1834" s="79">
        <f>C1817+C1818+C1819+C1822+C1825+C1826+C1830+C1831</f>
        <v>0</v>
      </c>
      <c r="D1834" s="79">
        <f t="shared" ref="D1834:S1834" si="936">D1817+D1818+D1819+D1822+D1825+D1826+D1830+D1831</f>
        <v>0</v>
      </c>
      <c r="E1834" s="79">
        <f t="shared" si="936"/>
        <v>0</v>
      </c>
      <c r="F1834" s="79">
        <f t="shared" si="916"/>
        <v>0</v>
      </c>
      <c r="G1834" s="79">
        <f t="shared" si="936"/>
        <v>0</v>
      </c>
      <c r="H1834" s="79">
        <f t="shared" si="936"/>
        <v>0</v>
      </c>
      <c r="I1834" s="79">
        <f t="shared" si="936"/>
        <v>0</v>
      </c>
      <c r="J1834" s="79">
        <f t="shared" si="936"/>
        <v>0</v>
      </c>
      <c r="K1834" s="79">
        <f t="shared" si="936"/>
        <v>0</v>
      </c>
      <c r="L1834" s="79">
        <f t="shared" si="936"/>
        <v>0</v>
      </c>
      <c r="M1834" s="79">
        <f t="shared" si="927"/>
        <v>0</v>
      </c>
      <c r="N1834" s="79">
        <f t="shared" si="936"/>
        <v>0</v>
      </c>
      <c r="O1834" s="79">
        <f t="shared" si="928"/>
        <v>0</v>
      </c>
      <c r="P1834" s="79">
        <f t="shared" si="936"/>
        <v>0</v>
      </c>
      <c r="Q1834" s="79">
        <f t="shared" si="936"/>
        <v>0</v>
      </c>
      <c r="R1834" s="79">
        <f t="shared" si="910"/>
        <v>0</v>
      </c>
      <c r="S1834" s="79">
        <f t="shared" si="936"/>
        <v>0</v>
      </c>
      <c r="U1834" s="80">
        <f t="shared" si="919"/>
        <v>0</v>
      </c>
      <c r="W1834" s="81" t="str">
        <f t="shared" si="911"/>
        <v xml:space="preserve"> </v>
      </c>
      <c r="X1834" s="81" t="str">
        <f t="shared" si="912"/>
        <v xml:space="preserve"> </v>
      </c>
      <c r="Y1834" s="81" t="str">
        <f t="shared" si="913"/>
        <v xml:space="preserve"> </v>
      </c>
      <c r="Z1834" s="79"/>
      <c r="AJ1834" s="66"/>
      <c r="AK1834" s="65"/>
    </row>
    <row r="1835" spans="1:37" hidden="1">
      <c r="A1835" s="65">
        <f t="shared" si="921"/>
        <v>17</v>
      </c>
      <c r="B1835" s="66" t="s">
        <v>638</v>
      </c>
      <c r="C1835" s="79">
        <f>C1827</f>
        <v>39238</v>
      </c>
      <c r="D1835" s="79">
        <f>D1827</f>
        <v>22830.985000000001</v>
      </c>
      <c r="E1835" s="79">
        <f>E1827</f>
        <v>674</v>
      </c>
      <c r="F1835" s="79">
        <f t="shared" si="916"/>
        <v>23504.985000000001</v>
      </c>
      <c r="G1835" s="79">
        <f t="shared" ref="G1835:L1835" si="937">G1827</f>
        <v>1670</v>
      </c>
      <c r="H1835" s="79">
        <f t="shared" si="937"/>
        <v>7687</v>
      </c>
      <c r="I1835" s="79">
        <f t="shared" si="937"/>
        <v>3732</v>
      </c>
      <c r="J1835" s="79">
        <f t="shared" si="937"/>
        <v>1376</v>
      </c>
      <c r="K1835" s="79">
        <f t="shared" si="937"/>
        <v>105</v>
      </c>
      <c r="L1835" s="79">
        <f t="shared" si="937"/>
        <v>79</v>
      </c>
      <c r="M1835" s="79">
        <f t="shared" si="927"/>
        <v>1560</v>
      </c>
      <c r="N1835" s="79">
        <f>N1827</f>
        <v>1084</v>
      </c>
      <c r="O1835" s="79">
        <f t="shared" si="928"/>
        <v>39237.985000000001</v>
      </c>
      <c r="P1835" s="79">
        <f>P1827</f>
        <v>5.0000000000000001E-3</v>
      </c>
      <c r="Q1835" s="79">
        <f>Q1827</f>
        <v>5.0000000000000001E-3</v>
      </c>
      <c r="R1835" s="79">
        <f t="shared" si="910"/>
        <v>0.01</v>
      </c>
      <c r="S1835" s="79">
        <f>S1827</f>
        <v>5.0000000000000001E-3</v>
      </c>
      <c r="U1835" s="80">
        <f t="shared" si="919"/>
        <v>0</v>
      </c>
      <c r="W1835" s="81">
        <f t="shared" si="911"/>
        <v>0.99999970000000005</v>
      </c>
      <c r="X1835" s="81">
        <f t="shared" si="912"/>
        <v>0.99999959999999999</v>
      </c>
      <c r="Y1835" s="81">
        <f t="shared" si="913"/>
        <v>9.9999999999999995E-8</v>
      </c>
      <c r="Z1835" s="79"/>
      <c r="AJ1835" s="66"/>
    </row>
    <row r="1836" spans="1:37" hidden="1">
      <c r="A1836" s="65">
        <f t="shared" si="921"/>
        <v>18</v>
      </c>
      <c r="B1836" s="66" t="s">
        <v>670</v>
      </c>
      <c r="C1836" s="79">
        <f>SUM(C1837:C1848)</f>
        <v>39238</v>
      </c>
      <c r="D1836" s="79">
        <f>SUM(D1837:D1848)</f>
        <v>22830.985000000001</v>
      </c>
      <c r="E1836" s="79">
        <f>SUM(E1837:E1848)</f>
        <v>674</v>
      </c>
      <c r="F1836" s="79">
        <f>D1836+E1836</f>
        <v>23504.985000000001</v>
      </c>
      <c r="G1836" s="79">
        <f t="shared" ref="G1836:L1836" si="938">SUM(G1837:G1848)</f>
        <v>1670</v>
      </c>
      <c r="H1836" s="79">
        <f t="shared" si="938"/>
        <v>7687</v>
      </c>
      <c r="I1836" s="79">
        <f t="shared" si="938"/>
        <v>3732</v>
      </c>
      <c r="J1836" s="79">
        <f t="shared" si="938"/>
        <v>1376</v>
      </c>
      <c r="K1836" s="79">
        <f t="shared" si="938"/>
        <v>105</v>
      </c>
      <c r="L1836" s="79">
        <f t="shared" si="938"/>
        <v>79</v>
      </c>
      <c r="M1836" s="79">
        <f>SUM(J1836:L1836)</f>
        <v>1560</v>
      </c>
      <c r="N1836" s="79">
        <f>SUM(N1837:N1848)</f>
        <v>1084</v>
      </c>
      <c r="O1836" s="79">
        <f>SUM(F1836:I1836)+SUM(M1836:N1836)</f>
        <v>39237.985000000001</v>
      </c>
      <c r="P1836" s="79">
        <f>SUM(P1837:P1848)</f>
        <v>5.0000000000000001E-3</v>
      </c>
      <c r="Q1836" s="79">
        <f>SUM(Q1837:Q1848)</f>
        <v>5.0000000000000001E-3</v>
      </c>
      <c r="R1836" s="79">
        <f t="shared" si="910"/>
        <v>0.01</v>
      </c>
      <c r="S1836" s="79">
        <f>SUM(S1837:S1848)</f>
        <v>5.0000000000000001E-3</v>
      </c>
      <c r="U1836" s="80">
        <f t="shared" si="919"/>
        <v>0</v>
      </c>
      <c r="W1836" s="81">
        <f t="shared" si="911"/>
        <v>0.99999970000000005</v>
      </c>
      <c r="X1836" s="81">
        <f t="shared" si="912"/>
        <v>0.99999959999999999</v>
      </c>
      <c r="Y1836" s="81">
        <f t="shared" si="913"/>
        <v>9.9999999999999995E-8</v>
      </c>
      <c r="Z1836" s="79"/>
      <c r="AJ1836" s="66"/>
    </row>
    <row r="1837" spans="1:37" hidden="1">
      <c r="A1837" s="65">
        <f t="shared" si="921"/>
        <v>19</v>
      </c>
      <c r="B1837" s="66" t="s">
        <v>655</v>
      </c>
      <c r="C1837" s="79">
        <v>0</v>
      </c>
      <c r="D1837" s="79">
        <v>0</v>
      </c>
      <c r="E1837" s="79">
        <v>0</v>
      </c>
      <c r="F1837" s="79">
        <f t="shared" ref="F1837:F1848" si="939">D1837+E1837</f>
        <v>0</v>
      </c>
      <c r="G1837" s="79">
        <v>0</v>
      </c>
      <c r="H1837" s="79">
        <v>0</v>
      </c>
      <c r="I1837" s="79">
        <v>0</v>
      </c>
      <c r="J1837" s="79">
        <v>0</v>
      </c>
      <c r="K1837" s="79">
        <v>0</v>
      </c>
      <c r="L1837" s="79">
        <v>0</v>
      </c>
      <c r="M1837" s="79">
        <f t="shared" ref="M1837:M1848" si="940">SUM(J1837:L1837)</f>
        <v>0</v>
      </c>
      <c r="N1837" s="79">
        <v>0</v>
      </c>
      <c r="O1837" s="79">
        <f t="shared" ref="O1837:O1848" si="941">SUM(F1837:I1837)+SUM(M1837:N1837)</f>
        <v>0</v>
      </c>
      <c r="P1837" s="79">
        <v>0</v>
      </c>
      <c r="Q1837" s="79">
        <v>0</v>
      </c>
      <c r="R1837" s="79">
        <f t="shared" si="910"/>
        <v>0</v>
      </c>
      <c r="S1837" s="79">
        <v>0</v>
      </c>
      <c r="U1837" s="80">
        <f t="shared" si="919"/>
        <v>0</v>
      </c>
      <c r="W1837" s="81" t="str">
        <f t="shared" si="911"/>
        <v xml:space="preserve"> </v>
      </c>
      <c r="X1837" s="81" t="str">
        <f t="shared" si="912"/>
        <v xml:space="preserve"> </v>
      </c>
      <c r="Y1837" s="81" t="str">
        <f t="shared" si="913"/>
        <v xml:space="preserve"> </v>
      </c>
      <c r="Z1837" s="79"/>
      <c r="AJ1837" s="66"/>
    </row>
    <row r="1838" spans="1:37" hidden="1">
      <c r="A1838" s="65">
        <f t="shared" si="921"/>
        <v>20</v>
      </c>
      <c r="B1838" s="66" t="s">
        <v>656</v>
      </c>
      <c r="C1838" s="79">
        <v>0</v>
      </c>
      <c r="D1838" s="79">
        <v>0</v>
      </c>
      <c r="E1838" s="79">
        <v>0</v>
      </c>
      <c r="F1838" s="79">
        <f t="shared" si="939"/>
        <v>0</v>
      </c>
      <c r="G1838" s="79">
        <v>0</v>
      </c>
      <c r="H1838" s="79">
        <v>0</v>
      </c>
      <c r="I1838" s="79">
        <v>0</v>
      </c>
      <c r="J1838" s="79">
        <v>0</v>
      </c>
      <c r="K1838" s="79">
        <v>0</v>
      </c>
      <c r="L1838" s="79">
        <v>0</v>
      </c>
      <c r="M1838" s="79">
        <f t="shared" si="940"/>
        <v>0</v>
      </c>
      <c r="N1838" s="79">
        <v>0</v>
      </c>
      <c r="O1838" s="79">
        <f t="shared" si="941"/>
        <v>0</v>
      </c>
      <c r="P1838" s="79">
        <v>0</v>
      </c>
      <c r="Q1838" s="79">
        <v>0</v>
      </c>
      <c r="R1838" s="79">
        <f t="shared" si="910"/>
        <v>0</v>
      </c>
      <c r="S1838" s="79">
        <v>0</v>
      </c>
      <c r="U1838" s="80">
        <f t="shared" si="919"/>
        <v>0</v>
      </c>
      <c r="W1838" s="81" t="str">
        <f t="shared" si="911"/>
        <v xml:space="preserve"> </v>
      </c>
      <c r="X1838" s="81" t="str">
        <f t="shared" si="912"/>
        <v xml:space="preserve"> </v>
      </c>
      <c r="Y1838" s="81" t="str">
        <f t="shared" si="913"/>
        <v xml:space="preserve"> </v>
      </c>
      <c r="Z1838" s="79"/>
      <c r="AF1838" s="79"/>
      <c r="AJ1838" s="66"/>
      <c r="AK1838" s="65"/>
    </row>
    <row r="1839" spans="1:37" hidden="1">
      <c r="A1839" s="65">
        <f t="shared" si="921"/>
        <v>21</v>
      </c>
      <c r="B1839" s="66" t="s">
        <v>657</v>
      </c>
      <c r="C1839" s="79">
        <v>0</v>
      </c>
      <c r="D1839" s="79">
        <v>0</v>
      </c>
      <c r="E1839" s="79">
        <v>0</v>
      </c>
      <c r="F1839" s="79">
        <f t="shared" si="939"/>
        <v>0</v>
      </c>
      <c r="G1839" s="79">
        <v>0</v>
      </c>
      <c r="H1839" s="79">
        <v>0</v>
      </c>
      <c r="I1839" s="79">
        <v>0</v>
      </c>
      <c r="J1839" s="79">
        <v>0</v>
      </c>
      <c r="K1839" s="79">
        <v>0</v>
      </c>
      <c r="L1839" s="79">
        <v>0</v>
      </c>
      <c r="M1839" s="79">
        <f t="shared" si="940"/>
        <v>0</v>
      </c>
      <c r="N1839" s="79">
        <v>0</v>
      </c>
      <c r="O1839" s="79">
        <f t="shared" si="941"/>
        <v>0</v>
      </c>
      <c r="P1839" s="79">
        <v>0</v>
      </c>
      <c r="Q1839" s="79">
        <v>0</v>
      </c>
      <c r="R1839" s="79">
        <f t="shared" si="910"/>
        <v>0</v>
      </c>
      <c r="S1839" s="79">
        <v>0</v>
      </c>
      <c r="U1839" s="80">
        <f t="shared" si="919"/>
        <v>0</v>
      </c>
      <c r="W1839" s="81" t="str">
        <f t="shared" si="911"/>
        <v xml:space="preserve"> </v>
      </c>
      <c r="X1839" s="81" t="str">
        <f t="shared" si="912"/>
        <v xml:space="preserve"> </v>
      </c>
      <c r="Y1839" s="81" t="str">
        <f t="shared" si="913"/>
        <v xml:space="preserve"> </v>
      </c>
      <c r="Z1839" s="79"/>
      <c r="AF1839" s="79"/>
      <c r="AJ1839" s="66"/>
      <c r="AK1839" s="65"/>
    </row>
    <row r="1840" spans="1:37" hidden="1">
      <c r="A1840" s="65">
        <f t="shared" si="921"/>
        <v>22</v>
      </c>
      <c r="B1840" s="66" t="s">
        <v>658</v>
      </c>
      <c r="C1840" s="79">
        <v>0</v>
      </c>
      <c r="D1840" s="79">
        <v>0</v>
      </c>
      <c r="E1840" s="79">
        <v>0</v>
      </c>
      <c r="F1840" s="79">
        <f t="shared" si="939"/>
        <v>0</v>
      </c>
      <c r="G1840" s="79">
        <v>0</v>
      </c>
      <c r="H1840" s="79">
        <v>0</v>
      </c>
      <c r="I1840" s="79">
        <v>0</v>
      </c>
      <c r="J1840" s="79">
        <v>0</v>
      </c>
      <c r="K1840" s="79">
        <v>0</v>
      </c>
      <c r="L1840" s="79">
        <v>0</v>
      </c>
      <c r="M1840" s="79">
        <f t="shared" si="940"/>
        <v>0</v>
      </c>
      <c r="N1840" s="79">
        <v>0</v>
      </c>
      <c r="O1840" s="79">
        <f t="shared" si="941"/>
        <v>0</v>
      </c>
      <c r="P1840" s="79">
        <v>0</v>
      </c>
      <c r="Q1840" s="79">
        <v>0</v>
      </c>
      <c r="R1840" s="79">
        <f t="shared" si="910"/>
        <v>0</v>
      </c>
      <c r="S1840" s="79">
        <v>0</v>
      </c>
      <c r="U1840" s="80">
        <f t="shared" si="919"/>
        <v>0</v>
      </c>
      <c r="W1840" s="81" t="str">
        <f t="shared" si="911"/>
        <v xml:space="preserve"> </v>
      </c>
      <c r="X1840" s="81" t="str">
        <f t="shared" si="912"/>
        <v xml:space="preserve"> </v>
      </c>
      <c r="Y1840" s="81" t="str">
        <f t="shared" si="913"/>
        <v xml:space="preserve"> </v>
      </c>
      <c r="Z1840" s="79"/>
      <c r="AF1840" s="79"/>
      <c r="AJ1840" s="66"/>
      <c r="AK1840" s="65"/>
    </row>
    <row r="1841" spans="1:37" hidden="1">
      <c r="A1841" s="65">
        <f t="shared" si="921"/>
        <v>23</v>
      </c>
      <c r="B1841" s="66" t="s">
        <v>659</v>
      </c>
      <c r="C1841" s="79">
        <v>0</v>
      </c>
      <c r="D1841" s="79">
        <v>0</v>
      </c>
      <c r="E1841" s="79">
        <v>0</v>
      </c>
      <c r="F1841" s="79">
        <f t="shared" si="939"/>
        <v>0</v>
      </c>
      <c r="G1841" s="79">
        <v>0</v>
      </c>
      <c r="H1841" s="79">
        <v>0</v>
      </c>
      <c r="I1841" s="79">
        <v>0</v>
      </c>
      <c r="J1841" s="79">
        <v>0</v>
      </c>
      <c r="K1841" s="79">
        <v>0</v>
      </c>
      <c r="L1841" s="79">
        <v>0</v>
      </c>
      <c r="M1841" s="79">
        <f t="shared" si="940"/>
        <v>0</v>
      </c>
      <c r="N1841" s="79">
        <v>0</v>
      </c>
      <c r="O1841" s="79">
        <f t="shared" si="941"/>
        <v>0</v>
      </c>
      <c r="P1841" s="79">
        <v>0</v>
      </c>
      <c r="Q1841" s="79">
        <v>0</v>
      </c>
      <c r="R1841" s="79">
        <f t="shared" si="910"/>
        <v>0</v>
      </c>
      <c r="S1841" s="79">
        <v>0</v>
      </c>
      <c r="U1841" s="80">
        <f t="shared" si="919"/>
        <v>0</v>
      </c>
      <c r="W1841" s="81" t="str">
        <f t="shared" si="911"/>
        <v xml:space="preserve"> </v>
      </c>
      <c r="X1841" s="81" t="str">
        <f t="shared" si="912"/>
        <v xml:space="preserve"> </v>
      </c>
      <c r="Y1841" s="81" t="str">
        <f t="shared" si="913"/>
        <v xml:space="preserve"> </v>
      </c>
      <c r="Z1841" s="79"/>
      <c r="AF1841" s="79"/>
      <c r="AJ1841" s="66"/>
      <c r="AK1841" s="65"/>
    </row>
    <row r="1842" spans="1:37" hidden="1">
      <c r="A1842" s="65">
        <f t="shared" si="921"/>
        <v>24</v>
      </c>
      <c r="B1842" s="66" t="s">
        <v>660</v>
      </c>
      <c r="C1842" s="79">
        <v>0</v>
      </c>
      <c r="D1842" s="79">
        <v>0</v>
      </c>
      <c r="E1842" s="79">
        <v>0</v>
      </c>
      <c r="F1842" s="79">
        <f t="shared" si="939"/>
        <v>0</v>
      </c>
      <c r="G1842" s="79">
        <v>0</v>
      </c>
      <c r="H1842" s="79">
        <v>0</v>
      </c>
      <c r="I1842" s="79">
        <v>0</v>
      </c>
      <c r="J1842" s="79">
        <v>0</v>
      </c>
      <c r="K1842" s="79">
        <v>0</v>
      </c>
      <c r="L1842" s="79">
        <v>0</v>
      </c>
      <c r="M1842" s="79">
        <f t="shared" si="940"/>
        <v>0</v>
      </c>
      <c r="N1842" s="79">
        <v>0</v>
      </c>
      <c r="O1842" s="79">
        <f t="shared" si="941"/>
        <v>0</v>
      </c>
      <c r="P1842" s="79">
        <v>0</v>
      </c>
      <c r="Q1842" s="79">
        <v>0</v>
      </c>
      <c r="R1842" s="79">
        <f t="shared" si="910"/>
        <v>0</v>
      </c>
      <c r="S1842" s="79">
        <v>0</v>
      </c>
      <c r="U1842" s="80">
        <f t="shared" si="919"/>
        <v>0</v>
      </c>
      <c r="W1842" s="81" t="str">
        <f t="shared" si="911"/>
        <v xml:space="preserve"> </v>
      </c>
      <c r="X1842" s="81" t="str">
        <f t="shared" si="912"/>
        <v xml:space="preserve"> </v>
      </c>
      <c r="Y1842" s="81" t="str">
        <f t="shared" si="913"/>
        <v xml:space="preserve"> </v>
      </c>
      <c r="Z1842" s="79"/>
      <c r="AF1842" s="79"/>
      <c r="AJ1842" s="66"/>
      <c r="AK1842" s="65"/>
    </row>
    <row r="1843" spans="1:37" hidden="1">
      <c r="A1843" s="65">
        <f t="shared" si="921"/>
        <v>25</v>
      </c>
      <c r="B1843" s="66" t="s">
        <v>661</v>
      </c>
      <c r="C1843" s="79">
        <v>0</v>
      </c>
      <c r="D1843" s="79">
        <v>0</v>
      </c>
      <c r="E1843" s="79">
        <v>0</v>
      </c>
      <c r="F1843" s="79">
        <f t="shared" si="939"/>
        <v>0</v>
      </c>
      <c r="G1843" s="79">
        <v>0</v>
      </c>
      <c r="H1843" s="79">
        <v>0</v>
      </c>
      <c r="I1843" s="79">
        <v>0</v>
      </c>
      <c r="J1843" s="79">
        <v>0</v>
      </c>
      <c r="K1843" s="79">
        <v>0</v>
      </c>
      <c r="L1843" s="79">
        <v>0</v>
      </c>
      <c r="M1843" s="79">
        <f t="shared" si="940"/>
        <v>0</v>
      </c>
      <c r="N1843" s="79">
        <v>0</v>
      </c>
      <c r="O1843" s="79">
        <f t="shared" si="941"/>
        <v>0</v>
      </c>
      <c r="P1843" s="79">
        <v>0</v>
      </c>
      <c r="Q1843" s="79">
        <v>0</v>
      </c>
      <c r="R1843" s="79">
        <f t="shared" si="910"/>
        <v>0</v>
      </c>
      <c r="S1843" s="79">
        <v>0</v>
      </c>
      <c r="U1843" s="80">
        <f t="shared" si="919"/>
        <v>0</v>
      </c>
      <c r="W1843" s="81" t="str">
        <f t="shared" si="911"/>
        <v xml:space="preserve"> </v>
      </c>
      <c r="X1843" s="81" t="str">
        <f t="shared" si="912"/>
        <v xml:space="preserve"> </v>
      </c>
      <c r="Y1843" s="81" t="str">
        <f t="shared" si="913"/>
        <v xml:space="preserve"> </v>
      </c>
      <c r="Z1843" s="79"/>
      <c r="AJ1843" s="66"/>
      <c r="AK1843" s="65"/>
    </row>
    <row r="1844" spans="1:37" hidden="1">
      <c r="A1844" s="65">
        <f t="shared" si="921"/>
        <v>26</v>
      </c>
      <c r="B1844" s="66" t="s">
        <v>662</v>
      </c>
      <c r="C1844" s="79">
        <f t="shared" ref="C1844:E1845" si="942">C1833</f>
        <v>0</v>
      </c>
      <c r="D1844" s="79">
        <f t="shared" si="942"/>
        <v>0</v>
      </c>
      <c r="E1844" s="79">
        <f t="shared" si="942"/>
        <v>0</v>
      </c>
      <c r="F1844" s="79">
        <f>D1844+E1844</f>
        <v>0</v>
      </c>
      <c r="G1844" s="79">
        <f t="shared" ref="G1844:L1845" si="943">G1833</f>
        <v>0</v>
      </c>
      <c r="H1844" s="79">
        <f t="shared" si="943"/>
        <v>0</v>
      </c>
      <c r="I1844" s="79">
        <f t="shared" si="943"/>
        <v>0</v>
      </c>
      <c r="J1844" s="79">
        <f t="shared" si="943"/>
        <v>0</v>
      </c>
      <c r="K1844" s="79">
        <f t="shared" si="943"/>
        <v>0</v>
      </c>
      <c r="L1844" s="79">
        <f t="shared" si="943"/>
        <v>0</v>
      </c>
      <c r="M1844" s="79">
        <f t="shared" si="940"/>
        <v>0</v>
      </c>
      <c r="N1844" s="79">
        <f>N1833</f>
        <v>0</v>
      </c>
      <c r="O1844" s="79">
        <f>SUM(F1844:I1844)+SUM(M1844:N1844)</f>
        <v>0</v>
      </c>
      <c r="P1844" s="79">
        <f>P1833</f>
        <v>0</v>
      </c>
      <c r="Q1844" s="79">
        <f>Q1833</f>
        <v>0</v>
      </c>
      <c r="R1844" s="79">
        <f t="shared" si="910"/>
        <v>0</v>
      </c>
      <c r="S1844" s="79">
        <f>S1833</f>
        <v>0</v>
      </c>
      <c r="U1844" s="80">
        <f>O1844+R1844+S1844-C1844</f>
        <v>0</v>
      </c>
      <c r="W1844" s="81" t="str">
        <f t="shared" si="911"/>
        <v xml:space="preserve"> </v>
      </c>
      <c r="X1844" s="81" t="str">
        <f t="shared" si="912"/>
        <v xml:space="preserve"> </v>
      </c>
      <c r="Y1844" s="81" t="str">
        <f t="shared" si="913"/>
        <v xml:space="preserve"> </v>
      </c>
      <c r="Z1844" s="79"/>
      <c r="AJ1844" s="66"/>
      <c r="AK1844" s="65"/>
    </row>
    <row r="1845" spans="1:37" hidden="1">
      <c r="A1845" s="65">
        <f t="shared" si="921"/>
        <v>27</v>
      </c>
      <c r="B1845" s="66" t="s">
        <v>663</v>
      </c>
      <c r="C1845" s="79">
        <f t="shared" si="942"/>
        <v>0</v>
      </c>
      <c r="D1845" s="79">
        <f t="shared" si="942"/>
        <v>0</v>
      </c>
      <c r="E1845" s="79">
        <f t="shared" si="942"/>
        <v>0</v>
      </c>
      <c r="F1845" s="79">
        <f t="shared" si="939"/>
        <v>0</v>
      </c>
      <c r="G1845" s="79">
        <f t="shared" si="943"/>
        <v>0</v>
      </c>
      <c r="H1845" s="79">
        <f t="shared" si="943"/>
        <v>0</v>
      </c>
      <c r="I1845" s="79">
        <f t="shared" si="943"/>
        <v>0</v>
      </c>
      <c r="J1845" s="79">
        <f t="shared" si="943"/>
        <v>0</v>
      </c>
      <c r="K1845" s="79">
        <f t="shared" si="943"/>
        <v>0</v>
      </c>
      <c r="L1845" s="79">
        <f t="shared" si="943"/>
        <v>0</v>
      </c>
      <c r="M1845" s="79">
        <f t="shared" si="940"/>
        <v>0</v>
      </c>
      <c r="N1845" s="79">
        <f>N1834</f>
        <v>0</v>
      </c>
      <c r="O1845" s="79">
        <f t="shared" si="941"/>
        <v>0</v>
      </c>
      <c r="P1845" s="79">
        <f>P1834</f>
        <v>0</v>
      </c>
      <c r="Q1845" s="79">
        <f>Q1834</f>
        <v>0</v>
      </c>
      <c r="R1845" s="79">
        <f t="shared" si="910"/>
        <v>0</v>
      </c>
      <c r="S1845" s="79">
        <f>S1834</f>
        <v>0</v>
      </c>
      <c r="U1845" s="80">
        <f t="shared" si="919"/>
        <v>0</v>
      </c>
      <c r="W1845" s="81" t="str">
        <f t="shared" si="911"/>
        <v xml:space="preserve"> </v>
      </c>
      <c r="X1845" s="81" t="str">
        <f t="shared" si="912"/>
        <v xml:space="preserve"> </v>
      </c>
      <c r="Y1845" s="81" t="str">
        <f t="shared" si="913"/>
        <v xml:space="preserve"> </v>
      </c>
      <c r="Z1845" s="79"/>
      <c r="AJ1845" s="66"/>
      <c r="AK1845" s="65"/>
    </row>
    <row r="1846" spans="1:37" hidden="1">
      <c r="A1846" s="65">
        <f t="shared" si="921"/>
        <v>28</v>
      </c>
      <c r="B1846" s="66" t="s">
        <v>664</v>
      </c>
      <c r="C1846" s="79">
        <v>0</v>
      </c>
      <c r="D1846" s="79">
        <v>0</v>
      </c>
      <c r="E1846" s="79">
        <v>0</v>
      </c>
      <c r="F1846" s="79">
        <f t="shared" si="939"/>
        <v>0</v>
      </c>
      <c r="G1846" s="79">
        <v>0</v>
      </c>
      <c r="H1846" s="79">
        <v>0</v>
      </c>
      <c r="I1846" s="79">
        <v>0</v>
      </c>
      <c r="J1846" s="79">
        <v>0</v>
      </c>
      <c r="K1846" s="79">
        <v>0</v>
      </c>
      <c r="L1846" s="79">
        <v>0</v>
      </c>
      <c r="M1846" s="79">
        <f t="shared" si="940"/>
        <v>0</v>
      </c>
      <c r="N1846" s="79">
        <v>0</v>
      </c>
      <c r="O1846" s="79">
        <f t="shared" si="941"/>
        <v>0</v>
      </c>
      <c r="P1846" s="79">
        <v>0</v>
      </c>
      <c r="Q1846" s="79">
        <v>0</v>
      </c>
      <c r="R1846" s="79">
        <f t="shared" si="910"/>
        <v>0</v>
      </c>
      <c r="S1846" s="79">
        <v>0</v>
      </c>
      <c r="U1846" s="80">
        <f t="shared" si="919"/>
        <v>0</v>
      </c>
      <c r="W1846" s="81" t="str">
        <f t="shared" si="911"/>
        <v xml:space="preserve"> </v>
      </c>
      <c r="X1846" s="81" t="str">
        <f t="shared" si="912"/>
        <v xml:space="preserve"> </v>
      </c>
      <c r="Y1846" s="81" t="str">
        <f t="shared" si="913"/>
        <v xml:space="preserve"> </v>
      </c>
      <c r="Z1846" s="79"/>
      <c r="AJ1846" s="66"/>
      <c r="AK1846" s="65"/>
    </row>
    <row r="1847" spans="1:37" hidden="1">
      <c r="A1847" s="65">
        <f t="shared" si="921"/>
        <v>29</v>
      </c>
      <c r="B1847" s="66" t="s">
        <v>168</v>
      </c>
      <c r="C1847" s="79">
        <v>0</v>
      </c>
      <c r="D1847" s="79">
        <v>0</v>
      </c>
      <c r="E1847" s="79">
        <v>0</v>
      </c>
      <c r="F1847" s="79">
        <f t="shared" si="939"/>
        <v>0</v>
      </c>
      <c r="G1847" s="79">
        <v>0</v>
      </c>
      <c r="H1847" s="79">
        <v>0</v>
      </c>
      <c r="I1847" s="79">
        <v>0</v>
      </c>
      <c r="J1847" s="79">
        <v>0</v>
      </c>
      <c r="K1847" s="79">
        <v>0</v>
      </c>
      <c r="L1847" s="79">
        <v>0</v>
      </c>
      <c r="M1847" s="79">
        <f t="shared" si="940"/>
        <v>0</v>
      </c>
      <c r="N1847" s="79">
        <v>0</v>
      </c>
      <c r="O1847" s="79">
        <f t="shared" si="941"/>
        <v>0</v>
      </c>
      <c r="P1847" s="79">
        <v>0</v>
      </c>
      <c r="Q1847" s="79">
        <v>0</v>
      </c>
      <c r="R1847" s="79">
        <f t="shared" si="910"/>
        <v>0</v>
      </c>
      <c r="S1847" s="79">
        <v>0</v>
      </c>
      <c r="U1847" s="80">
        <f t="shared" si="919"/>
        <v>0</v>
      </c>
      <c r="W1847" s="81" t="str">
        <f t="shared" si="911"/>
        <v xml:space="preserve"> </v>
      </c>
      <c r="X1847" s="81" t="str">
        <f t="shared" si="912"/>
        <v xml:space="preserve"> </v>
      </c>
      <c r="Y1847" s="81" t="str">
        <f t="shared" si="913"/>
        <v xml:space="preserve"> </v>
      </c>
      <c r="Z1847" s="79"/>
      <c r="AJ1847" s="66"/>
      <c r="AK1847" s="65"/>
    </row>
    <row r="1848" spans="1:37" hidden="1">
      <c r="A1848" s="65">
        <f t="shared" si="921"/>
        <v>30</v>
      </c>
      <c r="B1848" s="66" t="s">
        <v>671</v>
      </c>
      <c r="C1848" s="79">
        <f>C1835</f>
        <v>39238</v>
      </c>
      <c r="D1848" s="79">
        <f>D1835</f>
        <v>22830.985000000001</v>
      </c>
      <c r="E1848" s="79">
        <f>E1835</f>
        <v>674</v>
      </c>
      <c r="F1848" s="79">
        <f t="shared" si="939"/>
        <v>23504.985000000001</v>
      </c>
      <c r="G1848" s="79">
        <f t="shared" ref="G1848:L1848" si="944">G1835</f>
        <v>1670</v>
      </c>
      <c r="H1848" s="79">
        <f t="shared" si="944"/>
        <v>7687</v>
      </c>
      <c r="I1848" s="79">
        <f t="shared" si="944"/>
        <v>3732</v>
      </c>
      <c r="J1848" s="79">
        <f t="shared" si="944"/>
        <v>1376</v>
      </c>
      <c r="K1848" s="79">
        <f t="shared" si="944"/>
        <v>105</v>
      </c>
      <c r="L1848" s="79">
        <f t="shared" si="944"/>
        <v>79</v>
      </c>
      <c r="M1848" s="79">
        <f t="shared" si="940"/>
        <v>1560</v>
      </c>
      <c r="N1848" s="79">
        <f>N1835</f>
        <v>1084</v>
      </c>
      <c r="O1848" s="79">
        <f t="shared" si="941"/>
        <v>39237.985000000001</v>
      </c>
      <c r="P1848" s="79">
        <f>P1835</f>
        <v>5.0000000000000001E-3</v>
      </c>
      <c r="Q1848" s="79">
        <f>Q1835</f>
        <v>5.0000000000000001E-3</v>
      </c>
      <c r="R1848" s="79">
        <f t="shared" si="910"/>
        <v>0.01</v>
      </c>
      <c r="S1848" s="79">
        <f>S1835</f>
        <v>5.0000000000000001E-3</v>
      </c>
      <c r="U1848" s="80">
        <f t="shared" si="919"/>
        <v>0</v>
      </c>
      <c r="W1848" s="81">
        <f t="shared" si="911"/>
        <v>0.99999970000000005</v>
      </c>
      <c r="X1848" s="81">
        <f t="shared" si="912"/>
        <v>0.99999959999999999</v>
      </c>
      <c r="Y1848" s="81">
        <f t="shared" si="913"/>
        <v>9.9999999999999995E-8</v>
      </c>
      <c r="Z1848" s="79"/>
      <c r="AJ1848" s="66"/>
      <c r="AK1848" s="65"/>
    </row>
    <row r="1849" spans="1:37" hidden="1">
      <c r="A1849" s="65">
        <f t="shared" si="921"/>
        <v>31</v>
      </c>
      <c r="W1849" s="81" t="str">
        <f t="shared" si="911"/>
        <v xml:space="preserve"> </v>
      </c>
      <c r="X1849" s="81" t="str">
        <f t="shared" si="912"/>
        <v xml:space="preserve"> </v>
      </c>
      <c r="Y1849" s="81" t="str">
        <f t="shared" si="913"/>
        <v xml:space="preserve"> </v>
      </c>
      <c r="AJ1849" s="66"/>
      <c r="AK1849" s="65"/>
    </row>
    <row r="1850" spans="1:37" hidden="1">
      <c r="A1850" s="65">
        <f t="shared" si="921"/>
        <v>32</v>
      </c>
      <c r="B1850" s="65" t="s">
        <v>672</v>
      </c>
      <c r="C1850" s="79"/>
      <c r="D1850" s="79"/>
      <c r="E1850" s="79"/>
      <c r="F1850" s="79"/>
      <c r="G1850" s="79"/>
      <c r="H1850" s="79"/>
      <c r="I1850" s="79"/>
      <c r="J1850" s="79"/>
      <c r="K1850" s="79"/>
      <c r="L1850" s="79"/>
      <c r="M1850" s="79"/>
      <c r="N1850" s="79"/>
      <c r="O1850" s="79"/>
      <c r="P1850" s="79"/>
      <c r="Q1850" s="79"/>
      <c r="R1850" s="79"/>
      <c r="S1850" s="79"/>
      <c r="U1850" s="80"/>
      <c r="W1850" s="81" t="str">
        <f t="shared" si="911"/>
        <v xml:space="preserve"> </v>
      </c>
      <c r="X1850" s="81" t="str">
        <f t="shared" si="912"/>
        <v xml:space="preserve"> </v>
      </c>
      <c r="Y1850" s="81" t="str">
        <f t="shared" si="913"/>
        <v xml:space="preserve"> </v>
      </c>
      <c r="Z1850" s="79"/>
      <c r="AJ1850" s="66"/>
      <c r="AK1850" s="65"/>
    </row>
    <row r="1851" spans="1:37" hidden="1">
      <c r="B1851" s="66" t="s">
        <v>715</v>
      </c>
      <c r="C1851" s="79">
        <f>-C1827</f>
        <v>-39238</v>
      </c>
      <c r="D1851" s="79">
        <f>-D1827</f>
        <v>-22830.985000000001</v>
      </c>
      <c r="E1851" s="79">
        <f>-E1827</f>
        <v>-674</v>
      </c>
      <c r="F1851" s="79">
        <f>D1851+E1851</f>
        <v>-23504.985000000001</v>
      </c>
      <c r="G1851" s="79">
        <f t="shared" ref="G1851:L1851" si="945">-G1827</f>
        <v>-1670</v>
      </c>
      <c r="H1851" s="79">
        <f t="shared" si="945"/>
        <v>-7687</v>
      </c>
      <c r="I1851" s="79">
        <f t="shared" si="945"/>
        <v>-3732</v>
      </c>
      <c r="J1851" s="79">
        <f t="shared" si="945"/>
        <v>-1376</v>
      </c>
      <c r="K1851" s="79">
        <f t="shared" si="945"/>
        <v>-105</v>
      </c>
      <c r="L1851" s="79">
        <f t="shared" si="945"/>
        <v>-79</v>
      </c>
      <c r="M1851" s="79">
        <f>SUM(J1851:L1851)</f>
        <v>-1560</v>
      </c>
      <c r="N1851" s="79">
        <f>-N1827</f>
        <v>-1084</v>
      </c>
      <c r="O1851" s="79">
        <f>SUM(F1851:I1851)+SUM(M1851:N1851)</f>
        <v>-39237.985000000001</v>
      </c>
      <c r="P1851" s="79">
        <f>-P1827</f>
        <v>-5.0000000000000001E-3</v>
      </c>
      <c r="Q1851" s="79">
        <f>-Q1827</f>
        <v>-5.0000000000000001E-3</v>
      </c>
      <c r="R1851" s="79">
        <f t="shared" ref="R1851:R1864" si="946">P1851+Q1851</f>
        <v>-0.01</v>
      </c>
      <c r="S1851" s="79">
        <f>-S1827</f>
        <v>-5.0000000000000001E-3</v>
      </c>
      <c r="U1851" s="80">
        <f t="shared" ref="U1851:U1864" si="947">O1851+R1851+S1851-C1851</f>
        <v>0</v>
      </c>
      <c r="W1851" s="81">
        <f t="shared" si="911"/>
        <v>0.99999970000000005</v>
      </c>
      <c r="X1851" s="81">
        <f t="shared" si="912"/>
        <v>0.99999959999999999</v>
      </c>
      <c r="Y1851" s="81">
        <f t="shared" si="913"/>
        <v>9.9999999999999995E-8</v>
      </c>
      <c r="Z1851" s="79"/>
      <c r="AJ1851" s="66"/>
      <c r="AK1851" s="65"/>
    </row>
    <row r="1852" spans="1:37" hidden="1">
      <c r="C1852" s="79"/>
      <c r="D1852" s="79"/>
      <c r="E1852" s="79"/>
      <c r="F1852" s="79"/>
      <c r="G1852" s="79"/>
      <c r="H1852" s="79"/>
      <c r="I1852" s="79"/>
      <c r="J1852" s="79"/>
      <c r="K1852" s="79"/>
      <c r="L1852" s="79"/>
      <c r="M1852" s="79"/>
      <c r="N1852" s="79"/>
      <c r="O1852" s="79"/>
      <c r="P1852" s="79"/>
      <c r="Q1852" s="79"/>
      <c r="R1852" s="79"/>
      <c r="S1852" s="79"/>
      <c r="U1852" s="80"/>
      <c r="W1852" s="81" t="str">
        <f t="shared" si="911"/>
        <v xml:space="preserve"> </v>
      </c>
      <c r="X1852" s="81" t="str">
        <f t="shared" si="912"/>
        <v xml:space="preserve"> </v>
      </c>
      <c r="Y1852" s="81" t="str">
        <f t="shared" si="913"/>
        <v xml:space="preserve"> </v>
      </c>
      <c r="Z1852" s="79"/>
      <c r="AJ1852" s="66"/>
      <c r="AK1852" s="65"/>
    </row>
    <row r="1853" spans="1:37" hidden="1">
      <c r="A1853" s="65">
        <f>A1850+1</f>
        <v>33</v>
      </c>
      <c r="B1853" s="66" t="s">
        <v>673</v>
      </c>
      <c r="C1853" s="79">
        <f>C1836+C1851</f>
        <v>0</v>
      </c>
      <c r="D1853" s="79">
        <f>D1836+D1851</f>
        <v>0</v>
      </c>
      <c r="E1853" s="79">
        <f>E1836+E1851</f>
        <v>0</v>
      </c>
      <c r="F1853" s="79">
        <f>D1853+E1853</f>
        <v>0</v>
      </c>
      <c r="G1853" s="79">
        <f t="shared" ref="G1853:L1853" si="948">G1836+G1851</f>
        <v>0</v>
      </c>
      <c r="H1853" s="79">
        <f t="shared" si="948"/>
        <v>0</v>
      </c>
      <c r="I1853" s="79">
        <f t="shared" si="948"/>
        <v>0</v>
      </c>
      <c r="J1853" s="79">
        <f t="shared" si="948"/>
        <v>0</v>
      </c>
      <c r="K1853" s="79">
        <f t="shared" si="948"/>
        <v>0</v>
      </c>
      <c r="L1853" s="79">
        <f t="shared" si="948"/>
        <v>0</v>
      </c>
      <c r="M1853" s="79">
        <f t="shared" ref="M1853:M1864" si="949">SUM(J1853:L1853)</f>
        <v>0</v>
      </c>
      <c r="N1853" s="79">
        <f>N1836+N1851</f>
        <v>0</v>
      </c>
      <c r="O1853" s="79">
        <f>SUM(F1853:I1853)+SUM(M1853:N1853)</f>
        <v>0</v>
      </c>
      <c r="P1853" s="79">
        <f>P1836+P1851</f>
        <v>0</v>
      </c>
      <c r="Q1853" s="79">
        <f>Q1836+Q1851</f>
        <v>0</v>
      </c>
      <c r="R1853" s="79">
        <f t="shared" si="946"/>
        <v>0</v>
      </c>
      <c r="S1853" s="79">
        <f>S1836+S1851</f>
        <v>0</v>
      </c>
      <c r="U1853" s="80">
        <f t="shared" si="947"/>
        <v>0</v>
      </c>
      <c r="W1853" s="81" t="str">
        <f t="shared" si="911"/>
        <v xml:space="preserve"> </v>
      </c>
      <c r="X1853" s="81" t="str">
        <f t="shared" si="912"/>
        <v xml:space="preserve"> </v>
      </c>
      <c r="Y1853" s="81" t="str">
        <f t="shared" si="913"/>
        <v xml:space="preserve"> </v>
      </c>
      <c r="Z1853" s="79"/>
      <c r="AJ1853" s="66"/>
      <c r="AK1853" s="65"/>
    </row>
    <row r="1854" spans="1:37" hidden="1">
      <c r="B1854" s="66" t="s">
        <v>655</v>
      </c>
      <c r="C1854" s="79">
        <f t="shared" ref="C1854:E1864" si="950">C1837</f>
        <v>0</v>
      </c>
      <c r="D1854" s="79">
        <f t="shared" si="950"/>
        <v>0</v>
      </c>
      <c r="E1854" s="79">
        <f t="shared" si="950"/>
        <v>0</v>
      </c>
      <c r="F1854" s="79">
        <f t="shared" ref="F1854:F1864" si="951">D1854+E1854</f>
        <v>0</v>
      </c>
      <c r="G1854" s="79">
        <f t="shared" ref="G1854:L1864" si="952">G1837</f>
        <v>0</v>
      </c>
      <c r="H1854" s="79">
        <f t="shared" si="952"/>
        <v>0</v>
      </c>
      <c r="I1854" s="79">
        <f t="shared" si="952"/>
        <v>0</v>
      </c>
      <c r="J1854" s="79">
        <f t="shared" si="952"/>
        <v>0</v>
      </c>
      <c r="K1854" s="79">
        <f t="shared" si="952"/>
        <v>0</v>
      </c>
      <c r="L1854" s="79">
        <f t="shared" si="952"/>
        <v>0</v>
      </c>
      <c r="M1854" s="79">
        <f t="shared" si="949"/>
        <v>0</v>
      </c>
      <c r="N1854" s="79">
        <f t="shared" ref="N1854:N1864" si="953">N1837</f>
        <v>0</v>
      </c>
      <c r="O1854" s="79">
        <f t="shared" ref="O1854:O1860" si="954">SUM(F1854:I1854)+SUM(M1854:N1854)</f>
        <v>0</v>
      </c>
      <c r="P1854" s="79">
        <f t="shared" ref="P1854:Q1864" si="955">P1837</f>
        <v>0</v>
      </c>
      <c r="Q1854" s="79">
        <f t="shared" si="955"/>
        <v>0</v>
      </c>
      <c r="R1854" s="79">
        <f t="shared" si="946"/>
        <v>0</v>
      </c>
      <c r="S1854" s="79">
        <f t="shared" ref="S1854:S1864" si="956">S1837</f>
        <v>0</v>
      </c>
      <c r="U1854" s="80">
        <f t="shared" si="947"/>
        <v>0</v>
      </c>
      <c r="W1854" s="81" t="str">
        <f t="shared" si="911"/>
        <v xml:space="preserve"> </v>
      </c>
      <c r="X1854" s="81" t="str">
        <f t="shared" si="912"/>
        <v xml:space="preserve"> </v>
      </c>
      <c r="Y1854" s="81" t="str">
        <f t="shared" si="913"/>
        <v xml:space="preserve"> </v>
      </c>
      <c r="Z1854" s="79"/>
      <c r="AJ1854" s="66"/>
      <c r="AK1854" s="65"/>
    </row>
    <row r="1855" spans="1:37" hidden="1">
      <c r="A1855" s="65">
        <f>A1853+1</f>
        <v>34</v>
      </c>
      <c r="B1855" s="66" t="s">
        <v>656</v>
      </c>
      <c r="C1855" s="79">
        <f t="shared" si="950"/>
        <v>0</v>
      </c>
      <c r="D1855" s="79">
        <f t="shared" si="950"/>
        <v>0</v>
      </c>
      <c r="E1855" s="79">
        <f t="shared" si="950"/>
        <v>0</v>
      </c>
      <c r="F1855" s="79">
        <f t="shared" si="951"/>
        <v>0</v>
      </c>
      <c r="G1855" s="79">
        <f t="shared" si="952"/>
        <v>0</v>
      </c>
      <c r="H1855" s="79">
        <f t="shared" si="952"/>
        <v>0</v>
      </c>
      <c r="I1855" s="79">
        <f t="shared" si="952"/>
        <v>0</v>
      </c>
      <c r="J1855" s="79">
        <f t="shared" si="952"/>
        <v>0</v>
      </c>
      <c r="K1855" s="79">
        <f t="shared" si="952"/>
        <v>0</v>
      </c>
      <c r="L1855" s="79">
        <f t="shared" si="952"/>
        <v>0</v>
      </c>
      <c r="M1855" s="79">
        <f t="shared" si="949"/>
        <v>0</v>
      </c>
      <c r="N1855" s="79">
        <f t="shared" si="953"/>
        <v>0</v>
      </c>
      <c r="O1855" s="79">
        <f t="shared" si="954"/>
        <v>0</v>
      </c>
      <c r="P1855" s="79">
        <f t="shared" si="955"/>
        <v>0</v>
      </c>
      <c r="Q1855" s="79">
        <f t="shared" si="955"/>
        <v>0</v>
      </c>
      <c r="R1855" s="79">
        <f t="shared" si="946"/>
        <v>0</v>
      </c>
      <c r="S1855" s="79">
        <f t="shared" si="956"/>
        <v>0</v>
      </c>
      <c r="U1855" s="80">
        <f t="shared" si="947"/>
        <v>0</v>
      </c>
      <c r="W1855" s="81" t="str">
        <f t="shared" si="911"/>
        <v xml:space="preserve"> </v>
      </c>
      <c r="X1855" s="81" t="str">
        <f t="shared" si="912"/>
        <v xml:space="preserve"> </v>
      </c>
      <c r="Y1855" s="81" t="str">
        <f t="shared" si="913"/>
        <v xml:space="preserve"> </v>
      </c>
      <c r="Z1855" s="79"/>
      <c r="AJ1855" s="66"/>
      <c r="AK1855" s="65"/>
    </row>
    <row r="1856" spans="1:37" hidden="1">
      <c r="A1856" s="65">
        <f t="shared" ref="A1856:A1866" si="957">A1855+1</f>
        <v>35</v>
      </c>
      <c r="B1856" s="66" t="s">
        <v>657</v>
      </c>
      <c r="C1856" s="79">
        <f t="shared" si="950"/>
        <v>0</v>
      </c>
      <c r="D1856" s="79">
        <f t="shared" si="950"/>
        <v>0</v>
      </c>
      <c r="E1856" s="79">
        <f t="shared" si="950"/>
        <v>0</v>
      </c>
      <c r="F1856" s="79">
        <f t="shared" si="951"/>
        <v>0</v>
      </c>
      <c r="G1856" s="79">
        <f t="shared" si="952"/>
        <v>0</v>
      </c>
      <c r="H1856" s="79">
        <f t="shared" si="952"/>
        <v>0</v>
      </c>
      <c r="I1856" s="79">
        <f t="shared" si="952"/>
        <v>0</v>
      </c>
      <c r="J1856" s="79">
        <f t="shared" si="952"/>
        <v>0</v>
      </c>
      <c r="K1856" s="79">
        <f t="shared" si="952"/>
        <v>0</v>
      </c>
      <c r="L1856" s="79">
        <f t="shared" si="952"/>
        <v>0</v>
      </c>
      <c r="M1856" s="79">
        <f t="shared" si="949"/>
        <v>0</v>
      </c>
      <c r="N1856" s="79">
        <f t="shared" si="953"/>
        <v>0</v>
      </c>
      <c r="O1856" s="79">
        <f t="shared" si="954"/>
        <v>0</v>
      </c>
      <c r="P1856" s="79">
        <f t="shared" si="955"/>
        <v>0</v>
      </c>
      <c r="Q1856" s="79">
        <f t="shared" si="955"/>
        <v>0</v>
      </c>
      <c r="R1856" s="79">
        <f t="shared" si="946"/>
        <v>0</v>
      </c>
      <c r="S1856" s="79">
        <f t="shared" si="956"/>
        <v>0</v>
      </c>
      <c r="U1856" s="80">
        <f t="shared" si="947"/>
        <v>0</v>
      </c>
      <c r="W1856" s="81" t="str">
        <f t="shared" si="911"/>
        <v xml:space="preserve"> </v>
      </c>
      <c r="X1856" s="81" t="str">
        <f t="shared" si="912"/>
        <v xml:space="preserve"> </v>
      </c>
      <c r="Y1856" s="81" t="str">
        <f t="shared" si="913"/>
        <v xml:space="preserve"> </v>
      </c>
      <c r="Z1856" s="79"/>
      <c r="AJ1856" s="66"/>
      <c r="AK1856" s="65"/>
    </row>
    <row r="1857" spans="1:37" hidden="1">
      <c r="A1857" s="65">
        <f t="shared" si="957"/>
        <v>36</v>
      </c>
      <c r="B1857" s="66" t="s">
        <v>658</v>
      </c>
      <c r="C1857" s="79">
        <f t="shared" si="950"/>
        <v>0</v>
      </c>
      <c r="D1857" s="79">
        <f t="shared" si="950"/>
        <v>0</v>
      </c>
      <c r="E1857" s="79">
        <f t="shared" si="950"/>
        <v>0</v>
      </c>
      <c r="F1857" s="79">
        <f t="shared" si="951"/>
        <v>0</v>
      </c>
      <c r="G1857" s="79">
        <f t="shared" si="952"/>
        <v>0</v>
      </c>
      <c r="H1857" s="79">
        <f t="shared" si="952"/>
        <v>0</v>
      </c>
      <c r="I1857" s="79">
        <f t="shared" si="952"/>
        <v>0</v>
      </c>
      <c r="J1857" s="79">
        <f t="shared" si="952"/>
        <v>0</v>
      </c>
      <c r="K1857" s="79">
        <f t="shared" si="952"/>
        <v>0</v>
      </c>
      <c r="L1857" s="79">
        <f t="shared" si="952"/>
        <v>0</v>
      </c>
      <c r="M1857" s="79">
        <f t="shared" si="949"/>
        <v>0</v>
      </c>
      <c r="N1857" s="79">
        <f t="shared" si="953"/>
        <v>0</v>
      </c>
      <c r="O1857" s="79">
        <f t="shared" si="954"/>
        <v>0</v>
      </c>
      <c r="P1857" s="79">
        <f t="shared" si="955"/>
        <v>0</v>
      </c>
      <c r="Q1857" s="79">
        <f t="shared" si="955"/>
        <v>0</v>
      </c>
      <c r="R1857" s="79">
        <f t="shared" si="946"/>
        <v>0</v>
      </c>
      <c r="S1857" s="79">
        <f t="shared" si="956"/>
        <v>0</v>
      </c>
      <c r="U1857" s="80">
        <f t="shared" si="947"/>
        <v>0</v>
      </c>
      <c r="W1857" s="81" t="str">
        <f t="shared" si="911"/>
        <v xml:space="preserve"> </v>
      </c>
      <c r="X1857" s="81" t="str">
        <f t="shared" si="912"/>
        <v xml:space="preserve"> </v>
      </c>
      <c r="Y1857" s="81" t="str">
        <f t="shared" si="913"/>
        <v xml:space="preserve"> </v>
      </c>
      <c r="Z1857" s="79"/>
      <c r="AJ1857" s="66"/>
      <c r="AK1857" s="65"/>
    </row>
    <row r="1858" spans="1:37" hidden="1">
      <c r="A1858" s="65">
        <f t="shared" si="957"/>
        <v>37</v>
      </c>
      <c r="B1858" s="66" t="s">
        <v>659</v>
      </c>
      <c r="C1858" s="79">
        <f t="shared" si="950"/>
        <v>0</v>
      </c>
      <c r="D1858" s="79">
        <f t="shared" si="950"/>
        <v>0</v>
      </c>
      <c r="E1858" s="79">
        <f t="shared" si="950"/>
        <v>0</v>
      </c>
      <c r="F1858" s="79">
        <f t="shared" si="951"/>
        <v>0</v>
      </c>
      <c r="G1858" s="79">
        <f t="shared" si="952"/>
        <v>0</v>
      </c>
      <c r="H1858" s="79">
        <f t="shared" si="952"/>
        <v>0</v>
      </c>
      <c r="I1858" s="79">
        <f t="shared" si="952"/>
        <v>0</v>
      </c>
      <c r="J1858" s="79">
        <f t="shared" si="952"/>
        <v>0</v>
      </c>
      <c r="K1858" s="79">
        <f t="shared" si="952"/>
        <v>0</v>
      </c>
      <c r="L1858" s="79">
        <f t="shared" si="952"/>
        <v>0</v>
      </c>
      <c r="M1858" s="79">
        <f t="shared" si="949"/>
        <v>0</v>
      </c>
      <c r="N1858" s="79">
        <f t="shared" si="953"/>
        <v>0</v>
      </c>
      <c r="O1858" s="79">
        <f t="shared" si="954"/>
        <v>0</v>
      </c>
      <c r="P1858" s="79">
        <f t="shared" si="955"/>
        <v>0</v>
      </c>
      <c r="Q1858" s="79">
        <f t="shared" si="955"/>
        <v>0</v>
      </c>
      <c r="R1858" s="79">
        <f t="shared" si="946"/>
        <v>0</v>
      </c>
      <c r="S1858" s="79">
        <f t="shared" si="956"/>
        <v>0</v>
      </c>
      <c r="U1858" s="80">
        <f t="shared" si="947"/>
        <v>0</v>
      </c>
      <c r="W1858" s="81" t="str">
        <f t="shared" si="911"/>
        <v xml:space="preserve"> </v>
      </c>
      <c r="X1858" s="81" t="str">
        <f t="shared" si="912"/>
        <v xml:space="preserve"> </v>
      </c>
      <c r="Y1858" s="81" t="str">
        <f t="shared" si="913"/>
        <v xml:space="preserve"> </v>
      </c>
      <c r="Z1858" s="79"/>
      <c r="AJ1858" s="66"/>
      <c r="AK1858" s="65"/>
    </row>
    <row r="1859" spans="1:37" hidden="1">
      <c r="A1859" s="65">
        <f t="shared" si="957"/>
        <v>38</v>
      </c>
      <c r="B1859" s="66" t="s">
        <v>660</v>
      </c>
      <c r="C1859" s="79">
        <f t="shared" si="950"/>
        <v>0</v>
      </c>
      <c r="D1859" s="79">
        <f t="shared" si="950"/>
        <v>0</v>
      </c>
      <c r="E1859" s="79">
        <f t="shared" si="950"/>
        <v>0</v>
      </c>
      <c r="F1859" s="79">
        <f t="shared" si="951"/>
        <v>0</v>
      </c>
      <c r="G1859" s="79">
        <f t="shared" si="952"/>
        <v>0</v>
      </c>
      <c r="H1859" s="79">
        <f t="shared" si="952"/>
        <v>0</v>
      </c>
      <c r="I1859" s="79">
        <f t="shared" si="952"/>
        <v>0</v>
      </c>
      <c r="J1859" s="79">
        <f t="shared" si="952"/>
        <v>0</v>
      </c>
      <c r="K1859" s="79">
        <f t="shared" si="952"/>
        <v>0</v>
      </c>
      <c r="L1859" s="79">
        <f t="shared" si="952"/>
        <v>0</v>
      </c>
      <c r="M1859" s="79">
        <f t="shared" si="949"/>
        <v>0</v>
      </c>
      <c r="N1859" s="79">
        <f t="shared" si="953"/>
        <v>0</v>
      </c>
      <c r="O1859" s="79">
        <f t="shared" si="954"/>
        <v>0</v>
      </c>
      <c r="P1859" s="79">
        <f t="shared" si="955"/>
        <v>0</v>
      </c>
      <c r="Q1859" s="79">
        <f t="shared" si="955"/>
        <v>0</v>
      </c>
      <c r="R1859" s="79">
        <f t="shared" si="946"/>
        <v>0</v>
      </c>
      <c r="S1859" s="79">
        <f t="shared" si="956"/>
        <v>0</v>
      </c>
      <c r="U1859" s="80">
        <f t="shared" si="947"/>
        <v>0</v>
      </c>
      <c r="W1859" s="81" t="str">
        <f t="shared" si="911"/>
        <v xml:space="preserve"> </v>
      </c>
      <c r="X1859" s="81" t="str">
        <f t="shared" si="912"/>
        <v xml:space="preserve"> </v>
      </c>
      <c r="Y1859" s="81" t="str">
        <f t="shared" si="913"/>
        <v xml:space="preserve"> </v>
      </c>
      <c r="Z1859" s="79"/>
      <c r="AJ1859" s="66"/>
      <c r="AK1859" s="65"/>
    </row>
    <row r="1860" spans="1:37" hidden="1">
      <c r="A1860" s="65">
        <f t="shared" si="957"/>
        <v>39</v>
      </c>
      <c r="B1860" s="66" t="s">
        <v>661</v>
      </c>
      <c r="C1860" s="79">
        <f t="shared" si="950"/>
        <v>0</v>
      </c>
      <c r="D1860" s="79">
        <f t="shared" si="950"/>
        <v>0</v>
      </c>
      <c r="E1860" s="79">
        <f t="shared" si="950"/>
        <v>0</v>
      </c>
      <c r="F1860" s="79">
        <f t="shared" si="951"/>
        <v>0</v>
      </c>
      <c r="G1860" s="79">
        <f t="shared" si="952"/>
        <v>0</v>
      </c>
      <c r="H1860" s="79">
        <f t="shared" si="952"/>
        <v>0</v>
      </c>
      <c r="I1860" s="79">
        <f t="shared" si="952"/>
        <v>0</v>
      </c>
      <c r="J1860" s="79">
        <f t="shared" si="952"/>
        <v>0</v>
      </c>
      <c r="K1860" s="79">
        <f t="shared" si="952"/>
        <v>0</v>
      </c>
      <c r="L1860" s="79">
        <f t="shared" si="952"/>
        <v>0</v>
      </c>
      <c r="M1860" s="79">
        <f t="shared" si="949"/>
        <v>0</v>
      </c>
      <c r="N1860" s="79">
        <f t="shared" si="953"/>
        <v>0</v>
      </c>
      <c r="O1860" s="79">
        <f t="shared" si="954"/>
        <v>0</v>
      </c>
      <c r="P1860" s="79">
        <f t="shared" si="955"/>
        <v>0</v>
      </c>
      <c r="Q1860" s="79">
        <f t="shared" si="955"/>
        <v>0</v>
      </c>
      <c r="R1860" s="79">
        <f t="shared" si="946"/>
        <v>0</v>
      </c>
      <c r="S1860" s="79">
        <f t="shared" si="956"/>
        <v>0</v>
      </c>
      <c r="U1860" s="80">
        <f t="shared" si="947"/>
        <v>0</v>
      </c>
      <c r="W1860" s="81" t="str">
        <f t="shared" si="911"/>
        <v xml:space="preserve"> </v>
      </c>
      <c r="X1860" s="81" t="str">
        <f t="shared" si="912"/>
        <v xml:space="preserve"> </v>
      </c>
      <c r="Y1860" s="81" t="str">
        <f t="shared" si="913"/>
        <v xml:space="preserve"> </v>
      </c>
      <c r="Z1860" s="79"/>
      <c r="AJ1860" s="66"/>
      <c r="AK1860" s="65"/>
    </row>
    <row r="1861" spans="1:37" hidden="1">
      <c r="A1861" s="65">
        <f t="shared" si="957"/>
        <v>40</v>
      </c>
      <c r="B1861" s="66" t="s">
        <v>662</v>
      </c>
      <c r="C1861" s="79">
        <f t="shared" si="950"/>
        <v>0</v>
      </c>
      <c r="D1861" s="79">
        <f t="shared" si="950"/>
        <v>0</v>
      </c>
      <c r="E1861" s="79">
        <f t="shared" si="950"/>
        <v>0</v>
      </c>
      <c r="F1861" s="79">
        <f>D1861+E1861</f>
        <v>0</v>
      </c>
      <c r="G1861" s="79">
        <f t="shared" si="952"/>
        <v>0</v>
      </c>
      <c r="H1861" s="79">
        <f t="shared" si="952"/>
        <v>0</v>
      </c>
      <c r="I1861" s="79">
        <f t="shared" si="952"/>
        <v>0</v>
      </c>
      <c r="J1861" s="79">
        <f t="shared" si="952"/>
        <v>0</v>
      </c>
      <c r="K1861" s="79">
        <f t="shared" si="952"/>
        <v>0</v>
      </c>
      <c r="L1861" s="79">
        <f t="shared" si="952"/>
        <v>0</v>
      </c>
      <c r="M1861" s="79">
        <f t="shared" si="949"/>
        <v>0</v>
      </c>
      <c r="N1861" s="79">
        <f t="shared" si="953"/>
        <v>0</v>
      </c>
      <c r="O1861" s="79">
        <f>SUM(F1861:I1861)+SUM(M1861:N1861)</f>
        <v>0</v>
      </c>
      <c r="P1861" s="79">
        <f t="shared" si="955"/>
        <v>0</v>
      </c>
      <c r="Q1861" s="79">
        <f t="shared" si="955"/>
        <v>0</v>
      </c>
      <c r="R1861" s="79">
        <f t="shared" si="946"/>
        <v>0</v>
      </c>
      <c r="S1861" s="79">
        <f t="shared" si="956"/>
        <v>0</v>
      </c>
      <c r="U1861" s="80">
        <f t="shared" si="947"/>
        <v>0</v>
      </c>
      <c r="W1861" s="81" t="str">
        <f t="shared" si="911"/>
        <v xml:space="preserve"> </v>
      </c>
      <c r="X1861" s="81" t="str">
        <f t="shared" si="912"/>
        <v xml:space="preserve"> </v>
      </c>
      <c r="Y1861" s="81" t="str">
        <f t="shared" si="913"/>
        <v xml:space="preserve"> </v>
      </c>
      <c r="Z1861" s="79"/>
      <c r="AJ1861" s="66"/>
      <c r="AK1861" s="65"/>
    </row>
    <row r="1862" spans="1:37" hidden="1">
      <c r="A1862" s="65">
        <f t="shared" si="957"/>
        <v>41</v>
      </c>
      <c r="B1862" s="66" t="s">
        <v>663</v>
      </c>
      <c r="C1862" s="79">
        <f t="shared" si="950"/>
        <v>0</v>
      </c>
      <c r="D1862" s="79">
        <f t="shared" si="950"/>
        <v>0</v>
      </c>
      <c r="E1862" s="79">
        <f t="shared" si="950"/>
        <v>0</v>
      </c>
      <c r="F1862" s="79">
        <f>D1862+E1862</f>
        <v>0</v>
      </c>
      <c r="G1862" s="79">
        <f t="shared" si="952"/>
        <v>0</v>
      </c>
      <c r="H1862" s="79">
        <f t="shared" si="952"/>
        <v>0</v>
      </c>
      <c r="I1862" s="79">
        <f t="shared" si="952"/>
        <v>0</v>
      </c>
      <c r="J1862" s="79">
        <f t="shared" si="952"/>
        <v>0</v>
      </c>
      <c r="K1862" s="79">
        <f t="shared" si="952"/>
        <v>0</v>
      </c>
      <c r="L1862" s="79">
        <f t="shared" si="952"/>
        <v>0</v>
      </c>
      <c r="M1862" s="79">
        <f t="shared" si="949"/>
        <v>0</v>
      </c>
      <c r="N1862" s="79">
        <f t="shared" si="953"/>
        <v>0</v>
      </c>
      <c r="O1862" s="79">
        <f>SUM(F1862:I1862)+SUM(M1862:N1862)</f>
        <v>0</v>
      </c>
      <c r="P1862" s="79">
        <f t="shared" si="955"/>
        <v>0</v>
      </c>
      <c r="Q1862" s="79">
        <f t="shared" si="955"/>
        <v>0</v>
      </c>
      <c r="R1862" s="79">
        <f t="shared" si="946"/>
        <v>0</v>
      </c>
      <c r="S1862" s="79">
        <f t="shared" si="956"/>
        <v>0</v>
      </c>
      <c r="U1862" s="80">
        <f t="shared" si="947"/>
        <v>0</v>
      </c>
      <c r="W1862" s="81" t="str">
        <f t="shared" si="911"/>
        <v xml:space="preserve"> </v>
      </c>
      <c r="X1862" s="81" t="str">
        <f t="shared" si="912"/>
        <v xml:space="preserve"> </v>
      </c>
      <c r="Y1862" s="81" t="str">
        <f t="shared" si="913"/>
        <v xml:space="preserve"> </v>
      </c>
      <c r="Z1862" s="79"/>
      <c r="AJ1862" s="66"/>
      <c r="AK1862" s="65"/>
    </row>
    <row r="1863" spans="1:37" hidden="1">
      <c r="A1863" s="65">
        <f t="shared" si="957"/>
        <v>42</v>
      </c>
      <c r="B1863" s="66" t="s">
        <v>664</v>
      </c>
      <c r="C1863" s="79">
        <f t="shared" si="950"/>
        <v>0</v>
      </c>
      <c r="D1863" s="79">
        <f t="shared" si="950"/>
        <v>0</v>
      </c>
      <c r="E1863" s="79">
        <f t="shared" si="950"/>
        <v>0</v>
      </c>
      <c r="F1863" s="79">
        <f>D1863+E1863</f>
        <v>0</v>
      </c>
      <c r="G1863" s="79">
        <f t="shared" si="952"/>
        <v>0</v>
      </c>
      <c r="H1863" s="79">
        <f t="shared" si="952"/>
        <v>0</v>
      </c>
      <c r="I1863" s="79">
        <f t="shared" si="952"/>
        <v>0</v>
      </c>
      <c r="J1863" s="79">
        <f t="shared" si="952"/>
        <v>0</v>
      </c>
      <c r="K1863" s="79">
        <f t="shared" si="952"/>
        <v>0</v>
      </c>
      <c r="L1863" s="79">
        <f t="shared" si="952"/>
        <v>0</v>
      </c>
      <c r="M1863" s="79">
        <f t="shared" si="949"/>
        <v>0</v>
      </c>
      <c r="N1863" s="79">
        <f t="shared" si="953"/>
        <v>0</v>
      </c>
      <c r="O1863" s="79">
        <f>SUM(F1863:I1863)+SUM(M1863:N1863)</f>
        <v>0</v>
      </c>
      <c r="P1863" s="79">
        <f t="shared" si="955"/>
        <v>0</v>
      </c>
      <c r="Q1863" s="79">
        <f t="shared" si="955"/>
        <v>0</v>
      </c>
      <c r="R1863" s="79">
        <f t="shared" si="946"/>
        <v>0</v>
      </c>
      <c r="S1863" s="79">
        <f t="shared" si="956"/>
        <v>0</v>
      </c>
      <c r="U1863" s="80">
        <f t="shared" si="947"/>
        <v>0</v>
      </c>
      <c r="W1863" s="81" t="str">
        <f t="shared" si="911"/>
        <v xml:space="preserve"> </v>
      </c>
      <c r="X1863" s="81" t="str">
        <f t="shared" si="912"/>
        <v xml:space="preserve"> </v>
      </c>
      <c r="Y1863" s="81" t="str">
        <f t="shared" si="913"/>
        <v xml:space="preserve"> </v>
      </c>
      <c r="Z1863" s="79"/>
      <c r="AJ1863" s="66"/>
      <c r="AK1863" s="65"/>
    </row>
    <row r="1864" spans="1:37" hidden="1">
      <c r="A1864" s="65">
        <f t="shared" si="957"/>
        <v>43</v>
      </c>
      <c r="B1864" s="66" t="s">
        <v>168</v>
      </c>
      <c r="C1864" s="79">
        <f t="shared" si="950"/>
        <v>0</v>
      </c>
      <c r="D1864" s="79">
        <f t="shared" si="950"/>
        <v>0</v>
      </c>
      <c r="E1864" s="79">
        <f t="shared" si="950"/>
        <v>0</v>
      </c>
      <c r="F1864" s="79">
        <f t="shared" si="951"/>
        <v>0</v>
      </c>
      <c r="G1864" s="79">
        <f t="shared" si="952"/>
        <v>0</v>
      </c>
      <c r="H1864" s="79">
        <f t="shared" si="952"/>
        <v>0</v>
      </c>
      <c r="I1864" s="79">
        <f t="shared" si="952"/>
        <v>0</v>
      </c>
      <c r="J1864" s="79">
        <f t="shared" si="952"/>
        <v>0</v>
      </c>
      <c r="K1864" s="79">
        <f t="shared" si="952"/>
        <v>0</v>
      </c>
      <c r="L1864" s="79">
        <f t="shared" si="952"/>
        <v>0</v>
      </c>
      <c r="M1864" s="79">
        <f t="shared" si="949"/>
        <v>0</v>
      </c>
      <c r="N1864" s="79">
        <f t="shared" si="953"/>
        <v>0</v>
      </c>
      <c r="O1864" s="79">
        <f>SUM(F1864:I1864)+SUM(M1864:N1864)</f>
        <v>0</v>
      </c>
      <c r="P1864" s="79">
        <f t="shared" si="955"/>
        <v>0</v>
      </c>
      <c r="Q1864" s="79">
        <f t="shared" si="955"/>
        <v>0</v>
      </c>
      <c r="R1864" s="79">
        <f t="shared" si="946"/>
        <v>0</v>
      </c>
      <c r="S1864" s="79">
        <f t="shared" si="956"/>
        <v>0</v>
      </c>
      <c r="U1864" s="80">
        <f t="shared" si="947"/>
        <v>0</v>
      </c>
      <c r="W1864" s="81" t="str">
        <f t="shared" si="911"/>
        <v xml:space="preserve"> </v>
      </c>
      <c r="X1864" s="81" t="str">
        <f t="shared" si="912"/>
        <v xml:space="preserve"> </v>
      </c>
      <c r="Y1864" s="81" t="str">
        <f t="shared" si="913"/>
        <v xml:space="preserve"> </v>
      </c>
      <c r="Z1864" s="79"/>
      <c r="AJ1864" s="66"/>
      <c r="AK1864" s="65"/>
    </row>
    <row r="1865" spans="1:37" hidden="1">
      <c r="A1865" s="65">
        <f t="shared" si="957"/>
        <v>44</v>
      </c>
      <c r="W1865" s="81"/>
      <c r="X1865" s="81"/>
      <c r="Y1865" s="81"/>
      <c r="AJ1865" s="66"/>
      <c r="AK1865" s="65"/>
    </row>
    <row r="1866" spans="1:37" hidden="1">
      <c r="A1866" s="65">
        <f t="shared" si="957"/>
        <v>45</v>
      </c>
      <c r="W1866" s="81"/>
      <c r="X1866" s="81"/>
      <c r="Y1866" s="81"/>
      <c r="AJ1866" s="66"/>
      <c r="AK1866" s="65"/>
    </row>
    <row r="1867" spans="1:37" hidden="1">
      <c r="U1867" s="66"/>
      <c r="V1867" s="66"/>
      <c r="AJ1867" s="66"/>
      <c r="AK1867" s="65"/>
    </row>
    <row r="1868" spans="1:37" hidden="1">
      <c r="W1868" s="81"/>
      <c r="X1868" s="81"/>
      <c r="Y1868" s="81"/>
      <c r="AJ1868" s="66"/>
      <c r="AK1868" s="65"/>
    </row>
    <row r="1869" spans="1:37" hidden="1">
      <c r="A1869" s="66"/>
      <c r="W1869" s="81"/>
      <c r="X1869" s="81"/>
      <c r="Y1869" s="81"/>
      <c r="AJ1869" s="66"/>
      <c r="AK1869" s="65"/>
    </row>
    <row r="1870" spans="1:37" hidden="1">
      <c r="B1870" s="72"/>
      <c r="C1870" s="79"/>
      <c r="H1870" s="65" t="s">
        <v>80</v>
      </c>
      <c r="I1870" s="79"/>
      <c r="J1870" s="79"/>
      <c r="K1870" s="79"/>
      <c r="L1870" s="79"/>
      <c r="M1870" s="79"/>
      <c r="Q1870" s="65" t="s">
        <v>80</v>
      </c>
      <c r="R1870" s="79"/>
      <c r="S1870" s="79"/>
      <c r="U1870" s="80"/>
      <c r="W1870" s="81"/>
      <c r="X1870" s="81"/>
      <c r="Y1870" s="81"/>
      <c r="Z1870" s="65"/>
      <c r="AJ1870" s="66"/>
      <c r="AK1870" s="65"/>
    </row>
    <row r="1871" spans="1:37" hidden="1">
      <c r="B1871" s="72"/>
      <c r="C1871" s="79"/>
      <c r="H1871" s="70" t="str">
        <f>H24</f>
        <v>12 MONTHS ENDING DECEMBER 31, 2012</v>
      </c>
      <c r="I1871" s="79"/>
      <c r="J1871" s="79"/>
      <c r="K1871" s="79"/>
      <c r="L1871" s="79"/>
      <c r="M1871" s="79"/>
      <c r="Q1871" s="70" t="str">
        <f>Q24</f>
        <v>12 MONTHS ENDING DECEMBER 31, 2012</v>
      </c>
      <c r="S1871" s="79"/>
      <c r="U1871" s="80"/>
      <c r="X1871" s="81"/>
      <c r="Y1871" s="81"/>
      <c r="Z1871" s="70"/>
      <c r="AJ1871" s="66"/>
      <c r="AK1871" s="65"/>
    </row>
    <row r="1872" spans="1:37" hidden="1">
      <c r="C1872" s="79"/>
      <c r="H1872" s="70" t="str">
        <f>$H$25</f>
        <v>12/13 DEMAND ALLOCATION WITH MDS METHODOLOGY</v>
      </c>
      <c r="Q1872" s="70" t="str">
        <f>$H$25</f>
        <v>12/13 DEMAND ALLOCATION WITH MDS METHODOLOGY</v>
      </c>
      <c r="S1872" s="79"/>
      <c r="X1872" s="81"/>
      <c r="Y1872" s="81"/>
      <c r="Z1872" s="70"/>
      <c r="AJ1872" s="66"/>
      <c r="AK1872" s="65"/>
    </row>
    <row r="1873" spans="1:37" hidden="1">
      <c r="C1873" s="79"/>
      <c r="H1873" s="80" t="s">
        <v>716</v>
      </c>
      <c r="J1873" s="79"/>
      <c r="K1873" s="79"/>
      <c r="L1873" s="79"/>
      <c r="M1873" s="79"/>
      <c r="Q1873" s="80" t="s">
        <v>716</v>
      </c>
      <c r="S1873" s="79"/>
      <c r="U1873" s="80"/>
      <c r="X1873" s="81"/>
      <c r="Y1873" s="81"/>
      <c r="Z1873" s="80"/>
      <c r="AJ1873" s="66"/>
      <c r="AK1873" s="65"/>
    </row>
    <row r="1874" spans="1:37" hidden="1">
      <c r="C1874" s="79"/>
      <c r="H1874" s="87" t="s">
        <v>114</v>
      </c>
      <c r="J1874" s="79"/>
      <c r="K1874" s="79"/>
      <c r="L1874" s="79"/>
      <c r="M1874" s="79"/>
      <c r="Q1874" s="87" t="s">
        <v>114</v>
      </c>
      <c r="S1874" s="79"/>
      <c r="U1874" s="80"/>
      <c r="X1874" s="81"/>
      <c r="Y1874" s="81"/>
      <c r="Z1874" s="87"/>
      <c r="AJ1874" s="66"/>
      <c r="AK1874" s="65"/>
    </row>
    <row r="1875" spans="1:37" hidden="1">
      <c r="H1875" s="70" t="s">
        <v>717</v>
      </c>
      <c r="Q1875" s="65" t="s">
        <v>718</v>
      </c>
      <c r="V1875" s="66"/>
      <c r="X1875" s="81"/>
      <c r="Y1875" s="81"/>
      <c r="Z1875" s="65"/>
      <c r="AJ1875" s="66"/>
      <c r="AK1875" s="65"/>
    </row>
    <row r="1876" spans="1:37" hidden="1">
      <c r="H1876" s="70"/>
      <c r="O1876" s="70"/>
      <c r="Q1876" s="65"/>
      <c r="X1876" s="81"/>
      <c r="Y1876" s="81"/>
      <c r="AJ1876" s="66"/>
      <c r="AK1876" s="65"/>
    </row>
    <row r="1877" spans="1:37" hidden="1">
      <c r="A1877" s="66"/>
      <c r="C1877" s="65" t="s">
        <v>59</v>
      </c>
      <c r="K1877" s="65"/>
      <c r="L1877" s="65"/>
      <c r="M1877" s="65"/>
      <c r="O1877" s="65" t="s">
        <v>59</v>
      </c>
      <c r="P1877" s="65"/>
      <c r="Q1877" s="65"/>
      <c r="R1877" s="65"/>
      <c r="S1877" s="65" t="s">
        <v>115</v>
      </c>
      <c r="W1877" s="76" t="s">
        <v>116</v>
      </c>
      <c r="X1877" s="76" t="s">
        <v>116</v>
      </c>
      <c r="Y1877" s="76" t="s">
        <v>117</v>
      </c>
      <c r="AJ1877" s="66"/>
      <c r="AK1877" s="65"/>
    </row>
    <row r="1878" spans="1:37" hidden="1">
      <c r="C1878" s="65" t="s">
        <v>58</v>
      </c>
      <c r="D1878" s="70" t="s">
        <v>119</v>
      </c>
      <c r="E1878" s="70" t="s">
        <v>119</v>
      </c>
      <c r="F1878" s="70" t="s">
        <v>119</v>
      </c>
      <c r="G1878" s="70" t="s">
        <v>119</v>
      </c>
      <c r="H1878" s="70" t="s">
        <v>119</v>
      </c>
      <c r="I1878" s="70" t="s">
        <v>119</v>
      </c>
      <c r="J1878" s="70" t="s">
        <v>119</v>
      </c>
      <c r="K1878" s="70" t="s">
        <v>119</v>
      </c>
      <c r="L1878" s="70" t="s">
        <v>119</v>
      </c>
      <c r="M1878" s="70" t="s">
        <v>119</v>
      </c>
      <c r="N1878" s="70" t="s">
        <v>119</v>
      </c>
      <c r="O1878" s="65" t="s">
        <v>116</v>
      </c>
      <c r="P1878" s="65"/>
      <c r="Q1878" s="70" t="s">
        <v>120</v>
      </c>
      <c r="R1878" s="65"/>
      <c r="S1878" s="65" t="s">
        <v>121</v>
      </c>
      <c r="W1878" s="76" t="s">
        <v>122</v>
      </c>
      <c r="X1878" s="76" t="s">
        <v>123</v>
      </c>
      <c r="Y1878" s="76" t="s">
        <v>124</v>
      </c>
      <c r="Z1878" s="65"/>
      <c r="AJ1878" s="66"/>
      <c r="AK1878" s="65"/>
    </row>
    <row r="1879" spans="1:37" hidden="1">
      <c r="B1879" s="65" t="s">
        <v>126</v>
      </c>
      <c r="C1879" s="65" t="s">
        <v>57</v>
      </c>
      <c r="D1879" s="70" t="s">
        <v>127</v>
      </c>
      <c r="E1879" s="70" t="s">
        <v>128</v>
      </c>
      <c r="F1879" s="70" t="s">
        <v>129</v>
      </c>
      <c r="G1879" s="70" t="s">
        <v>130</v>
      </c>
      <c r="H1879" s="70" t="s">
        <v>131</v>
      </c>
      <c r="I1879" s="65" t="s">
        <v>132</v>
      </c>
      <c r="J1879" s="70" t="s">
        <v>133</v>
      </c>
      <c r="K1879" s="70" t="s">
        <v>134</v>
      </c>
      <c r="L1879" s="70" t="s">
        <v>135</v>
      </c>
      <c r="M1879" s="70" t="s">
        <v>136</v>
      </c>
      <c r="N1879" s="70" t="s">
        <v>137</v>
      </c>
      <c r="O1879" s="65" t="s">
        <v>138</v>
      </c>
      <c r="P1879" s="70" t="s">
        <v>139</v>
      </c>
      <c r="Q1879" s="70" t="s">
        <v>140</v>
      </c>
      <c r="R1879" s="65" t="s">
        <v>122</v>
      </c>
      <c r="S1879" s="65" t="s">
        <v>141</v>
      </c>
      <c r="U1879" s="65" t="s">
        <v>162</v>
      </c>
      <c r="W1879" s="76" t="s">
        <v>142</v>
      </c>
      <c r="X1879" s="76" t="s">
        <v>142</v>
      </c>
      <c r="Y1879" s="76" t="s">
        <v>142</v>
      </c>
      <c r="Z1879" s="65"/>
      <c r="AJ1879" s="66"/>
      <c r="AK1879" s="65"/>
    </row>
    <row r="1880" spans="1:37" hidden="1">
      <c r="A1880" s="65" t="s">
        <v>118</v>
      </c>
      <c r="B1880" s="65" t="s">
        <v>144</v>
      </c>
      <c r="C1880" s="65" t="s">
        <v>145</v>
      </c>
      <c r="D1880" s="70" t="s">
        <v>146</v>
      </c>
      <c r="E1880" s="70" t="s">
        <v>147</v>
      </c>
      <c r="F1880" s="70" t="s">
        <v>148</v>
      </c>
      <c r="G1880" s="65" t="s">
        <v>149</v>
      </c>
      <c r="H1880" s="65" t="s">
        <v>150</v>
      </c>
      <c r="I1880" s="65" t="s">
        <v>151</v>
      </c>
      <c r="J1880" s="70" t="s">
        <v>152</v>
      </c>
      <c r="K1880" s="70" t="s">
        <v>153</v>
      </c>
      <c r="L1880" s="70" t="s">
        <v>154</v>
      </c>
      <c r="M1880" s="70" t="s">
        <v>155</v>
      </c>
      <c r="N1880" s="70" t="s">
        <v>156</v>
      </c>
      <c r="O1880" s="70" t="s">
        <v>157</v>
      </c>
      <c r="P1880" s="70" t="s">
        <v>158</v>
      </c>
      <c r="Q1880" s="70" t="s">
        <v>159</v>
      </c>
      <c r="R1880" s="70" t="s">
        <v>160</v>
      </c>
      <c r="S1880" s="70" t="s">
        <v>161</v>
      </c>
      <c r="W1880" s="77" t="s">
        <v>163</v>
      </c>
      <c r="X1880" s="77" t="s">
        <v>164</v>
      </c>
      <c r="Y1880" s="76" t="s">
        <v>165</v>
      </c>
      <c r="Z1880" s="70"/>
      <c r="AJ1880" s="66"/>
      <c r="AK1880" s="65"/>
    </row>
    <row r="1881" spans="1:37" hidden="1">
      <c r="A1881" s="65" t="s">
        <v>125</v>
      </c>
      <c r="C1881" s="79"/>
      <c r="D1881" s="79"/>
      <c r="E1881" s="79"/>
      <c r="F1881" s="79"/>
      <c r="G1881" s="79"/>
      <c r="H1881" s="79"/>
      <c r="I1881" s="79"/>
      <c r="J1881" s="79"/>
      <c r="K1881" s="79"/>
      <c r="L1881" s="79"/>
      <c r="M1881" s="79"/>
      <c r="N1881" s="79"/>
      <c r="O1881" s="79"/>
      <c r="P1881" s="79"/>
      <c r="Q1881" s="79"/>
      <c r="R1881" s="79"/>
      <c r="S1881" s="79"/>
      <c r="U1881" s="80"/>
      <c r="W1881" s="81" t="str">
        <f>IF((P1881+Q1881)=0," ",ROUND((P1881/(P1881+Q1881)),74))</f>
        <v xml:space="preserve"> </v>
      </c>
      <c r="X1881" s="81" t="str">
        <f>IF((C1881)=0," ",ROUND((P1881/(C1881)),74))</f>
        <v xml:space="preserve"> </v>
      </c>
      <c r="Y1881" s="81" t="str">
        <f>IF((C1881)=0," ",ROUND((R1881/(C1881)),7))</f>
        <v xml:space="preserve"> </v>
      </c>
      <c r="Z1881" s="79"/>
      <c r="AJ1881" s="66"/>
      <c r="AK1881" s="65"/>
    </row>
    <row r="1882" spans="1:37" hidden="1">
      <c r="A1882" s="65" t="s">
        <v>143</v>
      </c>
      <c r="B1882" s="66" t="s">
        <v>675</v>
      </c>
      <c r="C1882" s="79"/>
      <c r="D1882" s="79"/>
      <c r="E1882" s="79"/>
      <c r="F1882" s="79"/>
      <c r="G1882" s="79"/>
      <c r="H1882" s="79"/>
      <c r="I1882" s="79"/>
      <c r="J1882" s="79"/>
      <c r="K1882" s="79"/>
      <c r="L1882" s="79"/>
      <c r="M1882" s="79"/>
      <c r="N1882" s="79"/>
      <c r="O1882" s="79"/>
      <c r="P1882" s="79"/>
      <c r="Q1882" s="79"/>
      <c r="R1882" s="79"/>
      <c r="S1882" s="79"/>
      <c r="U1882" s="80"/>
      <c r="W1882" s="81" t="str">
        <f>IF((P1882+Q1882)=0," ",ROUND((P1882/(P1882+Q1882)),74))</f>
        <v xml:space="preserve"> </v>
      </c>
      <c r="X1882" s="81" t="str">
        <f>IF((C1882)=0," ",ROUND((P1882/(C1882)),74))</f>
        <v xml:space="preserve"> </v>
      </c>
      <c r="Y1882" s="81" t="str">
        <f>IF((C1882)=0," ",ROUND((R1882/(C1882)),7))</f>
        <v xml:space="preserve"> </v>
      </c>
      <c r="Z1882" s="79"/>
      <c r="AJ1882" s="66"/>
      <c r="AK1882" s="65"/>
    </row>
    <row r="1883" spans="1:37" hidden="1">
      <c r="B1883" s="66" t="s">
        <v>682</v>
      </c>
      <c r="C1883" s="78">
        <v>0</v>
      </c>
      <c r="D1883" s="78">
        <v>0</v>
      </c>
      <c r="E1883" s="78">
        <v>0</v>
      </c>
      <c r="F1883" s="79">
        <f>D1883+E1883</f>
        <v>0</v>
      </c>
      <c r="G1883" s="78">
        <v>0</v>
      </c>
      <c r="H1883" s="78">
        <v>0</v>
      </c>
      <c r="I1883" s="78">
        <v>0</v>
      </c>
      <c r="J1883" s="78">
        <v>0</v>
      </c>
      <c r="K1883" s="78">
        <v>0</v>
      </c>
      <c r="L1883" s="78">
        <v>0</v>
      </c>
      <c r="M1883" s="79">
        <f>SUM(J1883:L1883)</f>
        <v>0</v>
      </c>
      <c r="N1883" s="78">
        <v>0</v>
      </c>
      <c r="O1883" s="79">
        <f>SUM(F1883:I1883)+SUM(M1883:N1883)</f>
        <v>0</v>
      </c>
      <c r="P1883" s="78">
        <v>0</v>
      </c>
      <c r="Q1883" s="78">
        <v>0</v>
      </c>
      <c r="R1883" s="79">
        <f>P1883+Q1883</f>
        <v>0</v>
      </c>
      <c r="S1883" s="78">
        <v>0</v>
      </c>
      <c r="U1883" s="80">
        <f>O1883+R1883+S1883-C1883</f>
        <v>0</v>
      </c>
      <c r="W1883" s="81" t="str">
        <f t="shared" ref="W1883:W1911" si="958">IF((O1883+R1883)=0," ",ROUND((O1883/(O1883+R1883)),7))</f>
        <v xml:space="preserve"> </v>
      </c>
      <c r="X1883" s="81" t="str">
        <f t="shared" ref="X1883:X1911" si="959">IF((C1883)=0," ",ROUND((O1883/(C1883)),7))</f>
        <v xml:space="preserve"> </v>
      </c>
      <c r="Y1883" s="81" t="str">
        <f t="shared" ref="Y1883:Y1911" si="960">IF((C1883)=0," ",ROUND((S1883/(C1883)),7))</f>
        <v xml:space="preserve"> </v>
      </c>
      <c r="Z1883" s="78"/>
      <c r="AJ1883" s="66"/>
      <c r="AK1883" s="65"/>
    </row>
    <row r="1884" spans="1:37" hidden="1">
      <c r="W1884" s="81" t="str">
        <f t="shared" si="958"/>
        <v xml:space="preserve"> </v>
      </c>
      <c r="X1884" s="81" t="str">
        <f t="shared" si="959"/>
        <v xml:space="preserve"> </v>
      </c>
      <c r="Y1884" s="81" t="str">
        <f t="shared" si="960"/>
        <v xml:space="preserve"> </v>
      </c>
      <c r="AJ1884" s="66"/>
      <c r="AK1884" s="65"/>
    </row>
    <row r="1885" spans="1:37" hidden="1">
      <c r="A1885" s="65">
        <f>A1884+1</f>
        <v>1</v>
      </c>
      <c r="B1885" s="71" t="s">
        <v>719</v>
      </c>
      <c r="C1885" s="78">
        <v>0</v>
      </c>
      <c r="D1885" s="78">
        <v>0</v>
      </c>
      <c r="E1885" s="78">
        <v>0</v>
      </c>
      <c r="F1885" s="79">
        <f>D1885+E1885</f>
        <v>0</v>
      </c>
      <c r="G1885" s="78">
        <v>0</v>
      </c>
      <c r="H1885" s="78">
        <v>0</v>
      </c>
      <c r="I1885" s="78">
        <v>0</v>
      </c>
      <c r="J1885" s="78">
        <v>0</v>
      </c>
      <c r="K1885" s="78">
        <v>0</v>
      </c>
      <c r="L1885" s="78">
        <v>0</v>
      </c>
      <c r="M1885" s="79">
        <f>SUM(J1885:L1885)</f>
        <v>0</v>
      </c>
      <c r="N1885" s="78">
        <v>0</v>
      </c>
      <c r="O1885" s="79">
        <f>SUM(F1885:I1885)+SUM(M1885:N1885)</f>
        <v>0</v>
      </c>
      <c r="P1885" s="78">
        <v>0</v>
      </c>
      <c r="Q1885" s="78">
        <v>0</v>
      </c>
      <c r="R1885" s="79">
        <f>P1885+Q1885</f>
        <v>0</v>
      </c>
      <c r="S1885" s="78">
        <v>0</v>
      </c>
      <c r="U1885" s="80">
        <f>O1885+R1885+S1885-C1885</f>
        <v>0</v>
      </c>
      <c r="W1885" s="81" t="str">
        <f t="shared" si="958"/>
        <v xml:space="preserve"> </v>
      </c>
      <c r="X1885" s="81" t="str">
        <f t="shared" si="959"/>
        <v xml:space="preserve"> </v>
      </c>
      <c r="Y1885" s="81" t="str">
        <f t="shared" si="960"/>
        <v xml:space="preserve"> </v>
      </c>
      <c r="Z1885" s="78"/>
    </row>
    <row r="1886" spans="1:37" hidden="1">
      <c r="W1886" s="81" t="str">
        <f t="shared" si="958"/>
        <v xml:space="preserve"> </v>
      </c>
      <c r="X1886" s="81" t="str">
        <f t="shared" si="959"/>
        <v xml:space="preserve"> </v>
      </c>
      <c r="Y1886" s="81" t="str">
        <f t="shared" si="960"/>
        <v xml:space="preserve"> </v>
      </c>
    </row>
    <row r="1887" spans="1:37" hidden="1">
      <c r="A1887" s="65">
        <f>A1885+1</f>
        <v>2</v>
      </c>
      <c r="B1887" s="71" t="s">
        <v>720</v>
      </c>
      <c r="C1887" s="78">
        <v>0</v>
      </c>
      <c r="D1887" s="78">
        <v>0</v>
      </c>
      <c r="E1887" s="78">
        <v>0</v>
      </c>
      <c r="F1887" s="79">
        <f>D1887+E1887</f>
        <v>0</v>
      </c>
      <c r="G1887" s="78">
        <v>0</v>
      </c>
      <c r="H1887" s="78">
        <v>0</v>
      </c>
      <c r="I1887" s="78">
        <v>0</v>
      </c>
      <c r="J1887" s="78">
        <v>0</v>
      </c>
      <c r="K1887" s="78">
        <v>0</v>
      </c>
      <c r="L1887" s="78">
        <v>0</v>
      </c>
      <c r="M1887" s="79">
        <f>SUM(J1887:L1887)</f>
        <v>0</v>
      </c>
      <c r="N1887" s="78">
        <v>0</v>
      </c>
      <c r="O1887" s="79">
        <f>SUM(F1887:I1887)+SUM(M1887:N1887)</f>
        <v>0</v>
      </c>
      <c r="P1887" s="78">
        <v>0</v>
      </c>
      <c r="Q1887" s="78">
        <v>0</v>
      </c>
      <c r="R1887" s="79">
        <f>P1887+Q1887</f>
        <v>0</v>
      </c>
      <c r="S1887" s="78">
        <v>0</v>
      </c>
      <c r="U1887" s="80">
        <f>O1887+R1887+S1887-C1887</f>
        <v>0</v>
      </c>
      <c r="W1887" s="81" t="str">
        <f t="shared" si="958"/>
        <v xml:space="preserve"> </v>
      </c>
      <c r="X1887" s="81" t="str">
        <f t="shared" si="959"/>
        <v xml:space="preserve"> </v>
      </c>
      <c r="Y1887" s="81" t="str">
        <f t="shared" si="960"/>
        <v xml:space="preserve"> </v>
      </c>
      <c r="Z1887" s="78"/>
    </row>
    <row r="1888" spans="1:37" hidden="1">
      <c r="W1888" s="81" t="str">
        <f t="shared" si="958"/>
        <v xml:space="preserve"> </v>
      </c>
      <c r="X1888" s="81" t="str">
        <f t="shared" si="959"/>
        <v xml:space="preserve"> </v>
      </c>
      <c r="Y1888" s="81" t="str">
        <f t="shared" si="960"/>
        <v xml:space="preserve"> </v>
      </c>
    </row>
    <row r="1889" spans="1:37" hidden="1">
      <c r="A1889" s="65">
        <f>A1887+1</f>
        <v>3</v>
      </c>
      <c r="B1889" s="66" t="s">
        <v>721</v>
      </c>
      <c r="C1889" s="79">
        <f>ROUND(((C1767/C1769)*C1891),0)</f>
        <v>0</v>
      </c>
      <c r="D1889" s="79">
        <f>ROUND(((D1767/D1769)*D1891),0)</f>
        <v>0</v>
      </c>
      <c r="E1889" s="79">
        <f>ROUND(((E1767/E1769)*E1891),0)</f>
        <v>0</v>
      </c>
      <c r="F1889" s="79">
        <f>D1889+E1889</f>
        <v>0</v>
      </c>
      <c r="G1889" s="79">
        <f t="shared" ref="G1889:L1889" si="961">ROUND(((G1767/G1769)*G1891),0)</f>
        <v>0</v>
      </c>
      <c r="H1889" s="79">
        <f t="shared" si="961"/>
        <v>0</v>
      </c>
      <c r="I1889" s="79">
        <f t="shared" si="961"/>
        <v>0</v>
      </c>
      <c r="J1889" s="79">
        <f t="shared" si="961"/>
        <v>0</v>
      </c>
      <c r="K1889" s="79">
        <f t="shared" si="961"/>
        <v>0</v>
      </c>
      <c r="L1889" s="79">
        <f t="shared" si="961"/>
        <v>0</v>
      </c>
      <c r="M1889" s="79">
        <f>SUM(J1889:L1889)</f>
        <v>0</v>
      </c>
      <c r="N1889" s="79">
        <f>ROUND(((N1767/N1769)*N1891),0)</f>
        <v>0</v>
      </c>
      <c r="O1889" s="79">
        <f>SUM(F1889:I1889)+SUM(M1889:N1889)</f>
        <v>0</v>
      </c>
      <c r="P1889" s="79">
        <f>ROUND(((P1767/P1769)*P1891),0)</f>
        <v>0</v>
      </c>
      <c r="Q1889" s="79">
        <f>ROUND(((Q1767/Q1769)*Q1891),0)</f>
        <v>0</v>
      </c>
      <c r="R1889" s="79">
        <f>P1889+Q1889</f>
        <v>0</v>
      </c>
      <c r="S1889" s="79">
        <v>0</v>
      </c>
      <c r="U1889" s="80">
        <f>O1889+R1889+S1889-C1889</f>
        <v>0</v>
      </c>
      <c r="W1889" s="81" t="str">
        <f t="shared" si="958"/>
        <v xml:space="preserve"> </v>
      </c>
      <c r="X1889" s="81" t="str">
        <f t="shared" si="959"/>
        <v xml:space="preserve"> </v>
      </c>
      <c r="Y1889" s="81" t="str">
        <f t="shared" si="960"/>
        <v xml:space="preserve"> </v>
      </c>
      <c r="Z1889" s="79"/>
      <c r="AJ1889" s="66"/>
      <c r="AK1889" s="65"/>
    </row>
    <row r="1890" spans="1:37" hidden="1">
      <c r="B1890" s="66" t="s">
        <v>722</v>
      </c>
      <c r="C1890" s="79">
        <f t="shared" ref="C1890:I1890" si="962">C1891-C1889</f>
        <v>0</v>
      </c>
      <c r="D1890" s="79">
        <f t="shared" si="962"/>
        <v>0</v>
      </c>
      <c r="E1890" s="79">
        <f t="shared" si="962"/>
        <v>0</v>
      </c>
      <c r="F1890" s="79">
        <f>D1890+E1890</f>
        <v>0</v>
      </c>
      <c r="G1890" s="79">
        <f t="shared" si="962"/>
        <v>0</v>
      </c>
      <c r="H1890" s="79">
        <f t="shared" si="962"/>
        <v>0</v>
      </c>
      <c r="I1890" s="79">
        <f t="shared" si="962"/>
        <v>0</v>
      </c>
      <c r="J1890" s="79">
        <f>J1891-J1889</f>
        <v>0</v>
      </c>
      <c r="K1890" s="79">
        <f>K1891-K1889</f>
        <v>0</v>
      </c>
      <c r="L1890" s="79">
        <f>L1891-L1889</f>
        <v>0</v>
      </c>
      <c r="M1890" s="79">
        <f>SUM(J1890:L1890)</f>
        <v>0</v>
      </c>
      <c r="N1890" s="79">
        <f>N1891-N1889</f>
        <v>0</v>
      </c>
      <c r="O1890" s="79">
        <f>SUM(F1890:I1890)+SUM(M1890:N1890)</f>
        <v>0</v>
      </c>
      <c r="P1890" s="79">
        <f>P1891-P1889</f>
        <v>0</v>
      </c>
      <c r="Q1890" s="79">
        <f>Q1891-Q1889</f>
        <v>0</v>
      </c>
      <c r="R1890" s="79">
        <f>P1890+Q1890</f>
        <v>0</v>
      </c>
      <c r="S1890" s="79">
        <f>S1891-S1889</f>
        <v>0</v>
      </c>
      <c r="U1890" s="80">
        <f>O1890+R1890+S1890-C1890</f>
        <v>0</v>
      </c>
      <c r="W1890" s="81" t="str">
        <f t="shared" si="958"/>
        <v xml:space="preserve"> </v>
      </c>
      <c r="X1890" s="81" t="str">
        <f t="shared" si="959"/>
        <v xml:space="preserve"> </v>
      </c>
      <c r="Y1890" s="81" t="str">
        <f t="shared" si="960"/>
        <v xml:space="preserve"> </v>
      </c>
      <c r="Z1890" s="79"/>
      <c r="AJ1890" s="66"/>
      <c r="AK1890" s="65"/>
    </row>
    <row r="1891" spans="1:37" hidden="1">
      <c r="A1891" s="65">
        <f>A1889+1</f>
        <v>4</v>
      </c>
      <c r="B1891" s="66" t="s">
        <v>723</v>
      </c>
      <c r="C1891" s="78">
        <v>0</v>
      </c>
      <c r="D1891" s="78">
        <v>0</v>
      </c>
      <c r="E1891" s="78">
        <v>0</v>
      </c>
      <c r="F1891" s="79">
        <f>D1891+E1891</f>
        <v>0</v>
      </c>
      <c r="G1891" s="78">
        <v>0</v>
      </c>
      <c r="H1891" s="78">
        <v>0</v>
      </c>
      <c r="I1891" s="78">
        <v>0</v>
      </c>
      <c r="J1891" s="78">
        <v>0</v>
      </c>
      <c r="K1891" s="78">
        <v>0</v>
      </c>
      <c r="L1891" s="78">
        <v>0</v>
      </c>
      <c r="M1891" s="79">
        <f>SUM(J1891:L1891)</f>
        <v>0</v>
      </c>
      <c r="N1891" s="78">
        <v>0</v>
      </c>
      <c r="O1891" s="79">
        <f>SUM(F1891:I1891)+SUM(M1891:N1891)</f>
        <v>0</v>
      </c>
      <c r="P1891" s="78">
        <v>0</v>
      </c>
      <c r="Q1891" s="78">
        <v>0</v>
      </c>
      <c r="R1891" s="79">
        <f>P1891+Q1891</f>
        <v>0</v>
      </c>
      <c r="S1891" s="78">
        <v>0</v>
      </c>
      <c r="U1891" s="80">
        <f>O1891+R1891+S1891-C1891</f>
        <v>0</v>
      </c>
      <c r="W1891" s="81" t="str">
        <f t="shared" si="958"/>
        <v xml:space="preserve"> </v>
      </c>
      <c r="X1891" s="81" t="str">
        <f t="shared" si="959"/>
        <v xml:space="preserve"> </v>
      </c>
      <c r="Y1891" s="81" t="str">
        <f t="shared" si="960"/>
        <v xml:space="preserve"> </v>
      </c>
      <c r="Z1891" s="78"/>
      <c r="AJ1891" s="66"/>
      <c r="AK1891" s="65"/>
    </row>
    <row r="1892" spans="1:37" hidden="1">
      <c r="A1892" s="65">
        <f>A1891+1</f>
        <v>5</v>
      </c>
      <c r="W1892" s="81" t="str">
        <f t="shared" si="958"/>
        <v xml:space="preserve"> </v>
      </c>
      <c r="X1892" s="81" t="str">
        <f t="shared" si="959"/>
        <v xml:space="preserve"> </v>
      </c>
      <c r="Y1892" s="81" t="str">
        <f t="shared" si="960"/>
        <v xml:space="preserve"> </v>
      </c>
      <c r="AJ1892" s="66"/>
      <c r="AK1892" s="65"/>
    </row>
    <row r="1893" spans="1:37" hidden="1">
      <c r="A1893" s="65">
        <f>A1892+1</f>
        <v>6</v>
      </c>
      <c r="B1893" s="66" t="s">
        <v>724</v>
      </c>
      <c r="C1893" s="79">
        <f>ROUND(((C1763/C1765)*C1895),0)</f>
        <v>0</v>
      </c>
      <c r="D1893" s="79">
        <f>ROUND(((D1763/D1765)*D1895),0)</f>
        <v>0</v>
      </c>
      <c r="E1893" s="79">
        <f>ROUND(((E1763/E1765)*E1895),0)</f>
        <v>0</v>
      </c>
      <c r="F1893" s="79">
        <f>D1893+E1893</f>
        <v>0</v>
      </c>
      <c r="G1893" s="79">
        <f t="shared" ref="G1893:L1893" si="963">ROUND(((G1763/G1765)*G1895),0)</f>
        <v>0</v>
      </c>
      <c r="H1893" s="79">
        <f t="shared" si="963"/>
        <v>0</v>
      </c>
      <c r="I1893" s="79">
        <f t="shared" si="963"/>
        <v>0</v>
      </c>
      <c r="J1893" s="79">
        <f t="shared" si="963"/>
        <v>0</v>
      </c>
      <c r="K1893" s="79">
        <f t="shared" si="963"/>
        <v>0</v>
      </c>
      <c r="L1893" s="79">
        <f t="shared" si="963"/>
        <v>0</v>
      </c>
      <c r="M1893" s="79">
        <f>SUM(J1893:L1893)</f>
        <v>0</v>
      </c>
      <c r="N1893" s="79">
        <f>ROUND(((N1763/N1765)*N1895),0)</f>
        <v>0</v>
      </c>
      <c r="O1893" s="79">
        <f>SUM(F1893:I1893)+SUM(M1893:N1893)</f>
        <v>0</v>
      </c>
      <c r="P1893" s="79">
        <f>ROUND(((P1763/P1765)*P1895),0)</f>
        <v>0</v>
      </c>
      <c r="Q1893" s="79">
        <f>ROUND(((Q1763/Q1765)*Q1895),0)</f>
        <v>0</v>
      </c>
      <c r="R1893" s="79">
        <f>P1893+Q1893</f>
        <v>0</v>
      </c>
      <c r="S1893" s="79">
        <v>0</v>
      </c>
      <c r="U1893" s="80">
        <f>O1893+R1893+S1893-C1893</f>
        <v>0</v>
      </c>
      <c r="W1893" s="81" t="str">
        <f t="shared" si="958"/>
        <v xml:space="preserve"> </v>
      </c>
      <c r="X1893" s="81" t="str">
        <f t="shared" si="959"/>
        <v xml:space="preserve"> </v>
      </c>
      <c r="Y1893" s="81" t="str">
        <f t="shared" si="960"/>
        <v xml:space="preserve"> </v>
      </c>
      <c r="Z1893" s="79"/>
      <c r="AJ1893" s="66"/>
      <c r="AK1893" s="65"/>
    </row>
    <row r="1894" spans="1:37" hidden="1">
      <c r="B1894" s="66" t="s">
        <v>725</v>
      </c>
      <c r="C1894" s="79">
        <f t="shared" ref="C1894:I1894" si="964">C1895-C1893</f>
        <v>0</v>
      </c>
      <c r="D1894" s="79">
        <f t="shared" si="964"/>
        <v>0</v>
      </c>
      <c r="E1894" s="79">
        <f>E1895-E1893</f>
        <v>0</v>
      </c>
      <c r="F1894" s="79">
        <f>D1894+E1894</f>
        <v>0</v>
      </c>
      <c r="G1894" s="79">
        <f t="shared" si="964"/>
        <v>0</v>
      </c>
      <c r="H1894" s="79">
        <f t="shared" si="964"/>
        <v>0</v>
      </c>
      <c r="I1894" s="79">
        <f t="shared" si="964"/>
        <v>0</v>
      </c>
      <c r="J1894" s="79">
        <f>J1895-J1893</f>
        <v>0</v>
      </c>
      <c r="K1894" s="79">
        <f>K1895-K1893</f>
        <v>0</v>
      </c>
      <c r="L1894" s="79">
        <f>L1895-L1893</f>
        <v>0</v>
      </c>
      <c r="M1894" s="79">
        <f>SUM(J1894:L1894)</f>
        <v>0</v>
      </c>
      <c r="N1894" s="79">
        <f>N1895-N1893</f>
        <v>0</v>
      </c>
      <c r="O1894" s="79">
        <f>SUM(F1894:I1894)+SUM(M1894:N1894)</f>
        <v>0</v>
      </c>
      <c r="P1894" s="79">
        <f>P1895-P1893</f>
        <v>0</v>
      </c>
      <c r="Q1894" s="79">
        <f>Q1895-Q1893</f>
        <v>0</v>
      </c>
      <c r="R1894" s="79">
        <f>P1894+Q1894</f>
        <v>0</v>
      </c>
      <c r="S1894" s="79">
        <f>S1895-S1893</f>
        <v>0</v>
      </c>
      <c r="U1894" s="80">
        <f>O1894+R1894+S1894-C1894</f>
        <v>0</v>
      </c>
      <c r="W1894" s="81" t="str">
        <f t="shared" si="958"/>
        <v xml:space="preserve"> </v>
      </c>
      <c r="X1894" s="81" t="str">
        <f t="shared" si="959"/>
        <v xml:space="preserve"> </v>
      </c>
      <c r="Y1894" s="81" t="str">
        <f t="shared" si="960"/>
        <v xml:space="preserve"> </v>
      </c>
      <c r="Z1894" s="79"/>
      <c r="AJ1894" s="66"/>
      <c r="AK1894" s="65"/>
    </row>
    <row r="1895" spans="1:37" hidden="1">
      <c r="A1895" s="65">
        <f>A1893+1</f>
        <v>7</v>
      </c>
      <c r="B1895" s="66" t="s">
        <v>678</v>
      </c>
      <c r="C1895" s="78">
        <v>0</v>
      </c>
      <c r="D1895" s="78">
        <v>0</v>
      </c>
      <c r="E1895" s="78">
        <v>0</v>
      </c>
      <c r="F1895" s="79">
        <f>D1895+E1895</f>
        <v>0</v>
      </c>
      <c r="G1895" s="78">
        <v>0</v>
      </c>
      <c r="H1895" s="78">
        <v>0</v>
      </c>
      <c r="I1895" s="78">
        <v>0</v>
      </c>
      <c r="J1895" s="78">
        <v>0</v>
      </c>
      <c r="K1895" s="78">
        <v>0</v>
      </c>
      <c r="L1895" s="78">
        <v>0</v>
      </c>
      <c r="M1895" s="79">
        <f>SUM(J1895:L1895)</f>
        <v>0</v>
      </c>
      <c r="N1895" s="78">
        <v>0</v>
      </c>
      <c r="O1895" s="79">
        <f>SUM(F1895:I1895)+SUM(M1895:N1895)</f>
        <v>0</v>
      </c>
      <c r="P1895" s="78">
        <v>0</v>
      </c>
      <c r="Q1895" s="78">
        <v>0</v>
      </c>
      <c r="R1895" s="79">
        <f>P1895+Q1895</f>
        <v>0</v>
      </c>
      <c r="S1895" s="78">
        <v>0</v>
      </c>
      <c r="U1895" s="80">
        <f>O1895+R1895+S1895-C1895</f>
        <v>0</v>
      </c>
      <c r="W1895" s="81" t="str">
        <f t="shared" si="958"/>
        <v xml:space="preserve"> </v>
      </c>
      <c r="X1895" s="81" t="str">
        <f t="shared" si="959"/>
        <v xml:space="preserve"> </v>
      </c>
      <c r="Y1895" s="81" t="str">
        <f t="shared" si="960"/>
        <v xml:space="preserve"> </v>
      </c>
      <c r="Z1895" s="78"/>
      <c r="AJ1895" s="66"/>
      <c r="AK1895" s="65"/>
    </row>
    <row r="1896" spans="1:37" hidden="1">
      <c r="A1896" s="65">
        <f>A1895+1</f>
        <v>8</v>
      </c>
      <c r="C1896" s="79"/>
      <c r="D1896" s="79"/>
      <c r="E1896" s="79"/>
      <c r="F1896" s="79"/>
      <c r="G1896" s="79"/>
      <c r="H1896" s="79"/>
      <c r="I1896" s="79"/>
      <c r="J1896" s="79"/>
      <c r="K1896" s="79"/>
      <c r="L1896" s="79"/>
      <c r="M1896" s="79"/>
      <c r="N1896" s="79"/>
      <c r="O1896" s="79"/>
      <c r="P1896" s="79"/>
      <c r="Q1896" s="79"/>
      <c r="R1896" s="79"/>
      <c r="S1896" s="79"/>
      <c r="U1896" s="80"/>
      <c r="W1896" s="81" t="str">
        <f t="shared" si="958"/>
        <v xml:space="preserve"> </v>
      </c>
      <c r="X1896" s="81" t="str">
        <f t="shared" si="959"/>
        <v xml:space="preserve"> </v>
      </c>
      <c r="Y1896" s="81" t="str">
        <f t="shared" si="960"/>
        <v xml:space="preserve"> </v>
      </c>
      <c r="Z1896" s="79"/>
      <c r="AJ1896" s="66"/>
      <c r="AK1896" s="65"/>
    </row>
    <row r="1897" spans="1:37" hidden="1">
      <c r="A1897" s="65">
        <f>A1896+1</f>
        <v>9</v>
      </c>
      <c r="B1897" s="66" t="s">
        <v>692</v>
      </c>
      <c r="C1897" s="78">
        <v>0</v>
      </c>
      <c r="D1897" s="78">
        <v>0</v>
      </c>
      <c r="E1897" s="78">
        <v>0</v>
      </c>
      <c r="F1897" s="79">
        <f>D1897+E1897</f>
        <v>0</v>
      </c>
      <c r="G1897" s="78">
        <v>0</v>
      </c>
      <c r="H1897" s="78">
        <v>0</v>
      </c>
      <c r="I1897" s="78">
        <v>0</v>
      </c>
      <c r="J1897" s="78">
        <v>0</v>
      </c>
      <c r="K1897" s="78">
        <v>0</v>
      </c>
      <c r="L1897" s="78">
        <v>0</v>
      </c>
      <c r="M1897" s="79">
        <f>SUM(J1897:L1897)</f>
        <v>0</v>
      </c>
      <c r="N1897" s="78">
        <v>0</v>
      </c>
      <c r="O1897" s="79">
        <f>SUM(F1897:I1897)+SUM(M1897:N1897)</f>
        <v>0</v>
      </c>
      <c r="P1897" s="78">
        <v>0</v>
      </c>
      <c r="Q1897" s="78">
        <v>0</v>
      </c>
      <c r="R1897" s="79">
        <f>P1897+Q1897</f>
        <v>0</v>
      </c>
      <c r="S1897" s="78">
        <v>0</v>
      </c>
      <c r="U1897" s="80">
        <f>O1897+R1897+S1897-C1897</f>
        <v>0</v>
      </c>
      <c r="W1897" s="81" t="str">
        <f t="shared" si="958"/>
        <v xml:space="preserve"> </v>
      </c>
      <c r="X1897" s="81" t="str">
        <f t="shared" si="959"/>
        <v xml:space="preserve"> </v>
      </c>
      <c r="Y1897" s="81" t="str">
        <f t="shared" si="960"/>
        <v xml:space="preserve"> </v>
      </c>
      <c r="Z1897" s="78"/>
      <c r="AJ1897" s="66"/>
      <c r="AK1897" s="65"/>
    </row>
    <row r="1898" spans="1:37" hidden="1">
      <c r="W1898" s="81" t="str">
        <f t="shared" si="958"/>
        <v xml:space="preserve"> </v>
      </c>
      <c r="X1898" s="81" t="str">
        <f t="shared" si="959"/>
        <v xml:space="preserve"> </v>
      </c>
      <c r="Y1898" s="81" t="str">
        <f t="shared" si="960"/>
        <v xml:space="preserve"> </v>
      </c>
      <c r="AJ1898" s="66"/>
      <c r="AK1898" s="65"/>
    </row>
    <row r="1899" spans="1:37" hidden="1">
      <c r="A1899" s="65">
        <f>A1897+1</f>
        <v>10</v>
      </c>
      <c r="B1899" s="66" t="s">
        <v>726</v>
      </c>
      <c r="C1899" s="79">
        <f t="shared" ref="C1899:E1901" si="965">ROUND(((C1779/$C$1783)*$C$1903),0)</f>
        <v>0</v>
      </c>
      <c r="D1899" s="79">
        <f t="shared" si="965"/>
        <v>0</v>
      </c>
      <c r="E1899" s="79">
        <f t="shared" si="965"/>
        <v>0</v>
      </c>
      <c r="F1899" s="79">
        <f>D1899+E1899</f>
        <v>0</v>
      </c>
      <c r="G1899" s="79">
        <f t="shared" ref="G1899:L1901" si="966">ROUND(((G1779/$C$1783)*$C$1903),0)</f>
        <v>0</v>
      </c>
      <c r="H1899" s="79">
        <f t="shared" si="966"/>
        <v>0</v>
      </c>
      <c r="I1899" s="79">
        <f t="shared" si="966"/>
        <v>0</v>
      </c>
      <c r="J1899" s="79">
        <f t="shared" si="966"/>
        <v>0</v>
      </c>
      <c r="K1899" s="79">
        <f t="shared" si="966"/>
        <v>0</v>
      </c>
      <c r="L1899" s="79">
        <f t="shared" si="966"/>
        <v>0</v>
      </c>
      <c r="M1899" s="79">
        <f>SUM(J1899:L1899)</f>
        <v>0</v>
      </c>
      <c r="N1899" s="79">
        <f>ROUND(((N1779/$C$1783)*$C$1903),0)</f>
        <v>0</v>
      </c>
      <c r="O1899" s="79">
        <f>SUM(F1899:I1899)+SUM(M1899:N1899)</f>
        <v>0</v>
      </c>
      <c r="P1899" s="79">
        <f t="shared" ref="P1899:Q1901" si="967">ROUND(((P1779/$C$1783)*$C$1903),0)</f>
        <v>0</v>
      </c>
      <c r="Q1899" s="79">
        <f t="shared" si="967"/>
        <v>0</v>
      </c>
      <c r="R1899" s="79">
        <f>P1899+Q1899</f>
        <v>0</v>
      </c>
      <c r="S1899" s="79">
        <v>0</v>
      </c>
      <c r="U1899" s="80">
        <f>O1899+R1899+S1899-C1899</f>
        <v>0</v>
      </c>
      <c r="W1899" s="81" t="str">
        <f t="shared" si="958"/>
        <v xml:space="preserve"> </v>
      </c>
      <c r="X1899" s="81" t="str">
        <f t="shared" si="959"/>
        <v xml:space="preserve"> </v>
      </c>
      <c r="Y1899" s="81" t="str">
        <f t="shared" si="960"/>
        <v xml:space="preserve"> </v>
      </c>
      <c r="Z1899" s="79"/>
      <c r="AJ1899" s="66"/>
      <c r="AK1899" s="65"/>
    </row>
    <row r="1900" spans="1:37" hidden="1">
      <c r="B1900" s="66" t="s">
        <v>727</v>
      </c>
      <c r="C1900" s="79">
        <f t="shared" si="965"/>
        <v>0</v>
      </c>
      <c r="D1900" s="79">
        <f t="shared" si="965"/>
        <v>0</v>
      </c>
      <c r="E1900" s="79">
        <f t="shared" si="965"/>
        <v>0</v>
      </c>
      <c r="F1900" s="79">
        <f>D1900+E1900</f>
        <v>0</v>
      </c>
      <c r="G1900" s="79">
        <f t="shared" si="966"/>
        <v>0</v>
      </c>
      <c r="H1900" s="79">
        <f t="shared" si="966"/>
        <v>0</v>
      </c>
      <c r="I1900" s="79">
        <f t="shared" si="966"/>
        <v>0</v>
      </c>
      <c r="J1900" s="79">
        <f t="shared" si="966"/>
        <v>0</v>
      </c>
      <c r="K1900" s="79">
        <f t="shared" si="966"/>
        <v>0</v>
      </c>
      <c r="L1900" s="79">
        <f t="shared" si="966"/>
        <v>0</v>
      </c>
      <c r="M1900" s="79">
        <f>SUM(J1900:L1900)</f>
        <v>0</v>
      </c>
      <c r="N1900" s="79">
        <f>ROUND(((N1780/$C$1783)*$C$1903),0)</f>
        <v>0</v>
      </c>
      <c r="O1900" s="79">
        <f>SUM(F1900:I1900)+SUM(M1900:N1900)</f>
        <v>0</v>
      </c>
      <c r="P1900" s="79">
        <f t="shared" si="967"/>
        <v>0</v>
      </c>
      <c r="Q1900" s="79">
        <f t="shared" si="967"/>
        <v>0</v>
      </c>
      <c r="R1900" s="79">
        <f>P1900+Q1900</f>
        <v>0</v>
      </c>
      <c r="S1900" s="79">
        <v>0</v>
      </c>
      <c r="U1900" s="80">
        <f>O1900+R1900+S1900-C1900</f>
        <v>0</v>
      </c>
      <c r="W1900" s="81" t="str">
        <f t="shared" si="958"/>
        <v xml:space="preserve"> </v>
      </c>
      <c r="X1900" s="81" t="str">
        <f t="shared" si="959"/>
        <v xml:space="preserve"> </v>
      </c>
      <c r="Y1900" s="81" t="str">
        <f t="shared" si="960"/>
        <v xml:space="preserve"> </v>
      </c>
      <c r="Z1900" s="79"/>
      <c r="AJ1900" s="66"/>
      <c r="AK1900" s="65"/>
    </row>
    <row r="1901" spans="1:37" hidden="1">
      <c r="A1901" s="65">
        <f>A1899+1</f>
        <v>11</v>
      </c>
      <c r="B1901" s="66" t="s">
        <v>728</v>
      </c>
      <c r="C1901" s="79">
        <f t="shared" si="965"/>
        <v>0</v>
      </c>
      <c r="D1901" s="79">
        <f t="shared" si="965"/>
        <v>0</v>
      </c>
      <c r="E1901" s="79">
        <f t="shared" si="965"/>
        <v>0</v>
      </c>
      <c r="F1901" s="79">
        <f>D1901+E1901</f>
        <v>0</v>
      </c>
      <c r="G1901" s="79">
        <f t="shared" si="966"/>
        <v>0</v>
      </c>
      <c r="H1901" s="79">
        <f t="shared" si="966"/>
        <v>0</v>
      </c>
      <c r="I1901" s="79">
        <f t="shared" si="966"/>
        <v>0</v>
      </c>
      <c r="J1901" s="79">
        <f t="shared" si="966"/>
        <v>0</v>
      </c>
      <c r="K1901" s="79">
        <f t="shared" si="966"/>
        <v>0</v>
      </c>
      <c r="L1901" s="79">
        <f t="shared" si="966"/>
        <v>0</v>
      </c>
      <c r="M1901" s="79">
        <f>SUM(J1901:L1901)</f>
        <v>0</v>
      </c>
      <c r="N1901" s="79">
        <f>ROUND(((N1781/$C$1783)*$C$1903),0)</f>
        <v>0</v>
      </c>
      <c r="O1901" s="79">
        <f>SUM(F1901:I1901)+SUM(M1901:N1901)</f>
        <v>0</v>
      </c>
      <c r="P1901" s="79">
        <f t="shared" si="967"/>
        <v>0</v>
      </c>
      <c r="Q1901" s="79">
        <f t="shared" si="967"/>
        <v>0</v>
      </c>
      <c r="R1901" s="79">
        <f>P1901+Q1901</f>
        <v>0</v>
      </c>
      <c r="S1901" s="79">
        <v>0</v>
      </c>
      <c r="U1901" s="80">
        <f>O1901+R1901+S1901-C1901</f>
        <v>0</v>
      </c>
      <c r="W1901" s="81" t="str">
        <f t="shared" si="958"/>
        <v xml:space="preserve"> </v>
      </c>
      <c r="X1901" s="81" t="str">
        <f t="shared" si="959"/>
        <v xml:space="preserve"> </v>
      </c>
      <c r="Y1901" s="81" t="str">
        <f t="shared" si="960"/>
        <v xml:space="preserve"> </v>
      </c>
      <c r="Z1901" s="79"/>
      <c r="AJ1901" s="66"/>
      <c r="AK1901" s="65"/>
    </row>
    <row r="1902" spans="1:37" hidden="1">
      <c r="A1902" s="65">
        <f>A1901+1</f>
        <v>12</v>
      </c>
      <c r="B1902" s="66" t="s">
        <v>729</v>
      </c>
      <c r="C1902" s="79">
        <f t="shared" ref="C1902:I1902" si="968">C1903-C1899-C1900-C1901</f>
        <v>0</v>
      </c>
      <c r="D1902" s="79">
        <f>D1903-D1899-D1900-D1901</f>
        <v>0</v>
      </c>
      <c r="E1902" s="79">
        <f>E1903-E1899-E1900-E1901</f>
        <v>0</v>
      </c>
      <c r="F1902" s="79">
        <f>D1902+E1902</f>
        <v>0</v>
      </c>
      <c r="G1902" s="79">
        <f t="shared" si="968"/>
        <v>0</v>
      </c>
      <c r="H1902" s="79">
        <f t="shared" si="968"/>
        <v>0</v>
      </c>
      <c r="I1902" s="79">
        <f t="shared" si="968"/>
        <v>0</v>
      </c>
      <c r="J1902" s="79">
        <f>J1903-J1899-J1900-J1901</f>
        <v>0</v>
      </c>
      <c r="K1902" s="79">
        <f>K1903-K1899-K1900-K1901</f>
        <v>0</v>
      </c>
      <c r="L1902" s="79">
        <f>L1903-L1899-L1900-L1901</f>
        <v>0</v>
      </c>
      <c r="M1902" s="79">
        <f>SUM(J1902:L1902)</f>
        <v>0</v>
      </c>
      <c r="N1902" s="79">
        <f>N1903-N1899-N1900-N1901</f>
        <v>0</v>
      </c>
      <c r="O1902" s="79">
        <f>SUM(F1902:I1902)+SUM(M1902:N1902)</f>
        <v>0</v>
      </c>
      <c r="P1902" s="79">
        <f>P1903-P1899-P1900-P1901</f>
        <v>0</v>
      </c>
      <c r="Q1902" s="79">
        <f>Q1903-Q1899-Q1900-Q1901</f>
        <v>0</v>
      </c>
      <c r="R1902" s="79">
        <f>P1902+Q1902</f>
        <v>0</v>
      </c>
      <c r="S1902" s="79">
        <f>S1903-S1899-S1900-S1901</f>
        <v>0</v>
      </c>
      <c r="U1902" s="80">
        <f>O1902+R1902+S1902-C1902</f>
        <v>0</v>
      </c>
      <c r="W1902" s="81" t="str">
        <f t="shared" si="958"/>
        <v xml:space="preserve"> </v>
      </c>
      <c r="X1902" s="81" t="str">
        <f t="shared" si="959"/>
        <v xml:space="preserve"> </v>
      </c>
      <c r="Y1902" s="81" t="str">
        <f t="shared" si="960"/>
        <v xml:space="preserve"> </v>
      </c>
      <c r="Z1902" s="79"/>
      <c r="AJ1902" s="66"/>
      <c r="AK1902" s="65"/>
    </row>
    <row r="1903" spans="1:37" hidden="1">
      <c r="A1903" s="65">
        <f>A1902+1</f>
        <v>13</v>
      </c>
      <c r="B1903" s="66" t="s">
        <v>691</v>
      </c>
      <c r="C1903" s="78">
        <v>0</v>
      </c>
      <c r="D1903" s="78">
        <v>0</v>
      </c>
      <c r="E1903" s="78">
        <v>0</v>
      </c>
      <c r="F1903" s="79">
        <f>D1903+E1903</f>
        <v>0</v>
      </c>
      <c r="G1903" s="78">
        <v>0</v>
      </c>
      <c r="H1903" s="78">
        <v>0</v>
      </c>
      <c r="I1903" s="78">
        <v>0</v>
      </c>
      <c r="J1903" s="78">
        <v>0</v>
      </c>
      <c r="K1903" s="78">
        <v>0</v>
      </c>
      <c r="L1903" s="78">
        <v>0</v>
      </c>
      <c r="M1903" s="79">
        <f>SUM(J1903:L1903)</f>
        <v>0</v>
      </c>
      <c r="N1903" s="78">
        <v>0</v>
      </c>
      <c r="O1903" s="79">
        <f>SUM(F1903:I1903)+SUM(M1903:N1903)</f>
        <v>0</v>
      </c>
      <c r="P1903" s="78">
        <v>0</v>
      </c>
      <c r="Q1903" s="78">
        <v>0</v>
      </c>
      <c r="R1903" s="79">
        <f>P1903+Q1903</f>
        <v>0</v>
      </c>
      <c r="S1903" s="78">
        <v>0</v>
      </c>
      <c r="U1903" s="80">
        <f>O1903+R1903+S1903-C1903</f>
        <v>0</v>
      </c>
      <c r="W1903" s="81" t="str">
        <f t="shared" si="958"/>
        <v xml:space="preserve"> </v>
      </c>
      <c r="X1903" s="81" t="str">
        <f t="shared" si="959"/>
        <v xml:space="preserve"> </v>
      </c>
      <c r="Y1903" s="81" t="str">
        <f t="shared" si="960"/>
        <v xml:space="preserve"> </v>
      </c>
      <c r="Z1903" s="78"/>
      <c r="AJ1903" s="66"/>
      <c r="AK1903" s="65"/>
    </row>
    <row r="1904" spans="1:37" hidden="1">
      <c r="A1904" s="65">
        <f>A1903+1</f>
        <v>14</v>
      </c>
      <c r="W1904" s="81" t="str">
        <f t="shared" si="958"/>
        <v xml:space="preserve"> </v>
      </c>
      <c r="X1904" s="81" t="str">
        <f t="shared" si="959"/>
        <v xml:space="preserve"> </v>
      </c>
      <c r="Y1904" s="81" t="str">
        <f t="shared" si="960"/>
        <v xml:space="preserve"> </v>
      </c>
      <c r="AJ1904" s="66"/>
      <c r="AK1904" s="65"/>
    </row>
    <row r="1905" spans="1:37" hidden="1">
      <c r="A1905" s="65">
        <f>A1904+1</f>
        <v>15</v>
      </c>
      <c r="B1905" s="66" t="s">
        <v>730</v>
      </c>
      <c r="C1905" s="78">
        <v>0</v>
      </c>
      <c r="D1905" s="78">
        <v>0</v>
      </c>
      <c r="E1905" s="78">
        <v>0</v>
      </c>
      <c r="F1905" s="79">
        <f>D1905+E1905</f>
        <v>0</v>
      </c>
      <c r="G1905" s="78">
        <v>0</v>
      </c>
      <c r="H1905" s="78">
        <v>0</v>
      </c>
      <c r="I1905" s="78">
        <v>0</v>
      </c>
      <c r="J1905" s="78">
        <v>0</v>
      </c>
      <c r="K1905" s="78">
        <v>0</v>
      </c>
      <c r="L1905" s="78">
        <v>0</v>
      </c>
      <c r="M1905" s="79">
        <f>SUM(J1905:L1905)</f>
        <v>0</v>
      </c>
      <c r="N1905" s="78">
        <v>0</v>
      </c>
      <c r="O1905" s="79">
        <f>SUM(F1905:I1905)+SUM(M1905:N1905)</f>
        <v>0</v>
      </c>
      <c r="P1905" s="78">
        <v>0</v>
      </c>
      <c r="Q1905" s="78">
        <v>0</v>
      </c>
      <c r="R1905" s="79">
        <f>P1905+Q1905</f>
        <v>0</v>
      </c>
      <c r="S1905" s="78">
        <v>0</v>
      </c>
      <c r="U1905" s="80">
        <f>O1905+R1905+S1905-C1905</f>
        <v>0</v>
      </c>
      <c r="W1905" s="81" t="str">
        <f t="shared" si="958"/>
        <v xml:space="preserve"> </v>
      </c>
      <c r="X1905" s="81" t="str">
        <f t="shared" si="959"/>
        <v xml:space="preserve"> </v>
      </c>
      <c r="Y1905" s="81" t="str">
        <f t="shared" si="960"/>
        <v xml:space="preserve"> </v>
      </c>
      <c r="Z1905" s="78"/>
      <c r="AJ1905" s="66"/>
      <c r="AK1905" s="65"/>
    </row>
    <row r="1906" spans="1:37" hidden="1">
      <c r="W1906" s="81" t="str">
        <f t="shared" si="958"/>
        <v xml:space="preserve"> </v>
      </c>
      <c r="X1906" s="81" t="str">
        <f t="shared" si="959"/>
        <v xml:space="preserve"> </v>
      </c>
      <c r="Y1906" s="81" t="str">
        <f t="shared" si="960"/>
        <v xml:space="preserve"> </v>
      </c>
      <c r="AJ1906" s="66"/>
      <c r="AK1906" s="65"/>
    </row>
    <row r="1907" spans="1:37" hidden="1">
      <c r="A1907" s="65">
        <f>A1905+1</f>
        <v>16</v>
      </c>
      <c r="B1907" s="66" t="s">
        <v>695</v>
      </c>
      <c r="C1907" s="79">
        <f>C1895++C1885+C1887+C1891+C1883+C1905+C1903+C1897</f>
        <v>0</v>
      </c>
      <c r="D1907" s="79">
        <f t="shared" ref="D1907:S1907" si="969">D1895++D1885+D1887+D1891+D1883+D1905+D1903+D1897</f>
        <v>0</v>
      </c>
      <c r="E1907" s="79">
        <f t="shared" si="969"/>
        <v>0</v>
      </c>
      <c r="F1907" s="79">
        <f>D1907+E1907</f>
        <v>0</v>
      </c>
      <c r="G1907" s="79">
        <f t="shared" si="969"/>
        <v>0</v>
      </c>
      <c r="H1907" s="79">
        <f t="shared" si="969"/>
        <v>0</v>
      </c>
      <c r="I1907" s="79">
        <f t="shared" si="969"/>
        <v>0</v>
      </c>
      <c r="J1907" s="79">
        <f t="shared" si="969"/>
        <v>0</v>
      </c>
      <c r="K1907" s="79">
        <f t="shared" si="969"/>
        <v>0</v>
      </c>
      <c r="L1907" s="79">
        <f t="shared" si="969"/>
        <v>0</v>
      </c>
      <c r="M1907" s="79">
        <f>SUM(J1907:L1907)</f>
        <v>0</v>
      </c>
      <c r="N1907" s="79">
        <f t="shared" si="969"/>
        <v>0</v>
      </c>
      <c r="O1907" s="79">
        <f>SUM(F1907:I1907)+SUM(M1907:N1907)</f>
        <v>0</v>
      </c>
      <c r="P1907" s="79">
        <f t="shared" si="969"/>
        <v>0</v>
      </c>
      <c r="Q1907" s="79">
        <f t="shared" si="969"/>
        <v>0</v>
      </c>
      <c r="R1907" s="79">
        <f>P1907+Q1907</f>
        <v>0</v>
      </c>
      <c r="S1907" s="79">
        <f t="shared" si="969"/>
        <v>0</v>
      </c>
      <c r="U1907" s="80">
        <f>O1907+R1907+S1907-C1907</f>
        <v>0</v>
      </c>
      <c r="W1907" s="81" t="str">
        <f t="shared" si="958"/>
        <v xml:space="preserve"> </v>
      </c>
      <c r="X1907" s="81" t="str">
        <f t="shared" si="959"/>
        <v xml:space="preserve"> </v>
      </c>
      <c r="Y1907" s="81" t="str">
        <f t="shared" si="960"/>
        <v xml:space="preserve"> </v>
      </c>
      <c r="Z1907" s="79"/>
      <c r="AJ1907" s="66"/>
      <c r="AK1907" s="65"/>
    </row>
    <row r="1908" spans="1:37" hidden="1">
      <c r="B1908" s="66" t="s">
        <v>731</v>
      </c>
      <c r="C1908" s="79">
        <f>C1893+C1889+C1899</f>
        <v>0</v>
      </c>
      <c r="D1908" s="79">
        <f>D1893+D1889+D1899</f>
        <v>0</v>
      </c>
      <c r="E1908" s="79">
        <f>E1893+E1889+E1899</f>
        <v>0</v>
      </c>
      <c r="F1908" s="79">
        <f>D1908+E1908</f>
        <v>0</v>
      </c>
      <c r="G1908" s="79">
        <f t="shared" ref="G1908:L1908" si="970">G1893+G1889+G1899</f>
        <v>0</v>
      </c>
      <c r="H1908" s="79">
        <f t="shared" si="970"/>
        <v>0</v>
      </c>
      <c r="I1908" s="79">
        <f t="shared" si="970"/>
        <v>0</v>
      </c>
      <c r="J1908" s="79">
        <f t="shared" si="970"/>
        <v>0</v>
      </c>
      <c r="K1908" s="79">
        <f t="shared" si="970"/>
        <v>0</v>
      </c>
      <c r="L1908" s="79">
        <f t="shared" si="970"/>
        <v>0</v>
      </c>
      <c r="M1908" s="79">
        <f>SUM(J1908:L1908)</f>
        <v>0</v>
      </c>
      <c r="N1908" s="79">
        <f>N1893+N1889+N1899</f>
        <v>0</v>
      </c>
      <c r="O1908" s="79">
        <f>SUM(F1908:I1908)+SUM(M1908:N1908)</f>
        <v>0</v>
      </c>
      <c r="P1908" s="79">
        <f>P1893+P1889+P1899</f>
        <v>0</v>
      </c>
      <c r="Q1908" s="79">
        <f>Q1893+Q1889+Q1899</f>
        <v>0</v>
      </c>
      <c r="R1908" s="79">
        <f>P1908+Q1908</f>
        <v>0</v>
      </c>
      <c r="S1908" s="79">
        <f>S1893+S1889+S1899</f>
        <v>0</v>
      </c>
      <c r="U1908" s="80">
        <f>O1908+R1908+S1908-C1908</f>
        <v>0</v>
      </c>
      <c r="W1908" s="81" t="str">
        <f t="shared" si="958"/>
        <v xml:space="preserve"> </v>
      </c>
      <c r="X1908" s="81" t="str">
        <f t="shared" si="959"/>
        <v xml:space="preserve"> </v>
      </c>
      <c r="Y1908" s="81" t="str">
        <f t="shared" si="960"/>
        <v xml:space="preserve"> </v>
      </c>
      <c r="Z1908" s="79"/>
      <c r="AJ1908" s="66"/>
      <c r="AK1908" s="65"/>
    </row>
    <row r="1909" spans="1:37" hidden="1">
      <c r="A1909" s="65">
        <f>A1907+1</f>
        <v>17</v>
      </c>
      <c r="B1909" s="66" t="s">
        <v>732</v>
      </c>
      <c r="C1909" s="79">
        <f t="shared" ref="C1909:E1910" si="971">C1900</f>
        <v>0</v>
      </c>
      <c r="D1909" s="79">
        <f t="shared" si="971"/>
        <v>0</v>
      </c>
      <c r="E1909" s="79">
        <f t="shared" si="971"/>
        <v>0</v>
      </c>
      <c r="F1909" s="79">
        <f>D1909+E1909</f>
        <v>0</v>
      </c>
      <c r="G1909" s="79">
        <f t="shared" ref="G1909:L1910" si="972">G1900</f>
        <v>0</v>
      </c>
      <c r="H1909" s="79">
        <f t="shared" si="972"/>
        <v>0</v>
      </c>
      <c r="I1909" s="79">
        <f t="shared" si="972"/>
        <v>0</v>
      </c>
      <c r="J1909" s="79">
        <f t="shared" si="972"/>
        <v>0</v>
      </c>
      <c r="K1909" s="79">
        <f t="shared" si="972"/>
        <v>0</v>
      </c>
      <c r="L1909" s="79">
        <f t="shared" si="972"/>
        <v>0</v>
      </c>
      <c r="M1909" s="79">
        <f>SUM(J1909:L1909)</f>
        <v>0</v>
      </c>
      <c r="N1909" s="79">
        <f>N1900</f>
        <v>0</v>
      </c>
      <c r="O1909" s="79">
        <f>SUM(F1909:I1909)+SUM(M1909:N1909)</f>
        <v>0</v>
      </c>
      <c r="P1909" s="79">
        <f>P1900</f>
        <v>0</v>
      </c>
      <c r="Q1909" s="79">
        <f>Q1900</f>
        <v>0</v>
      </c>
      <c r="R1909" s="79">
        <f>P1909+Q1909</f>
        <v>0</v>
      </c>
      <c r="S1909" s="79">
        <f>S1900</f>
        <v>0</v>
      </c>
      <c r="U1909" s="80">
        <f>O1909+R1909+S1909-C1909</f>
        <v>0</v>
      </c>
      <c r="W1909" s="81" t="str">
        <f t="shared" si="958"/>
        <v xml:space="preserve"> </v>
      </c>
      <c r="X1909" s="81" t="str">
        <f t="shared" si="959"/>
        <v xml:space="preserve"> </v>
      </c>
      <c r="Y1909" s="81" t="str">
        <f t="shared" si="960"/>
        <v xml:space="preserve"> </v>
      </c>
      <c r="Z1909" s="79"/>
      <c r="AJ1909" s="66"/>
      <c r="AK1909" s="65"/>
    </row>
    <row r="1910" spans="1:37" hidden="1">
      <c r="A1910" s="65">
        <f>A1909+1</f>
        <v>18</v>
      </c>
      <c r="B1910" s="66" t="s">
        <v>733</v>
      </c>
      <c r="C1910" s="79">
        <f t="shared" si="971"/>
        <v>0</v>
      </c>
      <c r="D1910" s="79">
        <f t="shared" si="971"/>
        <v>0</v>
      </c>
      <c r="E1910" s="79">
        <f t="shared" si="971"/>
        <v>0</v>
      </c>
      <c r="F1910" s="79">
        <f>D1910+E1910</f>
        <v>0</v>
      </c>
      <c r="G1910" s="79">
        <f t="shared" si="972"/>
        <v>0</v>
      </c>
      <c r="H1910" s="79">
        <f t="shared" si="972"/>
        <v>0</v>
      </c>
      <c r="I1910" s="79">
        <f t="shared" si="972"/>
        <v>0</v>
      </c>
      <c r="J1910" s="79">
        <f t="shared" si="972"/>
        <v>0</v>
      </c>
      <c r="K1910" s="79">
        <f t="shared" si="972"/>
        <v>0</v>
      </c>
      <c r="L1910" s="79">
        <f t="shared" si="972"/>
        <v>0</v>
      </c>
      <c r="M1910" s="79">
        <f>SUM(J1910:L1910)</f>
        <v>0</v>
      </c>
      <c r="N1910" s="79">
        <f>N1901</f>
        <v>0</v>
      </c>
      <c r="O1910" s="79">
        <f>SUM(F1910:I1910)+SUM(M1910:N1910)</f>
        <v>0</v>
      </c>
      <c r="P1910" s="79">
        <f>P1901</f>
        <v>0</v>
      </c>
      <c r="Q1910" s="79">
        <f>Q1901</f>
        <v>0</v>
      </c>
      <c r="R1910" s="79">
        <f>P1910+Q1910</f>
        <v>0</v>
      </c>
      <c r="S1910" s="79">
        <f>S1901</f>
        <v>0</v>
      </c>
      <c r="U1910" s="80">
        <f>O1910+R1910+S1910-C1910</f>
        <v>0</v>
      </c>
      <c r="W1910" s="81" t="str">
        <f t="shared" si="958"/>
        <v xml:space="preserve"> </v>
      </c>
      <c r="X1910" s="81" t="str">
        <f t="shared" si="959"/>
        <v xml:space="preserve"> </v>
      </c>
      <c r="Y1910" s="81" t="str">
        <f t="shared" si="960"/>
        <v xml:space="preserve"> </v>
      </c>
      <c r="Z1910" s="79"/>
      <c r="AJ1910" s="66"/>
      <c r="AK1910" s="65"/>
    </row>
    <row r="1911" spans="1:37" hidden="1">
      <c r="A1911" s="65">
        <f>A1910+1</f>
        <v>19</v>
      </c>
      <c r="B1911" s="66" t="s">
        <v>734</v>
      </c>
      <c r="C1911" s="79">
        <f>C1894+C1890+C1883+C1905+C1902+C1897+C1885+C1887</f>
        <v>0</v>
      </c>
      <c r="D1911" s="79">
        <f t="shared" ref="D1911:S1911" si="973">D1894+D1890+D1883+D1905+D1902+D1897+D1885+D1887</f>
        <v>0</v>
      </c>
      <c r="E1911" s="79">
        <f t="shared" si="973"/>
        <v>0</v>
      </c>
      <c r="F1911" s="79">
        <f>D1911+E1911</f>
        <v>0</v>
      </c>
      <c r="G1911" s="79">
        <f t="shared" si="973"/>
        <v>0</v>
      </c>
      <c r="H1911" s="79">
        <f t="shared" si="973"/>
        <v>0</v>
      </c>
      <c r="I1911" s="79">
        <f t="shared" si="973"/>
        <v>0</v>
      </c>
      <c r="J1911" s="79">
        <f t="shared" si="973"/>
        <v>0</v>
      </c>
      <c r="K1911" s="79">
        <f t="shared" si="973"/>
        <v>0</v>
      </c>
      <c r="L1911" s="79">
        <f t="shared" si="973"/>
        <v>0</v>
      </c>
      <c r="M1911" s="79">
        <f>SUM(J1911:L1911)</f>
        <v>0</v>
      </c>
      <c r="N1911" s="79">
        <f t="shared" si="973"/>
        <v>0</v>
      </c>
      <c r="O1911" s="79">
        <f>SUM(F1911:I1911)+SUM(M1911:N1911)</f>
        <v>0</v>
      </c>
      <c r="P1911" s="79">
        <f t="shared" si="973"/>
        <v>0</v>
      </c>
      <c r="Q1911" s="79">
        <f t="shared" si="973"/>
        <v>0</v>
      </c>
      <c r="R1911" s="79">
        <f>P1911+Q1911</f>
        <v>0</v>
      </c>
      <c r="S1911" s="79">
        <f t="shared" si="973"/>
        <v>0</v>
      </c>
      <c r="U1911" s="80">
        <f>O1911+R1911+S1911-C1911</f>
        <v>0</v>
      </c>
      <c r="W1911" s="81" t="str">
        <f t="shared" si="958"/>
        <v xml:space="preserve"> </v>
      </c>
      <c r="X1911" s="81" t="str">
        <f t="shared" si="959"/>
        <v xml:space="preserve"> </v>
      </c>
      <c r="Y1911" s="81" t="str">
        <f t="shared" si="960"/>
        <v xml:space="preserve"> </v>
      </c>
      <c r="Z1911" s="79"/>
      <c r="AJ1911" s="66"/>
      <c r="AK1911" s="65"/>
    </row>
    <row r="1912" spans="1:37" hidden="1">
      <c r="A1912" s="65">
        <f>A1911+1</f>
        <v>20</v>
      </c>
      <c r="U1912" s="66"/>
      <c r="V1912" s="66"/>
      <c r="AJ1912" s="66"/>
      <c r="AK1912" s="65"/>
    </row>
    <row r="1913" spans="1:37" hidden="1">
      <c r="A1913" s="65">
        <f>A1912+1</f>
        <v>21</v>
      </c>
      <c r="AJ1913" s="66"/>
      <c r="AK1913" s="65"/>
    </row>
    <row r="1914" spans="1:37" hidden="1">
      <c r="A1914" s="66"/>
      <c r="AJ1914" s="66"/>
      <c r="AK1914" s="65"/>
    </row>
    <row r="1915" spans="1:37" hidden="1">
      <c r="AJ1915" s="66"/>
      <c r="AK1915" s="65"/>
    </row>
    <row r="1916" spans="1:37" hidden="1">
      <c r="AJ1916" s="66"/>
      <c r="AK1916" s="65"/>
    </row>
    <row r="1917" spans="1:37" hidden="1">
      <c r="AJ1917" s="66"/>
      <c r="AK1917" s="65"/>
    </row>
    <row r="1918" spans="1:37" hidden="1">
      <c r="AJ1918" s="66"/>
      <c r="AK1918" s="65"/>
    </row>
    <row r="1919" spans="1:37" hidden="1">
      <c r="AJ1919" s="66"/>
      <c r="AK1919" s="65"/>
    </row>
    <row r="1920" spans="1:37" hidden="1">
      <c r="C1920" s="105"/>
      <c r="D1920" s="99"/>
      <c r="E1920" s="99"/>
      <c r="F1920" s="99"/>
      <c r="H1920" s="65" t="s">
        <v>80</v>
      </c>
      <c r="I1920" s="105"/>
      <c r="J1920" s="105"/>
      <c r="K1920" s="105"/>
      <c r="L1920" s="105"/>
      <c r="M1920" s="105"/>
      <c r="N1920" s="105"/>
      <c r="P1920" s="105"/>
      <c r="Q1920" s="65" t="s">
        <v>80</v>
      </c>
      <c r="S1920" s="79"/>
      <c r="U1920" s="80"/>
      <c r="X1920" s="108"/>
      <c r="Y1920" s="108"/>
      <c r="AJ1920" s="66"/>
      <c r="AK1920" s="65"/>
    </row>
    <row r="1921" spans="1:37" hidden="1">
      <c r="C1921" s="79"/>
      <c r="H1921" s="70" t="str">
        <f>H24</f>
        <v>12 MONTHS ENDING DECEMBER 31, 2012</v>
      </c>
      <c r="I1921" s="79"/>
      <c r="J1921" s="79"/>
      <c r="K1921" s="79"/>
      <c r="L1921" s="79"/>
      <c r="M1921" s="79"/>
      <c r="N1921" s="79"/>
      <c r="P1921" s="105"/>
      <c r="Q1921" s="70" t="str">
        <f>Q24</f>
        <v>12 MONTHS ENDING DECEMBER 31, 2012</v>
      </c>
      <c r="S1921" s="79"/>
      <c r="U1921" s="80"/>
      <c r="X1921" s="108"/>
      <c r="Y1921" s="108"/>
      <c r="AJ1921" s="66"/>
      <c r="AK1921" s="65"/>
    </row>
    <row r="1922" spans="1:37" hidden="1">
      <c r="C1922" s="79"/>
      <c r="H1922" s="70" t="str">
        <f>$H$25</f>
        <v>12/13 DEMAND ALLOCATION WITH MDS METHODOLOGY</v>
      </c>
      <c r="P1922" s="79"/>
      <c r="Q1922" s="70" t="str">
        <f>$H$25</f>
        <v>12/13 DEMAND ALLOCATION WITH MDS METHODOLOGY</v>
      </c>
      <c r="S1922" s="79"/>
      <c r="X1922" s="108"/>
      <c r="Y1922" s="108"/>
      <c r="Z1922" s="70"/>
      <c r="AJ1922" s="66"/>
      <c r="AK1922" s="65"/>
    </row>
    <row r="1923" spans="1:37" hidden="1">
      <c r="C1923" s="105"/>
      <c r="D1923" s="99"/>
      <c r="E1923" s="99"/>
      <c r="F1923" s="99"/>
      <c r="H1923" s="80" t="s">
        <v>735</v>
      </c>
      <c r="I1923" s="105"/>
      <c r="J1923" s="105"/>
      <c r="K1923" s="105"/>
      <c r="L1923" s="105"/>
      <c r="M1923" s="105"/>
      <c r="N1923" s="105"/>
      <c r="P1923" s="105"/>
      <c r="Q1923" s="80" t="s">
        <v>735</v>
      </c>
      <c r="S1923" s="79"/>
      <c r="U1923" s="80"/>
      <c r="X1923" s="108"/>
      <c r="Y1923" s="108"/>
      <c r="AJ1923" s="66"/>
      <c r="AK1923" s="65"/>
    </row>
    <row r="1924" spans="1:37" hidden="1">
      <c r="C1924" s="105"/>
      <c r="D1924" s="99"/>
      <c r="E1924" s="99"/>
      <c r="F1924" s="99"/>
      <c r="H1924" s="80" t="s">
        <v>114</v>
      </c>
      <c r="I1924" s="99"/>
      <c r="J1924" s="105"/>
      <c r="K1924" s="105"/>
      <c r="L1924" s="105"/>
      <c r="M1924" s="105"/>
      <c r="N1924" s="105"/>
      <c r="P1924" s="105"/>
      <c r="Q1924" s="80" t="s">
        <v>114</v>
      </c>
      <c r="S1924" s="79"/>
      <c r="U1924" s="80"/>
      <c r="X1924" s="108"/>
      <c r="Y1924" s="108"/>
      <c r="AJ1924" s="66"/>
      <c r="AK1924" s="65"/>
    </row>
    <row r="1925" spans="1:37" hidden="1">
      <c r="X1925" s="108"/>
      <c r="Y1925" s="108"/>
      <c r="AJ1925" s="66"/>
      <c r="AK1925" s="65"/>
    </row>
    <row r="1926" spans="1:37" hidden="1">
      <c r="X1926" s="108"/>
      <c r="Y1926" s="108"/>
      <c r="AJ1926" s="66"/>
      <c r="AK1926" s="65"/>
    </row>
    <row r="1927" spans="1:37" hidden="1">
      <c r="C1927" s="65" t="s">
        <v>59</v>
      </c>
      <c r="K1927" s="65"/>
      <c r="L1927" s="65"/>
      <c r="M1927" s="65"/>
      <c r="O1927" s="65" t="s">
        <v>59</v>
      </c>
      <c r="P1927" s="65"/>
      <c r="Q1927" s="65"/>
      <c r="R1927" s="65"/>
      <c r="S1927" s="65" t="s">
        <v>115</v>
      </c>
      <c r="W1927" s="65"/>
      <c r="X1927" s="108"/>
      <c r="Y1927" s="108"/>
      <c r="AJ1927" s="66"/>
      <c r="AK1927" s="65"/>
    </row>
    <row r="1928" spans="1:37" hidden="1">
      <c r="C1928" s="65" t="s">
        <v>58</v>
      </c>
      <c r="D1928" s="70" t="s">
        <v>119</v>
      </c>
      <c r="E1928" s="70" t="s">
        <v>119</v>
      </c>
      <c r="F1928" s="70" t="s">
        <v>119</v>
      </c>
      <c r="G1928" s="70" t="s">
        <v>119</v>
      </c>
      <c r="H1928" s="70" t="s">
        <v>119</v>
      </c>
      <c r="I1928" s="70" t="s">
        <v>119</v>
      </c>
      <c r="J1928" s="70" t="s">
        <v>119</v>
      </c>
      <c r="K1928" s="70" t="s">
        <v>119</v>
      </c>
      <c r="L1928" s="70" t="s">
        <v>119</v>
      </c>
      <c r="M1928" s="70" t="s">
        <v>119</v>
      </c>
      <c r="N1928" s="70" t="s">
        <v>119</v>
      </c>
      <c r="O1928" s="65" t="s">
        <v>116</v>
      </c>
      <c r="P1928" s="65"/>
      <c r="Q1928" s="70" t="s">
        <v>120</v>
      </c>
      <c r="R1928" s="65"/>
      <c r="S1928" s="65" t="s">
        <v>121</v>
      </c>
      <c r="W1928" s="70"/>
      <c r="X1928" s="108"/>
      <c r="Y1928" s="108"/>
      <c r="Z1928" s="65"/>
      <c r="AJ1928" s="66"/>
      <c r="AK1928" s="65"/>
    </row>
    <row r="1929" spans="1:37" hidden="1">
      <c r="B1929" s="65" t="s">
        <v>126</v>
      </c>
      <c r="C1929" s="65" t="s">
        <v>57</v>
      </c>
      <c r="D1929" s="70" t="s">
        <v>127</v>
      </c>
      <c r="E1929" s="70" t="s">
        <v>128</v>
      </c>
      <c r="F1929" s="70" t="s">
        <v>129</v>
      </c>
      <c r="G1929" s="70" t="s">
        <v>130</v>
      </c>
      <c r="H1929" s="70" t="s">
        <v>131</v>
      </c>
      <c r="I1929" s="65" t="s">
        <v>132</v>
      </c>
      <c r="J1929" s="70" t="s">
        <v>133</v>
      </c>
      <c r="K1929" s="70" t="s">
        <v>134</v>
      </c>
      <c r="L1929" s="70" t="s">
        <v>135</v>
      </c>
      <c r="M1929" s="70" t="s">
        <v>136</v>
      </c>
      <c r="N1929" s="70" t="s">
        <v>137</v>
      </c>
      <c r="O1929" s="65" t="s">
        <v>138</v>
      </c>
      <c r="P1929" s="70" t="s">
        <v>139</v>
      </c>
      <c r="Q1929" s="70" t="s">
        <v>140</v>
      </c>
      <c r="R1929" s="65" t="s">
        <v>122</v>
      </c>
      <c r="S1929" s="65" t="s">
        <v>141</v>
      </c>
      <c r="W1929" s="70"/>
      <c r="X1929" s="108"/>
      <c r="Y1929" s="108"/>
      <c r="Z1929" s="65"/>
      <c r="AJ1929" s="66"/>
      <c r="AK1929" s="65"/>
    </row>
    <row r="1930" spans="1:37" hidden="1">
      <c r="A1930" s="65" t="s">
        <v>118</v>
      </c>
      <c r="B1930" s="65" t="s">
        <v>144</v>
      </c>
      <c r="C1930" s="65" t="s">
        <v>145</v>
      </c>
      <c r="D1930" s="70" t="s">
        <v>146</v>
      </c>
      <c r="E1930" s="70" t="s">
        <v>147</v>
      </c>
      <c r="F1930" s="70" t="s">
        <v>148</v>
      </c>
      <c r="G1930" s="65" t="s">
        <v>149</v>
      </c>
      <c r="H1930" s="65" t="s">
        <v>150</v>
      </c>
      <c r="I1930" s="65" t="s">
        <v>151</v>
      </c>
      <c r="J1930" s="70" t="s">
        <v>152</v>
      </c>
      <c r="K1930" s="70" t="s">
        <v>153</v>
      </c>
      <c r="L1930" s="70" t="s">
        <v>154</v>
      </c>
      <c r="M1930" s="70" t="s">
        <v>155</v>
      </c>
      <c r="N1930" s="70" t="s">
        <v>156</v>
      </c>
      <c r="O1930" s="70" t="s">
        <v>157</v>
      </c>
      <c r="P1930" s="70" t="s">
        <v>158</v>
      </c>
      <c r="Q1930" s="70" t="s">
        <v>159</v>
      </c>
      <c r="R1930" s="70" t="s">
        <v>160</v>
      </c>
      <c r="S1930" s="70" t="s">
        <v>161</v>
      </c>
      <c r="W1930" s="77"/>
      <c r="X1930" s="77"/>
      <c r="Y1930" s="76"/>
      <c r="Z1930" s="70"/>
      <c r="AJ1930" s="66"/>
      <c r="AK1930" s="65"/>
    </row>
    <row r="1931" spans="1:37" hidden="1">
      <c r="A1931" s="65" t="s">
        <v>125</v>
      </c>
      <c r="C1931" s="79"/>
      <c r="D1931" s="79"/>
      <c r="E1931" s="79"/>
      <c r="F1931" s="79"/>
      <c r="G1931" s="79"/>
      <c r="H1931" s="79"/>
      <c r="I1931" s="79"/>
      <c r="J1931" s="79"/>
      <c r="K1931" s="79"/>
      <c r="L1931" s="79"/>
      <c r="M1931" s="79"/>
      <c r="N1931" s="79"/>
      <c r="O1931" s="79"/>
      <c r="P1931" s="79"/>
      <c r="R1931" s="79"/>
      <c r="S1931" s="79"/>
      <c r="U1931" s="80"/>
      <c r="W1931" s="79"/>
      <c r="X1931" s="108"/>
      <c r="Y1931" s="108"/>
      <c r="Z1931" s="79"/>
      <c r="AJ1931" s="66"/>
      <c r="AK1931" s="65"/>
    </row>
    <row r="1932" spans="1:37" hidden="1">
      <c r="A1932" s="65" t="s">
        <v>143</v>
      </c>
      <c r="B1932" s="66" t="s">
        <v>736</v>
      </c>
      <c r="C1932" s="79"/>
      <c r="D1932" s="79"/>
      <c r="E1932" s="79"/>
      <c r="F1932" s="79"/>
      <c r="G1932" s="79"/>
      <c r="H1932" s="79"/>
      <c r="I1932" s="79"/>
      <c r="J1932" s="79"/>
      <c r="K1932" s="79"/>
      <c r="L1932" s="79"/>
      <c r="M1932" s="79"/>
      <c r="N1932" s="79"/>
      <c r="O1932" s="79"/>
      <c r="P1932" s="79"/>
      <c r="R1932" s="79"/>
      <c r="S1932" s="79"/>
      <c r="U1932" s="80"/>
      <c r="W1932" s="79"/>
      <c r="X1932" s="108"/>
      <c r="Y1932" s="108"/>
      <c r="Z1932" s="79"/>
      <c r="AJ1932" s="66"/>
      <c r="AK1932" s="65"/>
    </row>
    <row r="1933" spans="1:37" hidden="1">
      <c r="B1933" s="66" t="s">
        <v>737</v>
      </c>
      <c r="C1933" s="79"/>
      <c r="D1933" s="79"/>
      <c r="E1933" s="79"/>
      <c r="F1933" s="79"/>
      <c r="G1933" s="79"/>
      <c r="H1933" s="79"/>
      <c r="I1933" s="79"/>
      <c r="J1933" s="79"/>
      <c r="K1933" s="79"/>
      <c r="L1933" s="79"/>
      <c r="M1933" s="79"/>
      <c r="N1933" s="79"/>
      <c r="O1933" s="79"/>
      <c r="P1933" s="79"/>
      <c r="R1933" s="79"/>
      <c r="S1933" s="79"/>
      <c r="U1933" s="80"/>
      <c r="W1933" s="79"/>
      <c r="X1933" s="108"/>
      <c r="Y1933" s="108"/>
      <c r="Z1933" s="79"/>
      <c r="AJ1933" s="66"/>
      <c r="AK1933" s="65"/>
    </row>
    <row r="1934" spans="1:37" hidden="1">
      <c r="B1934" s="66" t="s">
        <v>738</v>
      </c>
      <c r="C1934" s="79"/>
      <c r="D1934" s="79"/>
      <c r="E1934" s="79"/>
      <c r="F1934" s="79"/>
      <c r="G1934" s="79"/>
      <c r="H1934" s="79"/>
      <c r="I1934" s="79"/>
      <c r="J1934" s="79"/>
      <c r="K1934" s="79"/>
      <c r="L1934" s="79"/>
      <c r="M1934" s="79"/>
      <c r="N1934" s="79"/>
      <c r="O1934" s="79"/>
      <c r="P1934" s="79"/>
      <c r="R1934" s="79"/>
      <c r="S1934" s="79"/>
      <c r="U1934" s="80"/>
      <c r="W1934" s="79"/>
      <c r="X1934" s="108"/>
      <c r="Y1934" s="108"/>
      <c r="Z1934" s="79"/>
      <c r="AJ1934" s="66"/>
      <c r="AK1934" s="65"/>
    </row>
    <row r="1935" spans="1:37" hidden="1">
      <c r="B1935" s="83" t="s">
        <v>170</v>
      </c>
      <c r="C1935" s="79"/>
      <c r="D1935" s="79"/>
      <c r="E1935" s="79"/>
      <c r="F1935" s="79"/>
      <c r="G1935" s="79"/>
      <c r="H1935" s="79"/>
      <c r="I1935" s="79"/>
      <c r="J1935" s="79"/>
      <c r="K1935" s="79"/>
      <c r="L1935" s="79"/>
      <c r="M1935" s="79"/>
      <c r="N1935" s="79"/>
      <c r="O1935" s="79"/>
      <c r="P1935" s="79"/>
      <c r="R1935" s="79"/>
      <c r="S1935" s="79"/>
      <c r="U1935" s="80"/>
      <c r="W1935" s="79"/>
      <c r="X1935" s="108"/>
      <c r="Y1935" s="108"/>
      <c r="Z1935" s="79"/>
      <c r="AJ1935" s="66"/>
      <c r="AK1935" s="65"/>
    </row>
    <row r="1936" spans="1:37" hidden="1">
      <c r="C1936" s="79"/>
      <c r="D1936" s="79"/>
      <c r="E1936" s="79"/>
      <c r="F1936" s="79"/>
      <c r="G1936" s="79"/>
      <c r="H1936" s="79"/>
      <c r="I1936" s="79"/>
      <c r="J1936" s="79"/>
      <c r="K1936" s="79"/>
      <c r="L1936" s="79"/>
      <c r="M1936" s="79"/>
      <c r="N1936" s="79"/>
      <c r="O1936" s="79"/>
      <c r="P1936" s="79"/>
      <c r="R1936" s="79"/>
      <c r="S1936" s="79"/>
      <c r="U1936" s="80"/>
      <c r="W1936" s="79"/>
      <c r="X1936" s="108"/>
      <c r="Y1936" s="108"/>
      <c r="Z1936" s="79"/>
      <c r="AJ1936" s="66"/>
      <c r="AK1936" s="65"/>
    </row>
    <row r="1937" spans="1:37" hidden="1">
      <c r="B1937" s="66" t="s">
        <v>739</v>
      </c>
      <c r="C1937" s="79"/>
      <c r="D1937" s="79"/>
      <c r="E1937" s="79"/>
      <c r="F1937" s="79"/>
      <c r="G1937" s="79"/>
      <c r="H1937" s="79"/>
      <c r="I1937" s="79"/>
      <c r="J1937" s="79"/>
      <c r="K1937" s="79"/>
      <c r="L1937" s="79"/>
      <c r="M1937" s="79"/>
      <c r="N1937" s="79"/>
      <c r="O1937" s="79"/>
      <c r="P1937" s="79"/>
      <c r="R1937" s="79"/>
      <c r="S1937" s="79"/>
      <c r="U1937" s="80"/>
      <c r="W1937" s="79"/>
      <c r="X1937" s="108"/>
      <c r="Y1937" s="108"/>
      <c r="Z1937" s="79"/>
      <c r="AJ1937" s="66"/>
      <c r="AK1937" s="65"/>
    </row>
    <row r="1938" spans="1:37" hidden="1">
      <c r="B1938" s="66" t="s">
        <v>740</v>
      </c>
      <c r="C1938" s="79">
        <v>168541.92407682308</v>
      </c>
      <c r="D1938" s="79">
        <v>90511.924076823081</v>
      </c>
      <c r="E1938" s="79">
        <v>2455</v>
      </c>
      <c r="F1938" s="79">
        <f>D1938+E1938</f>
        <v>92966.924076823081</v>
      </c>
      <c r="G1938" s="79">
        <v>4577</v>
      </c>
      <c r="H1938" s="79">
        <v>39371</v>
      </c>
      <c r="I1938" s="79">
        <v>21833</v>
      </c>
      <c r="J1938" s="79">
        <v>8002</v>
      </c>
      <c r="K1938" s="79">
        <v>572</v>
      </c>
      <c r="L1938" s="79">
        <v>449</v>
      </c>
      <c r="M1938" s="79">
        <f>SUM(J1938:L1938)</f>
        <v>9023</v>
      </c>
      <c r="N1938" s="79">
        <v>771</v>
      </c>
      <c r="O1938" s="79">
        <f t="shared" ref="O1938:O1943" si="974">SUM(F1938:I1938)+SUM(M1938:N1938)</f>
        <v>168541.92407682308</v>
      </c>
      <c r="P1938" s="79"/>
      <c r="R1938" s="79"/>
      <c r="S1938" s="79"/>
      <c r="U1938" s="80"/>
      <c r="W1938" s="79"/>
      <c r="X1938" s="108"/>
      <c r="Y1938" s="108"/>
      <c r="Z1938" s="79"/>
      <c r="AJ1938" s="66"/>
      <c r="AK1938" s="65"/>
    </row>
    <row r="1939" spans="1:37" hidden="1">
      <c r="B1939" s="66" t="s">
        <v>741</v>
      </c>
      <c r="C1939" s="79">
        <v>34497</v>
      </c>
      <c r="D1939" s="79">
        <v>18189</v>
      </c>
      <c r="E1939" s="79">
        <v>540</v>
      </c>
      <c r="F1939" s="79">
        <f>D1939+E1939</f>
        <v>18729</v>
      </c>
      <c r="G1939" s="79">
        <v>948</v>
      </c>
      <c r="H1939" s="79">
        <v>8767</v>
      </c>
      <c r="I1939" s="79">
        <v>4481</v>
      </c>
      <c r="J1939" s="79">
        <v>1194</v>
      </c>
      <c r="K1939" s="79">
        <v>81</v>
      </c>
      <c r="L1939" s="79">
        <v>116</v>
      </c>
      <c r="M1939" s="79">
        <f>SUM(J1939:L1939)</f>
        <v>1391</v>
      </c>
      <c r="N1939" s="79">
        <v>181</v>
      </c>
      <c r="O1939" s="79">
        <f t="shared" si="974"/>
        <v>34497</v>
      </c>
      <c r="P1939" s="79"/>
      <c r="R1939" s="79"/>
      <c r="S1939" s="79"/>
      <c r="U1939" s="80"/>
      <c r="W1939" s="79"/>
      <c r="X1939" s="108"/>
      <c r="Y1939" s="108"/>
      <c r="Z1939" s="79"/>
      <c r="AJ1939" s="66"/>
      <c r="AK1939" s="65"/>
    </row>
    <row r="1940" spans="1:37" hidden="1">
      <c r="A1940" s="65">
        <f>A1939+1</f>
        <v>1</v>
      </c>
      <c r="B1940" s="66" t="s">
        <v>742</v>
      </c>
      <c r="C1940" s="79">
        <v>78051.812175062165</v>
      </c>
      <c r="D1940" s="79">
        <v>43503.812185062154</v>
      </c>
      <c r="E1940" s="79">
        <v>1492</v>
      </c>
      <c r="F1940" s="79">
        <f>D1940+E1940</f>
        <v>44995.812185062154</v>
      </c>
      <c r="G1940" s="79">
        <v>2355</v>
      </c>
      <c r="H1940" s="79">
        <v>19633</v>
      </c>
      <c r="I1940" s="79">
        <v>7267</v>
      </c>
      <c r="J1940" s="79">
        <v>2217</v>
      </c>
      <c r="K1940" s="79">
        <v>354</v>
      </c>
      <c r="L1940" s="79">
        <v>146</v>
      </c>
      <c r="M1940" s="79">
        <f>SUM(J1940:L1940)</f>
        <v>2717</v>
      </c>
      <c r="N1940" s="79">
        <v>1083.99999</v>
      </c>
      <c r="O1940" s="79">
        <f t="shared" si="974"/>
        <v>78051.81217506215</v>
      </c>
      <c r="P1940" s="79"/>
      <c r="R1940" s="79"/>
      <c r="S1940" s="79"/>
      <c r="U1940" s="80"/>
      <c r="W1940" s="79"/>
      <c r="X1940" s="108"/>
      <c r="Y1940" s="108"/>
      <c r="Z1940" s="79"/>
      <c r="AJ1940" s="66"/>
      <c r="AK1940" s="65"/>
    </row>
    <row r="1941" spans="1:37" hidden="1">
      <c r="A1941" s="65">
        <f>A1940+1</f>
        <v>2</v>
      </c>
      <c r="B1941" s="66" t="s">
        <v>743</v>
      </c>
      <c r="C1941" s="79">
        <f t="shared" ref="C1941:I1941" si="975">SUM(C1938:C1940)</f>
        <v>281090.73625188525</v>
      </c>
      <c r="D1941" s="79">
        <f>SUM(D1938:D1940)</f>
        <v>152204.73626188523</v>
      </c>
      <c r="E1941" s="79">
        <f>SUM(E1938:E1940)</f>
        <v>4487</v>
      </c>
      <c r="F1941" s="79">
        <f>D1941+E1941</f>
        <v>156691.73626188523</v>
      </c>
      <c r="G1941" s="79">
        <f t="shared" si="975"/>
        <v>7880</v>
      </c>
      <c r="H1941" s="79">
        <f t="shared" si="975"/>
        <v>67771</v>
      </c>
      <c r="I1941" s="79">
        <f t="shared" si="975"/>
        <v>33581</v>
      </c>
      <c r="J1941" s="79">
        <f>SUM(J1938:J1940)</f>
        <v>11413</v>
      </c>
      <c r="K1941" s="79">
        <f>SUM(K1938:K1940)</f>
        <v>1007</v>
      </c>
      <c r="L1941" s="79">
        <f>SUM(L1938:L1940)</f>
        <v>711</v>
      </c>
      <c r="M1941" s="79">
        <f>SUM(J1941:L1941)</f>
        <v>13131</v>
      </c>
      <c r="N1941" s="79">
        <f>SUM(N1938:N1940)</f>
        <v>2035.99999</v>
      </c>
      <c r="O1941" s="79">
        <f t="shared" si="974"/>
        <v>281090.73625188525</v>
      </c>
      <c r="P1941" s="79"/>
      <c r="R1941" s="79"/>
      <c r="S1941" s="79"/>
      <c r="U1941" s="80"/>
      <c r="W1941" s="79"/>
      <c r="X1941" s="108"/>
      <c r="Y1941" s="108"/>
      <c r="Z1941" s="79"/>
      <c r="AJ1941" s="66"/>
      <c r="AK1941" s="65"/>
    </row>
    <row r="1942" spans="1:37" hidden="1">
      <c r="A1942" s="65">
        <f>A1941+1</f>
        <v>3</v>
      </c>
      <c r="C1942" s="79"/>
      <c r="D1942" s="79"/>
      <c r="E1942" s="79"/>
      <c r="F1942" s="79"/>
      <c r="G1942" s="79"/>
      <c r="H1942" s="79"/>
      <c r="I1942" s="79"/>
      <c r="J1942" s="79"/>
      <c r="K1942" s="79"/>
      <c r="L1942" s="79"/>
      <c r="M1942" s="79"/>
      <c r="N1942" s="79"/>
      <c r="O1942" s="79"/>
      <c r="P1942" s="79"/>
      <c r="R1942" s="79"/>
      <c r="S1942" s="79"/>
      <c r="U1942" s="80"/>
      <c r="W1942" s="79"/>
      <c r="X1942" s="108"/>
      <c r="Y1942" s="108"/>
      <c r="Z1942" s="79"/>
      <c r="AJ1942" s="66"/>
      <c r="AK1942" s="65"/>
    </row>
    <row r="1943" spans="1:37" hidden="1">
      <c r="A1943" s="65">
        <f>A1942+1</f>
        <v>4</v>
      </c>
      <c r="B1943" s="66" t="s">
        <v>744</v>
      </c>
      <c r="C1943" s="79">
        <v>60452.021923076914</v>
      </c>
      <c r="D1943" s="79">
        <v>27764.021923076911</v>
      </c>
      <c r="E1943" s="79">
        <v>60452.021923076914</v>
      </c>
      <c r="F1943" s="79">
        <f>D1943+E1943</f>
        <v>88216.043846153829</v>
      </c>
      <c r="G1943" s="79">
        <v>1538</v>
      </c>
      <c r="H1943" s="79">
        <v>14642</v>
      </c>
      <c r="I1943" s="79">
        <v>9489</v>
      </c>
      <c r="J1943" s="79">
        <v>4630</v>
      </c>
      <c r="K1943" s="79">
        <v>208</v>
      </c>
      <c r="L1943" s="79">
        <v>220</v>
      </c>
      <c r="M1943" s="79">
        <f>SUM(J1943:L1943)</f>
        <v>5058</v>
      </c>
      <c r="N1943" s="79">
        <v>870</v>
      </c>
      <c r="O1943" s="79">
        <f t="shared" si="974"/>
        <v>119813.04384615383</v>
      </c>
      <c r="P1943" s="79"/>
      <c r="R1943" s="79"/>
      <c r="S1943" s="79"/>
      <c r="U1943" s="80"/>
      <c r="W1943" s="79"/>
      <c r="X1943" s="108"/>
      <c r="Y1943" s="108"/>
      <c r="Z1943" s="79"/>
      <c r="AJ1943" s="66"/>
      <c r="AK1943" s="65"/>
    </row>
    <row r="1944" spans="1:37" hidden="1">
      <c r="C1944" s="79"/>
      <c r="D1944" s="79"/>
      <c r="E1944" s="79"/>
      <c r="F1944" s="79"/>
      <c r="G1944" s="79"/>
      <c r="H1944" s="79"/>
      <c r="I1944" s="79"/>
      <c r="K1944" s="79"/>
      <c r="L1944" s="79"/>
      <c r="M1944" s="79"/>
      <c r="O1944" s="79"/>
      <c r="P1944" s="79"/>
      <c r="R1944" s="79"/>
      <c r="S1944" s="79"/>
      <c r="W1944" s="79"/>
      <c r="X1944" s="108"/>
      <c r="Y1944" s="108"/>
      <c r="Z1944" s="79"/>
      <c r="AJ1944" s="66"/>
      <c r="AK1944" s="65"/>
    </row>
    <row r="1945" spans="1:37" hidden="1">
      <c r="A1945" s="65">
        <f>A1943+1</f>
        <v>5</v>
      </c>
      <c r="B1945" s="66" t="s">
        <v>745</v>
      </c>
      <c r="C1945" s="79"/>
      <c r="D1945" s="79"/>
      <c r="E1945" s="79"/>
      <c r="F1945" s="79"/>
      <c r="G1945" s="79"/>
      <c r="H1945" s="79"/>
      <c r="I1945" s="79"/>
      <c r="K1945" s="79"/>
      <c r="L1945" s="79"/>
      <c r="M1945" s="79"/>
      <c r="O1945" s="79"/>
      <c r="P1945" s="79"/>
      <c r="R1945" s="79"/>
      <c r="S1945" s="79"/>
      <c r="W1945" s="79"/>
      <c r="X1945" s="108"/>
      <c r="Y1945" s="108"/>
      <c r="Z1945" s="79"/>
      <c r="AJ1945" s="66"/>
      <c r="AK1945" s="65"/>
    </row>
    <row r="1946" spans="1:37" hidden="1">
      <c r="B1946" s="83" t="s">
        <v>170</v>
      </c>
      <c r="C1946" s="79"/>
      <c r="D1946" s="79"/>
      <c r="E1946" s="79"/>
      <c r="F1946" s="79"/>
      <c r="G1946" s="79"/>
      <c r="H1946" s="79"/>
      <c r="I1946" s="79"/>
      <c r="K1946" s="79"/>
      <c r="L1946" s="79"/>
      <c r="M1946" s="79"/>
      <c r="O1946" s="79"/>
      <c r="P1946" s="79"/>
      <c r="R1946" s="79"/>
      <c r="S1946" s="79"/>
      <c r="W1946" s="79"/>
      <c r="X1946" s="108"/>
      <c r="Y1946" s="108"/>
      <c r="Z1946" s="79"/>
      <c r="AJ1946" s="66"/>
      <c r="AK1946" s="65"/>
    </row>
    <row r="1947" spans="1:37" hidden="1">
      <c r="C1947" s="79"/>
      <c r="D1947" s="79"/>
      <c r="E1947" s="79"/>
      <c r="F1947" s="79"/>
      <c r="G1947" s="79"/>
      <c r="H1947" s="79"/>
      <c r="I1947" s="79"/>
      <c r="K1947" s="79"/>
      <c r="L1947" s="79"/>
      <c r="M1947" s="79"/>
      <c r="O1947" s="79"/>
      <c r="P1947" s="79"/>
      <c r="R1947" s="79"/>
      <c r="S1947" s="79"/>
      <c r="W1947" s="79"/>
      <c r="X1947" s="108"/>
      <c r="Y1947" s="108"/>
      <c r="Z1947" s="79"/>
      <c r="AJ1947" s="66"/>
      <c r="AK1947" s="65"/>
    </row>
    <row r="1948" spans="1:37" hidden="1">
      <c r="B1948" s="66" t="s">
        <v>746</v>
      </c>
      <c r="C1948" s="79"/>
      <c r="D1948" s="80" t="s">
        <v>170</v>
      </c>
      <c r="E1948" s="80" t="s">
        <v>170</v>
      </c>
      <c r="F1948" s="80"/>
      <c r="G1948" s="80" t="s">
        <v>170</v>
      </c>
      <c r="H1948" s="79">
        <v>5995879</v>
      </c>
      <c r="I1948" s="79">
        <v>2985722</v>
      </c>
      <c r="J1948" s="79">
        <v>1521995</v>
      </c>
      <c r="K1948" s="79">
        <v>1521995</v>
      </c>
      <c r="L1948" s="79">
        <v>0</v>
      </c>
      <c r="M1948" s="79">
        <f>SUM(J1948:L1948)</f>
        <v>3043990</v>
      </c>
      <c r="O1948" s="80" t="s">
        <v>170</v>
      </c>
      <c r="P1948" s="79"/>
      <c r="R1948" s="79"/>
      <c r="S1948" s="79"/>
      <c r="U1948" s="80"/>
      <c r="W1948" s="79"/>
      <c r="X1948" s="108"/>
      <c r="Y1948" s="108"/>
      <c r="Z1948" s="80"/>
      <c r="AJ1948" s="66"/>
      <c r="AK1948" s="65"/>
    </row>
    <row r="1949" spans="1:37" hidden="1">
      <c r="B1949" s="66" t="s">
        <v>747</v>
      </c>
      <c r="C1949" s="79"/>
      <c r="D1949" s="80" t="s">
        <v>170</v>
      </c>
      <c r="E1949" s="80" t="s">
        <v>170</v>
      </c>
      <c r="F1949" s="80"/>
      <c r="G1949" s="80" t="s">
        <v>170</v>
      </c>
      <c r="H1949" s="79">
        <v>7696772</v>
      </c>
      <c r="I1949" s="79">
        <v>3730465</v>
      </c>
      <c r="J1949" s="79">
        <v>1651152</v>
      </c>
      <c r="K1949" s="79">
        <v>1651152</v>
      </c>
      <c r="L1949" s="79">
        <v>0</v>
      </c>
      <c r="M1949" s="79">
        <f>SUM(J1949:L1949)</f>
        <v>3302304</v>
      </c>
      <c r="O1949" s="80" t="s">
        <v>170</v>
      </c>
      <c r="P1949" s="79"/>
      <c r="R1949" s="79"/>
      <c r="S1949" s="79"/>
      <c r="U1949" s="80"/>
      <c r="W1949" s="79"/>
      <c r="X1949" s="108"/>
      <c r="Y1949" s="108"/>
      <c r="Z1949" s="80"/>
      <c r="AJ1949" s="66"/>
      <c r="AK1949" s="65"/>
    </row>
    <row r="1950" spans="1:37" hidden="1">
      <c r="A1950" s="65">
        <f>A1945+1</f>
        <v>6</v>
      </c>
      <c r="B1950" s="66" t="s">
        <v>44</v>
      </c>
      <c r="C1950" s="79"/>
      <c r="D1950" s="79">
        <v>3042313</v>
      </c>
      <c r="E1950" s="79">
        <v>263696</v>
      </c>
      <c r="F1950" s="79">
        <f>D1950+E1950</f>
        <v>3306009</v>
      </c>
      <c r="G1950" s="79">
        <v>263696</v>
      </c>
      <c r="H1950" s="79">
        <v>127055</v>
      </c>
      <c r="I1950" s="79">
        <v>1675</v>
      </c>
      <c r="J1950" s="79">
        <v>72</v>
      </c>
      <c r="K1950" s="79">
        <v>72</v>
      </c>
      <c r="L1950" s="79">
        <v>0</v>
      </c>
      <c r="M1950" s="79">
        <f>SUM(J1950:L1950)</f>
        <v>144</v>
      </c>
      <c r="O1950" s="80" t="s">
        <v>170</v>
      </c>
      <c r="P1950" s="79"/>
      <c r="R1950" s="79"/>
      <c r="S1950" s="79"/>
      <c r="U1950" s="80"/>
      <c r="W1950" s="79"/>
      <c r="X1950" s="108"/>
      <c r="Y1950" s="108"/>
      <c r="Z1950" s="80"/>
      <c r="AJ1950" s="66"/>
      <c r="AK1950" s="65"/>
    </row>
    <row r="1951" spans="1:37" hidden="1">
      <c r="A1951" s="65">
        <f>A1950+1</f>
        <v>7</v>
      </c>
      <c r="B1951" s="66" t="s">
        <v>748</v>
      </c>
      <c r="C1951" s="79"/>
      <c r="D1951" s="79">
        <v>3322374</v>
      </c>
      <c r="E1951" s="79">
        <v>210381</v>
      </c>
      <c r="F1951" s="79">
        <f>D1951+E1951</f>
        <v>3532755</v>
      </c>
      <c r="G1951" s="79">
        <v>210381</v>
      </c>
      <c r="H1951" s="79">
        <v>1727883</v>
      </c>
      <c r="I1951" s="79">
        <v>1380235</v>
      </c>
      <c r="J1951" s="79">
        <v>983828</v>
      </c>
      <c r="K1951" s="79">
        <v>983828</v>
      </c>
      <c r="L1951" s="79">
        <v>0</v>
      </c>
      <c r="M1951" s="79">
        <f>SUM(J1951:L1951)</f>
        <v>1967656</v>
      </c>
      <c r="O1951" s="79">
        <v>0</v>
      </c>
      <c r="P1951" s="79"/>
      <c r="R1951" s="79"/>
      <c r="S1951" s="79"/>
      <c r="U1951" s="80"/>
      <c r="W1951" s="79"/>
      <c r="X1951" s="108"/>
      <c r="Y1951" s="108"/>
      <c r="Z1951" s="79"/>
      <c r="AJ1951" s="66"/>
      <c r="AK1951" s="65"/>
    </row>
    <row r="1952" spans="1:37" hidden="1">
      <c r="A1952" s="65">
        <f>A1951+1</f>
        <v>8</v>
      </c>
      <c r="X1952" s="108"/>
      <c r="Y1952" s="108"/>
      <c r="AJ1952" s="66"/>
      <c r="AK1952" s="65"/>
    </row>
    <row r="1953" spans="1:37" hidden="1">
      <c r="A1953" s="65">
        <f>A1952+1</f>
        <v>9</v>
      </c>
      <c r="U1953" s="66"/>
      <c r="V1953" s="66"/>
      <c r="AJ1953" s="66"/>
      <c r="AK1953" s="65"/>
    </row>
    <row r="1954" spans="1:37" hidden="1">
      <c r="U1954" s="66"/>
      <c r="V1954" s="66"/>
      <c r="AJ1954" s="66"/>
      <c r="AK1954" s="65"/>
    </row>
    <row r="1955" spans="1:37" hidden="1">
      <c r="A1955" s="66"/>
      <c r="U1955" s="66"/>
      <c r="V1955" s="66"/>
      <c r="AJ1955" s="66"/>
      <c r="AK1955" s="65"/>
    </row>
    <row r="1956" spans="1:37" hidden="1">
      <c r="A1956" s="66"/>
      <c r="C1956" s="105"/>
      <c r="D1956" s="99"/>
      <c r="E1956" s="99"/>
      <c r="F1956" s="99"/>
      <c r="G1956" s="99"/>
      <c r="H1956" s="65" t="s">
        <v>80</v>
      </c>
      <c r="I1956" s="105"/>
      <c r="J1956" s="105"/>
      <c r="K1956" s="105"/>
      <c r="L1956" s="105"/>
      <c r="M1956" s="105"/>
      <c r="N1956" s="105"/>
      <c r="O1956" s="99"/>
      <c r="P1956" s="105"/>
      <c r="Q1956" s="105"/>
      <c r="S1956" s="79"/>
      <c r="T1956" s="79"/>
      <c r="U1956" s="80"/>
      <c r="W1956" s="79"/>
      <c r="X1956" s="108"/>
      <c r="Y1956" s="108"/>
      <c r="Z1956" s="105"/>
      <c r="AJ1956" s="66"/>
      <c r="AK1956" s="65"/>
    </row>
    <row r="1957" spans="1:37" hidden="1">
      <c r="A1957" s="66"/>
      <c r="C1957" s="79"/>
      <c r="H1957" s="70" t="str">
        <f>H24</f>
        <v>12 MONTHS ENDING DECEMBER 31, 2012</v>
      </c>
      <c r="I1957" s="79"/>
      <c r="J1957" s="79"/>
      <c r="K1957" s="79"/>
      <c r="L1957" s="79"/>
      <c r="M1957" s="79"/>
      <c r="N1957" s="79"/>
      <c r="P1957" s="105"/>
      <c r="Q1957" s="105"/>
      <c r="S1957" s="79"/>
      <c r="T1957" s="79"/>
      <c r="U1957" s="80"/>
      <c r="W1957" s="79"/>
      <c r="X1957" s="108"/>
      <c r="Y1957" s="108"/>
      <c r="Z1957" s="105"/>
      <c r="AJ1957" s="66"/>
      <c r="AK1957" s="65"/>
    </row>
    <row r="1958" spans="1:37" hidden="1">
      <c r="C1958" s="79"/>
      <c r="H1958" s="70" t="str">
        <f>$H$25</f>
        <v>12/13 DEMAND ALLOCATION WITH MDS METHODOLOGY</v>
      </c>
      <c r="P1958" s="70"/>
      <c r="S1958" s="79"/>
      <c r="T1958" s="79"/>
      <c r="U1958" s="66"/>
      <c r="W1958" s="79"/>
      <c r="X1958" s="108"/>
      <c r="Y1958" s="108"/>
      <c r="AJ1958" s="66"/>
      <c r="AK1958" s="65"/>
    </row>
    <row r="1959" spans="1:37" hidden="1">
      <c r="C1959" s="105"/>
      <c r="D1959" s="99"/>
      <c r="E1959" s="99"/>
      <c r="F1959" s="99"/>
      <c r="G1959" s="99"/>
      <c r="H1959" s="80" t="s">
        <v>735</v>
      </c>
      <c r="I1959" s="105"/>
      <c r="J1959" s="105"/>
      <c r="K1959" s="105"/>
      <c r="L1959" s="105"/>
      <c r="M1959" s="105"/>
      <c r="N1959" s="105"/>
      <c r="P1959" s="105"/>
      <c r="Q1959" s="105"/>
      <c r="S1959" s="79"/>
      <c r="T1959" s="79"/>
      <c r="U1959" s="80"/>
      <c r="W1959" s="79"/>
      <c r="X1959" s="108"/>
      <c r="Y1959" s="108"/>
      <c r="Z1959" s="105"/>
      <c r="AJ1959" s="66"/>
      <c r="AK1959" s="65"/>
    </row>
    <row r="1960" spans="1:37" hidden="1">
      <c r="C1960" s="105"/>
      <c r="D1960" s="99"/>
      <c r="E1960" s="99"/>
      <c r="F1960" s="99"/>
      <c r="G1960" s="105"/>
      <c r="H1960" s="80" t="s">
        <v>114</v>
      </c>
      <c r="I1960" s="99"/>
      <c r="J1960" s="105"/>
      <c r="K1960" s="105"/>
      <c r="L1960" s="105"/>
      <c r="M1960" s="105"/>
      <c r="N1960" s="105"/>
      <c r="P1960" s="105"/>
      <c r="Q1960" s="105"/>
      <c r="S1960" s="79"/>
      <c r="T1960" s="79"/>
      <c r="U1960" s="80"/>
      <c r="W1960" s="79"/>
      <c r="X1960" s="108"/>
      <c r="Y1960" s="108"/>
      <c r="Z1960" s="99"/>
      <c r="AJ1960" s="66"/>
      <c r="AK1960" s="65"/>
    </row>
    <row r="1961" spans="1:37" hidden="1">
      <c r="X1961" s="108"/>
      <c r="Y1961" s="108"/>
      <c r="AJ1961" s="66"/>
      <c r="AK1961" s="65"/>
    </row>
    <row r="1962" spans="1:37" hidden="1">
      <c r="X1962" s="108"/>
      <c r="Y1962" s="108"/>
      <c r="AJ1962" s="66"/>
      <c r="AK1962" s="65"/>
    </row>
    <row r="1963" spans="1:37" hidden="1">
      <c r="C1963" s="65"/>
      <c r="I1963" s="65"/>
      <c r="K1963" s="65"/>
      <c r="L1963" s="65"/>
      <c r="M1963" s="65"/>
      <c r="N1963" s="65"/>
      <c r="Q1963" s="65"/>
      <c r="X1963" s="108"/>
      <c r="Y1963" s="108"/>
      <c r="AJ1963" s="66"/>
      <c r="AK1963" s="65"/>
    </row>
    <row r="1964" spans="1:37" hidden="1">
      <c r="C1964" s="65"/>
      <c r="D1964" s="65"/>
      <c r="E1964" s="65"/>
      <c r="F1964" s="65"/>
      <c r="G1964" s="65"/>
      <c r="H1964" s="65"/>
      <c r="I1964" s="65"/>
      <c r="J1964" s="65"/>
      <c r="K1964" s="65"/>
      <c r="L1964" s="65"/>
      <c r="M1964" s="65"/>
      <c r="N1964" s="65"/>
      <c r="O1964" s="65"/>
      <c r="P1964" s="65"/>
      <c r="Q1964" s="65"/>
      <c r="X1964" s="108"/>
      <c r="Y1964" s="108"/>
      <c r="Z1964" s="65"/>
      <c r="AJ1964" s="66"/>
      <c r="AK1964" s="65"/>
    </row>
    <row r="1965" spans="1:37" hidden="1">
      <c r="B1965" s="65" t="s">
        <v>126</v>
      </c>
      <c r="C1965" s="65"/>
      <c r="D1965" s="65"/>
      <c r="E1965" s="65"/>
      <c r="F1965" s="65"/>
      <c r="G1965" s="65"/>
      <c r="H1965" s="65"/>
      <c r="I1965" s="65"/>
      <c r="J1965" s="65"/>
      <c r="K1965" s="65"/>
      <c r="L1965" s="65"/>
      <c r="M1965" s="65"/>
      <c r="N1965" s="65"/>
      <c r="O1965" s="65"/>
      <c r="P1965" s="65"/>
      <c r="Q1965" s="65"/>
      <c r="X1965" s="108"/>
      <c r="Y1965" s="108"/>
      <c r="Z1965" s="65"/>
      <c r="AJ1965" s="66"/>
      <c r="AK1965" s="65"/>
    </row>
    <row r="1966" spans="1:37" hidden="1">
      <c r="A1966" s="65" t="s">
        <v>118</v>
      </c>
      <c r="B1966" s="65" t="s">
        <v>144</v>
      </c>
      <c r="C1966" s="65"/>
      <c r="D1966" s="65"/>
      <c r="E1966" s="65"/>
      <c r="F1966" s="65"/>
      <c r="G1966" s="65"/>
      <c r="H1966" s="65"/>
      <c r="I1966" s="65"/>
      <c r="J1966" s="65"/>
      <c r="K1966" s="65"/>
      <c r="L1966" s="65"/>
      <c r="M1966" s="65"/>
      <c r="N1966" s="65"/>
      <c r="O1966" s="65"/>
      <c r="P1966" s="65"/>
      <c r="Q1966" s="65"/>
      <c r="X1966" s="108"/>
      <c r="Y1966" s="108"/>
      <c r="Z1966" s="65"/>
      <c r="AJ1966" s="66"/>
      <c r="AK1966" s="65"/>
    </row>
    <row r="1967" spans="1:37" hidden="1">
      <c r="A1967" s="65" t="s">
        <v>125</v>
      </c>
      <c r="X1967" s="108"/>
      <c r="Y1967" s="108"/>
      <c r="AJ1967" s="66"/>
      <c r="AK1967" s="65"/>
    </row>
    <row r="1968" spans="1:37" hidden="1">
      <c r="A1968" s="65" t="s">
        <v>143</v>
      </c>
      <c r="X1968" s="108"/>
      <c r="Y1968" s="108"/>
      <c r="AJ1968" s="66"/>
      <c r="AK1968" s="65"/>
    </row>
    <row r="1969" spans="1:37" hidden="1">
      <c r="X1969" s="108"/>
      <c r="Y1969" s="108"/>
      <c r="AJ1969" s="66"/>
      <c r="AK1969" s="65"/>
    </row>
    <row r="1970" spans="1:37" hidden="1">
      <c r="G1970" s="66" t="s">
        <v>749</v>
      </c>
      <c r="L1970" s="66" t="s">
        <v>750</v>
      </c>
      <c r="X1970" s="108"/>
      <c r="Y1970" s="108"/>
      <c r="AJ1970" s="66"/>
      <c r="AK1970" s="65"/>
    </row>
    <row r="1971" spans="1:37" hidden="1">
      <c r="G1971" s="66" t="s">
        <v>751</v>
      </c>
      <c r="L1971" s="66" t="s">
        <v>752</v>
      </c>
      <c r="X1971" s="108"/>
      <c r="Y1971" s="108"/>
      <c r="AJ1971" s="66"/>
      <c r="AK1971" s="65"/>
    </row>
    <row r="1972" spans="1:37" hidden="1">
      <c r="G1972" s="66" t="s">
        <v>753</v>
      </c>
      <c r="X1972" s="108"/>
      <c r="Y1972" s="108"/>
      <c r="AJ1972" s="66"/>
      <c r="AK1972" s="65"/>
    </row>
    <row r="1973" spans="1:37" hidden="1">
      <c r="G1973" s="83" t="s">
        <v>170</v>
      </c>
      <c r="H1973" s="83" t="s">
        <v>170</v>
      </c>
      <c r="L1973" s="83" t="s">
        <v>170</v>
      </c>
      <c r="M1973" s="83"/>
      <c r="N1973" s="83"/>
      <c r="O1973" s="83" t="s">
        <v>170</v>
      </c>
      <c r="X1973" s="108"/>
      <c r="Y1973" s="108"/>
      <c r="AJ1973" s="66"/>
      <c r="AK1973" s="65"/>
    </row>
    <row r="1974" spans="1:37" hidden="1">
      <c r="X1974" s="108"/>
      <c r="Y1974" s="108"/>
      <c r="AJ1974" s="66"/>
      <c r="AK1974" s="65"/>
    </row>
    <row r="1975" spans="1:37" hidden="1">
      <c r="X1975" s="108"/>
      <c r="Y1975" s="108"/>
      <c r="AJ1975" s="66"/>
      <c r="AK1975" s="65"/>
    </row>
    <row r="1976" spans="1:37" hidden="1">
      <c r="B1976" s="66" t="s">
        <v>754</v>
      </c>
      <c r="H1976" s="79">
        <f>C1938</f>
        <v>168541.92407682308</v>
      </c>
      <c r="X1976" s="108"/>
      <c r="Y1976" s="108"/>
      <c r="AJ1976" s="66"/>
      <c r="AK1976" s="65"/>
    </row>
    <row r="1977" spans="1:37" hidden="1">
      <c r="B1977" s="66" t="s">
        <v>755</v>
      </c>
      <c r="H1977" s="79">
        <f>C1939</f>
        <v>34497</v>
      </c>
      <c r="X1977" s="108"/>
      <c r="Y1977" s="108"/>
      <c r="AJ1977" s="66"/>
      <c r="AK1977" s="65"/>
    </row>
    <row r="1978" spans="1:37" hidden="1">
      <c r="A1978" s="65">
        <f>A1953+1</f>
        <v>10</v>
      </c>
      <c r="B1978" s="66" t="s">
        <v>756</v>
      </c>
      <c r="H1978" s="79">
        <f>H1976+H1977</f>
        <v>203038.92407682308</v>
      </c>
      <c r="X1978" s="108"/>
      <c r="Y1978" s="108"/>
      <c r="AJ1978" s="66"/>
      <c r="AK1978" s="65"/>
    </row>
    <row r="1979" spans="1:37" hidden="1">
      <c r="A1979" s="65">
        <f>A1978+1</f>
        <v>11</v>
      </c>
      <c r="B1979" s="66" t="s">
        <v>757</v>
      </c>
      <c r="H1979" s="79">
        <f>C1940</f>
        <v>78051.812175062165</v>
      </c>
      <c r="X1979" s="108"/>
      <c r="Y1979" s="108"/>
      <c r="AJ1979" s="66"/>
      <c r="AK1979" s="65"/>
    </row>
    <row r="1980" spans="1:37" hidden="1">
      <c r="A1980" s="65">
        <f>A1979+1</f>
        <v>12</v>
      </c>
      <c r="H1980" s="79"/>
      <c r="X1980" s="108"/>
      <c r="Y1980" s="108"/>
      <c r="AJ1980" s="66"/>
      <c r="AK1980" s="65"/>
    </row>
    <row r="1981" spans="1:37" hidden="1">
      <c r="A1981" s="65">
        <f>A1980+1</f>
        <v>13</v>
      </c>
      <c r="B1981" s="66" t="s">
        <v>758</v>
      </c>
      <c r="H1981" s="79"/>
      <c r="O1981" s="79">
        <f>SUM(H1948:K1948)-J1948</f>
        <v>10503596</v>
      </c>
      <c r="X1981" s="108"/>
      <c r="Y1981" s="108"/>
      <c r="AJ1981" s="66"/>
      <c r="AK1981" s="65"/>
    </row>
    <row r="1982" spans="1:37" hidden="1">
      <c r="B1982" s="66" t="s">
        <v>759</v>
      </c>
      <c r="H1982" s="79"/>
      <c r="X1982" s="108"/>
      <c r="Y1982" s="108"/>
      <c r="AJ1982" s="66"/>
      <c r="AK1982" s="65"/>
    </row>
    <row r="1983" spans="1:37" hidden="1">
      <c r="A1983" s="65">
        <f>A1981+1</f>
        <v>14</v>
      </c>
      <c r="B1983" s="66" t="s">
        <v>760</v>
      </c>
      <c r="H1983" s="79"/>
      <c r="O1983" s="109">
        <f>ROUND(((SUM(H1938:I1938,K1938)+SUM(H1939:I1939,K1939)/O1981)),6)*1000</f>
        <v>61776001.269000001</v>
      </c>
      <c r="X1983" s="108"/>
      <c r="Y1983" s="108"/>
      <c r="AJ1983" s="66"/>
      <c r="AK1983" s="65"/>
    </row>
    <row r="1984" spans="1:37" hidden="1">
      <c r="A1984" s="65">
        <f>A1983+1</f>
        <v>15</v>
      </c>
      <c r="B1984" s="66" t="s">
        <v>761</v>
      </c>
      <c r="H1984" s="79"/>
      <c r="X1984" s="108"/>
      <c r="Y1984" s="108"/>
      <c r="AJ1984" s="66"/>
      <c r="AK1984" s="65"/>
    </row>
    <row r="1985" spans="1:37" hidden="1">
      <c r="B1985" s="66" t="s">
        <v>762</v>
      </c>
      <c r="H1985" s="79"/>
      <c r="O1985" s="110">
        <f>ROUND(((H1940)/H1949),6)*1000</f>
        <v>2.5509999999999997</v>
      </c>
      <c r="P1985" s="110"/>
      <c r="Q1985" s="110"/>
      <c r="R1985" s="110"/>
      <c r="S1985" s="110"/>
      <c r="X1985" s="108"/>
      <c r="Y1985" s="108"/>
      <c r="AJ1985" s="66"/>
      <c r="AK1985" s="65"/>
    </row>
    <row r="1986" spans="1:37" hidden="1">
      <c r="A1986" s="65">
        <f>A1984+1</f>
        <v>16</v>
      </c>
      <c r="B1986" s="66" t="s">
        <v>763</v>
      </c>
      <c r="H1986" s="79"/>
      <c r="O1986" s="110">
        <f>ROUND(((I1940)/I1949),6)*1000</f>
        <v>1.9480000000000002</v>
      </c>
      <c r="P1986" s="110"/>
      <c r="Q1986" s="110"/>
      <c r="R1986" s="110"/>
      <c r="S1986" s="110"/>
      <c r="X1986" s="108"/>
      <c r="Y1986" s="108"/>
      <c r="AJ1986" s="66"/>
      <c r="AK1986" s="65"/>
    </row>
    <row r="1987" spans="1:37" hidden="1">
      <c r="B1987" s="66" t="s">
        <v>764</v>
      </c>
      <c r="H1987" s="79"/>
      <c r="O1987" s="110">
        <f>ROUND(((K1940)/K1949),6)*1000</f>
        <v>0.214</v>
      </c>
      <c r="P1987" s="110"/>
      <c r="Q1987" s="110"/>
      <c r="R1987" s="110"/>
      <c r="S1987" s="110"/>
      <c r="X1987" s="108"/>
      <c r="Y1987" s="108"/>
      <c r="AJ1987" s="66"/>
      <c r="AK1987" s="65"/>
    </row>
    <row r="1988" spans="1:37" hidden="1">
      <c r="H1988" s="79"/>
      <c r="X1988" s="108"/>
      <c r="Y1988" s="108"/>
      <c r="AJ1988" s="66"/>
      <c r="AK1988" s="65"/>
    </row>
    <row r="1989" spans="1:37" hidden="1">
      <c r="B1989" s="66" t="s">
        <v>765</v>
      </c>
      <c r="H1989" s="79">
        <f>C1943</f>
        <v>60452.021923076914</v>
      </c>
      <c r="X1989" s="108"/>
      <c r="Y1989" s="108"/>
      <c r="AJ1989" s="66"/>
      <c r="AK1989" s="65"/>
    </row>
    <row r="1990" spans="1:37" hidden="1">
      <c r="B1990" s="66" t="s">
        <v>766</v>
      </c>
      <c r="H1990" s="79">
        <f>SUM(D1951:V1951)+Z1951</f>
        <v>14319321</v>
      </c>
      <c r="X1990" s="108"/>
      <c r="Y1990" s="108"/>
      <c r="AJ1990" s="66"/>
      <c r="AK1990" s="65"/>
    </row>
    <row r="1991" spans="1:37" hidden="1">
      <c r="A1991" s="65">
        <f>A1986+1</f>
        <v>17</v>
      </c>
      <c r="B1991" s="66" t="s">
        <v>767</v>
      </c>
      <c r="H1991" s="79"/>
      <c r="X1991" s="108"/>
      <c r="Y1991" s="108"/>
      <c r="AJ1991" s="66"/>
      <c r="AK1991" s="65"/>
    </row>
    <row r="1992" spans="1:37" hidden="1">
      <c r="A1992" s="65">
        <f>A1991+1</f>
        <v>18</v>
      </c>
      <c r="B1992" s="66" t="s">
        <v>768</v>
      </c>
      <c r="H1992" s="79"/>
      <c r="O1992" s="111">
        <f>ROUND((C1943/H1990),8)</f>
        <v>4.22171E-3</v>
      </c>
      <c r="P1992" s="111"/>
      <c r="Q1992" s="111"/>
      <c r="R1992" s="111"/>
      <c r="S1992" s="111"/>
      <c r="X1992" s="108"/>
      <c r="Y1992" s="108"/>
      <c r="AJ1992" s="66"/>
      <c r="AK1992" s="65"/>
    </row>
    <row r="1993" spans="1:37" hidden="1">
      <c r="A1993" s="65">
        <f>A1992+1</f>
        <v>19</v>
      </c>
      <c r="H1993" s="79"/>
      <c r="X1993" s="108"/>
      <c r="Y1993" s="108"/>
      <c r="AJ1993" s="66"/>
      <c r="AK1993" s="65"/>
    </row>
    <row r="1994" spans="1:37" hidden="1">
      <c r="B1994" s="66" t="s">
        <v>769</v>
      </c>
      <c r="H1994" s="79">
        <v>67942</v>
      </c>
      <c r="X1994" s="108"/>
      <c r="Y1994" s="108"/>
      <c r="AJ1994" s="66"/>
      <c r="AK1994" s="65"/>
    </row>
    <row r="1995" spans="1:37" hidden="1">
      <c r="B1995" s="66" t="s">
        <v>770</v>
      </c>
      <c r="H1995" s="79"/>
      <c r="X1995" s="108"/>
      <c r="Y1995" s="108"/>
      <c r="AJ1995" s="66"/>
      <c r="AK1995" s="65"/>
    </row>
    <row r="1996" spans="1:37" hidden="1">
      <c r="A1996" s="65">
        <f>A1993+1</f>
        <v>20</v>
      </c>
      <c r="B1996" s="66" t="s">
        <v>771</v>
      </c>
      <c r="H1996" s="79"/>
      <c r="O1996" s="110">
        <f>ROUND((((H1976/H1994))/12),6)*1000</f>
        <v>206.72299999999998</v>
      </c>
      <c r="P1996" s="110"/>
      <c r="Q1996" s="110"/>
      <c r="R1996" s="110"/>
      <c r="S1996" s="110"/>
      <c r="X1996" s="108"/>
      <c r="Y1996" s="108"/>
      <c r="AJ1996" s="66"/>
      <c r="AK1996" s="65"/>
    </row>
    <row r="1997" spans="1:37" hidden="1">
      <c r="A1997" s="65">
        <f>A1996+1</f>
        <v>21</v>
      </c>
      <c r="B1997" s="66" t="s">
        <v>772</v>
      </c>
      <c r="H1997" s="79"/>
      <c r="X1997" s="108"/>
      <c r="Y1997" s="108"/>
      <c r="AJ1997" s="66"/>
      <c r="AK1997" s="65"/>
    </row>
    <row r="1998" spans="1:37" hidden="1">
      <c r="B1998" s="66" t="s">
        <v>773</v>
      </c>
      <c r="H1998" s="79"/>
      <c r="O1998" s="110">
        <f>ROUND(((H1977/H1994)/12),6)*1000</f>
        <v>42.312000000000005</v>
      </c>
      <c r="P1998" s="110"/>
      <c r="Q1998" s="110"/>
      <c r="R1998" s="110"/>
      <c r="S1998" s="110"/>
      <c r="X1998" s="108"/>
      <c r="Y1998" s="108"/>
      <c r="AJ1998" s="66"/>
      <c r="AK1998" s="65"/>
    </row>
    <row r="1999" spans="1:37" hidden="1">
      <c r="A1999" s="65">
        <f>A1997+1</f>
        <v>22</v>
      </c>
      <c r="B1999" s="66" t="s">
        <v>774</v>
      </c>
      <c r="H1999" s="79"/>
      <c r="X1999" s="108"/>
      <c r="Y1999" s="108"/>
      <c r="AJ1999" s="66"/>
      <c r="AK1999" s="65"/>
    </row>
    <row r="2000" spans="1:37" hidden="1">
      <c r="B2000" s="66" t="s">
        <v>771</v>
      </c>
      <c r="H2000" s="79"/>
      <c r="O2000" s="110">
        <f>ROUND(((H1978/H1994)/12),6)*1000</f>
        <v>249.035</v>
      </c>
      <c r="P2000" s="110"/>
      <c r="Q2000" s="110"/>
      <c r="R2000" s="110"/>
      <c r="S2000" s="110"/>
      <c r="X2000" s="108"/>
      <c r="Y2000" s="108"/>
      <c r="AJ2000" s="66"/>
      <c r="AK2000" s="65"/>
    </row>
    <row r="2001" spans="1:37" hidden="1">
      <c r="A2001" s="65">
        <f>A1999+1</f>
        <v>23</v>
      </c>
      <c r="H2001" s="79"/>
      <c r="X2001" s="108"/>
      <c r="Y2001" s="108"/>
      <c r="AJ2001" s="66"/>
      <c r="AK2001" s="65"/>
    </row>
    <row r="2002" spans="1:37" hidden="1">
      <c r="H2002" s="79"/>
      <c r="X2002" s="108"/>
      <c r="Y2002" s="108"/>
      <c r="AJ2002" s="66"/>
      <c r="AK2002" s="65"/>
    </row>
    <row r="2003" spans="1:37" hidden="1">
      <c r="Y2003" s="65"/>
      <c r="AJ2003" s="66"/>
      <c r="AK2003" s="65"/>
    </row>
    <row r="2004" spans="1:37" hidden="1">
      <c r="Y2004" s="65"/>
      <c r="AJ2004" s="66"/>
      <c r="AK2004" s="65"/>
    </row>
    <row r="2005" spans="1:37" hidden="1">
      <c r="Y2005" s="65"/>
      <c r="AJ2005" s="66"/>
      <c r="AK2005" s="65"/>
    </row>
    <row r="2006" spans="1:37" hidden="1">
      <c r="Y2006" s="65"/>
      <c r="AJ2006" s="66"/>
      <c r="AK2006" s="65"/>
    </row>
    <row r="2007" spans="1:37" hidden="1">
      <c r="AJ2007" s="66"/>
      <c r="AK2007" s="65"/>
    </row>
    <row r="2008" spans="1:37" hidden="1">
      <c r="AJ2008" s="66"/>
      <c r="AK2008" s="65"/>
    </row>
    <row r="2009" spans="1:37" hidden="1">
      <c r="AJ2009" s="66"/>
      <c r="AK2009" s="65"/>
    </row>
    <row r="2010" spans="1:37" hidden="1">
      <c r="C2010" s="105"/>
      <c r="D2010" s="99"/>
      <c r="E2010" s="99"/>
      <c r="F2010" s="65" t="s">
        <v>80</v>
      </c>
      <c r="G2010" s="105"/>
      <c r="H2010" s="105"/>
      <c r="I2010" s="105"/>
      <c r="J2010" s="105"/>
      <c r="K2010" s="105"/>
      <c r="L2010" s="105"/>
      <c r="M2010" s="105"/>
      <c r="N2010" s="105"/>
      <c r="O2010" s="112" t="s">
        <v>80</v>
      </c>
      <c r="P2010" s="105"/>
      <c r="Q2010" s="105"/>
      <c r="R2010" s="79"/>
      <c r="S2010" s="80"/>
      <c r="T2010" s="65"/>
      <c r="AJ2010" s="66"/>
      <c r="AK2010" s="65"/>
    </row>
    <row r="2011" spans="1:37" hidden="1">
      <c r="C2011" s="79"/>
      <c r="F2011" s="70" t="str">
        <f>$H$24</f>
        <v>12 MONTHS ENDING DECEMBER 31, 2012</v>
      </c>
      <c r="G2011" s="79"/>
      <c r="H2011" s="79"/>
      <c r="I2011" s="79"/>
      <c r="J2011" s="79"/>
      <c r="K2011" s="79"/>
      <c r="L2011" s="79"/>
      <c r="N2011" s="113"/>
      <c r="O2011" s="70" t="str">
        <f>$H$24</f>
        <v>12 MONTHS ENDING DECEMBER 31, 2012</v>
      </c>
      <c r="P2011" s="113"/>
      <c r="Q2011" s="113"/>
      <c r="R2011" s="113"/>
      <c r="S2011" s="114"/>
      <c r="T2011" s="115"/>
      <c r="U2011" s="115"/>
      <c r="AJ2011" s="66"/>
      <c r="AK2011" s="65"/>
    </row>
    <row r="2012" spans="1:37" hidden="1">
      <c r="C2012" s="79"/>
      <c r="F2012" s="70" t="str">
        <f>$H$25</f>
        <v>12/13 DEMAND ALLOCATION WITH MDS METHODOLOGY</v>
      </c>
      <c r="G2012" s="79"/>
      <c r="H2012" s="79"/>
      <c r="I2012" s="79"/>
      <c r="J2012" s="79"/>
      <c r="K2012" s="79"/>
      <c r="L2012" s="79"/>
      <c r="M2012" s="116" t="s">
        <v>775</v>
      </c>
      <c r="N2012" s="116"/>
      <c r="O2012" s="116"/>
      <c r="P2012" s="116"/>
      <c r="Q2012" s="116"/>
      <c r="R2012" s="113"/>
      <c r="S2012" s="114"/>
      <c r="T2012" s="115"/>
      <c r="U2012" s="115"/>
      <c r="AJ2012" s="66"/>
      <c r="AK2012" s="65"/>
    </row>
    <row r="2013" spans="1:37" hidden="1">
      <c r="C2013" s="105"/>
      <c r="D2013" s="99"/>
      <c r="E2013" s="105"/>
      <c r="F2013" s="80" t="s">
        <v>776</v>
      </c>
      <c r="G2013" s="105"/>
      <c r="H2013" s="105"/>
      <c r="I2013" s="105"/>
      <c r="J2013" s="105"/>
      <c r="K2013" s="105"/>
      <c r="L2013" s="105"/>
      <c r="M2013" s="116" t="s">
        <v>777</v>
      </c>
      <c r="N2013" s="116"/>
      <c r="O2013" s="116"/>
      <c r="P2013" s="116"/>
      <c r="Q2013" s="116"/>
      <c r="R2013" s="113"/>
      <c r="S2013" s="114"/>
      <c r="T2013" s="115"/>
      <c r="U2013" s="115"/>
      <c r="AJ2013" s="66"/>
      <c r="AK2013" s="65"/>
    </row>
    <row r="2014" spans="1:37" hidden="1">
      <c r="C2014" s="105"/>
      <c r="D2014" s="99"/>
      <c r="E2014" s="105"/>
      <c r="F2014" s="80" t="s">
        <v>114</v>
      </c>
      <c r="G2014" s="105"/>
      <c r="H2014" s="105"/>
      <c r="I2014" s="105"/>
      <c r="J2014" s="105"/>
      <c r="K2014" s="105"/>
      <c r="L2014" s="105"/>
      <c r="M2014" s="116"/>
      <c r="N2014" s="116"/>
      <c r="O2014" s="116"/>
      <c r="P2014" s="116"/>
      <c r="Q2014" s="116"/>
      <c r="R2014" s="113"/>
      <c r="S2014" s="114"/>
      <c r="T2014" s="115"/>
      <c r="U2014" s="115"/>
      <c r="AJ2014" s="66"/>
      <c r="AK2014" s="65"/>
    </row>
    <row r="2015" spans="1:37" hidden="1">
      <c r="M2015" s="112" t="s">
        <v>778</v>
      </c>
      <c r="N2015" s="112"/>
      <c r="O2015" s="112"/>
      <c r="P2015" s="112"/>
      <c r="Q2015" s="112"/>
      <c r="R2015" s="112"/>
      <c r="S2015" s="115"/>
      <c r="T2015" s="117"/>
      <c r="U2015" s="117"/>
      <c r="AJ2015" s="66"/>
      <c r="AK2015" s="65"/>
    </row>
    <row r="2016" spans="1:37" hidden="1">
      <c r="M2016" s="118" t="s">
        <v>779</v>
      </c>
      <c r="N2016" s="112"/>
      <c r="O2016" s="112"/>
      <c r="P2016" s="112"/>
      <c r="Q2016" s="112"/>
      <c r="R2016" s="112"/>
      <c r="S2016" s="115"/>
      <c r="T2016" s="119"/>
      <c r="U2016" s="119"/>
      <c r="AJ2016" s="66"/>
      <c r="AK2016" s="65"/>
    </row>
    <row r="2017" spans="1:37" hidden="1">
      <c r="M2017" s="118"/>
      <c r="N2017" s="112"/>
      <c r="O2017" s="120"/>
      <c r="P2017" s="120"/>
      <c r="Q2017" s="121"/>
      <c r="R2017" s="120"/>
      <c r="S2017" s="112"/>
      <c r="T2017" s="115"/>
      <c r="U2017" s="115"/>
      <c r="AJ2017" s="66"/>
      <c r="AK2017" s="65"/>
    </row>
    <row r="2018" spans="1:37" hidden="1">
      <c r="E2018" s="65" t="s">
        <v>780</v>
      </c>
      <c r="F2018" s="65" t="s">
        <v>780</v>
      </c>
      <c r="H2018" s="65" t="s">
        <v>781</v>
      </c>
      <c r="I2018" s="65" t="s">
        <v>781</v>
      </c>
      <c r="K2018" s="65" t="s">
        <v>59</v>
      </c>
      <c r="L2018" s="65"/>
      <c r="M2018" s="118" t="s">
        <v>782</v>
      </c>
      <c r="N2018" s="115" t="s">
        <v>783</v>
      </c>
      <c r="O2018" s="115" t="s">
        <v>784</v>
      </c>
      <c r="P2018" s="112" t="s">
        <v>785</v>
      </c>
      <c r="Q2018" s="115" t="s">
        <v>786</v>
      </c>
      <c r="R2018" s="112" t="s">
        <v>787</v>
      </c>
      <c r="S2018" s="112" t="s">
        <v>19</v>
      </c>
      <c r="T2018" s="115"/>
      <c r="U2018" s="115"/>
      <c r="AJ2018" s="66"/>
      <c r="AK2018" s="65"/>
    </row>
    <row r="2019" spans="1:37" hidden="1">
      <c r="B2019" s="65" t="s">
        <v>126</v>
      </c>
      <c r="C2019" s="65" t="s">
        <v>788</v>
      </c>
      <c r="D2019" s="65" t="s">
        <v>789</v>
      </c>
      <c r="E2019" s="65" t="s">
        <v>790</v>
      </c>
      <c r="F2019" s="65" t="s">
        <v>791</v>
      </c>
      <c r="G2019" s="65" t="s">
        <v>792</v>
      </c>
      <c r="H2019" s="65" t="s">
        <v>793</v>
      </c>
      <c r="I2019" s="65" t="s">
        <v>794</v>
      </c>
      <c r="J2019" s="65" t="s">
        <v>141</v>
      </c>
      <c r="K2019" s="65" t="s">
        <v>795</v>
      </c>
      <c r="L2019" s="65"/>
      <c r="M2019" s="118"/>
      <c r="N2019" s="115"/>
      <c r="O2019" s="122"/>
      <c r="P2019" s="123"/>
      <c r="Q2019" s="122"/>
      <c r="R2019" s="123"/>
      <c r="S2019" s="123"/>
      <c r="T2019" s="115"/>
      <c r="U2019" s="115"/>
      <c r="AJ2019" s="66"/>
      <c r="AK2019" s="65"/>
    </row>
    <row r="2020" spans="1:37" hidden="1">
      <c r="A2020" s="65" t="s">
        <v>118</v>
      </c>
      <c r="B2020" s="65" t="s">
        <v>144</v>
      </c>
      <c r="C2020" s="65" t="s">
        <v>145</v>
      </c>
      <c r="D2020" s="65" t="s">
        <v>148</v>
      </c>
      <c r="E2020" s="65" t="s">
        <v>149</v>
      </c>
      <c r="F2020" s="65" t="s">
        <v>150</v>
      </c>
      <c r="G2020" s="65" t="s">
        <v>151</v>
      </c>
      <c r="H2020" s="65" t="s">
        <v>155</v>
      </c>
      <c r="I2020" s="65" t="s">
        <v>156</v>
      </c>
      <c r="J2020" s="65" t="s">
        <v>157</v>
      </c>
      <c r="K2020" s="65" t="s">
        <v>160</v>
      </c>
      <c r="L2020" s="65"/>
      <c r="M2020" s="118" t="s">
        <v>796</v>
      </c>
      <c r="N2020" s="115" t="s">
        <v>797</v>
      </c>
      <c r="O2020" s="124">
        <v>0.99951604662766735</v>
      </c>
      <c r="P2020" s="124">
        <v>1.1643268333062928E-5</v>
      </c>
      <c r="Q2020" s="124">
        <v>4.7231010399961305E-4</v>
      </c>
      <c r="R2020" s="124">
        <v>0</v>
      </c>
      <c r="S2020" s="124">
        <v>1</v>
      </c>
      <c r="T2020" s="115"/>
      <c r="U2020" s="115"/>
      <c r="AJ2020" s="66"/>
      <c r="AK2020" s="65"/>
    </row>
    <row r="2021" spans="1:37" hidden="1">
      <c r="A2021" s="65" t="s">
        <v>125</v>
      </c>
      <c r="M2021" s="118" t="s">
        <v>798</v>
      </c>
      <c r="N2021" s="112" t="s">
        <v>799</v>
      </c>
      <c r="O2021" s="124">
        <v>0.55718834342796941</v>
      </c>
      <c r="P2021" s="124">
        <v>0</v>
      </c>
      <c r="Q2021" s="124">
        <v>0.4428116565720307</v>
      </c>
      <c r="R2021" s="124">
        <v>0</v>
      </c>
      <c r="S2021" s="124">
        <v>1</v>
      </c>
      <c r="T2021" s="115"/>
      <c r="U2021" s="115"/>
      <c r="AJ2021" s="66"/>
      <c r="AK2021" s="65"/>
    </row>
    <row r="2022" spans="1:37" hidden="1">
      <c r="A2022" s="65" t="s">
        <v>143</v>
      </c>
      <c r="B2022" s="66" t="s">
        <v>800</v>
      </c>
      <c r="C2022" s="78">
        <v>27127.86502152152</v>
      </c>
      <c r="D2022" s="125"/>
      <c r="E2022" s="79"/>
      <c r="F2022" s="79"/>
      <c r="G2022" s="78">
        <v>12.818968532653498</v>
      </c>
      <c r="H2022" s="79"/>
      <c r="I2022" s="79"/>
      <c r="J2022" s="79"/>
      <c r="K2022" s="79">
        <f>ROUND(+C2022+D2022+G2022+H2022+I2022+J2022,0)</f>
        <v>27141</v>
      </c>
      <c r="L2022" s="79"/>
      <c r="M2022" s="126" t="s">
        <v>801</v>
      </c>
      <c r="N2022" s="113" t="s">
        <v>802</v>
      </c>
      <c r="O2022" s="127">
        <v>0</v>
      </c>
      <c r="P2022" s="124">
        <v>0.24899866582388377</v>
      </c>
      <c r="Q2022" s="127">
        <v>0.75090845024050279</v>
      </c>
      <c r="R2022" s="124">
        <v>9.288393561348767E-5</v>
      </c>
      <c r="S2022" s="124">
        <v>1</v>
      </c>
      <c r="T2022" s="115"/>
      <c r="U2022" s="115"/>
      <c r="AJ2022" s="66"/>
      <c r="AK2022" s="65"/>
    </row>
    <row r="2023" spans="1:37" hidden="1">
      <c r="M2023" s="118" t="s">
        <v>803</v>
      </c>
      <c r="N2023" s="112" t="s">
        <v>804</v>
      </c>
      <c r="O2023" s="124">
        <v>0</v>
      </c>
      <c r="P2023" s="124">
        <v>0.37717982592203592</v>
      </c>
      <c r="Q2023" s="124">
        <v>0.62282017407796408</v>
      </c>
      <c r="R2023" s="124">
        <v>0</v>
      </c>
      <c r="S2023" s="124">
        <v>1</v>
      </c>
      <c r="T2023" s="122"/>
      <c r="U2023" s="122"/>
      <c r="AJ2023" s="66"/>
      <c r="AK2023" s="65"/>
    </row>
    <row r="2024" spans="1:37" hidden="1">
      <c r="A2024" s="65">
        <f>A2023+1</f>
        <v>1</v>
      </c>
      <c r="B2024" s="66" t="s">
        <v>805</v>
      </c>
      <c r="C2024" s="78"/>
      <c r="D2024" s="78">
        <v>234</v>
      </c>
      <c r="E2024" s="79">
        <f>ROUND(D2024*(P2051+R2051),0)+1</f>
        <v>234</v>
      </c>
      <c r="F2024" s="79">
        <f>D2024-E2024</f>
        <v>0</v>
      </c>
      <c r="G2024" s="78">
        <v>704</v>
      </c>
      <c r="H2024" s="78"/>
      <c r="I2024" s="78"/>
      <c r="J2024" s="79"/>
      <c r="K2024" s="79">
        <f>ROUND(+C2024+D2024+G2024+H2024+I2024+J2024,0)</f>
        <v>938</v>
      </c>
      <c r="L2024" s="79"/>
      <c r="M2024" s="126" t="s">
        <v>806</v>
      </c>
      <c r="N2024" s="113" t="s">
        <v>807</v>
      </c>
      <c r="O2024" s="127">
        <v>0</v>
      </c>
      <c r="P2024" s="124">
        <v>1.3358657998905999E-2</v>
      </c>
      <c r="Q2024" s="127">
        <v>0.98664134200109399</v>
      </c>
      <c r="R2024" s="124">
        <v>0</v>
      </c>
      <c r="S2024" s="124">
        <v>1</v>
      </c>
      <c r="T2024" s="122"/>
      <c r="U2024" s="122"/>
      <c r="AJ2024" s="66"/>
      <c r="AK2024" s="65"/>
    </row>
    <row r="2025" spans="1:37" hidden="1">
      <c r="I2025" s="128"/>
      <c r="M2025" s="118" t="s">
        <v>808</v>
      </c>
      <c r="N2025" s="112" t="s">
        <v>809</v>
      </c>
      <c r="O2025" s="124">
        <v>0</v>
      </c>
      <c r="P2025" s="124">
        <v>0.16529181058695541</v>
      </c>
      <c r="Q2025" s="124">
        <v>0.83470818941304448</v>
      </c>
      <c r="R2025" s="124">
        <v>0</v>
      </c>
      <c r="S2025" s="124">
        <v>0.99999999999999989</v>
      </c>
      <c r="T2025" s="122"/>
      <c r="U2025" s="122"/>
      <c r="AJ2025" s="66"/>
      <c r="AK2025" s="65"/>
    </row>
    <row r="2026" spans="1:37" hidden="1">
      <c r="A2026" s="65">
        <f>A2024+1</f>
        <v>2</v>
      </c>
      <c r="B2026" s="66" t="s">
        <v>810</v>
      </c>
      <c r="C2026" s="78"/>
      <c r="D2026" s="78">
        <v>176</v>
      </c>
      <c r="E2026" s="79">
        <f>D2026-F2026</f>
        <v>117</v>
      </c>
      <c r="F2026" s="79">
        <f>ROUND(D2026*T2052,0)</f>
        <v>59</v>
      </c>
      <c r="G2026" s="78">
        <v>291</v>
      </c>
      <c r="H2026" s="79"/>
      <c r="I2026" s="78"/>
      <c r="J2026" s="79"/>
      <c r="K2026" s="79">
        <f>ROUND(+C2026+D2026+G2026+H2026+I2026+J2026,0)</f>
        <v>467</v>
      </c>
      <c r="L2026" s="79"/>
      <c r="M2026" s="126" t="s">
        <v>811</v>
      </c>
      <c r="N2026" s="113" t="s">
        <v>812</v>
      </c>
      <c r="O2026" s="127">
        <v>0</v>
      </c>
      <c r="P2026" s="124">
        <v>0.21521944513100735</v>
      </c>
      <c r="Q2026" s="127">
        <v>0.78478055486899279</v>
      </c>
      <c r="R2026" s="124">
        <v>0</v>
      </c>
      <c r="S2026" s="124">
        <v>1.0000000000000002</v>
      </c>
      <c r="T2026" s="122"/>
      <c r="U2026" s="122"/>
      <c r="AJ2026" s="66"/>
      <c r="AK2026" s="65"/>
    </row>
    <row r="2027" spans="1:37" hidden="1">
      <c r="C2027" s="128"/>
      <c r="D2027" s="128"/>
      <c r="G2027" s="128"/>
      <c r="I2027" s="128"/>
      <c r="M2027" s="118" t="s">
        <v>813</v>
      </c>
      <c r="N2027" s="112" t="s">
        <v>814</v>
      </c>
      <c r="O2027" s="124">
        <v>0</v>
      </c>
      <c r="P2027" s="124">
        <v>3.3070839704784395E-2</v>
      </c>
      <c r="Q2027" s="124">
        <v>0.96692131281220584</v>
      </c>
      <c r="R2027" s="124">
        <v>7.8474830096614924E-6</v>
      </c>
      <c r="S2027" s="124">
        <v>0.99999999999999989</v>
      </c>
      <c r="T2027" s="122"/>
      <c r="U2027" s="122"/>
      <c r="AJ2027" s="66"/>
      <c r="AK2027" s="65"/>
    </row>
    <row r="2028" spans="1:37" hidden="1">
      <c r="A2028" s="65">
        <f>A2026+1</f>
        <v>3</v>
      </c>
      <c r="B2028" s="66" t="s">
        <v>815</v>
      </c>
      <c r="C2028" s="78"/>
      <c r="D2028" s="78">
        <v>12</v>
      </c>
      <c r="E2028" s="79">
        <f>D2028-F2028</f>
        <v>1</v>
      </c>
      <c r="F2028" s="79">
        <f>ROUND(D2028*T2053,0)</f>
        <v>11</v>
      </c>
      <c r="G2028" s="78">
        <v>862</v>
      </c>
      <c r="H2028" s="79"/>
      <c r="I2028" s="78"/>
      <c r="J2028" s="79"/>
      <c r="K2028" s="79">
        <f>ROUND(+C2028+D2028+G2028+H2028+I2028+J2028,0)</f>
        <v>874</v>
      </c>
      <c r="L2028" s="79"/>
      <c r="M2028" s="126" t="s">
        <v>816</v>
      </c>
      <c r="N2028" s="113" t="s">
        <v>817</v>
      </c>
      <c r="O2028" s="127">
        <v>0</v>
      </c>
      <c r="P2028" s="124">
        <v>1.192721471135397E-4</v>
      </c>
      <c r="Q2028" s="127">
        <v>0.9998807278528864</v>
      </c>
      <c r="R2028" s="124">
        <v>0</v>
      </c>
      <c r="S2028" s="124">
        <v>0.99999999999999989</v>
      </c>
      <c r="T2028" s="122"/>
      <c r="U2028" s="122"/>
      <c r="AJ2028" s="66"/>
      <c r="AK2028" s="65"/>
    </row>
    <row r="2029" spans="1:37" hidden="1">
      <c r="C2029" s="128"/>
      <c r="D2029" s="128"/>
      <c r="G2029" s="128"/>
      <c r="I2029" s="128"/>
      <c r="M2029" s="118" t="s">
        <v>818</v>
      </c>
      <c r="N2029" s="112" t="s">
        <v>819</v>
      </c>
      <c r="O2029" s="124">
        <v>0</v>
      </c>
      <c r="P2029" s="124">
        <v>2.8391477583074639E-3</v>
      </c>
      <c r="Q2029" s="124">
        <v>0.99716085224169249</v>
      </c>
      <c r="R2029" s="124">
        <v>0</v>
      </c>
      <c r="S2029" s="124">
        <v>1</v>
      </c>
      <c r="T2029" s="122"/>
      <c r="U2029" s="122"/>
      <c r="AJ2029" s="66"/>
      <c r="AK2029" s="65"/>
    </row>
    <row r="2030" spans="1:37" hidden="1">
      <c r="A2030" s="65">
        <f>A2028+1</f>
        <v>4</v>
      </c>
      <c r="B2030" s="66" t="s">
        <v>820</v>
      </c>
      <c r="C2030" s="78"/>
      <c r="D2030" s="78">
        <v>354</v>
      </c>
      <c r="E2030" s="79">
        <f>D2030-F2030</f>
        <v>237</v>
      </c>
      <c r="F2030" s="79">
        <f>ROUND(D2030*T2054,0)</f>
        <v>117</v>
      </c>
      <c r="G2030" s="78">
        <v>1788</v>
      </c>
      <c r="H2030" s="79"/>
      <c r="I2030" s="78"/>
      <c r="J2030" s="79"/>
      <c r="K2030" s="79">
        <f>ROUND(+C2030+D2030+G2030+H2030+I2030+J2030,0)</f>
        <v>2142</v>
      </c>
      <c r="L2030" s="79"/>
      <c r="M2030" s="129" t="s">
        <v>821</v>
      </c>
      <c r="N2030" s="113" t="s">
        <v>822</v>
      </c>
      <c r="O2030" s="127">
        <v>2.509223000029042E-3</v>
      </c>
      <c r="P2030" s="124">
        <v>8.6080390850345703E-2</v>
      </c>
      <c r="Q2030" s="127">
        <v>0.91065787490962768</v>
      </c>
      <c r="R2030" s="124">
        <v>7.5251123999749711E-4</v>
      </c>
      <c r="S2030" s="124">
        <v>1</v>
      </c>
      <c r="T2030" s="122"/>
      <c r="U2030" s="122"/>
      <c r="AJ2030" s="66"/>
      <c r="AK2030" s="65"/>
    </row>
    <row r="2031" spans="1:37" hidden="1">
      <c r="C2031" s="128"/>
      <c r="D2031" s="128"/>
      <c r="G2031" s="128"/>
      <c r="I2031" s="128"/>
      <c r="M2031" s="118" t="s">
        <v>823</v>
      </c>
      <c r="N2031" s="112" t="s">
        <v>824</v>
      </c>
      <c r="O2031" s="124">
        <v>0</v>
      </c>
      <c r="P2031" s="124">
        <v>0</v>
      </c>
      <c r="Q2031" s="124">
        <v>1</v>
      </c>
      <c r="R2031" s="124">
        <v>0</v>
      </c>
      <c r="S2031" s="124">
        <v>1</v>
      </c>
      <c r="T2031" s="122"/>
      <c r="U2031" s="122"/>
      <c r="AJ2031" s="66"/>
      <c r="AK2031" s="65"/>
    </row>
    <row r="2032" spans="1:37" hidden="1">
      <c r="A2032" s="65">
        <f>A2030+1</f>
        <v>5</v>
      </c>
      <c r="B2032" s="66" t="s">
        <v>825</v>
      </c>
      <c r="C2032" s="78"/>
      <c r="D2032" s="78">
        <v>366</v>
      </c>
      <c r="E2032" s="79">
        <f>D2032-F2032</f>
        <v>334</v>
      </c>
      <c r="F2032" s="79">
        <f>ROUND(D2032*T2055,0)</f>
        <v>32</v>
      </c>
      <c r="G2032" s="78">
        <v>1335</v>
      </c>
      <c r="H2032" s="79"/>
      <c r="I2032" s="78"/>
      <c r="J2032" s="79"/>
      <c r="K2032" s="79">
        <f>ROUND(+C2032+D2032+G2032+H2032+I2032+J2032,0)</f>
        <v>1701</v>
      </c>
      <c r="L2032" s="79"/>
      <c r="M2032" s="129" t="s">
        <v>826</v>
      </c>
      <c r="N2032" s="113" t="s">
        <v>827</v>
      </c>
      <c r="O2032" s="127">
        <v>0</v>
      </c>
      <c r="P2032" s="124">
        <v>0</v>
      </c>
      <c r="Q2032" s="127">
        <v>1</v>
      </c>
      <c r="R2032" s="124">
        <v>0</v>
      </c>
      <c r="S2032" s="124">
        <v>1</v>
      </c>
      <c r="T2032" s="122"/>
      <c r="U2032" s="122"/>
      <c r="AJ2032" s="66"/>
      <c r="AK2032" s="65"/>
    </row>
    <row r="2033" spans="1:37" hidden="1">
      <c r="C2033" s="128"/>
      <c r="D2033" s="128"/>
      <c r="G2033" s="128"/>
      <c r="I2033" s="128"/>
      <c r="M2033" s="118"/>
      <c r="N2033" s="112"/>
      <c r="O2033" s="124"/>
      <c r="P2033" s="124"/>
      <c r="Q2033" s="124"/>
      <c r="R2033" s="124"/>
      <c r="S2033" s="124"/>
      <c r="T2033" s="122"/>
      <c r="U2033" s="122"/>
      <c r="AJ2033" s="66"/>
      <c r="AK2033" s="65"/>
    </row>
    <row r="2034" spans="1:37" hidden="1">
      <c r="A2034" s="65">
        <f>A2032+1</f>
        <v>6</v>
      </c>
      <c r="B2034" s="66" t="s">
        <v>828</v>
      </c>
      <c r="C2034" s="78"/>
      <c r="D2034" s="78">
        <v>168.16521989882864</v>
      </c>
      <c r="E2034" s="79">
        <f>D2034-F2034</f>
        <v>4.1652198988286386</v>
      </c>
      <c r="F2034" s="79">
        <f>ROUND(D2034*T2056,0)</f>
        <v>164</v>
      </c>
      <c r="G2034" s="78">
        <v>4916.7948756500664</v>
      </c>
      <c r="H2034" s="79"/>
      <c r="I2034" s="78"/>
      <c r="J2034" s="79"/>
      <c r="K2034" s="79">
        <f>ROUND(+C2034+D2034+G2034+H2034+I2034+J2034,0)</f>
        <v>5085</v>
      </c>
      <c r="L2034" s="79"/>
      <c r="M2034" s="129"/>
      <c r="N2034" s="113"/>
      <c r="O2034" s="127">
        <v>0.19249560912345717</v>
      </c>
      <c r="P2034" s="124">
        <v>7.8184611180190391E-2</v>
      </c>
      <c r="Q2034" s="127">
        <v>0.72924215664088199</v>
      </c>
      <c r="R2034" s="124">
        <v>7.7623055470466842E-5</v>
      </c>
      <c r="S2034" s="124">
        <v>1</v>
      </c>
      <c r="T2034" s="122"/>
      <c r="U2034" s="122"/>
      <c r="AJ2034" s="66"/>
      <c r="AK2034" s="65"/>
    </row>
    <row r="2035" spans="1:37" hidden="1">
      <c r="C2035" s="128"/>
      <c r="D2035" s="128"/>
      <c r="G2035" s="128"/>
      <c r="I2035" s="128"/>
      <c r="M2035" s="112"/>
      <c r="N2035" s="112"/>
      <c r="O2035" s="123"/>
      <c r="P2035" s="123"/>
      <c r="Q2035" s="122"/>
      <c r="R2035" s="123"/>
      <c r="S2035" s="123"/>
      <c r="T2035" s="122"/>
      <c r="U2035" s="122"/>
      <c r="AJ2035" s="66"/>
      <c r="AK2035" s="65"/>
    </row>
    <row r="2036" spans="1:37" hidden="1">
      <c r="A2036" s="65">
        <f>A2034+1</f>
        <v>7</v>
      </c>
      <c r="B2036" s="66" t="s">
        <v>829</v>
      </c>
      <c r="C2036" s="78"/>
      <c r="D2036" s="78">
        <v>1.3835569065170606E-2</v>
      </c>
      <c r="E2036" s="79"/>
      <c r="F2036" s="79"/>
      <c r="G2036" s="78">
        <v>115.98616443093482</v>
      </c>
      <c r="H2036" s="79"/>
      <c r="I2036" s="78"/>
      <c r="J2036" s="79"/>
      <c r="K2036" s="79">
        <f>ROUND(+C2036+D2036+G2036+H2036+I2036+J2036,0)</f>
        <v>116</v>
      </c>
      <c r="L2036" s="79"/>
      <c r="M2036" s="113"/>
      <c r="N2036" s="113"/>
      <c r="O2036" s="113"/>
      <c r="P2036" s="112"/>
      <c r="Q2036" s="114"/>
      <c r="R2036" s="112"/>
      <c r="S2036" s="112"/>
      <c r="T2036" s="115"/>
      <c r="U2036" s="122"/>
      <c r="AJ2036" s="66"/>
      <c r="AK2036" s="65"/>
    </row>
    <row r="2037" spans="1:37" hidden="1">
      <c r="C2037" s="128"/>
      <c r="D2037" s="128"/>
      <c r="G2037" s="128"/>
      <c r="I2037" s="128"/>
      <c r="M2037" s="118"/>
      <c r="N2037" s="112" t="s">
        <v>80</v>
      </c>
      <c r="O2037" s="112"/>
      <c r="P2037" s="112"/>
      <c r="Q2037" s="115"/>
      <c r="R2037" s="112"/>
      <c r="S2037" s="112"/>
      <c r="T2037" s="115"/>
      <c r="U2037" s="115"/>
      <c r="V2037" s="115"/>
      <c r="AJ2037" s="66"/>
      <c r="AK2037" s="65"/>
    </row>
    <row r="2038" spans="1:37" hidden="1">
      <c r="A2038" s="65">
        <f>A2036+1</f>
        <v>8</v>
      </c>
      <c r="B2038" s="66" t="s">
        <v>830</v>
      </c>
      <c r="C2038" s="78"/>
      <c r="D2038" s="78">
        <v>1.3627909239875826</v>
      </c>
      <c r="E2038" s="79">
        <f>D2038-F2038</f>
        <v>0.36279092398758261</v>
      </c>
      <c r="F2038" s="79">
        <f>ROUND(D2038*T2058,0)</f>
        <v>1</v>
      </c>
      <c r="G2038" s="78">
        <v>478.63720907601237</v>
      </c>
      <c r="H2038" s="79"/>
      <c r="I2038" s="78"/>
      <c r="J2038" s="79"/>
      <c r="K2038" s="79">
        <f>ROUND(+C2038+D2038+G2038+H2038+I2038+J2038,0)</f>
        <v>480</v>
      </c>
      <c r="L2038" s="79"/>
      <c r="M2038" s="129"/>
      <c r="N2038" s="113"/>
      <c r="O2038" s="113"/>
      <c r="P2038" s="112"/>
      <c r="Q2038" s="114"/>
      <c r="R2038" s="112"/>
      <c r="S2038" s="112"/>
      <c r="T2038" s="115"/>
      <c r="U2038" s="115"/>
      <c r="V2038" s="115"/>
      <c r="AJ2038" s="66"/>
      <c r="AK2038" s="65"/>
    </row>
    <row r="2039" spans="1:37" hidden="1">
      <c r="C2039" s="128"/>
      <c r="D2039" s="128"/>
      <c r="G2039" s="128"/>
      <c r="I2039" s="128"/>
      <c r="M2039" s="118"/>
      <c r="N2039" s="112" t="s">
        <v>775</v>
      </c>
      <c r="O2039" s="112"/>
      <c r="P2039" s="112"/>
      <c r="Q2039" s="115"/>
      <c r="R2039" s="112"/>
      <c r="S2039" s="112"/>
      <c r="T2039" s="115"/>
      <c r="U2039" s="115"/>
      <c r="V2039" s="115"/>
      <c r="AJ2039" s="66"/>
      <c r="AK2039" s="65"/>
    </row>
    <row r="2040" spans="1:37" hidden="1">
      <c r="A2040" s="65">
        <f>A2038+1</f>
        <v>9</v>
      </c>
      <c r="B2040" s="66" t="s">
        <v>831</v>
      </c>
      <c r="C2040" s="78"/>
      <c r="D2040" s="78">
        <v>109.92465911589146</v>
      </c>
      <c r="E2040" s="79">
        <f>D2040-F2040</f>
        <v>74.924659115891458</v>
      </c>
      <c r="F2040" s="79">
        <f>ROUND(D2040*T2059,0)</f>
        <v>35</v>
      </c>
      <c r="G2040" s="78">
        <v>1162.9101062595946</v>
      </c>
      <c r="H2040" s="78"/>
      <c r="I2040" s="78"/>
      <c r="J2040" s="79"/>
      <c r="K2040" s="79">
        <f>ROUND(+C2040+D2040+G2040+H2040+I2040+J2040,0)</f>
        <v>1273</v>
      </c>
      <c r="L2040" s="79"/>
      <c r="M2040" s="129"/>
      <c r="N2040" s="113" t="s">
        <v>832</v>
      </c>
      <c r="O2040" s="113"/>
      <c r="P2040" s="112"/>
      <c r="Q2040" s="114"/>
      <c r="R2040" s="112"/>
      <c r="S2040" s="112"/>
      <c r="T2040" s="115"/>
      <c r="U2040" s="115"/>
      <c r="V2040" s="115"/>
      <c r="AJ2040" s="66"/>
      <c r="AK2040" s="65"/>
    </row>
    <row r="2041" spans="1:37" hidden="1">
      <c r="I2041" s="128"/>
      <c r="M2041" s="118"/>
      <c r="N2041" s="118" t="s">
        <v>833</v>
      </c>
      <c r="O2041" s="118"/>
      <c r="P2041" s="118"/>
      <c r="Q2041" s="117"/>
      <c r="R2041" s="118"/>
      <c r="S2041" s="118"/>
      <c r="T2041" s="117"/>
      <c r="U2041" s="117"/>
      <c r="V2041" s="117"/>
      <c r="AJ2041" s="66"/>
      <c r="AK2041" s="65"/>
    </row>
    <row r="2042" spans="1:37" hidden="1">
      <c r="A2042" s="65">
        <f>A2040+1</f>
        <v>10</v>
      </c>
      <c r="B2042" s="71" t="s">
        <v>834</v>
      </c>
      <c r="C2042" s="78"/>
      <c r="D2042" s="78"/>
      <c r="E2042" s="79"/>
      <c r="F2042" s="79"/>
      <c r="G2042" s="78">
        <v>0</v>
      </c>
      <c r="K2042" s="79">
        <f>ROUND(+C2042+D2042+G2042+H2042+I2042+J2042,0)</f>
        <v>0</v>
      </c>
      <c r="L2042" s="79"/>
      <c r="M2042" s="129"/>
      <c r="N2042" s="130">
        <v>40543</v>
      </c>
      <c r="O2042" s="130"/>
      <c r="P2042" s="131"/>
      <c r="Q2042" s="132"/>
      <c r="R2042" s="131"/>
      <c r="S2042" s="131"/>
      <c r="T2042" s="119"/>
      <c r="U2042" s="119"/>
      <c r="V2042" s="119"/>
      <c r="AJ2042" s="66"/>
      <c r="AK2042" s="65"/>
    </row>
    <row r="2043" spans="1:37" hidden="1">
      <c r="C2043" s="128"/>
      <c r="D2043" s="128"/>
      <c r="G2043" s="128"/>
      <c r="I2043" s="128"/>
      <c r="M2043" s="129"/>
      <c r="N2043" s="112"/>
      <c r="O2043" s="112"/>
      <c r="P2043" s="112"/>
      <c r="Q2043" s="115"/>
      <c r="R2043" s="112"/>
      <c r="S2043" s="112"/>
      <c r="T2043" s="115"/>
      <c r="U2043" s="115"/>
      <c r="V2043" s="115"/>
      <c r="AJ2043" s="66"/>
      <c r="AK2043" s="65"/>
    </row>
    <row r="2044" spans="1:37" hidden="1">
      <c r="A2044" s="65">
        <f>A2042+1</f>
        <v>11</v>
      </c>
      <c r="B2044" s="66" t="s">
        <v>835</v>
      </c>
      <c r="C2044" s="78">
        <v>0</v>
      </c>
      <c r="D2044" s="78">
        <v>0</v>
      </c>
      <c r="E2044" s="79">
        <f>ROUND((E2024+E2026+E2030+E2032+E2034+E2040)/(D2024+D2026+D2030+D2032+D2034+D2040)*D2044,0)</f>
        <v>0</v>
      </c>
      <c r="F2044" s="79">
        <f>D2044-E2044</f>
        <v>0</v>
      </c>
      <c r="G2044" s="78">
        <v>0</v>
      </c>
      <c r="H2044" s="78">
        <v>0</v>
      </c>
      <c r="I2044" s="78">
        <v>0</v>
      </c>
      <c r="J2044" s="79"/>
      <c r="K2044" s="79">
        <f>ROUND(+C2044+D2044+G2044+H2044+I2044+J2044,0)</f>
        <v>0</v>
      </c>
      <c r="L2044" s="79"/>
      <c r="M2044" s="129"/>
      <c r="N2044" s="113"/>
      <c r="O2044" s="113"/>
      <c r="P2044" s="112"/>
      <c r="Q2044" s="114"/>
      <c r="R2044" s="112"/>
      <c r="S2044" s="112"/>
      <c r="T2044" s="115"/>
      <c r="U2044" s="115"/>
      <c r="V2044" s="115"/>
      <c r="AJ2044" s="66"/>
      <c r="AK2044" s="65"/>
    </row>
    <row r="2045" spans="1:37" hidden="1">
      <c r="L2045" s="79"/>
      <c r="M2045" s="129"/>
      <c r="N2045" s="113"/>
      <c r="O2045" s="113"/>
      <c r="P2045" s="112"/>
      <c r="Q2045" s="114"/>
      <c r="R2045" s="112"/>
      <c r="S2045" s="112"/>
      <c r="T2045" s="115"/>
      <c r="U2045" s="115"/>
      <c r="V2045" s="115"/>
      <c r="AJ2045" s="66"/>
      <c r="AK2045" s="65"/>
    </row>
    <row r="2046" spans="1:37" hidden="1">
      <c r="A2046" s="65">
        <f>A2044+1</f>
        <v>12</v>
      </c>
      <c r="B2046" s="66" t="s">
        <v>836</v>
      </c>
      <c r="C2046" s="78">
        <v>14</v>
      </c>
      <c r="D2046" s="78">
        <v>1</v>
      </c>
      <c r="E2046" s="79">
        <f>ROUND((E2026+E2028+E2032+E2034+E2036+E2044)/(D2026+D2028+D2032+D2034+D2036+D2044)*D2046,0)</f>
        <v>1</v>
      </c>
      <c r="F2046" s="79">
        <f>D2046-E2046</f>
        <v>0</v>
      </c>
      <c r="G2046" s="78">
        <v>6</v>
      </c>
      <c r="H2046" s="78">
        <v>4</v>
      </c>
      <c r="I2046" s="78">
        <v>4</v>
      </c>
      <c r="J2046" s="79"/>
      <c r="K2046" s="79">
        <f>ROUND(+C2046+D2046+G2046+H2046+I2046+J2046,0)</f>
        <v>29</v>
      </c>
      <c r="L2046" s="79"/>
      <c r="M2046" s="129"/>
      <c r="N2046" s="113"/>
      <c r="O2046" s="113"/>
      <c r="P2046" s="113" t="s">
        <v>837</v>
      </c>
      <c r="Q2046" s="114"/>
      <c r="R2046" s="112" t="s">
        <v>838</v>
      </c>
      <c r="S2046" s="112"/>
      <c r="T2046" s="115" t="s">
        <v>785</v>
      </c>
      <c r="U2046" s="115"/>
      <c r="V2046" s="115"/>
      <c r="AJ2046" s="66"/>
      <c r="AK2046" s="65"/>
    </row>
    <row r="2047" spans="1:37" hidden="1">
      <c r="C2047" s="79"/>
      <c r="D2047" s="79"/>
      <c r="E2047" s="79"/>
      <c r="F2047" s="79"/>
      <c r="G2047" s="79"/>
      <c r="H2047" s="79"/>
      <c r="I2047" s="79"/>
      <c r="J2047" s="79"/>
      <c r="K2047" s="79"/>
      <c r="L2047" s="79"/>
      <c r="M2047" s="129" t="s">
        <v>782</v>
      </c>
      <c r="N2047" s="113" t="s">
        <v>783</v>
      </c>
      <c r="O2047" s="113"/>
      <c r="P2047" s="113" t="s">
        <v>839</v>
      </c>
      <c r="Q2047" s="114"/>
      <c r="R2047" s="112" t="s">
        <v>840</v>
      </c>
      <c r="S2047" s="112"/>
      <c r="T2047" s="115" t="s">
        <v>841</v>
      </c>
      <c r="U2047" s="115"/>
      <c r="V2047" s="115" t="s">
        <v>19</v>
      </c>
      <c r="AJ2047" s="66"/>
      <c r="AK2047" s="65"/>
    </row>
    <row r="2048" spans="1:37" hidden="1">
      <c r="A2048" s="65">
        <f>A2046+1</f>
        <v>13</v>
      </c>
      <c r="B2048" s="66" t="s">
        <v>842</v>
      </c>
      <c r="C2048" s="79">
        <f t="shared" ref="C2048:K2048" si="976">SUM(C2022:C2046)</f>
        <v>27141.86502152152</v>
      </c>
      <c r="D2048" s="79">
        <f t="shared" si="976"/>
        <v>1422.4665055077728</v>
      </c>
      <c r="E2048" s="79">
        <f t="shared" si="976"/>
        <v>1003.4526699387077</v>
      </c>
      <c r="F2048" s="79">
        <f t="shared" si="976"/>
        <v>419</v>
      </c>
      <c r="G2048" s="79">
        <f t="shared" si="976"/>
        <v>11673.147323949262</v>
      </c>
      <c r="H2048" s="79">
        <f t="shared" si="976"/>
        <v>4</v>
      </c>
      <c r="I2048" s="79">
        <f t="shared" si="976"/>
        <v>4</v>
      </c>
      <c r="J2048" s="79">
        <f t="shared" si="976"/>
        <v>0</v>
      </c>
      <c r="K2048" s="79">
        <f t="shared" si="976"/>
        <v>40246</v>
      </c>
      <c r="L2048" s="79"/>
      <c r="M2048" s="129"/>
      <c r="N2048" s="113"/>
      <c r="O2048" s="113"/>
      <c r="P2048" s="113"/>
      <c r="Q2048" s="114"/>
      <c r="R2048" s="112"/>
      <c r="S2048" s="112"/>
      <c r="T2048" s="115"/>
      <c r="U2048" s="115"/>
      <c r="V2048" s="115"/>
      <c r="AJ2048" s="66"/>
      <c r="AK2048" s="65"/>
    </row>
    <row r="2049" spans="1:37" hidden="1">
      <c r="C2049" s="79"/>
      <c r="D2049" s="79"/>
      <c r="E2049" s="79"/>
      <c r="F2049" s="79"/>
      <c r="G2049" s="79"/>
      <c r="H2049" s="79"/>
      <c r="I2049" s="79"/>
      <c r="J2049" s="79"/>
      <c r="K2049" s="79"/>
      <c r="L2049" s="79"/>
      <c r="M2049" s="129" t="s">
        <v>796</v>
      </c>
      <c r="N2049" s="113" t="s">
        <v>797</v>
      </c>
      <c r="O2049" s="113"/>
      <c r="P2049" s="133">
        <v>2.2330514982237825E-2</v>
      </c>
      <c r="Q2049" s="134"/>
      <c r="R2049" s="123">
        <v>0</v>
      </c>
      <c r="S2049" s="123"/>
      <c r="T2049" s="122">
        <v>0.97766948501776219</v>
      </c>
      <c r="U2049" s="122"/>
      <c r="V2049" s="122">
        <v>1</v>
      </c>
      <c r="AJ2049" s="66"/>
      <c r="AK2049" s="65"/>
    </row>
    <row r="2050" spans="1:37" hidden="1">
      <c r="A2050" s="65">
        <f>A2048+1</f>
        <v>14</v>
      </c>
      <c r="B2050" s="71" t="s">
        <v>843</v>
      </c>
      <c r="C2050" s="79">
        <f>G2022</f>
        <v>12.818968532653498</v>
      </c>
      <c r="D2050" s="79"/>
      <c r="E2050" s="79"/>
      <c r="F2050" s="79"/>
      <c r="G2050" s="79"/>
      <c r="H2050" s="79"/>
      <c r="I2050" s="79"/>
      <c r="J2050" s="79"/>
      <c r="K2050" s="79"/>
      <c r="L2050" s="79"/>
      <c r="M2050" s="129" t="s">
        <v>798</v>
      </c>
      <c r="N2050" s="113" t="s">
        <v>799</v>
      </c>
      <c r="O2050" s="113"/>
      <c r="P2050" s="133">
        <v>2.2796576495327726E-2</v>
      </c>
      <c r="Q2050" s="134"/>
      <c r="R2050" s="123">
        <v>0</v>
      </c>
      <c r="S2050" s="123"/>
      <c r="T2050" s="122">
        <v>0.97720342350467226</v>
      </c>
      <c r="U2050" s="122"/>
      <c r="V2050" s="122">
        <v>1</v>
      </c>
      <c r="AJ2050" s="66"/>
      <c r="AK2050" s="65"/>
    </row>
    <row r="2051" spans="1:37" hidden="1">
      <c r="B2051" s="66" t="s">
        <v>844</v>
      </c>
      <c r="C2051" s="79">
        <f>G2024</f>
        <v>704</v>
      </c>
      <c r="D2051" s="79"/>
      <c r="E2051" s="79"/>
      <c r="F2051" s="79"/>
      <c r="G2051" s="79"/>
      <c r="H2051" s="79"/>
      <c r="I2051" s="79"/>
      <c r="J2051" s="79"/>
      <c r="K2051" s="79"/>
      <c r="L2051" s="79"/>
      <c r="M2051" s="129" t="s">
        <v>801</v>
      </c>
      <c r="N2051" s="113" t="s">
        <v>802</v>
      </c>
      <c r="O2051" s="113"/>
      <c r="P2051" s="133">
        <v>0.97842597834717182</v>
      </c>
      <c r="Q2051" s="134"/>
      <c r="R2051" s="123">
        <v>1.7877070997665112E-2</v>
      </c>
      <c r="S2051" s="123"/>
      <c r="T2051" s="122">
        <v>3.6969506551629955E-3</v>
      </c>
      <c r="U2051" s="122"/>
      <c r="V2051" s="122">
        <v>0.99999999999999989</v>
      </c>
      <c r="AJ2051" s="66"/>
      <c r="AK2051" s="65"/>
    </row>
    <row r="2052" spans="1:37" hidden="1">
      <c r="B2052" s="66" t="s">
        <v>845</v>
      </c>
      <c r="C2052" s="79">
        <f>(G2026+G2032+G2034)</f>
        <v>6542.7948756500664</v>
      </c>
      <c r="D2052" s="79"/>
      <c r="E2052" s="79"/>
      <c r="F2052" s="79"/>
      <c r="G2052" s="79"/>
      <c r="H2052" s="79"/>
      <c r="I2052" s="79"/>
      <c r="J2052" s="79"/>
      <c r="K2052" s="79"/>
      <c r="L2052" s="79"/>
      <c r="M2052" s="129" t="s">
        <v>803</v>
      </c>
      <c r="N2052" s="113" t="s">
        <v>804</v>
      </c>
      <c r="O2052" s="113"/>
      <c r="P2052" s="133">
        <v>0.26686711523867712</v>
      </c>
      <c r="Q2052" s="134"/>
      <c r="R2052" s="123">
        <v>0.39647334063890055</v>
      </c>
      <c r="S2052" s="123"/>
      <c r="T2052" s="122">
        <v>0.33665954412242233</v>
      </c>
      <c r="U2052" s="122"/>
      <c r="V2052" s="122">
        <v>1</v>
      </c>
      <c r="AJ2052" s="66"/>
      <c r="AK2052" s="65"/>
    </row>
    <row r="2053" spans="1:37" hidden="1">
      <c r="B2053" s="66" t="s">
        <v>846</v>
      </c>
      <c r="C2053" s="79">
        <f>G2030</f>
        <v>1788</v>
      </c>
      <c r="D2053" s="79"/>
      <c r="E2053" s="79"/>
      <c r="F2053" s="79"/>
      <c r="G2053" s="79"/>
      <c r="H2053" s="79"/>
      <c r="I2053" s="79"/>
      <c r="J2053" s="79"/>
      <c r="K2053" s="79"/>
      <c r="L2053" s="79"/>
      <c r="M2053" s="129" t="s">
        <v>806</v>
      </c>
      <c r="N2053" s="113" t="s">
        <v>807</v>
      </c>
      <c r="O2053" s="113"/>
      <c r="P2053" s="133">
        <v>4.651224326855808E-2</v>
      </c>
      <c r="Q2053" s="134"/>
      <c r="R2053" s="123">
        <v>0</v>
      </c>
      <c r="S2053" s="123"/>
      <c r="T2053" s="122">
        <v>0.95348775673144193</v>
      </c>
      <c r="U2053" s="122"/>
      <c r="V2053" s="122">
        <v>1</v>
      </c>
      <c r="AJ2053" s="66"/>
      <c r="AK2053" s="65"/>
    </row>
    <row r="2054" spans="1:37" hidden="1">
      <c r="B2054" s="66" t="s">
        <v>847</v>
      </c>
      <c r="C2054" s="66">
        <f>G2042</f>
        <v>0</v>
      </c>
      <c r="D2054" s="79"/>
      <c r="E2054" s="79"/>
      <c r="F2054" s="79"/>
      <c r="G2054" s="79"/>
      <c r="H2054" s="79"/>
      <c r="I2054" s="79"/>
      <c r="J2054" s="79"/>
      <c r="K2054" s="79"/>
      <c r="L2054" s="79"/>
      <c r="M2054" s="129" t="s">
        <v>808</v>
      </c>
      <c r="N2054" s="113" t="s">
        <v>809</v>
      </c>
      <c r="O2054" s="113"/>
      <c r="P2054" s="133">
        <v>0.60468971444802377</v>
      </c>
      <c r="Q2054" s="134"/>
      <c r="R2054" s="123">
        <v>6.5480784198961972E-2</v>
      </c>
      <c r="S2054" s="123"/>
      <c r="T2054" s="122">
        <v>0.32982950135301431</v>
      </c>
      <c r="U2054" s="122"/>
      <c r="V2054" s="122">
        <v>1</v>
      </c>
      <c r="AJ2054" s="66"/>
      <c r="AK2054" s="65"/>
    </row>
    <row r="2055" spans="1:37" hidden="1">
      <c r="B2055" s="66" t="s">
        <v>848</v>
      </c>
      <c r="C2055" s="135">
        <f>G2028</f>
        <v>862</v>
      </c>
      <c r="D2055" s="79"/>
      <c r="E2055" s="79"/>
      <c r="F2055" s="79"/>
      <c r="G2055" s="79"/>
      <c r="H2055" s="79"/>
      <c r="I2055" s="79"/>
      <c r="J2055" s="79"/>
      <c r="K2055" s="79"/>
      <c r="L2055" s="79"/>
      <c r="M2055" s="129" t="s">
        <v>811</v>
      </c>
      <c r="N2055" s="113" t="s">
        <v>812</v>
      </c>
      <c r="O2055" s="113"/>
      <c r="P2055" s="133">
        <v>0.75592095555708971</v>
      </c>
      <c r="Q2055" s="134"/>
      <c r="R2055" s="123">
        <v>0.15538424840773774</v>
      </c>
      <c r="S2055" s="123"/>
      <c r="T2055" s="122">
        <v>8.8694796035172413E-2</v>
      </c>
      <c r="U2055" s="122"/>
      <c r="V2055" s="122">
        <v>0.99999999999999989</v>
      </c>
      <c r="AJ2055" s="66"/>
      <c r="AK2055" s="65"/>
    </row>
    <row r="2056" spans="1:37" hidden="1">
      <c r="B2056" s="66" t="s">
        <v>849</v>
      </c>
      <c r="C2056" s="79">
        <f>SUM(C2050:C2055)</f>
        <v>9909.6138441827206</v>
      </c>
      <c r="D2056" s="79"/>
      <c r="E2056" s="79"/>
      <c r="F2056" s="79"/>
      <c r="G2056" s="79"/>
      <c r="H2056" s="79"/>
      <c r="I2056" s="79"/>
      <c r="J2056" s="79"/>
      <c r="K2056" s="79"/>
      <c r="L2056" s="79"/>
      <c r="M2056" s="129" t="s">
        <v>813</v>
      </c>
      <c r="N2056" s="113" t="s">
        <v>814</v>
      </c>
      <c r="O2056" s="113"/>
      <c r="P2056" s="133">
        <v>2.2094098987848136E-2</v>
      </c>
      <c r="Q2056" s="134"/>
      <c r="R2056" s="123">
        <v>0</v>
      </c>
      <c r="S2056" s="123"/>
      <c r="T2056" s="122">
        <v>0.97790590101215191</v>
      </c>
      <c r="U2056" s="122"/>
      <c r="V2056" s="122">
        <v>1</v>
      </c>
      <c r="AJ2056" s="66"/>
      <c r="AK2056" s="65"/>
    </row>
    <row r="2057" spans="1:37" hidden="1">
      <c r="C2057" s="79"/>
      <c r="D2057" s="79"/>
      <c r="E2057" s="79"/>
      <c r="F2057" s="79"/>
      <c r="G2057" s="79"/>
      <c r="H2057" s="79"/>
      <c r="I2057" s="79"/>
      <c r="J2057" s="79"/>
      <c r="K2057" s="79"/>
      <c r="L2057" s="79"/>
      <c r="M2057" s="129" t="s">
        <v>816</v>
      </c>
      <c r="N2057" s="113" t="s">
        <v>817</v>
      </c>
      <c r="O2057" s="113"/>
      <c r="P2057" s="133">
        <v>0</v>
      </c>
      <c r="Q2057" s="134"/>
      <c r="R2057" s="123">
        <v>0</v>
      </c>
      <c r="S2057" s="123"/>
      <c r="T2057" s="122">
        <v>1</v>
      </c>
      <c r="U2057" s="122"/>
      <c r="V2057" s="122">
        <v>1</v>
      </c>
      <c r="AJ2057" s="66"/>
      <c r="AK2057" s="65"/>
    </row>
    <row r="2058" spans="1:37" hidden="1">
      <c r="B2058" s="66" t="s">
        <v>850</v>
      </c>
      <c r="C2058" s="79">
        <f>G2040</f>
        <v>1162.9101062595946</v>
      </c>
      <c r="D2058" s="79"/>
      <c r="E2058" s="79"/>
      <c r="F2058" s="79"/>
      <c r="G2058" s="79"/>
      <c r="H2058" s="79"/>
      <c r="I2058" s="79"/>
      <c r="J2058" s="79"/>
      <c r="K2058" s="79"/>
      <c r="L2058" s="79"/>
      <c r="M2058" s="129" t="s">
        <v>818</v>
      </c>
      <c r="N2058" s="113" t="s">
        <v>819</v>
      </c>
      <c r="O2058" s="113"/>
      <c r="P2058" s="133">
        <v>0</v>
      </c>
      <c r="Q2058" s="134"/>
      <c r="R2058" s="123">
        <v>0</v>
      </c>
      <c r="S2058" s="123"/>
      <c r="T2058" s="122">
        <v>1</v>
      </c>
      <c r="U2058" s="122"/>
      <c r="V2058" s="122">
        <v>1</v>
      </c>
      <c r="AJ2058" s="66"/>
      <c r="AK2058" s="65"/>
    </row>
    <row r="2059" spans="1:37" hidden="1">
      <c r="B2059" s="66" t="s">
        <v>851</v>
      </c>
      <c r="C2059" s="79">
        <f>G2044</f>
        <v>0</v>
      </c>
      <c r="D2059" s="79"/>
      <c r="E2059" s="79"/>
      <c r="F2059" s="79"/>
      <c r="G2059" s="79"/>
      <c r="H2059" s="79"/>
      <c r="I2059" s="79"/>
      <c r="J2059" s="79"/>
      <c r="K2059" s="79"/>
      <c r="L2059" s="79"/>
      <c r="M2059" s="129" t="s">
        <v>821</v>
      </c>
      <c r="N2059" s="113" t="s">
        <v>822</v>
      </c>
      <c r="O2059" s="113"/>
      <c r="P2059" s="133">
        <v>0.67217575609848201</v>
      </c>
      <c r="Q2059" s="134"/>
      <c r="R2059" s="123">
        <v>5.7737961387867073E-3</v>
      </c>
      <c r="S2059" s="123"/>
      <c r="T2059" s="122">
        <v>0.32205044776273117</v>
      </c>
      <c r="U2059" s="122"/>
      <c r="V2059" s="122">
        <v>0.99999999999999989</v>
      </c>
      <c r="AJ2059" s="66"/>
      <c r="AK2059" s="65"/>
    </row>
    <row r="2060" spans="1:37" hidden="1">
      <c r="B2060" s="66" t="s">
        <v>852</v>
      </c>
      <c r="C2060" s="135">
        <f>G2046</f>
        <v>6</v>
      </c>
      <c r="D2060" s="79"/>
      <c r="E2060" s="79"/>
      <c r="F2060" s="79"/>
      <c r="G2060" s="79"/>
      <c r="H2060" s="79"/>
      <c r="I2060" s="79"/>
      <c r="J2060" s="79"/>
      <c r="K2060" s="79"/>
      <c r="L2060" s="79"/>
      <c r="M2060" s="113" t="s">
        <v>823</v>
      </c>
      <c r="N2060" s="113" t="s">
        <v>824</v>
      </c>
      <c r="O2060" s="113"/>
      <c r="P2060" s="133">
        <v>0</v>
      </c>
      <c r="Q2060" s="134"/>
      <c r="R2060" s="123">
        <v>0</v>
      </c>
      <c r="S2060" s="123"/>
      <c r="T2060" s="122">
        <v>0</v>
      </c>
      <c r="U2060" s="122"/>
      <c r="V2060" s="122">
        <v>0</v>
      </c>
      <c r="AJ2060" s="66"/>
      <c r="AK2060" s="65"/>
    </row>
    <row r="2061" spans="1:37" hidden="1">
      <c r="B2061" s="66" t="s">
        <v>853</v>
      </c>
      <c r="C2061" s="79">
        <f>SUM(C2058:C2060)</f>
        <v>1168.9101062595946</v>
      </c>
      <c r="D2061" s="79"/>
      <c r="E2061" s="79"/>
      <c r="F2061" s="79"/>
      <c r="G2061" s="79"/>
      <c r="H2061" s="79"/>
      <c r="I2061" s="79"/>
      <c r="J2061" s="79"/>
      <c r="K2061" s="79"/>
      <c r="M2061" s="112" t="s">
        <v>826</v>
      </c>
      <c r="N2061" s="112" t="s">
        <v>827</v>
      </c>
      <c r="O2061" s="112"/>
      <c r="P2061" s="123">
        <v>0</v>
      </c>
      <c r="Q2061" s="122"/>
      <c r="R2061" s="123">
        <v>0</v>
      </c>
      <c r="S2061" s="123"/>
      <c r="T2061" s="122">
        <v>0</v>
      </c>
      <c r="U2061" s="122"/>
      <c r="V2061" s="122">
        <v>0</v>
      </c>
      <c r="AJ2061" s="66"/>
      <c r="AK2061" s="65"/>
    </row>
    <row r="2062" spans="1:37" hidden="1">
      <c r="C2062" s="79"/>
      <c r="D2062" s="79"/>
      <c r="E2062" s="79"/>
      <c r="F2062" s="79"/>
      <c r="G2062" s="79"/>
      <c r="H2062" s="79"/>
      <c r="I2062" s="79"/>
      <c r="J2062" s="79"/>
      <c r="K2062" s="79"/>
      <c r="M2062" s="112"/>
      <c r="N2062" s="112"/>
      <c r="O2062" s="112"/>
      <c r="P2062" s="123"/>
      <c r="Q2062" s="122"/>
      <c r="R2062" s="123"/>
      <c r="S2062" s="123"/>
      <c r="T2062" s="122"/>
      <c r="U2062" s="122"/>
      <c r="V2062" s="122"/>
      <c r="AJ2062" s="66"/>
      <c r="AK2062" s="65"/>
    </row>
    <row r="2063" spans="1:37" hidden="1">
      <c r="B2063" s="71" t="s">
        <v>854</v>
      </c>
      <c r="C2063" s="79"/>
      <c r="D2063" s="79"/>
      <c r="E2063" s="79"/>
      <c r="F2063" s="79"/>
      <c r="G2063" s="79"/>
      <c r="H2063" s="79"/>
      <c r="I2063" s="79"/>
      <c r="J2063" s="79"/>
      <c r="K2063" s="79"/>
      <c r="M2063" s="112"/>
      <c r="N2063" s="112"/>
      <c r="O2063" s="112"/>
      <c r="P2063" s="112"/>
      <c r="Q2063" s="115"/>
      <c r="R2063" s="112"/>
      <c r="S2063" s="112"/>
      <c r="T2063" s="115"/>
      <c r="U2063" s="115"/>
      <c r="V2063" s="122"/>
      <c r="AJ2063" s="66"/>
      <c r="AK2063" s="65"/>
    </row>
    <row r="2064" spans="1:37" hidden="1">
      <c r="N2064" s="113"/>
      <c r="O2064" s="113"/>
      <c r="P2064" s="136">
        <v>0.43162375337030517</v>
      </c>
      <c r="Q2064" s="137"/>
      <c r="R2064" s="138">
        <v>8.4872251084612063E-2</v>
      </c>
      <c r="S2064" s="138"/>
      <c r="T2064" s="139">
        <v>0.48350399554508233</v>
      </c>
      <c r="U2064" s="115"/>
      <c r="V2064" s="122">
        <v>0.99999999999999956</v>
      </c>
      <c r="AJ2064" s="66"/>
      <c r="AK2064" s="65"/>
    </row>
    <row r="2065" spans="1:37" hidden="1">
      <c r="N2065" s="113"/>
      <c r="O2065" s="113"/>
      <c r="P2065" s="113"/>
      <c r="Q2065" s="114"/>
      <c r="R2065" s="112"/>
      <c r="S2065" s="112"/>
      <c r="T2065" s="115"/>
      <c r="U2065" s="115"/>
      <c r="V2065" s="115"/>
      <c r="AJ2065" s="66"/>
      <c r="AK2065" s="65"/>
    </row>
    <row r="2066" spans="1:37" hidden="1">
      <c r="C2066" s="105"/>
      <c r="D2066" s="99"/>
      <c r="F2066" s="65" t="s">
        <v>80</v>
      </c>
      <c r="G2066" s="105"/>
      <c r="H2066" s="105"/>
      <c r="I2066" s="105"/>
      <c r="J2066" s="105"/>
      <c r="K2066" s="79"/>
      <c r="L2066" s="79"/>
      <c r="M2066" s="113"/>
      <c r="N2066" s="113"/>
      <c r="O2066" s="113"/>
      <c r="P2066" s="113"/>
      <c r="Q2066" s="114"/>
      <c r="R2066" s="112"/>
      <c r="S2066" s="112"/>
      <c r="T2066" s="115"/>
      <c r="U2066" s="115"/>
      <c r="V2066" s="115"/>
    </row>
    <row r="2067" spans="1:37" hidden="1">
      <c r="B2067" s="99"/>
      <c r="C2067" s="105"/>
      <c r="D2067" s="99"/>
      <c r="F2067" s="70" t="str">
        <f>H24</f>
        <v>12 MONTHS ENDING DECEMBER 31, 2012</v>
      </c>
      <c r="G2067" s="105"/>
      <c r="H2067" s="105"/>
      <c r="I2067" s="105"/>
      <c r="J2067" s="105"/>
      <c r="K2067" s="79"/>
      <c r="L2067" s="79"/>
      <c r="M2067" s="113"/>
      <c r="N2067" s="79"/>
      <c r="O2067" s="79"/>
      <c r="P2067" s="79"/>
      <c r="Q2067" s="80"/>
      <c r="T2067" s="65"/>
    </row>
    <row r="2068" spans="1:37" hidden="1">
      <c r="B2068" s="99"/>
      <c r="C2068" s="105"/>
      <c r="D2068" s="99"/>
      <c r="F2068" s="70" t="str">
        <f>$H$25</f>
        <v>12/13 DEMAND ALLOCATION WITH MDS METHODOLOGY</v>
      </c>
      <c r="G2068" s="105"/>
      <c r="H2068" s="105"/>
      <c r="I2068" s="105"/>
      <c r="J2068" s="105"/>
      <c r="K2068" s="79"/>
      <c r="L2068" s="79"/>
      <c r="M2068" s="113"/>
      <c r="N2068" s="79"/>
      <c r="O2068" s="79"/>
      <c r="P2068" s="79"/>
      <c r="Q2068" s="80"/>
      <c r="T2068" s="65"/>
      <c r="AJ2068" s="66"/>
      <c r="AK2068" s="65"/>
    </row>
    <row r="2069" spans="1:37" hidden="1">
      <c r="C2069" s="105"/>
      <c r="D2069" s="99"/>
      <c r="F2069" s="80" t="s">
        <v>855</v>
      </c>
      <c r="G2069" s="105"/>
      <c r="H2069" s="105"/>
      <c r="I2069" s="105"/>
      <c r="J2069" s="105"/>
      <c r="K2069" s="79"/>
      <c r="L2069" s="79"/>
      <c r="M2069" s="79"/>
      <c r="S2069" s="65"/>
      <c r="T2069" s="65"/>
      <c r="AJ2069" s="66"/>
      <c r="AK2069" s="65"/>
    </row>
    <row r="2070" spans="1:37" hidden="1">
      <c r="C2070" s="105"/>
      <c r="D2070" s="99"/>
      <c r="F2070" s="80" t="s">
        <v>114</v>
      </c>
      <c r="G2070" s="105"/>
      <c r="H2070" s="105"/>
      <c r="I2070" s="105"/>
      <c r="J2070" s="105"/>
      <c r="K2070" s="79"/>
      <c r="L2070" s="79"/>
      <c r="M2070" s="79"/>
      <c r="S2070" s="65"/>
      <c r="T2070" s="65"/>
      <c r="AJ2070" s="66"/>
      <c r="AK2070" s="65"/>
    </row>
    <row r="2071" spans="1:37" hidden="1">
      <c r="S2071" s="65"/>
      <c r="T2071" s="65"/>
      <c r="AJ2071" s="66"/>
      <c r="AK2071" s="65"/>
    </row>
    <row r="2072" spans="1:37" hidden="1">
      <c r="S2072" s="65"/>
      <c r="T2072" s="65"/>
      <c r="AJ2072" s="66"/>
      <c r="AK2072" s="65"/>
    </row>
    <row r="2073" spans="1:37" hidden="1">
      <c r="S2073" s="65"/>
      <c r="T2073" s="65"/>
      <c r="AJ2073" s="66"/>
      <c r="AK2073" s="65"/>
    </row>
    <row r="2074" spans="1:37" hidden="1">
      <c r="E2074" s="65" t="s">
        <v>856</v>
      </c>
      <c r="F2074" s="65" t="s">
        <v>857</v>
      </c>
      <c r="G2074" s="65" t="s">
        <v>117</v>
      </c>
      <c r="H2074" s="65" t="s">
        <v>857</v>
      </c>
      <c r="I2074" s="65" t="s">
        <v>59</v>
      </c>
      <c r="J2074" s="65" t="s">
        <v>59</v>
      </c>
      <c r="K2074" s="65"/>
      <c r="L2074" s="65"/>
      <c r="S2074" s="65"/>
      <c r="T2074" s="65"/>
      <c r="AJ2074" s="66"/>
      <c r="AK2074" s="65"/>
    </row>
    <row r="2075" spans="1:37" hidden="1">
      <c r="B2075" s="65" t="s">
        <v>858</v>
      </c>
      <c r="C2075" s="65" t="s">
        <v>59</v>
      </c>
      <c r="D2075" s="65" t="s">
        <v>117</v>
      </c>
      <c r="E2075" s="65" t="s">
        <v>117</v>
      </c>
      <c r="F2075" s="65" t="s">
        <v>859</v>
      </c>
      <c r="G2075" s="65" t="s">
        <v>859</v>
      </c>
      <c r="H2075" s="65" t="s">
        <v>860</v>
      </c>
      <c r="I2075" s="65" t="s">
        <v>861</v>
      </c>
      <c r="J2075" s="65" t="s">
        <v>862</v>
      </c>
      <c r="K2075" s="65"/>
      <c r="L2075" s="65"/>
      <c r="S2075" s="65"/>
      <c r="T2075" s="65"/>
      <c r="AJ2075" s="66"/>
      <c r="AK2075" s="65"/>
    </row>
    <row r="2076" spans="1:37" hidden="1">
      <c r="A2076" s="65" t="s">
        <v>118</v>
      </c>
      <c r="B2076" s="65" t="s">
        <v>144</v>
      </c>
      <c r="C2076" s="65" t="s">
        <v>145</v>
      </c>
      <c r="D2076" s="65" t="s">
        <v>148</v>
      </c>
      <c r="E2076" s="65" t="s">
        <v>149</v>
      </c>
      <c r="F2076" s="65" t="s">
        <v>150</v>
      </c>
      <c r="G2076" s="65" t="s">
        <v>151</v>
      </c>
      <c r="H2076" s="65" t="s">
        <v>155</v>
      </c>
      <c r="I2076" s="65" t="s">
        <v>156</v>
      </c>
      <c r="J2076" s="65" t="s">
        <v>157</v>
      </c>
      <c r="K2076" s="65"/>
      <c r="L2076" s="65"/>
      <c r="N2076" s="79"/>
      <c r="O2076" s="79"/>
      <c r="P2076" s="79"/>
      <c r="Q2076" s="79"/>
      <c r="R2076" s="79"/>
      <c r="S2076" s="80"/>
      <c r="T2076" s="65"/>
      <c r="AJ2076" s="66"/>
      <c r="AK2076" s="65"/>
    </row>
    <row r="2077" spans="1:37" hidden="1">
      <c r="A2077" s="65" t="s">
        <v>125</v>
      </c>
      <c r="N2077" s="79"/>
      <c r="O2077" s="79"/>
      <c r="P2077" s="79"/>
      <c r="Q2077" s="79"/>
      <c r="R2077" s="79"/>
      <c r="S2077" s="80"/>
      <c r="T2077" s="65"/>
      <c r="AJ2077" s="66"/>
      <c r="AK2077" s="65"/>
    </row>
    <row r="2078" spans="1:37" hidden="1">
      <c r="A2078" s="65" t="s">
        <v>143</v>
      </c>
      <c r="B2078" s="66" t="s">
        <v>863</v>
      </c>
      <c r="C2078" s="78">
        <f>3808+96</f>
        <v>3904</v>
      </c>
      <c r="D2078" s="78">
        <v>216</v>
      </c>
      <c r="E2078" s="79">
        <f>C2078-D2078</f>
        <v>3688</v>
      </c>
      <c r="F2078" s="79">
        <v>38458</v>
      </c>
      <c r="G2078" s="79">
        <f>ROUND(+E2266/1000,0)</f>
        <v>2249</v>
      </c>
      <c r="H2078" s="79">
        <f>ROUND((($F2078/$F$2090)*$E$2088),0)+$E2078</f>
        <v>3816</v>
      </c>
      <c r="I2078" s="79">
        <f>ROUND((($G2078/$G$2090)*$D$2088),0)+$D2078</f>
        <v>217</v>
      </c>
      <c r="J2078" s="79">
        <f>H2078+I2078</f>
        <v>4033</v>
      </c>
      <c r="K2078" s="79"/>
      <c r="L2078" s="79"/>
      <c r="M2078" s="79"/>
      <c r="N2078" s="79"/>
      <c r="O2078" s="79"/>
      <c r="P2078" s="79"/>
      <c r="Q2078" s="79"/>
      <c r="R2078" s="79"/>
      <c r="S2078" s="80"/>
      <c r="T2078" s="65"/>
      <c r="AJ2078" s="66"/>
      <c r="AK2078" s="65"/>
    </row>
    <row r="2079" spans="1:37" hidden="1">
      <c r="C2079" s="78"/>
      <c r="D2079" s="79"/>
      <c r="E2079" s="79"/>
      <c r="F2079" s="79"/>
      <c r="G2079" s="79"/>
      <c r="H2079" s="79"/>
      <c r="I2079" s="79"/>
      <c r="J2079" s="79"/>
      <c r="K2079" s="79"/>
      <c r="L2079" s="79"/>
      <c r="M2079" s="79"/>
      <c r="N2079" s="79"/>
      <c r="O2079" s="79"/>
      <c r="P2079" s="79"/>
      <c r="Q2079" s="79"/>
      <c r="R2079" s="79"/>
      <c r="S2079" s="80"/>
      <c r="T2079" s="65"/>
      <c r="AJ2079" s="66"/>
      <c r="AK2079" s="65"/>
    </row>
    <row r="2080" spans="1:37" hidden="1">
      <c r="A2080" s="65">
        <f>A2079+1</f>
        <v>1</v>
      </c>
      <c r="B2080" s="66" t="s">
        <v>864</v>
      </c>
      <c r="C2080" s="78">
        <f>944+711</f>
        <v>1655</v>
      </c>
      <c r="D2080" s="78">
        <v>0</v>
      </c>
      <c r="E2080" s="79">
        <f>C2080-D2080</f>
        <v>1655</v>
      </c>
      <c r="F2080" s="79">
        <v>3347</v>
      </c>
      <c r="G2080" s="79">
        <f>ROUND(+E2267/1000,0)</f>
        <v>0</v>
      </c>
      <c r="H2080" s="79">
        <f>ROUND((($F2080/$F$2090)*$E$2088),0)+$E2080</f>
        <v>1666</v>
      </c>
      <c r="I2080" s="79">
        <f>ROUND((($G2080/$G$2090)*$D$2088),0)+$D2080</f>
        <v>0</v>
      </c>
      <c r="J2080" s="79">
        <f>H2080+I2080</f>
        <v>1666</v>
      </c>
      <c r="K2080" s="79"/>
      <c r="L2080" s="79"/>
      <c r="M2080" s="79"/>
      <c r="N2080" s="79"/>
      <c r="O2080" s="79"/>
      <c r="P2080" s="79"/>
      <c r="Q2080" s="79"/>
      <c r="R2080" s="79"/>
      <c r="S2080" s="80"/>
      <c r="T2080" s="65"/>
      <c r="AJ2080" s="66"/>
      <c r="AK2080" s="65"/>
    </row>
    <row r="2081" spans="1:37" hidden="1">
      <c r="C2081" s="78"/>
      <c r="D2081" s="79"/>
      <c r="E2081" s="79"/>
      <c r="F2081" s="79"/>
      <c r="G2081" s="79"/>
      <c r="H2081" s="79"/>
      <c r="I2081" s="79"/>
      <c r="J2081" s="79"/>
      <c r="K2081" s="79"/>
      <c r="L2081" s="79"/>
      <c r="M2081" s="79"/>
      <c r="N2081" s="79"/>
      <c r="O2081" s="79"/>
      <c r="P2081" s="79"/>
      <c r="Q2081" s="79"/>
      <c r="R2081" s="79"/>
      <c r="S2081" s="80"/>
      <c r="T2081" s="65"/>
      <c r="AJ2081" s="66"/>
      <c r="AK2081" s="65"/>
    </row>
    <row r="2082" spans="1:37" hidden="1">
      <c r="A2082" s="65">
        <f>A2080+1</f>
        <v>2</v>
      </c>
      <c r="B2082" s="66" t="s">
        <v>865</v>
      </c>
      <c r="C2082" s="78">
        <f>2912+2469</f>
        <v>5381</v>
      </c>
      <c r="D2082" s="79"/>
      <c r="E2082" s="79">
        <f>C2082-D2082</f>
        <v>5381</v>
      </c>
      <c r="F2082" s="79">
        <v>16768</v>
      </c>
      <c r="G2082" s="79"/>
      <c r="H2082" s="79">
        <f>ROUND((($F2082/$F$2090)*$E$2088),0)+$E2082</f>
        <v>5437</v>
      </c>
      <c r="I2082" s="79">
        <f>D2082</f>
        <v>0</v>
      </c>
      <c r="J2082" s="79">
        <f>H2082+I2082</f>
        <v>5437</v>
      </c>
      <c r="K2082" s="79"/>
      <c r="L2082" s="79"/>
      <c r="M2082" s="79"/>
      <c r="N2082" s="79"/>
      <c r="O2082" s="79"/>
      <c r="P2082" s="79"/>
      <c r="Q2082" s="79"/>
      <c r="R2082" s="79"/>
      <c r="S2082" s="80"/>
      <c r="T2082" s="65"/>
      <c r="AJ2082" s="66"/>
      <c r="AK2082" s="65"/>
    </row>
    <row r="2083" spans="1:37" hidden="1">
      <c r="C2083" s="78"/>
      <c r="D2083" s="79"/>
      <c r="E2083" s="79"/>
      <c r="F2083" s="79"/>
      <c r="G2083" s="79"/>
      <c r="H2083" s="79"/>
      <c r="I2083" s="79"/>
      <c r="J2083" s="79"/>
      <c r="K2083" s="79"/>
      <c r="L2083" s="79"/>
      <c r="M2083" s="79"/>
      <c r="N2083" s="79"/>
      <c r="O2083" s="79"/>
      <c r="P2083" s="79"/>
      <c r="Q2083" s="79"/>
      <c r="R2083" s="79"/>
      <c r="S2083" s="80"/>
      <c r="T2083" s="65"/>
      <c r="AJ2083" s="66"/>
      <c r="AK2083" s="65"/>
    </row>
    <row r="2084" spans="1:37" hidden="1">
      <c r="A2084" s="65">
        <f>A2082+1</f>
        <v>3</v>
      </c>
      <c r="B2084" s="66" t="s">
        <v>866</v>
      </c>
      <c r="C2084" s="78"/>
      <c r="D2084" s="79"/>
      <c r="E2084" s="79">
        <f>C2084-D2084</f>
        <v>0</v>
      </c>
      <c r="F2084" s="79">
        <v>10193</v>
      </c>
      <c r="G2084" s="79"/>
      <c r="H2084" s="79">
        <f>ROUND((($F2084/$F$2090)*$E$2088),0)+$E2084</f>
        <v>34</v>
      </c>
      <c r="I2084" s="79">
        <f>D2084</f>
        <v>0</v>
      </c>
      <c r="J2084" s="79">
        <f>H2084+I2084</f>
        <v>34</v>
      </c>
      <c r="K2084" s="79"/>
      <c r="L2084" s="79"/>
      <c r="M2084" s="79"/>
      <c r="N2084" s="79"/>
      <c r="O2084" s="79"/>
      <c r="P2084" s="79"/>
      <c r="Q2084" s="79"/>
      <c r="R2084" s="79"/>
      <c r="S2084" s="80"/>
      <c r="T2084" s="65"/>
      <c r="AJ2084" s="66"/>
      <c r="AK2084" s="65"/>
    </row>
    <row r="2085" spans="1:37" hidden="1">
      <c r="C2085" s="78"/>
      <c r="D2085" s="79"/>
      <c r="E2085" s="79"/>
      <c r="F2085" s="79"/>
      <c r="G2085" s="79"/>
      <c r="H2085" s="79"/>
      <c r="I2085" s="79"/>
      <c r="J2085" s="79"/>
      <c r="K2085" s="79"/>
      <c r="L2085" s="79"/>
      <c r="M2085" s="79"/>
      <c r="N2085" s="79"/>
      <c r="O2085" s="79"/>
      <c r="P2085" s="79"/>
      <c r="Q2085" s="79"/>
      <c r="R2085" s="79"/>
      <c r="S2085" s="80"/>
      <c r="T2085" s="65"/>
      <c r="AJ2085" s="66"/>
      <c r="AK2085" s="65"/>
    </row>
    <row r="2086" spans="1:37" hidden="1">
      <c r="A2086" s="65">
        <f>A2084+1</f>
        <v>4</v>
      </c>
      <c r="B2086" s="66" t="s">
        <v>867</v>
      </c>
      <c r="C2086" s="78"/>
      <c r="D2086" s="79"/>
      <c r="E2086" s="79">
        <f>C2086-D2086</f>
        <v>0</v>
      </c>
      <c r="F2086" s="79">
        <v>11051</v>
      </c>
      <c r="G2086" s="79"/>
      <c r="H2086" s="79">
        <f>ROUND((($F2086/$F$2090)*$E$2088),0)+$E2086</f>
        <v>37</v>
      </c>
      <c r="I2086" s="79">
        <f>D2086</f>
        <v>0</v>
      </c>
      <c r="J2086" s="79">
        <f>H2086+I2086</f>
        <v>37</v>
      </c>
      <c r="K2086" s="79"/>
      <c r="L2086" s="79"/>
      <c r="M2086" s="79"/>
      <c r="N2086" s="79"/>
      <c r="O2086" s="79"/>
      <c r="P2086" s="79"/>
      <c r="Q2086" s="79"/>
      <c r="R2086" s="79"/>
      <c r="S2086" s="80"/>
      <c r="T2086" s="65"/>
      <c r="AJ2086" s="66"/>
      <c r="AK2086" s="65"/>
    </row>
    <row r="2087" spans="1:37" hidden="1">
      <c r="C2087" s="78"/>
      <c r="D2087" s="79"/>
      <c r="E2087" s="79"/>
      <c r="F2087" s="79"/>
      <c r="G2087" s="79"/>
      <c r="H2087" s="79"/>
      <c r="I2087" s="79"/>
      <c r="J2087" s="79"/>
      <c r="K2087" s="79"/>
      <c r="L2087" s="79"/>
      <c r="M2087" s="79"/>
      <c r="N2087" s="79"/>
      <c r="O2087" s="79"/>
      <c r="P2087" s="79"/>
      <c r="Q2087" s="79"/>
      <c r="R2087" s="79"/>
      <c r="S2087" s="80"/>
      <c r="T2087" s="65"/>
      <c r="AJ2087" s="66"/>
      <c r="AK2087" s="65"/>
    </row>
    <row r="2088" spans="1:37" hidden="1">
      <c r="A2088" s="65">
        <f>A2086+1</f>
        <v>5</v>
      </c>
      <c r="B2088" s="66" t="s">
        <v>868</v>
      </c>
      <c r="C2088" s="78">
        <f>243+24</f>
        <v>267</v>
      </c>
      <c r="D2088" s="78">
        <v>1</v>
      </c>
      <c r="E2088" s="79">
        <f>C2088-D2088</f>
        <v>266</v>
      </c>
      <c r="F2088" s="79"/>
      <c r="G2088" s="79"/>
      <c r="H2088" s="79"/>
      <c r="I2088" s="79">
        <v>0</v>
      </c>
      <c r="J2088" s="79">
        <f>H2088+I2088</f>
        <v>0</v>
      </c>
      <c r="K2088" s="79"/>
      <c r="L2088" s="79"/>
      <c r="M2088" s="79"/>
      <c r="N2088" s="79"/>
      <c r="O2088" s="79"/>
      <c r="P2088" s="79"/>
      <c r="Q2088" s="79"/>
      <c r="R2088" s="79"/>
      <c r="S2088" s="80"/>
      <c r="T2088" s="65"/>
      <c r="AJ2088" s="66"/>
      <c r="AK2088" s="65"/>
    </row>
    <row r="2089" spans="1:37" hidden="1">
      <c r="C2089" s="79"/>
      <c r="D2089" s="79"/>
      <c r="E2089" s="79"/>
      <c r="F2089" s="79"/>
      <c r="G2089" s="79"/>
      <c r="H2089" s="79"/>
      <c r="I2089" s="79"/>
      <c r="J2089" s="79"/>
      <c r="K2089" s="79"/>
      <c r="L2089" s="79"/>
      <c r="M2089" s="79"/>
      <c r="N2089" s="79"/>
      <c r="O2089" s="79"/>
      <c r="P2089" s="79"/>
      <c r="Q2089" s="79"/>
      <c r="R2089" s="79"/>
      <c r="S2089" s="80"/>
      <c r="T2089" s="65"/>
      <c r="AJ2089" s="66"/>
      <c r="AK2089" s="65"/>
    </row>
    <row r="2090" spans="1:37" hidden="1">
      <c r="A2090" s="65">
        <f>A2088+1</f>
        <v>6</v>
      </c>
      <c r="B2090" s="66" t="s">
        <v>869</v>
      </c>
      <c r="C2090" s="79">
        <f t="shared" ref="C2090:I2090" si="977">SUM(C2078:C2088)</f>
        <v>11207</v>
      </c>
      <c r="D2090" s="79">
        <f t="shared" si="977"/>
        <v>217</v>
      </c>
      <c r="E2090" s="79">
        <f t="shared" si="977"/>
        <v>10990</v>
      </c>
      <c r="F2090" s="79">
        <f t="shared" si="977"/>
        <v>79817</v>
      </c>
      <c r="G2090" s="79">
        <f t="shared" si="977"/>
        <v>2249</v>
      </c>
      <c r="H2090" s="79">
        <f t="shared" si="977"/>
        <v>10990</v>
      </c>
      <c r="I2090" s="79">
        <f t="shared" si="977"/>
        <v>217</v>
      </c>
      <c r="J2090" s="79">
        <f>H2090+I2090</f>
        <v>11207</v>
      </c>
      <c r="K2090" s="79"/>
      <c r="L2090" s="79"/>
      <c r="M2090" s="79"/>
      <c r="N2090" s="79"/>
      <c r="O2090" s="79"/>
      <c r="P2090" s="79"/>
      <c r="Q2090" s="79"/>
      <c r="R2090" s="79"/>
      <c r="S2090" s="80"/>
      <c r="T2090" s="65"/>
      <c r="AJ2090" s="66"/>
      <c r="AK2090" s="65"/>
    </row>
    <row r="2091" spans="1:37" hidden="1">
      <c r="C2091" s="79"/>
      <c r="D2091" s="79"/>
      <c r="E2091" s="79"/>
      <c r="F2091" s="79"/>
      <c r="G2091" s="79"/>
      <c r="H2091" s="79"/>
      <c r="I2091" s="79"/>
      <c r="J2091" s="79"/>
      <c r="K2091" s="79"/>
      <c r="L2091" s="79"/>
      <c r="M2091" s="79"/>
      <c r="N2091" s="79"/>
      <c r="O2091" s="79"/>
      <c r="P2091" s="79"/>
      <c r="Q2091" s="79"/>
      <c r="R2091" s="79"/>
      <c r="S2091" s="80"/>
      <c r="T2091" s="65"/>
      <c r="AJ2091" s="66"/>
      <c r="AK2091" s="65"/>
    </row>
    <row r="2092" spans="1:37" hidden="1">
      <c r="A2092" s="65">
        <f>A2090+1</f>
        <v>7</v>
      </c>
      <c r="C2092" s="79"/>
      <c r="D2092" s="79"/>
      <c r="E2092" s="79"/>
      <c r="F2092" s="79"/>
      <c r="G2092" s="79"/>
      <c r="H2092" s="79"/>
      <c r="I2092" s="79"/>
      <c r="J2092" s="79"/>
      <c r="K2092" s="79"/>
      <c r="L2092" s="79"/>
      <c r="M2092" s="79"/>
      <c r="N2092" s="79"/>
      <c r="O2092" s="79"/>
      <c r="P2092" s="79"/>
      <c r="Q2092" s="79"/>
      <c r="R2092" s="79"/>
      <c r="S2092" s="80"/>
      <c r="T2092" s="65"/>
      <c r="AJ2092" s="66"/>
      <c r="AK2092" s="65"/>
    </row>
    <row r="2093" spans="1:37" hidden="1">
      <c r="B2093" s="66" t="s">
        <v>870</v>
      </c>
      <c r="C2093" s="79"/>
      <c r="D2093" s="79"/>
      <c r="E2093" s="79"/>
      <c r="F2093" s="79"/>
      <c r="G2093" s="79"/>
      <c r="H2093" s="79"/>
      <c r="I2093" s="79"/>
      <c r="J2093" s="79"/>
      <c r="K2093" s="79"/>
      <c r="L2093" s="79"/>
      <c r="M2093" s="79"/>
      <c r="N2093" s="79"/>
      <c r="O2093" s="79"/>
      <c r="P2093" s="79"/>
      <c r="Q2093" s="79"/>
      <c r="R2093" s="79"/>
      <c r="S2093" s="80"/>
      <c r="T2093" s="65"/>
      <c r="AJ2093" s="66"/>
      <c r="AK2093" s="65"/>
    </row>
    <row r="2094" spans="1:37" hidden="1">
      <c r="C2094" s="79"/>
      <c r="D2094" s="79"/>
      <c r="E2094" s="79"/>
      <c r="F2094" s="79"/>
      <c r="G2094" s="79"/>
      <c r="H2094" s="79"/>
      <c r="I2094" s="79"/>
      <c r="J2094" s="79"/>
      <c r="K2094" s="79"/>
      <c r="L2094" s="79"/>
      <c r="M2094" s="79"/>
      <c r="N2094" s="79"/>
      <c r="O2094" s="79"/>
      <c r="P2094" s="79"/>
      <c r="Q2094" s="79"/>
      <c r="R2094" s="79"/>
      <c r="S2094" s="80"/>
      <c r="T2094" s="65"/>
      <c r="AJ2094" s="66"/>
      <c r="AK2094" s="65"/>
    </row>
    <row r="2095" spans="1:37" hidden="1">
      <c r="C2095" s="79"/>
      <c r="D2095" s="79"/>
      <c r="E2095" s="79"/>
      <c r="F2095" s="79"/>
      <c r="G2095" s="79"/>
      <c r="H2095" s="79"/>
      <c r="I2095" s="79"/>
      <c r="J2095" s="79"/>
      <c r="K2095" s="79"/>
      <c r="L2095" s="79"/>
      <c r="M2095" s="79"/>
      <c r="N2095" s="79"/>
      <c r="O2095" s="79"/>
      <c r="P2095" s="79"/>
      <c r="Q2095" s="79"/>
      <c r="R2095" s="79"/>
      <c r="S2095" s="80"/>
      <c r="T2095" s="65"/>
      <c r="AJ2095" s="66"/>
      <c r="AK2095" s="65"/>
    </row>
    <row r="2096" spans="1:37" hidden="1">
      <c r="C2096" s="79"/>
      <c r="D2096" s="79"/>
      <c r="E2096" s="79"/>
      <c r="F2096" s="79"/>
      <c r="G2096" s="79"/>
      <c r="H2096" s="79"/>
      <c r="I2096" s="79"/>
      <c r="J2096" s="79"/>
      <c r="K2096" s="79"/>
      <c r="L2096" s="79"/>
      <c r="M2096" s="79"/>
      <c r="N2096" s="105"/>
      <c r="O2096" s="105"/>
      <c r="P2096" s="105"/>
      <c r="Q2096" s="105"/>
      <c r="R2096" s="79"/>
      <c r="S2096" s="80"/>
      <c r="T2096" s="65"/>
      <c r="AJ2096" s="66"/>
      <c r="AK2096" s="65"/>
    </row>
    <row r="2097" spans="1:37" hidden="1">
      <c r="C2097" s="79"/>
      <c r="D2097" s="79"/>
      <c r="E2097" s="79"/>
      <c r="F2097" s="79"/>
      <c r="G2097" s="79"/>
      <c r="H2097" s="79"/>
      <c r="I2097" s="79"/>
      <c r="J2097" s="79"/>
      <c r="K2097" s="79"/>
      <c r="L2097" s="79"/>
      <c r="M2097" s="79"/>
      <c r="N2097" s="105"/>
      <c r="O2097" s="105"/>
      <c r="P2097" s="105"/>
      <c r="Q2097" s="105"/>
      <c r="R2097" s="79"/>
      <c r="S2097" s="80"/>
      <c r="T2097" s="65"/>
      <c r="AJ2097" s="66"/>
      <c r="AK2097" s="65"/>
    </row>
    <row r="2098" spans="1:37" hidden="1">
      <c r="B2098" s="99"/>
      <c r="C2098" s="105"/>
      <c r="D2098" s="99"/>
      <c r="E2098" s="99"/>
      <c r="F2098" s="65" t="s">
        <v>80</v>
      </c>
      <c r="G2098" s="105"/>
      <c r="H2098" s="105"/>
      <c r="I2098" s="105"/>
      <c r="J2098" s="105"/>
      <c r="K2098" s="105"/>
      <c r="L2098" s="105"/>
      <c r="M2098" s="105"/>
      <c r="N2098" s="105"/>
      <c r="O2098" s="105"/>
      <c r="P2098" s="105"/>
      <c r="Q2098" s="105"/>
      <c r="R2098" s="79"/>
      <c r="S2098" s="80"/>
      <c r="T2098" s="65"/>
      <c r="AJ2098" s="66"/>
      <c r="AK2098" s="65"/>
    </row>
    <row r="2099" spans="1:37" hidden="1">
      <c r="B2099" s="99"/>
      <c r="C2099" s="105"/>
      <c r="D2099" s="99"/>
      <c r="E2099" s="99"/>
      <c r="F2099" s="70" t="str">
        <f>H24</f>
        <v>12 MONTHS ENDING DECEMBER 31, 2012</v>
      </c>
      <c r="G2099" s="105"/>
      <c r="H2099" s="105"/>
      <c r="I2099" s="105"/>
      <c r="J2099" s="105"/>
      <c r="K2099" s="105"/>
      <c r="L2099" s="105"/>
      <c r="M2099" s="105"/>
      <c r="N2099" s="105"/>
      <c r="O2099" s="105"/>
      <c r="P2099" s="105"/>
      <c r="Q2099" s="105"/>
      <c r="R2099" s="79"/>
      <c r="S2099" s="80"/>
      <c r="T2099" s="65"/>
      <c r="AJ2099" s="66"/>
      <c r="AK2099" s="65"/>
    </row>
    <row r="2100" spans="1:37" hidden="1">
      <c r="B2100" s="99"/>
      <c r="C2100" s="105"/>
      <c r="D2100" s="99"/>
      <c r="E2100" s="99"/>
      <c r="F2100" s="70" t="str">
        <f>$H$25</f>
        <v>12/13 DEMAND ALLOCATION WITH MDS METHODOLOGY</v>
      </c>
      <c r="G2100" s="105"/>
      <c r="H2100" s="105"/>
      <c r="I2100" s="105"/>
      <c r="J2100" s="105"/>
      <c r="K2100" s="105"/>
      <c r="L2100" s="105"/>
      <c r="M2100" s="105"/>
      <c r="N2100" s="105"/>
      <c r="O2100" s="105"/>
      <c r="P2100" s="105"/>
      <c r="Q2100" s="105"/>
      <c r="R2100" s="79"/>
      <c r="S2100" s="80"/>
      <c r="T2100" s="65"/>
      <c r="AJ2100" s="66"/>
      <c r="AK2100" s="65"/>
    </row>
    <row r="2101" spans="1:37" hidden="1">
      <c r="B2101" s="99"/>
      <c r="C2101" s="105"/>
      <c r="D2101" s="99"/>
      <c r="E2101" s="105"/>
      <c r="F2101" s="80" t="s">
        <v>871</v>
      </c>
      <c r="G2101" s="105"/>
      <c r="H2101" s="105"/>
      <c r="I2101" s="105"/>
      <c r="J2101" s="105"/>
      <c r="K2101" s="105"/>
      <c r="L2101" s="105"/>
      <c r="M2101" s="105"/>
      <c r="R2101" s="79"/>
      <c r="S2101" s="80"/>
      <c r="T2101" s="65"/>
      <c r="AJ2101" s="66"/>
      <c r="AK2101" s="65"/>
    </row>
    <row r="2102" spans="1:37" hidden="1">
      <c r="B2102" s="99"/>
      <c r="C2102" s="105"/>
      <c r="D2102" s="99"/>
      <c r="E2102" s="105"/>
      <c r="F2102" s="80" t="s">
        <v>114</v>
      </c>
      <c r="G2102" s="105"/>
      <c r="H2102" s="105"/>
      <c r="I2102" s="105"/>
      <c r="J2102" s="105"/>
      <c r="K2102" s="105"/>
      <c r="L2102" s="105"/>
      <c r="M2102" s="105"/>
      <c r="R2102" s="79"/>
      <c r="S2102" s="80"/>
      <c r="T2102" s="65"/>
      <c r="AJ2102" s="66"/>
      <c r="AK2102" s="65"/>
    </row>
    <row r="2103" spans="1:37" hidden="1">
      <c r="N2103" s="65"/>
      <c r="O2103" s="65"/>
      <c r="P2103" s="65"/>
      <c r="Q2103" s="65"/>
      <c r="S2103" s="80"/>
      <c r="T2103" s="65"/>
      <c r="AJ2103" s="66"/>
      <c r="AK2103" s="65"/>
    </row>
    <row r="2104" spans="1:37" hidden="1">
      <c r="N2104" s="70"/>
      <c r="O2104" s="70"/>
      <c r="P2104" s="70"/>
      <c r="Q2104" s="70"/>
      <c r="S2104" s="80"/>
      <c r="T2104" s="65"/>
      <c r="AJ2104" s="66"/>
      <c r="AK2104" s="65"/>
    </row>
    <row r="2105" spans="1:37" hidden="1">
      <c r="C2105" s="65" t="s">
        <v>59</v>
      </c>
      <c r="D2105" s="65" t="s">
        <v>117</v>
      </c>
      <c r="E2105" s="65" t="s">
        <v>857</v>
      </c>
      <c r="F2105" s="65" t="s">
        <v>857</v>
      </c>
      <c r="K2105" s="65" t="s">
        <v>872</v>
      </c>
      <c r="L2105" s="79"/>
      <c r="N2105" s="70"/>
      <c r="O2105" s="70"/>
      <c r="P2105" s="70"/>
      <c r="Q2105" s="70"/>
      <c r="S2105" s="80"/>
      <c r="T2105" s="65"/>
      <c r="AJ2105" s="66"/>
      <c r="AK2105" s="65"/>
    </row>
    <row r="2106" spans="1:37" hidden="1">
      <c r="C2106" s="65" t="s">
        <v>873</v>
      </c>
      <c r="D2106" s="65" t="s">
        <v>873</v>
      </c>
      <c r="E2106" s="65" t="s">
        <v>873</v>
      </c>
      <c r="F2106" s="65" t="s">
        <v>874</v>
      </c>
      <c r="G2106" s="65" t="s">
        <v>857</v>
      </c>
      <c r="H2106" s="65" t="s">
        <v>117</v>
      </c>
      <c r="I2106" s="65" t="s">
        <v>857</v>
      </c>
      <c r="J2106" s="65" t="s">
        <v>59</v>
      </c>
      <c r="K2106" s="70" t="s">
        <v>875</v>
      </c>
      <c r="L2106" s="65" t="s">
        <v>59</v>
      </c>
      <c r="N2106" s="65"/>
      <c r="O2106" s="65"/>
      <c r="P2106" s="65"/>
      <c r="Q2106" s="65"/>
      <c r="S2106" s="80"/>
      <c r="T2106" s="65"/>
      <c r="AJ2106" s="66"/>
      <c r="AK2106" s="65"/>
    </row>
    <row r="2107" spans="1:37" hidden="1">
      <c r="B2107" s="65" t="s">
        <v>858</v>
      </c>
      <c r="C2107" s="65" t="s">
        <v>876</v>
      </c>
      <c r="D2107" s="65" t="s">
        <v>876</v>
      </c>
      <c r="E2107" s="65" t="s">
        <v>876</v>
      </c>
      <c r="F2107" s="65" t="s">
        <v>877</v>
      </c>
      <c r="G2107" s="65" t="s">
        <v>859</v>
      </c>
      <c r="H2107" s="65" t="s">
        <v>859</v>
      </c>
      <c r="I2107" s="65" t="s">
        <v>878</v>
      </c>
      <c r="J2107" s="65" t="s">
        <v>861</v>
      </c>
      <c r="K2107" s="70" t="s">
        <v>879</v>
      </c>
      <c r="L2107" s="65" t="s">
        <v>880</v>
      </c>
      <c r="S2107" s="80"/>
      <c r="T2107" s="65"/>
      <c r="AJ2107" s="66"/>
      <c r="AK2107" s="65"/>
    </row>
    <row r="2108" spans="1:37" hidden="1">
      <c r="A2108" s="65" t="s">
        <v>118</v>
      </c>
      <c r="B2108" s="65" t="s">
        <v>144</v>
      </c>
      <c r="C2108" s="65" t="s">
        <v>145</v>
      </c>
      <c r="D2108" s="65" t="s">
        <v>148</v>
      </c>
      <c r="E2108" s="65" t="s">
        <v>149</v>
      </c>
      <c r="F2108" s="65" t="s">
        <v>150</v>
      </c>
      <c r="G2108" s="65" t="s">
        <v>151</v>
      </c>
      <c r="H2108" s="65" t="s">
        <v>155</v>
      </c>
      <c r="I2108" s="65" t="s">
        <v>156</v>
      </c>
      <c r="J2108" s="65" t="s">
        <v>157</v>
      </c>
      <c r="K2108" s="65" t="s">
        <v>160</v>
      </c>
      <c r="L2108" s="65" t="s">
        <v>161</v>
      </c>
      <c r="S2108" s="80"/>
      <c r="T2108" s="65"/>
      <c r="AJ2108" s="66"/>
      <c r="AK2108" s="65"/>
    </row>
    <row r="2109" spans="1:37" hidden="1">
      <c r="A2109" s="65" t="s">
        <v>125</v>
      </c>
      <c r="S2109" s="80"/>
      <c r="T2109" s="65"/>
      <c r="AJ2109" s="66"/>
      <c r="AK2109" s="65"/>
    </row>
    <row r="2110" spans="1:37" hidden="1">
      <c r="A2110" s="65" t="s">
        <v>143</v>
      </c>
      <c r="B2110" s="66" t="s">
        <v>863</v>
      </c>
      <c r="C2110" s="78">
        <f>16415+344+1</f>
        <v>16760</v>
      </c>
      <c r="D2110" s="78">
        <v>1467</v>
      </c>
      <c r="E2110" s="79">
        <f>C2110-D2110</f>
        <v>15293</v>
      </c>
      <c r="F2110" s="78">
        <f>C2048</f>
        <v>27141.86502152152</v>
      </c>
      <c r="G2110" s="79">
        <v>38458</v>
      </c>
      <c r="H2110" s="78">
        <f>ROUND(+E2266/1000,0)</f>
        <v>2249</v>
      </c>
      <c r="I2110" s="79">
        <f>ROUND((($G2110/$G$2124)*$E$2120)+(($F2110/$F$2124)*$E$2122),0)+$E2110</f>
        <v>15989</v>
      </c>
      <c r="J2110" s="79">
        <f>ROUND((($H2110/$H$2124)*$D$2120),0)+$D2110</f>
        <v>1470</v>
      </c>
      <c r="K2110" s="66">
        <v>-1419</v>
      </c>
      <c r="L2110" s="79">
        <f>I2110+J2110+K2110</f>
        <v>16040</v>
      </c>
      <c r="S2110" s="80"/>
      <c r="T2110" s="65"/>
      <c r="AJ2110" s="66"/>
      <c r="AK2110" s="65"/>
    </row>
    <row r="2111" spans="1:37" hidden="1">
      <c r="C2111" s="79"/>
      <c r="D2111" s="79"/>
      <c r="E2111" s="79"/>
      <c r="F2111" s="79"/>
      <c r="G2111" s="79"/>
      <c r="H2111" s="79"/>
      <c r="I2111" s="79"/>
      <c r="J2111" s="79"/>
      <c r="L2111" s="79"/>
      <c r="S2111" s="80"/>
      <c r="T2111" s="65"/>
      <c r="AJ2111" s="66"/>
      <c r="AK2111" s="65"/>
    </row>
    <row r="2112" spans="1:37" hidden="1">
      <c r="A2112" s="65">
        <f>A2111+1</f>
        <v>1</v>
      </c>
      <c r="B2112" s="66" t="s">
        <v>864</v>
      </c>
      <c r="C2112" s="78">
        <v>1965</v>
      </c>
      <c r="D2112" s="78">
        <v>12</v>
      </c>
      <c r="E2112" s="79">
        <f>C2112-D2112</f>
        <v>1953</v>
      </c>
      <c r="F2112" s="78">
        <f>D2048</f>
        <v>1422.4665055077728</v>
      </c>
      <c r="G2112" s="79">
        <v>3347</v>
      </c>
      <c r="H2112" s="78">
        <f>ROUND(+E2267/1000,0)</f>
        <v>0</v>
      </c>
      <c r="I2112" s="79">
        <f>ROUND((($G2112/$G$2124)*$E$2120)+(($F2112/$F$2124)*$E$2122),0)+$E2112</f>
        <v>2003</v>
      </c>
      <c r="J2112" s="79">
        <f>ROUND((($H2112/$H$2124)*$D$2120),0)+$D2112</f>
        <v>12</v>
      </c>
      <c r="K2112" s="66">
        <v>0</v>
      </c>
      <c r="L2112" s="79">
        <f>I2112+J2112+K2112</f>
        <v>2015</v>
      </c>
      <c r="S2112" s="80"/>
      <c r="T2112" s="65"/>
      <c r="AJ2112" s="66"/>
      <c r="AK2112" s="65"/>
    </row>
    <row r="2113" spans="1:37" hidden="1">
      <c r="C2113" s="79"/>
      <c r="D2113" s="79"/>
      <c r="E2113" s="79"/>
      <c r="F2113" s="79"/>
      <c r="G2113" s="79"/>
      <c r="H2113" s="79"/>
      <c r="I2113" s="79"/>
      <c r="J2113" s="79"/>
      <c r="L2113" s="79"/>
      <c r="S2113" s="80"/>
      <c r="T2113" s="65"/>
      <c r="AJ2113" s="66"/>
      <c r="AK2113" s="65"/>
    </row>
    <row r="2114" spans="1:37" hidden="1">
      <c r="A2114" s="65">
        <f>A2112+1</f>
        <v>2</v>
      </c>
      <c r="B2114" s="66" t="s">
        <v>865</v>
      </c>
      <c r="C2114" s="78">
        <f>5522</f>
        <v>5522</v>
      </c>
      <c r="D2114" s="79"/>
      <c r="E2114" s="79">
        <f>C2114-D2114</f>
        <v>5522</v>
      </c>
      <c r="F2114" s="78">
        <f>G2048</f>
        <v>11673.147323949262</v>
      </c>
      <c r="G2114" s="79">
        <v>16768</v>
      </c>
      <c r="H2114" s="79"/>
      <c r="I2114" s="79">
        <f>ROUND((($G2114/$G$2124)*$E$2120)+(($F2114/$F$2124)*$E$2122),0)+$E2114</f>
        <v>5824</v>
      </c>
      <c r="J2114" s="79">
        <f>ROUND((($H2114/$H$2124)*$D$2120),0)+$D2114</f>
        <v>0</v>
      </c>
      <c r="K2114" s="66">
        <v>-146</v>
      </c>
      <c r="L2114" s="79">
        <f>I2114+J2114+K2114</f>
        <v>5678</v>
      </c>
      <c r="S2114" s="80"/>
      <c r="T2114" s="65"/>
      <c r="AJ2114" s="66"/>
      <c r="AK2114" s="65"/>
    </row>
    <row r="2115" spans="1:37" hidden="1">
      <c r="C2115" s="79"/>
      <c r="D2115" s="79"/>
      <c r="E2115" s="79"/>
      <c r="F2115" s="79"/>
      <c r="G2115" s="79"/>
      <c r="H2115" s="79"/>
      <c r="I2115" s="79"/>
      <c r="J2115" s="79"/>
      <c r="L2115" s="79"/>
      <c r="S2115" s="80"/>
      <c r="T2115" s="65"/>
      <c r="AJ2115" s="66"/>
      <c r="AK2115" s="65"/>
    </row>
    <row r="2116" spans="1:37" hidden="1">
      <c r="A2116" s="65">
        <f>A2114+1</f>
        <v>3</v>
      </c>
      <c r="B2116" s="66" t="s">
        <v>866</v>
      </c>
      <c r="C2116" s="78">
        <v>0</v>
      </c>
      <c r="D2116" s="79"/>
      <c r="E2116" s="79">
        <f>C2116-D2116</f>
        <v>0</v>
      </c>
      <c r="F2116" s="78">
        <f>H2048</f>
        <v>4</v>
      </c>
      <c r="G2116" s="79">
        <v>10193</v>
      </c>
      <c r="H2116" s="79"/>
      <c r="I2116" s="79">
        <f>ROUND((($G2116/$G$2124)*$E$2120)+(($F2116/$F$2124)*$E$2122),0)+$E2116</f>
        <v>102</v>
      </c>
      <c r="J2116" s="79">
        <f>ROUND((($H2116/$H$2124)*$D$2120),0)+$D2116</f>
        <v>0</v>
      </c>
      <c r="K2116" s="66">
        <v>0</v>
      </c>
      <c r="L2116" s="79">
        <f>I2116+J2116+K2116</f>
        <v>102</v>
      </c>
      <c r="S2116" s="80"/>
      <c r="T2116" s="65"/>
      <c r="AJ2116" s="66"/>
      <c r="AK2116" s="65"/>
    </row>
    <row r="2117" spans="1:37" hidden="1">
      <c r="C2117" s="79"/>
      <c r="D2117" s="79"/>
      <c r="E2117" s="79"/>
      <c r="F2117" s="79"/>
      <c r="G2117" s="79"/>
      <c r="H2117" s="79"/>
      <c r="I2117" s="79"/>
      <c r="J2117" s="79"/>
      <c r="L2117" s="79"/>
      <c r="S2117" s="80"/>
      <c r="T2117" s="65"/>
      <c r="AJ2117" s="66"/>
      <c r="AK2117" s="65"/>
    </row>
    <row r="2118" spans="1:37" hidden="1">
      <c r="A2118" s="65">
        <f>A2116+1</f>
        <v>4</v>
      </c>
      <c r="B2118" s="66" t="s">
        <v>867</v>
      </c>
      <c r="C2118" s="78">
        <v>0</v>
      </c>
      <c r="D2118" s="79"/>
      <c r="E2118" s="79">
        <f>C2118-D2118</f>
        <v>0</v>
      </c>
      <c r="F2118" s="78">
        <f>I2048</f>
        <v>4</v>
      </c>
      <c r="G2118" s="79">
        <v>11051</v>
      </c>
      <c r="H2118" s="79"/>
      <c r="I2118" s="79">
        <f>ROUND((($G2118/$G$2124)*$E$2120)+(($F2118/$F$2124)*$E$2122),0)+$E2118+1</f>
        <v>111</v>
      </c>
      <c r="J2118" s="79">
        <f>ROUND((($H2118/$H$2124)*$D$2120),0)+$D2118</f>
        <v>0</v>
      </c>
      <c r="K2118" s="66">
        <v>0</v>
      </c>
      <c r="L2118" s="79">
        <f>I2118+J2118+K2118</f>
        <v>111</v>
      </c>
      <c r="S2118" s="80"/>
      <c r="T2118" s="65"/>
      <c r="AJ2118" s="66"/>
      <c r="AK2118" s="65"/>
    </row>
    <row r="2119" spans="1:37" hidden="1">
      <c r="C2119" s="79"/>
      <c r="D2119" s="79"/>
      <c r="E2119" s="79"/>
      <c r="F2119" s="79"/>
      <c r="G2119" s="79"/>
      <c r="H2119" s="79"/>
      <c r="I2119" s="79"/>
      <c r="J2119" s="79"/>
      <c r="L2119" s="79"/>
      <c r="S2119" s="80"/>
      <c r="T2119" s="65"/>
      <c r="AJ2119" s="66"/>
      <c r="AK2119" s="65"/>
    </row>
    <row r="2120" spans="1:37" hidden="1">
      <c r="A2120" s="65">
        <f>A2118+1</f>
        <v>5</v>
      </c>
      <c r="B2120" s="66" t="s">
        <v>868</v>
      </c>
      <c r="C2120" s="78">
        <v>798</v>
      </c>
      <c r="D2120" s="78">
        <v>3.2839999999999998</v>
      </c>
      <c r="E2120" s="79">
        <f>C2120-D2120</f>
        <v>794.71600000000001</v>
      </c>
      <c r="F2120" s="79"/>
      <c r="G2120" s="79"/>
      <c r="H2120" s="78"/>
      <c r="I2120" s="79">
        <v>0</v>
      </c>
      <c r="J2120" s="79">
        <v>0</v>
      </c>
      <c r="K2120" s="66">
        <v>0</v>
      </c>
      <c r="L2120" s="79">
        <f>I2120+J2120+K2120</f>
        <v>0</v>
      </c>
      <c r="S2120" s="65"/>
      <c r="T2120" s="65"/>
      <c r="AJ2120" s="66"/>
      <c r="AK2120" s="65"/>
    </row>
    <row r="2121" spans="1:37" hidden="1">
      <c r="C2121" s="79"/>
      <c r="D2121" s="79"/>
      <c r="E2121" s="79"/>
      <c r="F2121" s="79"/>
      <c r="G2121" s="79"/>
      <c r="H2121" s="79"/>
      <c r="I2121" s="79"/>
      <c r="J2121" s="79"/>
      <c r="L2121" s="79"/>
      <c r="S2121" s="65"/>
      <c r="T2121" s="65"/>
      <c r="AJ2121" s="66"/>
      <c r="AK2121" s="65"/>
    </row>
    <row r="2122" spans="1:37" hidden="1">
      <c r="A2122" s="65">
        <f>A2120+1</f>
        <v>6</v>
      </c>
      <c r="B2122" s="66" t="s">
        <v>881</v>
      </c>
      <c r="C2122" s="78">
        <v>464</v>
      </c>
      <c r="E2122" s="79">
        <f>C2122-D2122</f>
        <v>464</v>
      </c>
      <c r="F2122" s="79"/>
      <c r="I2122" s="79">
        <v>0</v>
      </c>
      <c r="J2122" s="66">
        <v>0</v>
      </c>
      <c r="K2122" s="66">
        <v>0</v>
      </c>
      <c r="L2122" s="79">
        <f>I2122+J2122+K2122</f>
        <v>0</v>
      </c>
      <c r="N2122" s="79"/>
      <c r="O2122" s="79"/>
      <c r="P2122" s="79"/>
      <c r="Q2122" s="79"/>
      <c r="S2122" s="80"/>
      <c r="T2122" s="65"/>
      <c r="AJ2122" s="66"/>
      <c r="AK2122" s="65"/>
    </row>
    <row r="2123" spans="1:37" hidden="1">
      <c r="F2123" s="79"/>
      <c r="N2123" s="79"/>
      <c r="O2123" s="79"/>
      <c r="P2123" s="79"/>
      <c r="Q2123" s="79"/>
      <c r="S2123" s="80"/>
      <c r="T2123" s="65"/>
      <c r="AJ2123" s="66"/>
      <c r="AK2123" s="65"/>
    </row>
    <row r="2124" spans="1:37" hidden="1">
      <c r="A2124" s="65">
        <f>A2122+1</f>
        <v>7</v>
      </c>
      <c r="B2124" s="66" t="s">
        <v>869</v>
      </c>
      <c r="C2124" s="79">
        <f>SUM(C2110:C2122)</f>
        <v>25509</v>
      </c>
      <c r="D2124" s="79">
        <f>SUM(D2110:D2122)</f>
        <v>1482.2840000000001</v>
      </c>
      <c r="E2124" s="79">
        <f t="shared" ref="E2124:J2124" si="978">SUM(E2110:E2122)</f>
        <v>24026.716</v>
      </c>
      <c r="F2124" s="79">
        <f t="shared" si="978"/>
        <v>40245.478850978558</v>
      </c>
      <c r="G2124" s="79">
        <f>SUM(G2110:G2122)</f>
        <v>79817</v>
      </c>
      <c r="H2124" s="79">
        <f t="shared" si="978"/>
        <v>2249</v>
      </c>
      <c r="I2124" s="79">
        <f>SUM(I2110:I2122)</f>
        <v>24029</v>
      </c>
      <c r="J2124" s="79">
        <f t="shared" si="978"/>
        <v>1482</v>
      </c>
      <c r="K2124" s="79">
        <f>SUM(K2110:K2122)</f>
        <v>-1565</v>
      </c>
      <c r="L2124" s="79">
        <f>SUM(L2110:L2122)</f>
        <v>23946</v>
      </c>
      <c r="N2124" s="79"/>
      <c r="O2124" s="79"/>
      <c r="P2124" s="79"/>
      <c r="Q2124" s="79"/>
      <c r="S2124" s="80"/>
      <c r="T2124" s="65"/>
      <c r="AJ2124" s="66"/>
      <c r="AK2124" s="65"/>
    </row>
    <row r="2125" spans="1:37" hidden="1">
      <c r="C2125" s="79"/>
      <c r="D2125" s="79"/>
      <c r="E2125" s="79"/>
      <c r="F2125" s="79"/>
      <c r="G2125" s="79"/>
      <c r="H2125" s="79"/>
      <c r="I2125" s="79"/>
      <c r="J2125" s="79"/>
      <c r="K2125" s="79"/>
      <c r="L2125" s="79"/>
      <c r="N2125" s="79"/>
      <c r="O2125" s="79"/>
      <c r="P2125" s="79"/>
      <c r="Q2125" s="79"/>
      <c r="S2125" s="80"/>
      <c r="T2125" s="65"/>
      <c r="AJ2125" s="66"/>
      <c r="AK2125" s="65"/>
    </row>
    <row r="2126" spans="1:37" hidden="1">
      <c r="A2126" s="65">
        <f>A2122+1</f>
        <v>7</v>
      </c>
      <c r="C2126" s="79"/>
      <c r="D2126" s="79"/>
      <c r="E2126" s="79"/>
      <c r="F2126" s="79"/>
      <c r="G2126" s="79"/>
      <c r="H2126" s="79"/>
      <c r="I2126" s="79"/>
      <c r="J2126" s="79"/>
      <c r="K2126" s="79"/>
      <c r="L2126" s="79"/>
      <c r="N2126" s="79"/>
      <c r="O2126" s="79"/>
      <c r="P2126" s="79"/>
      <c r="Q2126" s="79"/>
      <c r="R2126" s="79"/>
      <c r="S2126" s="80"/>
      <c r="T2126" s="65"/>
      <c r="AJ2126" s="66"/>
      <c r="AK2126" s="65"/>
    </row>
    <row r="2127" spans="1:37" hidden="1">
      <c r="B2127" s="66" t="s">
        <v>870</v>
      </c>
      <c r="C2127" s="79"/>
      <c r="D2127" s="79"/>
      <c r="E2127" s="79"/>
      <c r="F2127" s="79"/>
      <c r="G2127" s="79"/>
      <c r="H2127" s="79"/>
      <c r="I2127" s="79"/>
      <c r="J2127" s="79"/>
      <c r="K2127" s="79"/>
      <c r="L2127" s="79"/>
      <c r="M2127" s="79"/>
      <c r="N2127" s="79"/>
      <c r="O2127" s="79"/>
      <c r="P2127" s="79"/>
      <c r="Q2127" s="79"/>
      <c r="R2127" s="79"/>
      <c r="S2127" s="80"/>
      <c r="T2127" s="65"/>
      <c r="AJ2127" s="66"/>
      <c r="AK2127" s="65"/>
    </row>
    <row r="2128" spans="1:37" hidden="1">
      <c r="C2128" s="79"/>
      <c r="D2128" s="79"/>
      <c r="E2128" s="79"/>
      <c r="F2128" s="79"/>
      <c r="G2128" s="79"/>
      <c r="H2128" s="79"/>
      <c r="I2128" s="79"/>
      <c r="J2128" s="79"/>
      <c r="K2128" s="79"/>
      <c r="L2128" s="79"/>
      <c r="M2128" s="79"/>
      <c r="N2128" s="79"/>
      <c r="O2128" s="79"/>
      <c r="P2128" s="79"/>
      <c r="Q2128" s="79"/>
      <c r="R2128" s="79"/>
      <c r="S2128" s="80"/>
      <c r="T2128" s="65"/>
      <c r="AJ2128" s="66"/>
      <c r="AK2128" s="65"/>
    </row>
    <row r="2129" spans="1:37" hidden="1">
      <c r="C2129" s="79"/>
      <c r="D2129" s="79"/>
      <c r="E2129" s="79"/>
      <c r="F2129" s="79"/>
      <c r="G2129" s="79"/>
      <c r="H2129" s="79"/>
      <c r="I2129" s="79"/>
      <c r="J2129" s="79"/>
      <c r="K2129" s="79"/>
      <c r="L2129" s="79"/>
      <c r="M2129" s="79"/>
      <c r="N2129" s="79"/>
      <c r="O2129" s="79"/>
      <c r="P2129" s="79"/>
      <c r="Q2129" s="79"/>
      <c r="R2129" s="79"/>
      <c r="S2129" s="80"/>
      <c r="T2129" s="65"/>
      <c r="AJ2129" s="66"/>
      <c r="AK2129" s="65"/>
    </row>
    <row r="2130" spans="1:37" hidden="1">
      <c r="C2130" s="79"/>
      <c r="D2130" s="79"/>
      <c r="E2130" s="79"/>
      <c r="F2130" s="79"/>
      <c r="G2130" s="79"/>
      <c r="H2130" s="79"/>
      <c r="I2130" s="79"/>
      <c r="J2130" s="79"/>
      <c r="K2130" s="79"/>
      <c r="L2130" s="79"/>
      <c r="M2130" s="79"/>
      <c r="N2130" s="79"/>
      <c r="O2130" s="79"/>
      <c r="P2130" s="79"/>
      <c r="Q2130" s="79"/>
      <c r="R2130" s="79"/>
      <c r="S2130" s="80"/>
      <c r="T2130" s="65"/>
      <c r="W2130" s="140"/>
      <c r="X2130" s="140"/>
      <c r="AJ2130" s="66"/>
      <c r="AK2130" s="65"/>
    </row>
    <row r="2131" spans="1:37" hidden="1">
      <c r="C2131" s="79"/>
      <c r="D2131" s="79"/>
      <c r="E2131" s="79"/>
      <c r="F2131" s="79"/>
      <c r="G2131" s="79"/>
      <c r="H2131" s="79"/>
      <c r="I2131" s="79"/>
      <c r="J2131" s="79"/>
      <c r="K2131" s="79"/>
      <c r="L2131" s="79"/>
      <c r="M2131" s="79"/>
      <c r="N2131" s="79"/>
      <c r="O2131" s="79"/>
      <c r="P2131" s="79"/>
      <c r="Q2131" s="79"/>
      <c r="R2131" s="79"/>
      <c r="S2131" s="80"/>
      <c r="T2131" s="65"/>
      <c r="W2131" s="99"/>
      <c r="X2131" s="99"/>
      <c r="AJ2131" s="66"/>
      <c r="AK2131" s="65"/>
    </row>
    <row r="2132" spans="1:37" hidden="1">
      <c r="B2132" s="140"/>
      <c r="C2132" s="105"/>
      <c r="D2132" s="99"/>
      <c r="E2132" s="99"/>
      <c r="F2132" s="65" t="s">
        <v>80</v>
      </c>
      <c r="G2132" s="105"/>
      <c r="H2132" s="105"/>
      <c r="I2132" s="105"/>
      <c r="J2132" s="105"/>
      <c r="K2132" s="105"/>
      <c r="L2132" s="105"/>
      <c r="M2132" s="79"/>
      <c r="N2132" s="79"/>
      <c r="O2132" s="79"/>
      <c r="P2132" s="79"/>
      <c r="Q2132" s="79"/>
      <c r="R2132" s="79"/>
      <c r="S2132" s="80"/>
      <c r="T2132" s="65"/>
      <c r="W2132" s="99"/>
      <c r="X2132" s="99"/>
      <c r="AJ2132" s="66"/>
      <c r="AK2132" s="65"/>
    </row>
    <row r="2133" spans="1:37" hidden="1">
      <c r="B2133" s="99"/>
      <c r="C2133" s="105"/>
      <c r="D2133" s="99"/>
      <c r="E2133" s="99"/>
      <c r="F2133" s="70" t="str">
        <f>H24</f>
        <v>12 MONTHS ENDING DECEMBER 31, 2012</v>
      </c>
      <c r="G2133" s="105"/>
      <c r="H2133" s="105"/>
      <c r="I2133" s="105"/>
      <c r="J2133" s="105"/>
      <c r="K2133" s="105"/>
      <c r="L2133" s="105"/>
      <c r="M2133" s="79"/>
      <c r="N2133" s="79"/>
      <c r="O2133" s="79"/>
      <c r="P2133" s="79"/>
      <c r="Q2133" s="79"/>
      <c r="R2133" s="79"/>
      <c r="S2133" s="80"/>
      <c r="T2133" s="65"/>
      <c r="W2133" s="99"/>
      <c r="X2133" s="99"/>
      <c r="AJ2133" s="66"/>
      <c r="AK2133" s="65"/>
    </row>
    <row r="2134" spans="1:37" hidden="1">
      <c r="B2134" s="99"/>
      <c r="C2134" s="105"/>
      <c r="D2134" s="99"/>
      <c r="E2134" s="99"/>
      <c r="F2134" s="70" t="str">
        <f>$H$25</f>
        <v>12/13 DEMAND ALLOCATION WITH MDS METHODOLOGY</v>
      </c>
      <c r="G2134" s="105"/>
      <c r="H2134" s="105"/>
      <c r="I2134" s="105"/>
      <c r="J2134" s="105"/>
      <c r="K2134" s="105"/>
      <c r="L2134" s="105"/>
      <c r="M2134" s="79"/>
      <c r="N2134" s="79"/>
      <c r="O2134" s="79"/>
      <c r="P2134" s="79"/>
      <c r="Q2134" s="79"/>
      <c r="R2134" s="79"/>
      <c r="S2134" s="80"/>
      <c r="T2134" s="65"/>
      <c r="W2134" s="99"/>
      <c r="X2134" s="99"/>
      <c r="AJ2134" s="66"/>
      <c r="AK2134" s="65"/>
    </row>
    <row r="2135" spans="1:37" hidden="1">
      <c r="B2135" s="99"/>
      <c r="C2135" s="105"/>
      <c r="D2135" s="99"/>
      <c r="E2135" s="105"/>
      <c r="F2135" s="80" t="s">
        <v>882</v>
      </c>
      <c r="G2135" s="105"/>
      <c r="H2135" s="105"/>
      <c r="I2135" s="105"/>
      <c r="J2135" s="105"/>
      <c r="K2135" s="105"/>
      <c r="L2135" s="105"/>
      <c r="M2135" s="79"/>
      <c r="N2135" s="79"/>
      <c r="O2135" s="79"/>
      <c r="P2135" s="79"/>
      <c r="Q2135" s="79"/>
      <c r="R2135" s="79"/>
      <c r="S2135" s="80"/>
      <c r="T2135" s="65"/>
      <c r="AJ2135" s="66"/>
      <c r="AK2135" s="65"/>
    </row>
    <row r="2136" spans="1:37" hidden="1">
      <c r="B2136" s="99"/>
      <c r="C2136" s="105"/>
      <c r="D2136" s="99"/>
      <c r="E2136" s="105"/>
      <c r="F2136" s="80" t="s">
        <v>114</v>
      </c>
      <c r="G2136" s="105"/>
      <c r="H2136" s="105"/>
      <c r="I2136" s="105"/>
      <c r="J2136" s="105"/>
      <c r="K2136" s="105"/>
      <c r="L2136" s="105"/>
      <c r="M2136" s="79"/>
      <c r="N2136" s="79"/>
      <c r="O2136" s="79"/>
      <c r="P2136" s="79"/>
      <c r="Q2136" s="79"/>
      <c r="R2136" s="79"/>
      <c r="S2136" s="80"/>
      <c r="T2136" s="65"/>
      <c r="AJ2136" s="66"/>
      <c r="AK2136" s="65"/>
    </row>
    <row r="2137" spans="1:37" hidden="1">
      <c r="J2137" s="79"/>
      <c r="K2137" s="79"/>
      <c r="L2137" s="79"/>
      <c r="M2137" s="79"/>
      <c r="R2137" s="79"/>
      <c r="S2137" s="80"/>
      <c r="T2137" s="65"/>
      <c r="AJ2137" s="66"/>
      <c r="AK2137" s="65"/>
    </row>
    <row r="2138" spans="1:37" hidden="1">
      <c r="J2138" s="79"/>
      <c r="K2138" s="79"/>
      <c r="L2138" s="79"/>
      <c r="M2138" s="79"/>
      <c r="R2138" s="79"/>
      <c r="S2138" s="80"/>
      <c r="T2138" s="65"/>
      <c r="AJ2138" s="66"/>
      <c r="AK2138" s="65"/>
    </row>
    <row r="2139" spans="1:37" hidden="1">
      <c r="E2139" s="65" t="s">
        <v>59</v>
      </c>
      <c r="G2139" s="65" t="s">
        <v>883</v>
      </c>
      <c r="H2139" s="65" t="s">
        <v>884</v>
      </c>
      <c r="I2139" s="65" t="s">
        <v>885</v>
      </c>
      <c r="R2139" s="79"/>
      <c r="S2139" s="80"/>
      <c r="T2139" s="65"/>
      <c r="W2139" s="65"/>
      <c r="X2139" s="65"/>
      <c r="AJ2139" s="66"/>
      <c r="AK2139" s="65"/>
    </row>
    <row r="2140" spans="1:37" hidden="1">
      <c r="C2140" s="65" t="s">
        <v>857</v>
      </c>
      <c r="D2140" s="65" t="s">
        <v>117</v>
      </c>
      <c r="E2140" s="65" t="s">
        <v>886</v>
      </c>
      <c r="F2140" s="65" t="s">
        <v>117</v>
      </c>
      <c r="G2140" s="65" t="s">
        <v>887</v>
      </c>
      <c r="H2140" s="65" t="s">
        <v>886</v>
      </c>
      <c r="I2140" s="65" t="s">
        <v>886</v>
      </c>
      <c r="R2140" s="79"/>
      <c r="S2140" s="80"/>
      <c r="T2140" s="65"/>
      <c r="W2140" s="65"/>
      <c r="X2140" s="65"/>
      <c r="AJ2140" s="66"/>
      <c r="AK2140" s="65"/>
    </row>
    <row r="2141" spans="1:37" hidden="1">
      <c r="B2141" s="65" t="s">
        <v>858</v>
      </c>
      <c r="C2141" s="65" t="s">
        <v>859</v>
      </c>
      <c r="D2141" s="65" t="s">
        <v>859</v>
      </c>
      <c r="E2141" s="65" t="s">
        <v>876</v>
      </c>
      <c r="F2141" s="65" t="s">
        <v>886</v>
      </c>
      <c r="G2141" s="65" t="s">
        <v>117</v>
      </c>
      <c r="H2141" s="65" t="s">
        <v>876</v>
      </c>
      <c r="I2141" s="65" t="s">
        <v>876</v>
      </c>
      <c r="J2141" s="65" t="s">
        <v>59</v>
      </c>
      <c r="K2141" s="65"/>
      <c r="L2141" s="65"/>
      <c r="R2141" s="79"/>
      <c r="S2141" s="80"/>
      <c r="T2141" s="65"/>
      <c r="AJ2141" s="66"/>
      <c r="AK2141" s="65"/>
    </row>
    <row r="2142" spans="1:37" hidden="1">
      <c r="A2142" s="65" t="s">
        <v>118</v>
      </c>
      <c r="B2142" s="65" t="s">
        <v>144</v>
      </c>
      <c r="C2142" s="65" t="s">
        <v>145</v>
      </c>
      <c r="D2142" s="65" t="s">
        <v>148</v>
      </c>
      <c r="E2142" s="65" t="s">
        <v>149</v>
      </c>
      <c r="F2142" s="65" t="s">
        <v>150</v>
      </c>
      <c r="G2142" s="65" t="s">
        <v>151</v>
      </c>
      <c r="H2142" s="65" t="s">
        <v>155</v>
      </c>
      <c r="I2142" s="65" t="s">
        <v>156</v>
      </c>
      <c r="J2142" s="65" t="s">
        <v>157</v>
      </c>
      <c r="K2142" s="65"/>
      <c r="L2142" s="65"/>
      <c r="N2142" s="79"/>
      <c r="O2142" s="79"/>
      <c r="P2142" s="79"/>
      <c r="Q2142" s="79"/>
      <c r="R2142" s="79"/>
      <c r="S2142" s="80"/>
      <c r="T2142" s="65"/>
      <c r="AJ2142" s="66"/>
      <c r="AK2142" s="65"/>
    </row>
    <row r="2143" spans="1:37" hidden="1">
      <c r="A2143" s="65" t="s">
        <v>125</v>
      </c>
      <c r="N2143" s="79"/>
      <c r="O2143" s="79"/>
      <c r="P2143" s="79"/>
      <c r="Q2143" s="79"/>
      <c r="R2143" s="79"/>
      <c r="S2143" s="80"/>
      <c r="T2143" s="65"/>
      <c r="AJ2143" s="66"/>
      <c r="AK2143" s="65"/>
    </row>
    <row r="2144" spans="1:37" hidden="1">
      <c r="A2144" s="65" t="s">
        <v>143</v>
      </c>
      <c r="B2144" s="66" t="s">
        <v>863</v>
      </c>
      <c r="C2144" s="79">
        <v>38458</v>
      </c>
      <c r="D2144" s="79">
        <f>H2110</f>
        <v>2249</v>
      </c>
      <c r="E2144" s="79">
        <f>ROUND((C2144/$C$2158)*$E$2158,0)+1</f>
        <v>3114</v>
      </c>
      <c r="F2144" s="78">
        <v>184</v>
      </c>
      <c r="G2144" s="79">
        <f>ROUND((D2144/$D$2158)*$F$2154,0)+F2144</f>
        <v>184</v>
      </c>
      <c r="H2144" s="79"/>
      <c r="I2144" s="79">
        <f>E2144-G2144</f>
        <v>2930</v>
      </c>
      <c r="J2144" s="79">
        <f>G2144+H2144+I2144</f>
        <v>3114</v>
      </c>
      <c r="K2144" s="79"/>
      <c r="L2144" s="79"/>
      <c r="M2144" s="79"/>
      <c r="N2144" s="79"/>
      <c r="O2144" s="79"/>
      <c r="P2144" s="79"/>
      <c r="Q2144" s="79"/>
      <c r="R2144" s="79"/>
      <c r="S2144" s="80"/>
      <c r="T2144" s="65"/>
      <c r="AJ2144" s="66"/>
      <c r="AK2144" s="65"/>
    </row>
    <row r="2145" spans="1:37" hidden="1">
      <c r="C2145" s="79"/>
      <c r="D2145" s="79"/>
      <c r="E2145" s="79"/>
      <c r="F2145" s="79"/>
      <c r="G2145" s="79"/>
      <c r="H2145" s="79"/>
      <c r="I2145" s="79"/>
      <c r="J2145" s="79"/>
      <c r="K2145" s="79"/>
      <c r="L2145" s="79"/>
      <c r="M2145" s="79"/>
      <c r="N2145" s="79"/>
      <c r="O2145" s="79"/>
      <c r="P2145" s="79"/>
      <c r="Q2145" s="79"/>
      <c r="R2145" s="79"/>
      <c r="S2145" s="80"/>
      <c r="T2145" s="65"/>
      <c r="AJ2145" s="66"/>
      <c r="AK2145" s="65"/>
    </row>
    <row r="2146" spans="1:37" hidden="1">
      <c r="A2146" s="65">
        <f>A2145+1</f>
        <v>1</v>
      </c>
      <c r="B2146" s="66" t="s">
        <v>864</v>
      </c>
      <c r="C2146" s="79">
        <v>3347</v>
      </c>
      <c r="D2146" s="79">
        <f>H2112</f>
        <v>0</v>
      </c>
      <c r="E2146" s="79">
        <f>ROUND((C2146/$C$2158)*$E$2158,0)</f>
        <v>271</v>
      </c>
      <c r="F2146" s="78">
        <v>1</v>
      </c>
      <c r="G2146" s="79">
        <f>ROUND((D2146/$D$2158)*$F$2154,0)+F2146</f>
        <v>1</v>
      </c>
      <c r="H2146" s="79"/>
      <c r="I2146" s="79">
        <f>E2146-G2146</f>
        <v>270</v>
      </c>
      <c r="J2146" s="79">
        <f>G2146+H2146+I2146</f>
        <v>271</v>
      </c>
      <c r="K2146" s="79"/>
      <c r="L2146" s="79"/>
      <c r="M2146" s="79"/>
      <c r="N2146" s="79"/>
      <c r="O2146" s="79"/>
      <c r="P2146" s="79"/>
      <c r="Q2146" s="79"/>
      <c r="R2146" s="79"/>
      <c r="S2146" s="80"/>
      <c r="T2146" s="65"/>
      <c r="AJ2146" s="66"/>
      <c r="AK2146" s="65"/>
    </row>
    <row r="2147" spans="1:37" hidden="1">
      <c r="C2147" s="79"/>
      <c r="D2147" s="79"/>
      <c r="E2147" s="79"/>
      <c r="F2147" s="79"/>
      <c r="G2147" s="79"/>
      <c r="H2147" s="79"/>
      <c r="I2147" s="79"/>
      <c r="J2147" s="79"/>
      <c r="K2147" s="79"/>
      <c r="L2147" s="79"/>
      <c r="M2147" s="79"/>
      <c r="N2147" s="79"/>
      <c r="O2147" s="79"/>
      <c r="P2147" s="79"/>
      <c r="Q2147" s="79"/>
      <c r="R2147" s="79"/>
      <c r="S2147" s="80"/>
      <c r="T2147" s="65"/>
      <c r="AJ2147" s="66"/>
      <c r="AK2147" s="65"/>
    </row>
    <row r="2148" spans="1:37" hidden="1">
      <c r="A2148" s="65">
        <f>A2146+1</f>
        <v>2</v>
      </c>
      <c r="B2148" s="66" t="s">
        <v>865</v>
      </c>
      <c r="C2148" s="79">
        <v>16768</v>
      </c>
      <c r="D2148" s="79"/>
      <c r="E2148" s="79">
        <f>ROUND((C2148/$C$2158)*$E$2158,0)</f>
        <v>1357</v>
      </c>
      <c r="F2148" s="79"/>
      <c r="G2148" s="79"/>
      <c r="H2148" s="79"/>
      <c r="I2148" s="79">
        <f>E2148-G2148</f>
        <v>1357</v>
      </c>
      <c r="J2148" s="79">
        <f>G2148+H2148+I2148</f>
        <v>1357</v>
      </c>
      <c r="K2148" s="79"/>
      <c r="L2148" s="79"/>
      <c r="M2148" s="79"/>
      <c r="N2148" s="79"/>
      <c r="O2148" s="79"/>
      <c r="P2148" s="79"/>
      <c r="Q2148" s="79"/>
      <c r="R2148" s="79"/>
      <c r="S2148" s="80"/>
      <c r="T2148" s="65"/>
      <c r="AJ2148" s="66"/>
      <c r="AK2148" s="65"/>
    </row>
    <row r="2149" spans="1:37" hidden="1">
      <c r="C2149" s="79"/>
      <c r="D2149" s="79"/>
      <c r="E2149" s="79"/>
      <c r="F2149" s="79"/>
      <c r="G2149" s="79"/>
      <c r="H2149" s="79"/>
      <c r="I2149" s="79"/>
      <c r="J2149" s="79"/>
      <c r="K2149" s="79"/>
      <c r="L2149" s="79"/>
      <c r="M2149" s="79"/>
      <c r="N2149" s="79"/>
      <c r="O2149" s="79"/>
      <c r="P2149" s="79"/>
      <c r="Q2149" s="79"/>
      <c r="R2149" s="79"/>
      <c r="S2149" s="80"/>
      <c r="T2149" s="65"/>
      <c r="AJ2149" s="66"/>
      <c r="AK2149" s="65"/>
    </row>
    <row r="2150" spans="1:37" hidden="1">
      <c r="A2150" s="65">
        <f>A2148+1</f>
        <v>3</v>
      </c>
      <c r="B2150" s="66" t="s">
        <v>866</v>
      </c>
      <c r="C2150" s="79">
        <v>10193</v>
      </c>
      <c r="D2150" s="79"/>
      <c r="E2150" s="79">
        <f>ROUND((C2150/$C$2158)*$E$2158,0)</f>
        <v>825</v>
      </c>
      <c r="F2150" s="79"/>
      <c r="G2150" s="79"/>
      <c r="H2150" s="79"/>
      <c r="I2150" s="79">
        <f>E2150-G2150</f>
        <v>825</v>
      </c>
      <c r="J2150" s="79">
        <f>G2150+H2150+I2150</f>
        <v>825</v>
      </c>
      <c r="K2150" s="79"/>
      <c r="L2150" s="79"/>
      <c r="M2150" s="79"/>
      <c r="N2150" s="79"/>
      <c r="O2150" s="79"/>
      <c r="P2150" s="79"/>
      <c r="Q2150" s="79"/>
      <c r="R2150" s="79"/>
      <c r="S2150" s="80"/>
      <c r="T2150" s="65"/>
      <c r="AJ2150" s="66"/>
      <c r="AK2150" s="65"/>
    </row>
    <row r="2151" spans="1:37" hidden="1">
      <c r="C2151" s="79"/>
      <c r="D2151" s="79"/>
      <c r="E2151" s="79"/>
      <c r="F2151" s="79"/>
      <c r="G2151" s="79"/>
      <c r="H2151" s="79"/>
      <c r="I2151" s="79"/>
      <c r="J2151" s="79"/>
      <c r="K2151" s="79"/>
      <c r="L2151" s="79"/>
      <c r="M2151" s="79"/>
      <c r="N2151" s="79"/>
      <c r="O2151" s="79"/>
      <c r="P2151" s="79"/>
      <c r="Q2151" s="79"/>
      <c r="R2151" s="79"/>
      <c r="S2151" s="80"/>
      <c r="T2151" s="65"/>
      <c r="AJ2151" s="66"/>
      <c r="AK2151" s="65"/>
    </row>
    <row r="2152" spans="1:37" hidden="1">
      <c r="A2152" s="65">
        <f>A2150+1</f>
        <v>4</v>
      </c>
      <c r="B2152" s="66" t="s">
        <v>867</v>
      </c>
      <c r="C2152" s="79">
        <v>11051</v>
      </c>
      <c r="D2152" s="79"/>
      <c r="E2152" s="79">
        <f>ROUND((C2152/$C$2158)*$E$2158,0)</f>
        <v>895</v>
      </c>
      <c r="F2152" s="79"/>
      <c r="G2152" s="79"/>
      <c r="H2152" s="79">
        <v>0</v>
      </c>
      <c r="I2152" s="79">
        <f>E2152-G2152</f>
        <v>895</v>
      </c>
      <c r="J2152" s="79">
        <f>G2152+H2152+I2152</f>
        <v>895</v>
      </c>
      <c r="K2152" s="79"/>
      <c r="L2152" s="79"/>
      <c r="M2152" s="79"/>
      <c r="N2152" s="79"/>
      <c r="O2152" s="79"/>
      <c r="P2152" s="79"/>
      <c r="Q2152" s="79"/>
      <c r="R2152" s="79"/>
      <c r="S2152" s="80"/>
      <c r="T2152" s="65"/>
      <c r="AJ2152" s="66"/>
      <c r="AK2152" s="65"/>
    </row>
    <row r="2153" spans="1:37" hidden="1">
      <c r="C2153" s="79"/>
      <c r="D2153" s="79"/>
      <c r="E2153" s="79"/>
      <c r="F2153" s="79"/>
      <c r="G2153" s="79"/>
      <c r="H2153" s="79"/>
      <c r="I2153" s="79"/>
      <c r="J2153" s="79"/>
      <c r="K2153" s="79"/>
      <c r="L2153" s="79"/>
      <c r="M2153" s="79"/>
      <c r="N2153" s="79"/>
      <c r="O2153" s="79"/>
      <c r="P2153" s="79"/>
      <c r="Q2153" s="79"/>
      <c r="R2153" s="79"/>
      <c r="S2153" s="80"/>
      <c r="T2153" s="65"/>
      <c r="AJ2153" s="66"/>
      <c r="AK2153" s="65"/>
    </row>
    <row r="2154" spans="1:37" hidden="1">
      <c r="A2154" s="65">
        <f>A2152+1</f>
        <v>5</v>
      </c>
      <c r="B2154" s="66" t="s">
        <v>868</v>
      </c>
      <c r="C2154" s="79"/>
      <c r="D2154" s="79"/>
      <c r="E2154" s="79">
        <f>ROUND((C2154/$C$2158)*$E$2158,0)</f>
        <v>0</v>
      </c>
      <c r="F2154" s="78">
        <v>0.41199999999999998</v>
      </c>
      <c r="G2154" s="79"/>
      <c r="H2154" s="79"/>
      <c r="I2154" s="79">
        <f>E2154-G2154</f>
        <v>0</v>
      </c>
      <c r="J2154" s="79">
        <f>G2154+H2154+I2154</f>
        <v>0</v>
      </c>
      <c r="K2154" s="79"/>
      <c r="L2154" s="79"/>
      <c r="M2154" s="79"/>
      <c r="N2154" s="79"/>
      <c r="O2154" s="79"/>
      <c r="P2154" s="79"/>
      <c r="Q2154" s="79"/>
      <c r="R2154" s="79"/>
      <c r="S2154" s="80"/>
      <c r="T2154" s="65"/>
      <c r="AJ2154" s="66"/>
      <c r="AK2154" s="65"/>
    </row>
    <row r="2155" spans="1:37" hidden="1">
      <c r="C2155" s="79"/>
      <c r="D2155" s="79"/>
      <c r="E2155" s="79"/>
      <c r="F2155" s="79"/>
      <c r="G2155" s="79"/>
      <c r="H2155" s="79"/>
      <c r="I2155" s="79"/>
      <c r="J2155" s="79"/>
      <c r="K2155" s="79"/>
      <c r="L2155" s="79"/>
      <c r="M2155" s="79"/>
      <c r="N2155" s="79"/>
      <c r="O2155" s="79"/>
      <c r="P2155" s="79"/>
      <c r="Q2155" s="79"/>
      <c r="R2155" s="79"/>
      <c r="S2155" s="80"/>
      <c r="T2155" s="65"/>
      <c r="AJ2155" s="66"/>
      <c r="AK2155" s="65"/>
    </row>
    <row r="2156" spans="1:37" hidden="1">
      <c r="A2156" s="65">
        <f>A2154+1</f>
        <v>6</v>
      </c>
      <c r="B2156" s="66" t="s">
        <v>888</v>
      </c>
      <c r="C2156" s="79"/>
      <c r="D2156" s="79"/>
      <c r="E2156" s="79">
        <f>ROUND((C2156/$C$2158)*$E$2158,0)</f>
        <v>0</v>
      </c>
      <c r="F2156" s="79"/>
      <c r="G2156" s="79"/>
      <c r="H2156" s="78">
        <v>0</v>
      </c>
      <c r="I2156" s="79">
        <f>E2156-G2156</f>
        <v>0</v>
      </c>
      <c r="J2156" s="79">
        <f>G2156+H2156+I2156</f>
        <v>0</v>
      </c>
      <c r="K2156" s="79"/>
      <c r="L2156" s="79"/>
      <c r="M2156" s="79"/>
      <c r="N2156" s="79"/>
      <c r="O2156" s="79"/>
      <c r="P2156" s="79"/>
      <c r="Q2156" s="79"/>
      <c r="R2156" s="79"/>
      <c r="S2156" s="80"/>
      <c r="T2156" s="65"/>
      <c r="AJ2156" s="66"/>
      <c r="AK2156" s="65"/>
    </row>
    <row r="2157" spans="1:37" hidden="1">
      <c r="C2157" s="79"/>
      <c r="D2157" s="79"/>
      <c r="E2157" s="79"/>
      <c r="F2157" s="79"/>
      <c r="G2157" s="79"/>
      <c r="H2157" s="79"/>
      <c r="I2157" s="79"/>
      <c r="J2157" s="79"/>
      <c r="K2157" s="79"/>
      <c r="L2157" s="79"/>
      <c r="M2157" s="79"/>
      <c r="N2157" s="79"/>
      <c r="O2157" s="79"/>
      <c r="P2157" s="79"/>
      <c r="Q2157" s="79"/>
      <c r="R2157" s="79"/>
      <c r="S2157" s="80"/>
      <c r="T2157" s="65"/>
      <c r="AJ2157" s="66"/>
      <c r="AK2157" s="65"/>
    </row>
    <row r="2158" spans="1:37" hidden="1">
      <c r="A2158" s="65">
        <f>A2156+1</f>
        <v>7</v>
      </c>
      <c r="B2158" s="66" t="s">
        <v>869</v>
      </c>
      <c r="C2158" s="79">
        <f>SUM(C2144:C2156)</f>
        <v>79817</v>
      </c>
      <c r="D2158" s="79">
        <f>SUM(D2144:D2156)</f>
        <v>2249</v>
      </c>
      <c r="E2158" s="78">
        <f>6784-304-19</f>
        <v>6461</v>
      </c>
      <c r="F2158" s="79">
        <f>SUM(F2144:F2156)</f>
        <v>185.41200000000001</v>
      </c>
      <c r="G2158" s="79">
        <f>SUM(G2144:G2156)</f>
        <v>185</v>
      </c>
      <c r="H2158" s="79">
        <f>SUM(H2144:H2156)</f>
        <v>0</v>
      </c>
      <c r="I2158" s="79">
        <f>SUM(I2144:I2156)</f>
        <v>6277</v>
      </c>
      <c r="J2158" s="79">
        <f>SUM(J2144:J2156)</f>
        <v>6462</v>
      </c>
      <c r="K2158" s="79"/>
      <c r="L2158" s="79"/>
      <c r="M2158" s="79"/>
      <c r="R2158" s="79"/>
      <c r="S2158" s="80"/>
      <c r="T2158" s="65"/>
      <c r="AJ2158" s="66"/>
      <c r="AK2158" s="65"/>
    </row>
    <row r="2159" spans="1:37" hidden="1">
      <c r="C2159" s="79"/>
      <c r="D2159" s="79"/>
      <c r="E2159" s="79"/>
      <c r="F2159" s="79"/>
      <c r="G2159" s="79"/>
      <c r="H2159" s="79"/>
      <c r="I2159" s="79"/>
      <c r="J2159" s="79"/>
      <c r="K2159" s="79"/>
      <c r="L2159" s="79"/>
      <c r="M2159" s="79"/>
      <c r="R2159" s="79"/>
      <c r="S2159" s="80"/>
      <c r="T2159" s="65"/>
      <c r="AJ2159" s="66"/>
      <c r="AK2159" s="65"/>
    </row>
    <row r="2160" spans="1:37" hidden="1">
      <c r="A2160" s="65">
        <f>A2158+1</f>
        <v>8</v>
      </c>
      <c r="C2160" s="79"/>
      <c r="D2160" s="79"/>
      <c r="E2160" s="79"/>
      <c r="F2160" s="79"/>
      <c r="G2160" s="79"/>
      <c r="H2160" s="79"/>
      <c r="I2160" s="79"/>
      <c r="J2160" s="79"/>
      <c r="K2160" s="79"/>
      <c r="L2160" s="79"/>
      <c r="N2160" s="79"/>
      <c r="O2160" s="79"/>
      <c r="P2160" s="79"/>
      <c r="Q2160" s="79"/>
      <c r="R2160" s="79"/>
      <c r="S2160" s="80"/>
      <c r="T2160" s="65"/>
      <c r="AJ2160" s="66"/>
      <c r="AK2160" s="65"/>
    </row>
    <row r="2161" spans="1:37" hidden="1">
      <c r="B2161" s="66" t="s">
        <v>870</v>
      </c>
      <c r="C2161" s="79"/>
      <c r="D2161" s="79"/>
      <c r="E2161" s="79"/>
      <c r="F2161" s="79"/>
      <c r="G2161" s="79"/>
      <c r="H2161" s="79"/>
      <c r="I2161" s="79"/>
      <c r="J2161" s="79"/>
      <c r="K2161" s="79"/>
      <c r="L2161" s="79"/>
      <c r="N2161" s="79"/>
      <c r="O2161" s="79"/>
      <c r="P2161" s="79"/>
      <c r="Q2161" s="79"/>
      <c r="R2161" s="79"/>
      <c r="S2161" s="80"/>
      <c r="T2161" s="65"/>
      <c r="AJ2161" s="66"/>
      <c r="AK2161" s="65"/>
    </row>
    <row r="2162" spans="1:37" hidden="1">
      <c r="C2162" s="79"/>
      <c r="D2162" s="79"/>
      <c r="E2162" s="79"/>
      <c r="F2162" s="79"/>
      <c r="G2162" s="79"/>
      <c r="H2162" s="79"/>
      <c r="I2162" s="79"/>
      <c r="J2162" s="79"/>
      <c r="K2162" s="79"/>
      <c r="L2162" s="79"/>
      <c r="M2162" s="79"/>
      <c r="N2162" s="79"/>
      <c r="O2162" s="79"/>
      <c r="P2162" s="79"/>
      <c r="Q2162" s="79"/>
      <c r="R2162" s="79"/>
      <c r="S2162" s="80"/>
      <c r="T2162" s="65"/>
      <c r="AJ2162" s="66"/>
      <c r="AK2162" s="65"/>
    </row>
    <row r="2163" spans="1:37" hidden="1">
      <c r="C2163" s="79"/>
      <c r="D2163" s="79"/>
      <c r="E2163" s="79"/>
      <c r="F2163" s="79"/>
      <c r="G2163" s="79"/>
      <c r="H2163" s="79"/>
      <c r="I2163" s="79"/>
      <c r="J2163" s="79"/>
      <c r="K2163" s="79"/>
      <c r="L2163" s="79"/>
      <c r="M2163" s="79"/>
      <c r="N2163" s="105"/>
      <c r="O2163" s="105"/>
      <c r="P2163" s="105"/>
      <c r="Q2163" s="105"/>
      <c r="R2163" s="79"/>
      <c r="S2163" s="80"/>
      <c r="W2163" s="140"/>
      <c r="X2163" s="140"/>
      <c r="AJ2163" s="66"/>
      <c r="AK2163" s="65"/>
    </row>
    <row r="2164" spans="1:37" hidden="1">
      <c r="C2164" s="79"/>
      <c r="D2164" s="79"/>
      <c r="E2164" s="79"/>
      <c r="F2164" s="79"/>
      <c r="G2164" s="79"/>
      <c r="H2164" s="79"/>
      <c r="I2164" s="79"/>
      <c r="J2164" s="79"/>
      <c r="K2164" s="79"/>
      <c r="L2164" s="79"/>
      <c r="M2164" s="79"/>
      <c r="N2164" s="105"/>
      <c r="O2164" s="105"/>
      <c r="P2164" s="105"/>
      <c r="Q2164" s="105"/>
      <c r="R2164" s="79"/>
      <c r="S2164" s="80"/>
      <c r="W2164" s="99"/>
      <c r="X2164" s="99"/>
      <c r="AJ2164" s="66"/>
      <c r="AK2164" s="65"/>
    </row>
    <row r="2165" spans="1:37" hidden="1">
      <c r="B2165" s="140"/>
      <c r="C2165" s="105"/>
      <c r="D2165" s="99"/>
      <c r="E2165" s="99"/>
      <c r="F2165" s="65" t="s">
        <v>80</v>
      </c>
      <c r="G2165" s="105"/>
      <c r="H2165" s="105"/>
      <c r="I2165" s="105"/>
      <c r="J2165" s="105"/>
      <c r="K2165" s="105"/>
      <c r="L2165" s="105"/>
      <c r="M2165" s="105"/>
      <c r="N2165" s="105"/>
      <c r="O2165" s="105"/>
      <c r="P2165" s="105"/>
      <c r="Q2165" s="105"/>
      <c r="R2165" s="79"/>
      <c r="S2165" s="80"/>
      <c r="W2165" s="99"/>
      <c r="X2165" s="99"/>
      <c r="AJ2165" s="66"/>
      <c r="AK2165" s="65"/>
    </row>
    <row r="2166" spans="1:37" hidden="1">
      <c r="B2166" s="99"/>
      <c r="C2166" s="105"/>
      <c r="D2166" s="99"/>
      <c r="E2166" s="99"/>
      <c r="F2166" s="70" t="str">
        <f>H24</f>
        <v>12 MONTHS ENDING DECEMBER 31, 2012</v>
      </c>
      <c r="G2166" s="105"/>
      <c r="H2166" s="105"/>
      <c r="I2166" s="105"/>
      <c r="J2166" s="105"/>
      <c r="K2166" s="105"/>
      <c r="L2166" s="105"/>
      <c r="M2166" s="105"/>
      <c r="N2166" s="105"/>
      <c r="O2166" s="105"/>
      <c r="P2166" s="105"/>
      <c r="Q2166" s="105"/>
      <c r="R2166" s="79"/>
      <c r="S2166" s="80"/>
      <c r="W2166" s="99"/>
      <c r="X2166" s="99"/>
      <c r="AJ2166" s="66"/>
      <c r="AK2166" s="65"/>
    </row>
    <row r="2167" spans="1:37" hidden="1">
      <c r="A2167" s="66"/>
      <c r="B2167" s="99"/>
      <c r="C2167" s="105"/>
      <c r="D2167" s="99"/>
      <c r="E2167" s="99"/>
      <c r="F2167" s="70" t="str">
        <f>$H$25</f>
        <v>12/13 DEMAND ALLOCATION WITH MDS METHODOLOGY</v>
      </c>
      <c r="G2167" s="105"/>
      <c r="H2167" s="105"/>
      <c r="I2167" s="105"/>
      <c r="J2167" s="105"/>
      <c r="K2167" s="105"/>
      <c r="L2167" s="105"/>
      <c r="M2167" s="105"/>
      <c r="N2167" s="105"/>
      <c r="O2167" s="105"/>
      <c r="P2167" s="105"/>
      <c r="Q2167" s="105"/>
      <c r="R2167" s="79"/>
      <c r="S2167" s="80"/>
      <c r="W2167" s="99"/>
      <c r="X2167" s="99"/>
      <c r="AJ2167" s="66"/>
      <c r="AK2167" s="65"/>
    </row>
    <row r="2168" spans="1:37" hidden="1">
      <c r="A2168" s="66"/>
      <c r="B2168" s="99"/>
      <c r="C2168" s="105"/>
      <c r="D2168" s="99"/>
      <c r="E2168" s="105"/>
      <c r="F2168" s="80" t="s">
        <v>889</v>
      </c>
      <c r="G2168" s="105"/>
      <c r="H2168" s="105"/>
      <c r="I2168" s="105"/>
      <c r="J2168" s="105"/>
      <c r="K2168" s="105"/>
      <c r="L2168" s="105"/>
      <c r="M2168" s="105"/>
      <c r="N2168" s="79"/>
      <c r="O2168" s="79"/>
      <c r="P2168" s="79"/>
      <c r="Q2168" s="79"/>
      <c r="R2168" s="79"/>
      <c r="S2168" s="80"/>
      <c r="T2168" s="65"/>
      <c r="AJ2168" s="66"/>
      <c r="AK2168" s="65"/>
    </row>
    <row r="2169" spans="1:37" hidden="1">
      <c r="A2169" s="66"/>
      <c r="B2169" s="99"/>
      <c r="C2169" s="105"/>
      <c r="D2169" s="99"/>
      <c r="E2169" s="105"/>
      <c r="F2169" s="80" t="s">
        <v>114</v>
      </c>
      <c r="G2169" s="105"/>
      <c r="H2169" s="105"/>
      <c r="I2169" s="105"/>
      <c r="J2169" s="105"/>
      <c r="K2169" s="105"/>
      <c r="L2169" s="105"/>
      <c r="M2169" s="105"/>
      <c r="N2169" s="79"/>
      <c r="O2169" s="79"/>
      <c r="P2169" s="79"/>
      <c r="Q2169" s="79"/>
      <c r="R2169" s="79"/>
      <c r="S2169" s="80"/>
      <c r="T2169" s="65"/>
      <c r="AJ2169" s="66"/>
      <c r="AK2169" s="65"/>
    </row>
    <row r="2170" spans="1:37" hidden="1">
      <c r="A2170" s="66"/>
      <c r="J2170" s="79"/>
      <c r="K2170" s="79"/>
      <c r="L2170" s="79"/>
      <c r="M2170" s="79"/>
      <c r="N2170" s="65"/>
      <c r="O2170" s="65"/>
      <c r="P2170" s="65"/>
      <c r="Q2170" s="65"/>
      <c r="S2170" s="80"/>
      <c r="T2170" s="65"/>
      <c r="AJ2170" s="66"/>
      <c r="AK2170" s="65"/>
    </row>
    <row r="2171" spans="1:37" hidden="1">
      <c r="A2171" s="66"/>
      <c r="J2171" s="79"/>
      <c r="K2171" s="79"/>
      <c r="L2171" s="79"/>
      <c r="M2171" s="79"/>
      <c r="N2171" s="65"/>
      <c r="O2171" s="65"/>
      <c r="P2171" s="65"/>
      <c r="Q2171" s="65"/>
      <c r="S2171" s="80"/>
      <c r="T2171" s="65"/>
      <c r="AJ2171" s="66"/>
      <c r="AK2171" s="65"/>
    </row>
    <row r="2172" spans="1:37" hidden="1">
      <c r="D2172" s="65" t="s">
        <v>890</v>
      </c>
      <c r="E2172" s="65" t="s">
        <v>891</v>
      </c>
      <c r="F2172" s="65" t="s">
        <v>890</v>
      </c>
      <c r="G2172" s="65" t="s">
        <v>891</v>
      </c>
      <c r="I2172" s="65" t="s">
        <v>892</v>
      </c>
      <c r="J2172" s="65" t="s">
        <v>893</v>
      </c>
      <c r="K2172" s="65" t="s">
        <v>894</v>
      </c>
      <c r="L2172" s="65" t="s">
        <v>895</v>
      </c>
      <c r="N2172" s="65"/>
      <c r="O2172" s="65"/>
      <c r="P2172" s="65"/>
      <c r="Q2172" s="65"/>
      <c r="S2172" s="80"/>
      <c r="T2172" s="65"/>
      <c r="W2172" s="65"/>
      <c r="X2172" s="65"/>
      <c r="AJ2172" s="66"/>
      <c r="AK2172" s="65"/>
    </row>
    <row r="2173" spans="1:37" hidden="1">
      <c r="C2173" s="65" t="s">
        <v>59</v>
      </c>
      <c r="D2173" s="65" t="s">
        <v>791</v>
      </c>
      <c r="E2173" s="65" t="s">
        <v>791</v>
      </c>
      <c r="F2173" s="65" t="s">
        <v>790</v>
      </c>
      <c r="G2173" s="65" t="s">
        <v>790</v>
      </c>
      <c r="H2173" s="65" t="s">
        <v>896</v>
      </c>
      <c r="I2173" s="65" t="s">
        <v>897</v>
      </c>
      <c r="J2173" s="65" t="s">
        <v>898</v>
      </c>
      <c r="K2173" s="65" t="s">
        <v>895</v>
      </c>
      <c r="L2173" s="65" t="s">
        <v>899</v>
      </c>
      <c r="N2173" s="65"/>
      <c r="O2173" s="65"/>
      <c r="P2173" s="65"/>
      <c r="Q2173" s="65"/>
      <c r="S2173" s="80"/>
      <c r="T2173" s="65"/>
      <c r="W2173" s="65"/>
      <c r="X2173" s="65"/>
      <c r="AJ2173" s="66"/>
      <c r="AK2173" s="65"/>
    </row>
    <row r="2174" spans="1:37" hidden="1">
      <c r="B2174" s="65" t="s">
        <v>900</v>
      </c>
      <c r="C2174" s="65" t="s">
        <v>901</v>
      </c>
      <c r="D2174" s="65" t="s">
        <v>902</v>
      </c>
      <c r="E2174" s="65" t="s">
        <v>902</v>
      </c>
      <c r="F2174" s="65" t="s">
        <v>902</v>
      </c>
      <c r="G2174" s="65" t="s">
        <v>902</v>
      </c>
      <c r="H2174" s="65" t="s">
        <v>117</v>
      </c>
      <c r="I2174" s="65" t="s">
        <v>903</v>
      </c>
      <c r="J2174" s="65" t="s">
        <v>904</v>
      </c>
      <c r="K2174" s="65" t="s">
        <v>905</v>
      </c>
      <c r="L2174" s="65" t="s">
        <v>906</v>
      </c>
      <c r="N2174" s="79"/>
      <c r="O2174" s="79"/>
      <c r="P2174" s="79"/>
      <c r="Q2174" s="79"/>
      <c r="S2174" s="80"/>
      <c r="T2174" s="65"/>
      <c r="AJ2174" s="66"/>
      <c r="AK2174" s="65"/>
    </row>
    <row r="2175" spans="1:37" hidden="1">
      <c r="A2175" s="65" t="s">
        <v>118</v>
      </c>
      <c r="B2175" s="65" t="s">
        <v>144</v>
      </c>
      <c r="C2175" s="65" t="s">
        <v>145</v>
      </c>
      <c r="D2175" s="65" t="s">
        <v>148</v>
      </c>
      <c r="E2175" s="65" t="s">
        <v>149</v>
      </c>
      <c r="F2175" s="65" t="s">
        <v>150</v>
      </c>
      <c r="G2175" s="65" t="s">
        <v>151</v>
      </c>
      <c r="H2175" s="65" t="s">
        <v>155</v>
      </c>
      <c r="I2175" s="65" t="s">
        <v>156</v>
      </c>
      <c r="J2175" s="65" t="s">
        <v>157</v>
      </c>
      <c r="K2175" s="65" t="s">
        <v>160</v>
      </c>
      <c r="L2175" s="65">
        <v>-12</v>
      </c>
      <c r="N2175" s="79"/>
      <c r="O2175" s="79"/>
      <c r="P2175" s="79"/>
      <c r="Q2175" s="79"/>
      <c r="S2175" s="80"/>
      <c r="T2175" s="65"/>
      <c r="AJ2175" s="66"/>
      <c r="AK2175" s="65"/>
    </row>
    <row r="2176" spans="1:37" hidden="1">
      <c r="A2176" s="65" t="s">
        <v>125</v>
      </c>
      <c r="C2176" s="79"/>
      <c r="D2176" s="79"/>
      <c r="E2176" s="79"/>
      <c r="F2176" s="79"/>
      <c r="G2176" s="79"/>
      <c r="H2176" s="79"/>
      <c r="I2176" s="79"/>
      <c r="J2176" s="79"/>
      <c r="K2176" s="79"/>
      <c r="L2176" s="79"/>
      <c r="N2176" s="79"/>
      <c r="O2176" s="79"/>
      <c r="P2176" s="79"/>
      <c r="Q2176" s="79"/>
      <c r="S2176" s="80"/>
      <c r="T2176" s="65"/>
      <c r="AJ2176" s="66"/>
      <c r="AK2176" s="65"/>
    </row>
    <row r="2177" spans="1:37" hidden="1">
      <c r="A2177" s="65" t="s">
        <v>143</v>
      </c>
      <c r="C2177" s="79"/>
      <c r="D2177" s="79"/>
      <c r="E2177" s="79"/>
      <c r="F2177" s="79"/>
      <c r="G2177" s="79"/>
      <c r="H2177" s="79"/>
      <c r="I2177" s="79"/>
      <c r="J2177" s="79"/>
      <c r="K2177" s="79"/>
      <c r="L2177" s="79"/>
      <c r="S2177" s="65"/>
      <c r="T2177" s="65"/>
      <c r="AJ2177" s="66"/>
      <c r="AK2177" s="65"/>
    </row>
    <row r="2178" spans="1:37" hidden="1">
      <c r="B2178" s="66" t="s">
        <v>907</v>
      </c>
      <c r="C2178" s="78">
        <v>3545</v>
      </c>
      <c r="D2178" s="79">
        <f>C2178</f>
        <v>3545</v>
      </c>
      <c r="E2178" s="79">
        <f>ROUND(((D2178/D$2212)*E$2212),0)-1</f>
        <v>0</v>
      </c>
      <c r="F2178" s="79">
        <f>C2178-D2178</f>
        <v>0</v>
      </c>
      <c r="G2178" s="79">
        <f>ROUND(((F2178/F$2212)*G$2212),0)</f>
        <v>0</v>
      </c>
      <c r="H2178" s="79">
        <v>0</v>
      </c>
      <c r="I2178" s="79">
        <f>E2178+G2178+H2178</f>
        <v>0</v>
      </c>
      <c r="J2178" s="79">
        <f>ROUND(((I2178/I$2212)*J$2212),0)</f>
        <v>0</v>
      </c>
      <c r="K2178" s="79">
        <f>I2178+J2178</f>
        <v>0</v>
      </c>
      <c r="L2178" s="79">
        <f>ROUND(((C2178/C$2212)*L$2212),0)</f>
        <v>0</v>
      </c>
      <c r="N2178" s="79"/>
      <c r="O2178" s="79"/>
      <c r="P2178" s="79"/>
      <c r="Q2178" s="79"/>
      <c r="S2178" s="65"/>
      <c r="T2178" s="65"/>
      <c r="AJ2178" s="66"/>
      <c r="AK2178" s="65"/>
    </row>
    <row r="2179" spans="1:37" hidden="1">
      <c r="D2179" s="79"/>
      <c r="E2179" s="79"/>
      <c r="F2179" s="79"/>
      <c r="G2179" s="79"/>
      <c r="H2179" s="79"/>
      <c r="I2179" s="79"/>
      <c r="J2179" s="79"/>
      <c r="S2179" s="65"/>
      <c r="T2179" s="65"/>
      <c r="AJ2179" s="66"/>
      <c r="AK2179" s="65"/>
    </row>
    <row r="2180" spans="1:37" hidden="1">
      <c r="A2180" s="65">
        <f>A2179+1</f>
        <v>1</v>
      </c>
      <c r="B2180" s="66" t="s">
        <v>908</v>
      </c>
      <c r="C2180" s="78">
        <v>238</v>
      </c>
      <c r="D2180" s="79">
        <f>C2180</f>
        <v>238</v>
      </c>
      <c r="E2180" s="79">
        <f>ROUND(((D2180/D$2212)*E$2212),0)</f>
        <v>0</v>
      </c>
      <c r="F2180" s="79">
        <f>C2180-D2180</f>
        <v>0</v>
      </c>
      <c r="G2180" s="79">
        <f>ROUND(((F2180/F$2212)*G$2212),0)</f>
        <v>0</v>
      </c>
      <c r="H2180" s="79">
        <v>0</v>
      </c>
      <c r="I2180" s="79">
        <f>E2180+G2180+H2180</f>
        <v>0</v>
      </c>
      <c r="J2180" s="79">
        <f>ROUND(((I2180/I$2212)*J$2212),0)</f>
        <v>0</v>
      </c>
      <c r="K2180" s="79">
        <f>I2180+J2180</f>
        <v>0</v>
      </c>
      <c r="L2180" s="79">
        <f>ROUND(((C2180/C$2212)*L$2212),0)</f>
        <v>0</v>
      </c>
      <c r="N2180" s="79"/>
      <c r="O2180" s="79"/>
      <c r="P2180" s="79"/>
      <c r="Q2180" s="79"/>
      <c r="S2180" s="65"/>
      <c r="T2180" s="65"/>
      <c r="AJ2180" s="66"/>
      <c r="AK2180" s="65"/>
    </row>
    <row r="2181" spans="1:37" hidden="1">
      <c r="D2181" s="79"/>
      <c r="E2181" s="79"/>
      <c r="F2181" s="79"/>
      <c r="G2181" s="79"/>
      <c r="H2181" s="79"/>
      <c r="I2181" s="79"/>
      <c r="J2181" s="79"/>
      <c r="S2181" s="65"/>
      <c r="T2181" s="65"/>
      <c r="AJ2181" s="66"/>
      <c r="AK2181" s="65"/>
    </row>
    <row r="2182" spans="1:37" hidden="1">
      <c r="A2182" s="65">
        <f>A2180+1</f>
        <v>2</v>
      </c>
      <c r="B2182" s="66" t="s">
        <v>909</v>
      </c>
      <c r="C2182" s="78">
        <v>297</v>
      </c>
      <c r="D2182" s="79">
        <v>0</v>
      </c>
      <c r="E2182" s="79">
        <f>ROUND(((D2182/D$2212)*E$2212),0)</f>
        <v>0</v>
      </c>
      <c r="F2182" s="79">
        <f>C2182-D2182</f>
        <v>297</v>
      </c>
      <c r="G2182" s="79">
        <f>ROUND(((F2182/F$2212)*G$2212),0)</f>
        <v>0</v>
      </c>
      <c r="H2182" s="78">
        <v>3</v>
      </c>
      <c r="I2182" s="79">
        <f>E2182+G2182+H2182</f>
        <v>3</v>
      </c>
      <c r="J2182" s="79">
        <f>ROUND(((I2182/I$2212)*J$2212),0)</f>
        <v>0</v>
      </c>
      <c r="K2182" s="79">
        <f>I2182+J2182</f>
        <v>3</v>
      </c>
      <c r="L2182" s="79">
        <f>ROUND(((C2182/C$2212)*L$2212),0)</f>
        <v>0</v>
      </c>
      <c r="N2182" s="79"/>
      <c r="O2182" s="79"/>
      <c r="P2182" s="79"/>
      <c r="Q2182" s="79"/>
      <c r="S2182" s="65"/>
      <c r="T2182" s="65"/>
      <c r="AJ2182" s="66"/>
      <c r="AK2182" s="65"/>
    </row>
    <row r="2183" spans="1:37" hidden="1">
      <c r="D2183" s="79"/>
      <c r="E2183" s="79"/>
      <c r="F2183" s="79"/>
      <c r="G2183" s="79"/>
      <c r="H2183" s="79"/>
      <c r="I2183" s="79"/>
      <c r="J2183" s="79"/>
      <c r="S2183" s="65"/>
      <c r="T2183" s="65"/>
      <c r="AJ2183" s="66"/>
      <c r="AK2183" s="65"/>
    </row>
    <row r="2184" spans="1:37" hidden="1">
      <c r="A2184" s="65">
        <f>A2182+1</f>
        <v>3</v>
      </c>
      <c r="B2184" s="66" t="s">
        <v>910</v>
      </c>
      <c r="C2184" s="78">
        <f>0</f>
        <v>0</v>
      </c>
      <c r="D2184" s="79">
        <v>0</v>
      </c>
      <c r="E2184" s="79">
        <f>ROUND(((D2184/D$2212)*E$2212),0)</f>
        <v>0</v>
      </c>
      <c r="F2184" s="79">
        <f>C2184-D2184</f>
        <v>0</v>
      </c>
      <c r="G2184" s="79">
        <f>ROUND(((F2184/F$2212)*G$2212),0)</f>
        <v>0</v>
      </c>
      <c r="H2184" s="79">
        <v>0</v>
      </c>
      <c r="I2184" s="79">
        <f>E2184+G2184+H2184</f>
        <v>0</v>
      </c>
      <c r="J2184" s="79">
        <f>ROUND(((I2184/I$2212)*J$2212),0)</f>
        <v>0</v>
      </c>
      <c r="K2184" s="79">
        <f>I2184+J2184</f>
        <v>0</v>
      </c>
      <c r="L2184" s="79">
        <f>ROUND(((C2184/C$2212)*L$2212),0)</f>
        <v>0</v>
      </c>
      <c r="N2184" s="79"/>
      <c r="O2184" s="79"/>
      <c r="P2184" s="79"/>
      <c r="Q2184" s="79"/>
      <c r="S2184" s="65"/>
      <c r="T2184" s="65"/>
      <c r="AJ2184" s="66"/>
      <c r="AK2184" s="65"/>
    </row>
    <row r="2185" spans="1:37" hidden="1">
      <c r="C2185" s="79"/>
      <c r="D2185" s="79"/>
      <c r="E2185" s="79"/>
      <c r="F2185" s="79"/>
      <c r="G2185" s="79"/>
      <c r="H2185" s="79"/>
      <c r="I2185" s="79"/>
      <c r="J2185" s="79"/>
      <c r="S2185" s="65"/>
      <c r="T2185" s="65"/>
      <c r="AJ2185" s="66"/>
      <c r="AK2185" s="65"/>
    </row>
    <row r="2186" spans="1:37" hidden="1">
      <c r="A2186" s="65">
        <f>A2184+1</f>
        <v>4</v>
      </c>
      <c r="B2186" s="66" t="s">
        <v>911</v>
      </c>
      <c r="C2186" s="78">
        <f>300-300</f>
        <v>0</v>
      </c>
      <c r="D2186" s="66">
        <v>0</v>
      </c>
      <c r="E2186" s="79">
        <f>ROUND(((D2186/D$2212)*E$2212),0)</f>
        <v>0</v>
      </c>
      <c r="F2186" s="79">
        <f>C2186-D2186</f>
        <v>0</v>
      </c>
      <c r="G2186" s="79">
        <f>ROUND(((F2186/F$2212)*G$2212),0)</f>
        <v>0</v>
      </c>
      <c r="H2186" s="66">
        <v>0</v>
      </c>
      <c r="I2186" s="79">
        <f>E2186+G2186+H2186</f>
        <v>0</v>
      </c>
      <c r="J2186" s="79">
        <f>ROUND(((I2186/I$2212)*J$2212),0)</f>
        <v>0</v>
      </c>
      <c r="K2186" s="79">
        <f>I2186+J2186</f>
        <v>0</v>
      </c>
      <c r="L2186" s="79">
        <f>ROUND(((C2186/C$2212)*L$2212),0)</f>
        <v>0</v>
      </c>
      <c r="N2186" s="79"/>
      <c r="O2186" s="79"/>
      <c r="P2186" s="79"/>
      <c r="Q2186" s="79"/>
      <c r="S2186" s="65"/>
      <c r="T2186" s="65"/>
      <c r="AJ2186" s="66"/>
      <c r="AK2186" s="65"/>
    </row>
    <row r="2187" spans="1:37" hidden="1">
      <c r="S2187" s="65"/>
      <c r="T2187" s="65"/>
      <c r="AJ2187" s="66"/>
      <c r="AK2187" s="65"/>
    </row>
    <row r="2188" spans="1:37" hidden="1">
      <c r="A2188" s="65">
        <f>A2186+1</f>
        <v>5</v>
      </c>
      <c r="B2188" s="66" t="s">
        <v>756</v>
      </c>
      <c r="C2188" s="79">
        <f>(C2178+C2180+C2182+C2184+C2186)</f>
        <v>4080</v>
      </c>
      <c r="D2188" s="79">
        <f>SUM(D2178:D2186)</f>
        <v>3783</v>
      </c>
      <c r="E2188" s="79">
        <f t="shared" ref="E2188:J2188" si="979">SUM(E2178:E2186)</f>
        <v>0</v>
      </c>
      <c r="F2188" s="79">
        <f t="shared" si="979"/>
        <v>297</v>
      </c>
      <c r="G2188" s="79">
        <f t="shared" si="979"/>
        <v>0</v>
      </c>
      <c r="H2188" s="79">
        <f t="shared" si="979"/>
        <v>3</v>
      </c>
      <c r="I2188" s="79">
        <f t="shared" si="979"/>
        <v>3</v>
      </c>
      <c r="J2188" s="79">
        <f t="shared" si="979"/>
        <v>0</v>
      </c>
      <c r="K2188" s="79">
        <f>SUM(K2178:K2186)</f>
        <v>3</v>
      </c>
      <c r="L2188" s="79">
        <f>SUM(L2178:L2186)</f>
        <v>0</v>
      </c>
      <c r="N2188" s="79"/>
      <c r="O2188" s="79"/>
      <c r="P2188" s="79"/>
      <c r="Q2188" s="79"/>
      <c r="S2188" s="65"/>
      <c r="T2188" s="65"/>
      <c r="AJ2188" s="66"/>
      <c r="AK2188" s="65"/>
    </row>
    <row r="2189" spans="1:37" hidden="1">
      <c r="C2189" s="79"/>
      <c r="D2189" s="79"/>
      <c r="E2189" s="79"/>
      <c r="F2189" s="79"/>
      <c r="G2189" s="79"/>
      <c r="H2189" s="79"/>
      <c r="I2189" s="79"/>
      <c r="J2189" s="79"/>
      <c r="S2189" s="65"/>
      <c r="T2189" s="65"/>
      <c r="AJ2189" s="66"/>
      <c r="AK2189" s="65"/>
    </row>
    <row r="2190" spans="1:37" hidden="1">
      <c r="A2190" s="65">
        <f>A2188+1</f>
        <v>6</v>
      </c>
      <c r="B2190" s="66" t="s">
        <v>912</v>
      </c>
      <c r="C2190" s="78">
        <f>1169+1</f>
        <v>1170</v>
      </c>
      <c r="D2190" s="79">
        <f>ROUND(((D$2188/C$2188)*C2190),0)</f>
        <v>1085</v>
      </c>
      <c r="E2190" s="79">
        <f>ROUND(((D2190/D$2212)*E$2212),0)</f>
        <v>0</v>
      </c>
      <c r="F2190" s="79">
        <f>C2190-D2190</f>
        <v>85</v>
      </c>
      <c r="G2190" s="79">
        <f>ROUND(((F2190/F$2212)*G$2212),0)</f>
        <v>0</v>
      </c>
      <c r="H2190" s="79">
        <v>0</v>
      </c>
      <c r="I2190" s="79">
        <f>E2190+G2190+H2190</f>
        <v>0</v>
      </c>
      <c r="J2190" s="79">
        <f>ROUND(((I2190/I$2212)*J$2212),0)</f>
        <v>0</v>
      </c>
      <c r="K2190" s="79">
        <f>I2190+J2190</f>
        <v>0</v>
      </c>
      <c r="L2190" s="79">
        <f>ROUND(((C2190/C$2212)*L$2212),0)</f>
        <v>0</v>
      </c>
      <c r="N2190" s="79"/>
      <c r="O2190" s="79"/>
      <c r="P2190" s="79"/>
      <c r="Q2190" s="79"/>
      <c r="S2190" s="65"/>
      <c r="T2190" s="65"/>
      <c r="AJ2190" s="66"/>
      <c r="AK2190" s="65"/>
    </row>
    <row r="2191" spans="1:37" hidden="1">
      <c r="D2191" s="79"/>
      <c r="E2191" s="79"/>
      <c r="F2191" s="79"/>
      <c r="G2191" s="79"/>
      <c r="H2191" s="79"/>
      <c r="I2191" s="79"/>
      <c r="J2191" s="79"/>
      <c r="S2191" s="65"/>
      <c r="T2191" s="65"/>
      <c r="AJ2191" s="66"/>
      <c r="AK2191" s="65"/>
    </row>
    <row r="2192" spans="1:37" hidden="1">
      <c r="A2192" s="65">
        <f>A2190+1</f>
        <v>7</v>
      </c>
      <c r="B2192" s="66" t="s">
        <v>913</v>
      </c>
      <c r="C2192" s="78">
        <v>814</v>
      </c>
      <c r="D2192" s="79">
        <f>ROUND(((D$2188/C$2188)*C2192),0)</f>
        <v>755</v>
      </c>
      <c r="E2192" s="79">
        <f>ROUND(((D2192/D$2212)*E$2212),0)</f>
        <v>0</v>
      </c>
      <c r="F2192" s="79">
        <f>C2192-D2192</f>
        <v>59</v>
      </c>
      <c r="G2192" s="79">
        <f>ROUND(((F2192/F$2212)*G$2212),0)</f>
        <v>0</v>
      </c>
      <c r="H2192" s="79">
        <v>0</v>
      </c>
      <c r="I2192" s="79">
        <f>E2192+G2192+H2192</f>
        <v>0</v>
      </c>
      <c r="J2192" s="79">
        <f>ROUND(((I2192/I$2212)*J$2212),0)</f>
        <v>0</v>
      </c>
      <c r="K2192" s="79">
        <f>I2192+J2192</f>
        <v>0</v>
      </c>
      <c r="L2192" s="79">
        <f>ROUND(((C2192/C$2212)*L$2212),0)</f>
        <v>0</v>
      </c>
      <c r="N2192" s="79"/>
      <c r="O2192" s="79"/>
      <c r="P2192" s="79"/>
      <c r="Q2192" s="79"/>
      <c r="S2192" s="65"/>
      <c r="T2192" s="65"/>
      <c r="AJ2192" s="66"/>
      <c r="AK2192" s="65"/>
    </row>
    <row r="2193" spans="1:37" hidden="1">
      <c r="D2193" s="79"/>
      <c r="E2193" s="79"/>
      <c r="F2193" s="79"/>
      <c r="G2193" s="79"/>
      <c r="H2193" s="79"/>
      <c r="I2193" s="79"/>
      <c r="J2193" s="79"/>
      <c r="S2193" s="65"/>
      <c r="T2193" s="65"/>
      <c r="AJ2193" s="66"/>
      <c r="AK2193" s="65"/>
    </row>
    <row r="2194" spans="1:37" hidden="1">
      <c r="A2194" s="65">
        <f>A2192+1</f>
        <v>8</v>
      </c>
      <c r="B2194" s="66" t="s">
        <v>914</v>
      </c>
      <c r="C2194" s="78">
        <f>2521-2357</f>
        <v>164</v>
      </c>
      <c r="D2194" s="79">
        <v>0</v>
      </c>
      <c r="E2194" s="79">
        <f>ROUND(((D2194/D$2212)*E$2212),0)</f>
        <v>0</v>
      </c>
      <c r="F2194" s="79">
        <v>0</v>
      </c>
      <c r="G2194" s="79">
        <f>ROUND(((F2194/F$2212)*G$2212),0)</f>
        <v>0</v>
      </c>
      <c r="H2194" s="78">
        <v>0</v>
      </c>
      <c r="I2194" s="79">
        <f>E2194+G2194+H2194</f>
        <v>0</v>
      </c>
      <c r="J2194" s="79">
        <f>ROUND(((I2194/I$2212)*J$2212),0)</f>
        <v>0</v>
      </c>
      <c r="K2194" s="79">
        <f>I2194+J2194</f>
        <v>0</v>
      </c>
      <c r="L2194" s="79">
        <f>ROUND(((C2194/C$2212)*L$2212),0)</f>
        <v>0</v>
      </c>
      <c r="N2194" s="79"/>
      <c r="O2194" s="79"/>
      <c r="P2194" s="79"/>
      <c r="Q2194" s="79"/>
      <c r="S2194" s="65"/>
      <c r="T2194" s="65"/>
      <c r="AJ2194" s="66"/>
      <c r="AK2194" s="65"/>
    </row>
    <row r="2195" spans="1:37" hidden="1">
      <c r="C2195" s="79"/>
      <c r="D2195" s="79"/>
      <c r="E2195" s="79"/>
      <c r="F2195" s="79"/>
      <c r="G2195" s="79"/>
      <c r="H2195" s="79"/>
      <c r="I2195" s="79"/>
      <c r="J2195" s="79"/>
      <c r="S2195" s="65"/>
      <c r="T2195" s="65"/>
      <c r="AJ2195" s="66"/>
      <c r="AK2195" s="65"/>
    </row>
    <row r="2196" spans="1:37" hidden="1">
      <c r="A2196" s="65">
        <f>A2194+1</f>
        <v>9</v>
      </c>
      <c r="B2196" s="66" t="s">
        <v>915</v>
      </c>
      <c r="C2196" s="79">
        <f>(C2188+C2190+C2192+C2194)</f>
        <v>6228</v>
      </c>
      <c r="D2196" s="79">
        <f>D2188+D2190+D2192+D2194</f>
        <v>5623</v>
      </c>
      <c r="E2196" s="79">
        <f t="shared" ref="E2196:J2196" si="980">E2188+E2190+E2192+E2194</f>
        <v>0</v>
      </c>
      <c r="F2196" s="79">
        <f t="shared" si="980"/>
        <v>441</v>
      </c>
      <c r="G2196" s="79">
        <f t="shared" si="980"/>
        <v>0</v>
      </c>
      <c r="H2196" s="79">
        <f t="shared" si="980"/>
        <v>3</v>
      </c>
      <c r="I2196" s="79">
        <f t="shared" si="980"/>
        <v>3</v>
      </c>
      <c r="J2196" s="79">
        <f t="shared" si="980"/>
        <v>0</v>
      </c>
      <c r="K2196" s="79">
        <f>I2196+J2196</f>
        <v>3</v>
      </c>
      <c r="L2196" s="79">
        <f>L2188+L2190+L2192+L2194</f>
        <v>0</v>
      </c>
      <c r="N2196" s="79"/>
      <c r="O2196" s="79"/>
      <c r="P2196" s="79"/>
      <c r="Q2196" s="79"/>
      <c r="S2196" s="65"/>
      <c r="T2196" s="65"/>
      <c r="AJ2196" s="66"/>
      <c r="AK2196" s="65"/>
    </row>
    <row r="2197" spans="1:37" hidden="1">
      <c r="C2197" s="79"/>
      <c r="D2197" s="79"/>
      <c r="E2197" s="79"/>
      <c r="F2197" s="79"/>
      <c r="G2197" s="79"/>
      <c r="H2197" s="79"/>
      <c r="I2197" s="79"/>
      <c r="J2197" s="79"/>
      <c r="S2197" s="65"/>
      <c r="T2197" s="65"/>
      <c r="AJ2197" s="66"/>
      <c r="AK2197" s="65"/>
    </row>
    <row r="2198" spans="1:37" hidden="1">
      <c r="A2198" s="65">
        <f>A2196+1</f>
        <v>10</v>
      </c>
      <c r="B2198" s="66" t="s">
        <v>916</v>
      </c>
      <c r="C2198" s="78">
        <v>706</v>
      </c>
      <c r="D2198" s="79">
        <v>0</v>
      </c>
      <c r="E2198" s="79">
        <f>ROUND(((D2198/D$2212)*E$2212),0)</f>
        <v>0</v>
      </c>
      <c r="F2198" s="79">
        <f>C2198-D2198</f>
        <v>706</v>
      </c>
      <c r="G2198" s="79">
        <f>ROUND(((F2198/F$2212)*G$2212),0)</f>
        <v>0</v>
      </c>
      <c r="H2198" s="79">
        <v>0</v>
      </c>
      <c r="I2198" s="79">
        <f>E2198+G2198+H2198</f>
        <v>0</v>
      </c>
      <c r="J2198" s="79">
        <f>ROUND(((I2198/I$2212)*J$2212),0)</f>
        <v>0</v>
      </c>
      <c r="K2198" s="79">
        <f>I2198+J2198</f>
        <v>0</v>
      </c>
      <c r="L2198" s="79">
        <f>ROUND(((C2198/C$2212)*L$2212),0)</f>
        <v>0</v>
      </c>
      <c r="N2198" s="79"/>
      <c r="O2198" s="79"/>
      <c r="P2198" s="79"/>
      <c r="Q2198" s="79"/>
      <c r="S2198" s="65"/>
      <c r="T2198" s="65"/>
      <c r="AJ2198" s="66"/>
      <c r="AK2198" s="65"/>
    </row>
    <row r="2199" spans="1:37" hidden="1">
      <c r="D2199" s="79"/>
      <c r="E2199" s="79"/>
      <c r="F2199" s="79"/>
      <c r="G2199" s="79"/>
      <c r="H2199" s="79"/>
      <c r="I2199" s="79"/>
      <c r="J2199" s="79"/>
      <c r="S2199" s="65"/>
      <c r="T2199" s="65"/>
      <c r="AJ2199" s="66"/>
      <c r="AK2199" s="65"/>
    </row>
    <row r="2200" spans="1:37" hidden="1">
      <c r="A2200" s="65">
        <f>A2198+1</f>
        <v>11</v>
      </c>
      <c r="B2200" s="66" t="s">
        <v>917</v>
      </c>
      <c r="C2200" s="78">
        <v>900</v>
      </c>
      <c r="D2200" s="79">
        <f>C2200</f>
        <v>900</v>
      </c>
      <c r="E2200" s="79">
        <f>ROUND(((D2200/D$2212)*E$2212),0)</f>
        <v>0</v>
      </c>
      <c r="F2200" s="79">
        <f>C2200-D2200</f>
        <v>0</v>
      </c>
      <c r="G2200" s="79">
        <f>ROUND(((F2200/F$2212)*G$2212),0)</f>
        <v>0</v>
      </c>
      <c r="H2200" s="79">
        <v>0</v>
      </c>
      <c r="I2200" s="79">
        <f>E2200+G2200+H2200</f>
        <v>0</v>
      </c>
      <c r="J2200" s="79">
        <f>ROUND(((I2200/I$2212)*J$2212),0)</f>
        <v>0</v>
      </c>
      <c r="K2200" s="79">
        <f>I2200+J2200</f>
        <v>0</v>
      </c>
      <c r="L2200" s="79">
        <f>ROUND(((C2200/C$2212)*L$2212),0)</f>
        <v>0</v>
      </c>
      <c r="N2200" s="79"/>
      <c r="O2200" s="79"/>
      <c r="P2200" s="79"/>
      <c r="Q2200" s="79"/>
      <c r="S2200" s="65"/>
      <c r="T2200" s="65"/>
      <c r="AJ2200" s="66"/>
      <c r="AK2200" s="65"/>
    </row>
    <row r="2201" spans="1:37" hidden="1">
      <c r="D2201" s="79"/>
      <c r="E2201" s="79"/>
      <c r="F2201" s="79"/>
      <c r="G2201" s="79"/>
      <c r="H2201" s="79"/>
      <c r="I2201" s="79"/>
      <c r="J2201" s="79"/>
      <c r="S2201" s="65"/>
      <c r="T2201" s="65"/>
      <c r="AJ2201" s="66"/>
      <c r="AK2201" s="65"/>
    </row>
    <row r="2202" spans="1:37" hidden="1">
      <c r="A2202" s="65">
        <f>A2200+1</f>
        <v>12</v>
      </c>
      <c r="B2202" s="66" t="s">
        <v>918</v>
      </c>
      <c r="C2202" s="78">
        <v>2575</v>
      </c>
      <c r="D2202" s="79">
        <v>0</v>
      </c>
      <c r="E2202" s="79">
        <f>ROUND(((D2202/D$2212)*E$2212),0)</f>
        <v>0</v>
      </c>
      <c r="F2202" s="79">
        <f>C2202-D2202</f>
        <v>2575</v>
      </c>
      <c r="G2202" s="79">
        <f>ROUND(((F2202/F$2212)*G$2212),0)</f>
        <v>0</v>
      </c>
      <c r="H2202" s="79">
        <v>0</v>
      </c>
      <c r="I2202" s="79">
        <f>E2202+G2202+H2202</f>
        <v>0</v>
      </c>
      <c r="J2202" s="79">
        <f>ROUND(((I2202/I$2212)*J$2212),0)</f>
        <v>0</v>
      </c>
      <c r="K2202" s="79">
        <f>I2202+J2202</f>
        <v>0</v>
      </c>
      <c r="L2202" s="79">
        <f>ROUND(((C2202/C$2212)*L$2212),0)</f>
        <v>0</v>
      </c>
      <c r="N2202" s="79"/>
      <c r="O2202" s="79"/>
      <c r="P2202" s="79"/>
      <c r="Q2202" s="79"/>
      <c r="S2202" s="65"/>
      <c r="T2202" s="65"/>
      <c r="AJ2202" s="66"/>
      <c r="AK2202" s="65"/>
    </row>
    <row r="2203" spans="1:37" hidden="1">
      <c r="C2203" s="79"/>
      <c r="D2203" s="79"/>
      <c r="E2203" s="79"/>
      <c r="F2203" s="79"/>
      <c r="G2203" s="79"/>
      <c r="H2203" s="79"/>
      <c r="I2203" s="79"/>
      <c r="J2203" s="79"/>
      <c r="S2203" s="65"/>
      <c r="T2203" s="65"/>
      <c r="AJ2203" s="66"/>
      <c r="AK2203" s="65"/>
    </row>
    <row r="2204" spans="1:37" hidden="1">
      <c r="A2204" s="65">
        <f>A2202+1</f>
        <v>13</v>
      </c>
      <c r="B2204" s="66" t="s">
        <v>756</v>
      </c>
      <c r="C2204" s="79">
        <f>(C2198+C2200+C2202)</f>
        <v>4181</v>
      </c>
      <c r="D2204" s="79">
        <f>SUM(D2198:D2202)</f>
        <v>900</v>
      </c>
      <c r="E2204" s="79">
        <f>SUM(E2198:E2202)</f>
        <v>0</v>
      </c>
      <c r="F2204" s="79">
        <f>C2204-D2204</f>
        <v>3281</v>
      </c>
      <c r="G2204" s="79">
        <f>SUM(G2198:G2202)</f>
        <v>0</v>
      </c>
      <c r="H2204" s="79">
        <f>SUM(H2198:H2202)</f>
        <v>0</v>
      </c>
      <c r="I2204" s="79">
        <f>SUM(I2198:I2202)</f>
        <v>0</v>
      </c>
      <c r="J2204" s="79">
        <f>SUM(J2198:J2202)</f>
        <v>0</v>
      </c>
      <c r="K2204" s="79">
        <f>I2204+J2204</f>
        <v>0</v>
      </c>
      <c r="L2204" s="79">
        <f>SUM(L2198:L2202)</f>
        <v>0</v>
      </c>
      <c r="N2204" s="79"/>
      <c r="O2204" s="79"/>
      <c r="P2204" s="79"/>
      <c r="Q2204" s="79"/>
      <c r="S2204" s="65"/>
      <c r="T2204" s="65"/>
      <c r="AJ2204" s="66"/>
      <c r="AK2204" s="65"/>
    </row>
    <row r="2205" spans="1:37" hidden="1">
      <c r="C2205" s="79"/>
      <c r="D2205" s="79"/>
      <c r="E2205" s="79"/>
      <c r="F2205" s="79"/>
      <c r="G2205" s="79"/>
      <c r="H2205" s="79"/>
      <c r="I2205" s="79"/>
      <c r="J2205" s="79"/>
      <c r="S2205" s="65"/>
      <c r="T2205" s="65"/>
      <c r="AJ2205" s="66"/>
      <c r="AK2205" s="65"/>
    </row>
    <row r="2206" spans="1:37" hidden="1">
      <c r="A2206" s="65">
        <f>A2204+1</f>
        <v>14</v>
      </c>
      <c r="B2206" s="66" t="s">
        <v>919</v>
      </c>
      <c r="C2206" s="78">
        <v>1058</v>
      </c>
      <c r="D2206" s="79">
        <f>ROUND(((D$2204/C$2204)*C2206),0)</f>
        <v>228</v>
      </c>
      <c r="E2206" s="79">
        <f>ROUND(((D2206/D$2212)*E$2212),0)</f>
        <v>0</v>
      </c>
      <c r="F2206" s="79">
        <f>C2206-D2206</f>
        <v>830</v>
      </c>
      <c r="G2206" s="79">
        <f>ROUND(((F2206/F$2212)*G$2212),0)</f>
        <v>0</v>
      </c>
      <c r="H2206" s="79">
        <v>0</v>
      </c>
      <c r="I2206" s="79">
        <f>E2206+G2206+H2206</f>
        <v>0</v>
      </c>
      <c r="J2206" s="79">
        <f>ROUND(((I2206/I$2212)*J$2212),0)</f>
        <v>0</v>
      </c>
      <c r="K2206" s="79">
        <f>I2206+J2206</f>
        <v>0</v>
      </c>
      <c r="L2206" s="79">
        <f>ROUND(((C2206/C$2212)*L$2212),0)</f>
        <v>0</v>
      </c>
      <c r="N2206" s="79"/>
      <c r="O2206" s="79"/>
      <c r="P2206" s="79"/>
      <c r="Q2206" s="79"/>
      <c r="S2206" s="65"/>
      <c r="T2206" s="65"/>
      <c r="AJ2206" s="66"/>
      <c r="AK2206" s="65"/>
    </row>
    <row r="2207" spans="1:37" hidden="1">
      <c r="D2207" s="79"/>
      <c r="E2207" s="79"/>
      <c r="F2207" s="79"/>
      <c r="G2207" s="79"/>
      <c r="H2207" s="79"/>
      <c r="I2207" s="79"/>
      <c r="J2207" s="79"/>
      <c r="S2207" s="65"/>
      <c r="T2207" s="65"/>
      <c r="AJ2207" s="66"/>
      <c r="AK2207" s="65"/>
    </row>
    <row r="2208" spans="1:37" hidden="1">
      <c r="A2208" s="65">
        <f>A2206+1</f>
        <v>15</v>
      </c>
      <c r="B2208" s="66" t="s">
        <v>920</v>
      </c>
      <c r="C2208" s="78">
        <f>144+1</f>
        <v>145</v>
      </c>
      <c r="D2208" s="79">
        <f>ROUND(((D$2204/C$2204)*C2208),0)</f>
        <v>31</v>
      </c>
      <c r="E2208" s="79">
        <f>ROUND(((D2208/D$2212)*E$2212),0)</f>
        <v>0</v>
      </c>
      <c r="F2208" s="79">
        <f>C2208-D2208</f>
        <v>114</v>
      </c>
      <c r="G2208" s="79">
        <f>ROUND(((F2208/F$2212)*G$2212),0)</f>
        <v>0</v>
      </c>
      <c r="H2208" s="79">
        <v>0</v>
      </c>
      <c r="I2208" s="79">
        <f>E2208+G2208+H2208</f>
        <v>0</v>
      </c>
      <c r="J2208" s="79">
        <f>ROUND(((I2208/I$2212)*J$2212),0)</f>
        <v>0</v>
      </c>
      <c r="K2208" s="79">
        <f>I2208+J2208</f>
        <v>0</v>
      </c>
      <c r="L2208" s="79">
        <f>ROUND(((C2208/C$2212)*L$2212),0)</f>
        <v>0</v>
      </c>
      <c r="N2208" s="79"/>
      <c r="O2208" s="79"/>
      <c r="P2208" s="79"/>
      <c r="Q2208" s="79"/>
      <c r="S2208" s="65"/>
      <c r="T2208" s="65"/>
      <c r="AJ2208" s="66"/>
      <c r="AK2208" s="65"/>
    </row>
    <row r="2209" spans="1:37" hidden="1">
      <c r="C2209" s="79"/>
      <c r="D2209" s="79"/>
      <c r="E2209" s="79"/>
      <c r="F2209" s="79"/>
      <c r="G2209" s="79"/>
      <c r="H2209" s="79"/>
      <c r="I2209" s="79"/>
      <c r="J2209" s="79"/>
      <c r="S2209" s="65"/>
      <c r="T2209" s="65"/>
      <c r="AJ2209" s="66"/>
      <c r="AK2209" s="65"/>
    </row>
    <row r="2210" spans="1:37" hidden="1">
      <c r="A2210" s="65">
        <f>A2208+1</f>
        <v>16</v>
      </c>
      <c r="B2210" s="66" t="s">
        <v>921</v>
      </c>
      <c r="C2210" s="79">
        <f>(C2204+C2206+C2208)</f>
        <v>5384</v>
      </c>
      <c r="D2210" s="79">
        <f>D2204+D2206+D2208</f>
        <v>1159</v>
      </c>
      <c r="E2210" s="79">
        <f>E2204+E2206+E2208</f>
        <v>0</v>
      </c>
      <c r="F2210" s="79">
        <f>C2210-D2210</f>
        <v>4225</v>
      </c>
      <c r="G2210" s="79">
        <f>G2204+G2206+G2208</f>
        <v>0</v>
      </c>
      <c r="H2210" s="79">
        <f>H2204+H2206+H2208</f>
        <v>0</v>
      </c>
      <c r="I2210" s="79">
        <f>I2204+I2206+I2208</f>
        <v>0</v>
      </c>
      <c r="J2210" s="79">
        <f>J2204+J2206+J2208</f>
        <v>0</v>
      </c>
      <c r="K2210" s="79">
        <f>I2210+J2210</f>
        <v>0</v>
      </c>
      <c r="L2210" s="79">
        <f>L2204+L2206+L2208</f>
        <v>0</v>
      </c>
      <c r="N2210" s="79"/>
      <c r="O2210" s="79"/>
      <c r="P2210" s="79"/>
      <c r="Q2210" s="79"/>
      <c r="S2210" s="65"/>
      <c r="T2210" s="65"/>
      <c r="AJ2210" s="66"/>
      <c r="AK2210" s="65"/>
    </row>
    <row r="2211" spans="1:37" hidden="1">
      <c r="C2211" s="79"/>
      <c r="D2211" s="79"/>
      <c r="E2211" s="79"/>
      <c r="F2211" s="79"/>
      <c r="G2211" s="79"/>
      <c r="H2211" s="79"/>
      <c r="I2211" s="79"/>
      <c r="J2211" s="79"/>
      <c r="S2211" s="65"/>
      <c r="T2211" s="65"/>
      <c r="AJ2211" s="66"/>
      <c r="AK2211" s="65"/>
    </row>
    <row r="2212" spans="1:37" hidden="1">
      <c r="A2212" s="65">
        <f>A2210+1</f>
        <v>17</v>
      </c>
      <c r="B2212" s="66" t="s">
        <v>922</v>
      </c>
      <c r="C2212" s="79">
        <f>(C2196+C2210)</f>
        <v>11612</v>
      </c>
      <c r="D2212" s="79">
        <f>D2196+D2210</f>
        <v>6782</v>
      </c>
      <c r="E2212" s="78">
        <v>2.6960000000000002</v>
      </c>
      <c r="F2212" s="79">
        <f>F2196+F2210</f>
        <v>4666</v>
      </c>
      <c r="G2212" s="78">
        <v>0</v>
      </c>
      <c r="H2212" s="79">
        <f>H2196+H2210</f>
        <v>3</v>
      </c>
      <c r="I2212" s="79">
        <f>I2196+I2210+0.0005</f>
        <v>3.0005000000000002</v>
      </c>
      <c r="J2212" s="78">
        <v>0</v>
      </c>
      <c r="K2212" s="79">
        <f>I2212+J2212</f>
        <v>3.0005000000000002</v>
      </c>
      <c r="L2212" s="66">
        <v>0</v>
      </c>
      <c r="N2212" s="79"/>
      <c r="AJ2212" s="66"/>
      <c r="AK2212" s="65"/>
    </row>
    <row r="2213" spans="1:37" hidden="1">
      <c r="C2213" s="79"/>
      <c r="D2213" s="79"/>
      <c r="E2213" s="79"/>
      <c r="F2213" s="79"/>
      <c r="G2213" s="79"/>
      <c r="H2213" s="79"/>
      <c r="I2213" s="79"/>
      <c r="J2213" s="79"/>
      <c r="N2213" s="79"/>
      <c r="W2213" s="99"/>
      <c r="X2213" s="99"/>
      <c r="AJ2213" s="66"/>
      <c r="AK2213" s="65"/>
    </row>
    <row r="2214" spans="1:37" hidden="1">
      <c r="A2214" s="65">
        <f>A2212+1</f>
        <v>18</v>
      </c>
      <c r="C2214" s="79"/>
      <c r="D2214" s="79"/>
      <c r="E2214" s="79"/>
      <c r="F2214" s="79"/>
      <c r="G2214" s="79"/>
      <c r="H2214" s="79"/>
      <c r="I2214" s="79"/>
      <c r="J2214" s="79"/>
      <c r="K2214" s="79"/>
      <c r="N2214" s="79"/>
      <c r="AJ2214" s="66"/>
      <c r="AK2214" s="65"/>
    </row>
    <row r="2215" spans="1:37" hidden="1">
      <c r="B2215" s="99" t="s">
        <v>923</v>
      </c>
      <c r="C2215" s="99"/>
      <c r="D2215" s="99"/>
      <c r="E2215" s="99"/>
      <c r="F2215" s="99"/>
      <c r="G2215" s="99"/>
      <c r="H2215" s="99"/>
      <c r="I2215" s="79"/>
      <c r="J2215" s="79"/>
      <c r="K2215" s="79"/>
      <c r="N2215" s="79"/>
      <c r="AJ2215" s="66"/>
      <c r="AK2215" s="65"/>
    </row>
    <row r="2216" spans="1:37" hidden="1">
      <c r="I2216" s="79"/>
      <c r="J2216" s="79"/>
      <c r="K2216" s="79"/>
      <c r="L2216" s="79"/>
      <c r="N2216" s="79"/>
      <c r="AJ2216" s="66"/>
      <c r="AK2216" s="65"/>
    </row>
    <row r="2217" spans="1:37" hidden="1">
      <c r="C2217" s="80" t="s">
        <v>924</v>
      </c>
      <c r="D2217" s="79"/>
      <c r="E2217" s="79"/>
      <c r="F2217" s="79"/>
      <c r="G2217" s="79"/>
      <c r="H2217" s="79"/>
      <c r="I2217" s="79"/>
      <c r="J2217" s="79"/>
      <c r="K2217" s="79"/>
      <c r="L2217" s="79"/>
      <c r="N2217" s="79"/>
      <c r="AJ2217" s="66"/>
      <c r="AK2217" s="65"/>
    </row>
    <row r="2218" spans="1:37" hidden="1">
      <c r="C2218" s="80" t="s">
        <v>859</v>
      </c>
      <c r="D2218" s="80" t="s">
        <v>117</v>
      </c>
      <c r="E2218" s="79"/>
      <c r="F2218" s="80"/>
      <c r="H2218" s="79"/>
      <c r="I2218" s="79"/>
      <c r="J2218" s="79"/>
      <c r="K2218" s="79"/>
      <c r="L2218" s="79"/>
      <c r="N2218" s="79"/>
      <c r="W2218" s="65"/>
      <c r="X2218" s="65"/>
      <c r="AJ2218" s="66"/>
      <c r="AK2218" s="65"/>
    </row>
    <row r="2219" spans="1:37" hidden="1">
      <c r="C2219" s="80" t="s">
        <v>925</v>
      </c>
      <c r="D2219" s="80" t="s">
        <v>859</v>
      </c>
      <c r="E2219" s="65" t="s">
        <v>885</v>
      </c>
      <c r="F2219" s="80"/>
      <c r="I2219" s="79"/>
      <c r="J2219" s="79"/>
      <c r="K2219" s="79"/>
      <c r="L2219" s="79"/>
      <c r="N2219" s="79"/>
      <c r="AJ2219" s="66"/>
      <c r="AK2219" s="65"/>
    </row>
    <row r="2220" spans="1:37" hidden="1">
      <c r="B2220" s="65" t="s">
        <v>926</v>
      </c>
      <c r="C2220" s="80" t="s">
        <v>927</v>
      </c>
      <c r="D2220" s="80" t="s">
        <v>927</v>
      </c>
      <c r="E2220" s="80" t="s">
        <v>859</v>
      </c>
      <c r="F2220" s="80"/>
      <c r="I2220" s="79"/>
      <c r="J2220" s="79"/>
      <c r="K2220" s="79"/>
      <c r="L2220" s="79"/>
      <c r="N2220" s="79"/>
      <c r="AJ2220" s="66"/>
      <c r="AK2220" s="65"/>
    </row>
    <row r="2221" spans="1:37" hidden="1">
      <c r="B2221" s="66" t="s">
        <v>254</v>
      </c>
      <c r="C2221" s="79">
        <f>ROUND(+C2266/1000,0)</f>
        <v>40707</v>
      </c>
      <c r="D2221" s="79">
        <f>H2110</f>
        <v>2249</v>
      </c>
      <c r="E2221" s="79">
        <f>(C2221-D2221)</f>
        <v>38458</v>
      </c>
      <c r="F2221" s="79"/>
      <c r="I2221" s="79"/>
      <c r="J2221" s="79"/>
      <c r="K2221" s="79"/>
      <c r="L2221" s="79"/>
      <c r="N2221" s="79"/>
      <c r="AJ2221" s="66"/>
      <c r="AK2221" s="65"/>
    </row>
    <row r="2222" spans="1:37" hidden="1">
      <c r="B2222" s="66" t="s">
        <v>231</v>
      </c>
      <c r="C2222" s="79">
        <f>ROUND(+C2267/1000,0)</f>
        <v>3347</v>
      </c>
      <c r="D2222" s="79">
        <f>H2112</f>
        <v>0</v>
      </c>
      <c r="E2222" s="79">
        <f>(C2222-D2222)</f>
        <v>3347</v>
      </c>
      <c r="F2222" s="79"/>
      <c r="I2222" s="79"/>
      <c r="J2222" s="79"/>
      <c r="K2222" s="79"/>
      <c r="L2222" s="79"/>
      <c r="N2222" s="79"/>
      <c r="AJ2222" s="66"/>
      <c r="AK2222" s="65"/>
    </row>
    <row r="2223" spans="1:37" hidden="1">
      <c r="B2223" s="66" t="s">
        <v>241</v>
      </c>
      <c r="C2223" s="79">
        <f>ROUND(+C2268/1000,0)</f>
        <v>16768</v>
      </c>
      <c r="D2223" s="79">
        <v>0</v>
      </c>
      <c r="E2223" s="79">
        <f>(C2223-D2223)</f>
        <v>16768</v>
      </c>
      <c r="F2223" s="79"/>
      <c r="I2223" s="79"/>
      <c r="J2223" s="79"/>
      <c r="K2223" s="79"/>
      <c r="L2223" s="79"/>
      <c r="M2223" s="79"/>
      <c r="N2223" s="79"/>
      <c r="AJ2223" s="66"/>
      <c r="AK2223" s="65"/>
    </row>
    <row r="2224" spans="1:37" hidden="1">
      <c r="B2224" s="66" t="s">
        <v>928</v>
      </c>
      <c r="C2224" s="79">
        <f>ROUND(+C2269/1000,0)</f>
        <v>10193</v>
      </c>
      <c r="D2224" s="79">
        <v>0</v>
      </c>
      <c r="E2224" s="79">
        <f>(C2224-D2224)</f>
        <v>10193</v>
      </c>
      <c r="F2224" s="79"/>
      <c r="I2224" s="79"/>
      <c r="J2224" s="79"/>
      <c r="K2224" s="79"/>
      <c r="L2224" s="79"/>
      <c r="M2224" s="79"/>
      <c r="N2224" s="79"/>
      <c r="W2224" s="65"/>
      <c r="X2224" s="65"/>
      <c r="AJ2224" s="66"/>
      <c r="AK2224" s="65"/>
    </row>
    <row r="2225" spans="2:37" ht="13.5" hidden="1" thickBot="1">
      <c r="B2225" s="66" t="s">
        <v>929</v>
      </c>
      <c r="C2225" s="141">
        <f>ROUND(+C2270/1000,0)</f>
        <v>11051</v>
      </c>
      <c r="D2225" s="141">
        <v>0</v>
      </c>
      <c r="E2225" s="141">
        <f>(C2225-D2225)</f>
        <v>11051</v>
      </c>
      <c r="F2225" s="142"/>
      <c r="I2225" s="79"/>
      <c r="J2225" s="79"/>
      <c r="K2225" s="79"/>
      <c r="L2225" s="79"/>
      <c r="M2225" s="79"/>
      <c r="N2225" s="79"/>
      <c r="AJ2225" s="66"/>
      <c r="AK2225" s="65"/>
    </row>
    <row r="2226" spans="2:37" ht="13.5" hidden="1" thickTop="1">
      <c r="B2226" s="65" t="s">
        <v>59</v>
      </c>
      <c r="C2226" s="79">
        <f>SUM(C2221:C2225)</f>
        <v>82066</v>
      </c>
      <c r="D2226" s="79">
        <f>SUM(D2221:D2225)</f>
        <v>2249</v>
      </c>
      <c r="E2226" s="79">
        <f>SUM(E2221:E2225)</f>
        <v>79817</v>
      </c>
      <c r="F2226" s="79"/>
      <c r="I2226" s="79"/>
      <c r="J2226" s="79"/>
      <c r="K2226" s="79"/>
      <c r="L2226" s="79"/>
      <c r="M2226" s="79"/>
      <c r="N2226" s="79"/>
      <c r="AJ2226" s="66"/>
      <c r="AK2226" s="65"/>
    </row>
    <row r="2227" spans="2:37" hidden="1">
      <c r="C2227" s="79"/>
      <c r="D2227" s="79"/>
      <c r="E2227" s="79"/>
      <c r="F2227" s="79"/>
      <c r="H2227" s="79"/>
      <c r="I2227" s="79"/>
      <c r="J2227" s="79"/>
      <c r="K2227" s="79"/>
      <c r="L2227" s="79"/>
      <c r="M2227" s="79"/>
      <c r="N2227" s="79"/>
      <c r="W2227" s="65"/>
      <c r="X2227" s="65"/>
      <c r="AJ2227" s="66"/>
      <c r="AK2227" s="65"/>
    </row>
    <row r="2228" spans="2:37" hidden="1">
      <c r="C2228" s="79"/>
      <c r="D2228" s="79"/>
      <c r="E2228" s="79"/>
      <c r="F2228" s="79"/>
      <c r="H2228" s="79"/>
      <c r="I2228" s="79"/>
      <c r="J2228" s="79"/>
      <c r="K2228" s="79"/>
      <c r="L2228" s="79"/>
      <c r="M2228" s="79"/>
      <c r="N2228" s="79"/>
      <c r="AJ2228" s="66"/>
      <c r="AK2228" s="65"/>
    </row>
    <row r="2229" spans="2:37" hidden="1">
      <c r="B2229" s="65" t="s">
        <v>930</v>
      </c>
      <c r="C2229" s="79"/>
      <c r="D2229" s="79"/>
      <c r="E2229" s="79"/>
      <c r="F2229" s="79"/>
      <c r="G2229" s="79"/>
      <c r="H2229" s="79"/>
      <c r="I2229" s="79"/>
      <c r="J2229" s="79"/>
      <c r="K2229" s="79"/>
      <c r="L2229" s="79"/>
      <c r="M2229" s="79"/>
      <c r="N2229" s="79"/>
      <c r="AJ2229" s="66"/>
      <c r="AK2229" s="65"/>
    </row>
    <row r="2230" spans="2:37" hidden="1">
      <c r="B2230" s="66" t="s">
        <v>254</v>
      </c>
      <c r="C2230" s="79">
        <f>ROUND((C2221/$C$2226)*$C$2235,0)-1</f>
        <v>-1464</v>
      </c>
      <c r="D2230" s="79">
        <f>ROUND((($D$2221/$D$2226)*$D$2235),0)</f>
        <v>-81</v>
      </c>
      <c r="E2230" s="79"/>
      <c r="F2230" s="79"/>
      <c r="G2230" s="79"/>
      <c r="H2230" s="79"/>
      <c r="I2230" s="79"/>
      <c r="J2230" s="79"/>
      <c r="K2230" s="79"/>
      <c r="L2230" s="79"/>
      <c r="M2230" s="79"/>
      <c r="N2230" s="79"/>
      <c r="AJ2230" s="66"/>
      <c r="AK2230" s="65"/>
    </row>
    <row r="2231" spans="2:37" hidden="1">
      <c r="B2231" s="66" t="s">
        <v>231</v>
      </c>
      <c r="C2231" s="79">
        <f>ROUND((C2222/$C$2226)*$C$2235,0)</f>
        <v>-120</v>
      </c>
      <c r="D2231" s="79">
        <f>ROUND((D2222/D2226)*D2235,0)</f>
        <v>0</v>
      </c>
      <c r="E2231" s="79"/>
      <c r="F2231" s="79"/>
      <c r="G2231" s="79"/>
      <c r="H2231" s="79"/>
      <c r="I2231" s="79"/>
      <c r="J2231" s="79"/>
      <c r="K2231" s="79"/>
      <c r="L2231" s="79"/>
      <c r="M2231" s="79"/>
      <c r="N2231" s="79"/>
      <c r="AJ2231" s="66"/>
      <c r="AK2231" s="65"/>
    </row>
    <row r="2232" spans="2:37" hidden="1">
      <c r="B2232" s="66" t="s">
        <v>241</v>
      </c>
      <c r="C2232" s="79">
        <f>ROUND((C2223/$C$2226)*$C$2235,0)</f>
        <v>-603</v>
      </c>
      <c r="D2232" s="79">
        <v>0</v>
      </c>
      <c r="E2232" s="79"/>
      <c r="F2232" s="79"/>
      <c r="G2232" s="79"/>
      <c r="H2232" s="79"/>
      <c r="I2232" s="79"/>
      <c r="J2232" s="79"/>
      <c r="K2232" s="79"/>
      <c r="L2232" s="79"/>
      <c r="M2232" s="79"/>
      <c r="N2232" s="79"/>
      <c r="AJ2232" s="66"/>
      <c r="AK2232" s="65"/>
    </row>
    <row r="2233" spans="2:37" hidden="1">
      <c r="B2233" s="66" t="s">
        <v>928</v>
      </c>
      <c r="C2233" s="79">
        <f>ROUND((C2224/$C$2226)*$C$2235,0)</f>
        <v>-366</v>
      </c>
      <c r="D2233" s="79">
        <v>0</v>
      </c>
      <c r="E2233" s="79"/>
      <c r="F2233" s="79"/>
      <c r="G2233" s="79"/>
      <c r="H2233" s="79"/>
      <c r="I2233" s="79"/>
      <c r="J2233" s="79"/>
      <c r="K2233" s="79"/>
      <c r="L2233" s="79"/>
      <c r="M2233" s="79"/>
      <c r="N2233" s="79"/>
      <c r="W2233" s="65"/>
      <c r="X2233" s="65"/>
      <c r="AJ2233" s="66"/>
      <c r="AK2233" s="65"/>
    </row>
    <row r="2234" spans="2:37" ht="13.5" hidden="1" thickBot="1">
      <c r="B2234" s="66" t="s">
        <v>929</v>
      </c>
      <c r="C2234" s="141">
        <f>ROUND((C2225/$C$2226)*$C$2235,0)</f>
        <v>-397</v>
      </c>
      <c r="D2234" s="141">
        <v>0</v>
      </c>
      <c r="E2234" s="142"/>
      <c r="F2234" s="142"/>
      <c r="G2234" s="79"/>
      <c r="H2234" s="79"/>
      <c r="I2234" s="79"/>
      <c r="J2234" s="79"/>
      <c r="K2234" s="79"/>
      <c r="L2234" s="79"/>
      <c r="M2234" s="79"/>
      <c r="N2234" s="79"/>
      <c r="AJ2234" s="66"/>
      <c r="AK2234" s="65"/>
    </row>
    <row r="2235" spans="2:37" ht="13.5" hidden="1" thickTop="1">
      <c r="B2235" s="65" t="s">
        <v>931</v>
      </c>
      <c r="C2235" s="78">
        <v>-2950</v>
      </c>
      <c r="D2235" s="79">
        <f>($D$2226/$C$2226)*C2235</f>
        <v>-80.844076718738577</v>
      </c>
      <c r="E2235" s="79"/>
      <c r="F2235" s="79"/>
      <c r="G2235" s="79"/>
      <c r="H2235" s="79"/>
      <c r="I2235" s="79"/>
      <c r="J2235" s="79"/>
      <c r="K2235" s="79"/>
      <c r="L2235" s="79"/>
      <c r="M2235" s="79"/>
      <c r="N2235" s="79"/>
      <c r="AJ2235" s="66"/>
      <c r="AK2235" s="65"/>
    </row>
    <row r="2236" spans="2:37" hidden="1">
      <c r="C2236" s="79"/>
      <c r="D2236" s="79"/>
      <c r="E2236" s="79"/>
      <c r="F2236" s="79"/>
      <c r="G2236" s="79"/>
      <c r="H2236" s="79"/>
      <c r="I2236" s="79"/>
      <c r="J2236" s="79"/>
      <c r="K2236" s="79"/>
      <c r="L2236" s="79"/>
      <c r="M2236" s="79"/>
      <c r="N2236" s="79"/>
      <c r="W2236" s="65"/>
      <c r="X2236" s="65"/>
      <c r="AJ2236" s="66"/>
      <c r="AK2236" s="65"/>
    </row>
    <row r="2237" spans="2:37" hidden="1">
      <c r="C2237" s="79"/>
      <c r="D2237" s="79"/>
      <c r="E2237" s="79"/>
      <c r="F2237" s="79"/>
      <c r="G2237" s="79"/>
      <c r="H2237" s="79"/>
      <c r="I2237" s="79"/>
      <c r="J2237" s="79"/>
      <c r="K2237" s="79"/>
      <c r="L2237" s="79"/>
      <c r="M2237" s="79"/>
      <c r="N2237" s="79"/>
      <c r="AJ2237" s="66"/>
      <c r="AK2237" s="65"/>
    </row>
    <row r="2238" spans="2:37" hidden="1">
      <c r="B2238" s="70" t="s">
        <v>932</v>
      </c>
      <c r="C2238" s="79"/>
      <c r="D2238" s="79"/>
      <c r="E2238" s="79"/>
      <c r="F2238" s="79"/>
      <c r="G2238" s="79"/>
      <c r="H2238" s="79"/>
      <c r="I2238" s="79"/>
      <c r="J2238" s="79"/>
      <c r="K2238" s="79"/>
      <c r="L2238" s="79"/>
      <c r="M2238" s="79"/>
      <c r="N2238" s="79"/>
      <c r="AJ2238" s="66"/>
      <c r="AK2238" s="65"/>
    </row>
    <row r="2239" spans="2:37" hidden="1">
      <c r="B2239" s="66" t="s">
        <v>254</v>
      </c>
      <c r="C2239" s="79">
        <f>ROUND(($E$2221/$E$2226)*$C$2244,0)</f>
        <v>37282</v>
      </c>
      <c r="D2239" s="79">
        <f>ROUND((($D$2221/$D$2226)*$D2244),0)</f>
        <v>0</v>
      </c>
      <c r="E2239" s="79"/>
      <c r="F2239" s="79"/>
      <c r="G2239" s="79"/>
      <c r="H2239" s="79"/>
      <c r="I2239" s="79"/>
      <c r="J2239" s="79"/>
      <c r="K2239" s="79"/>
      <c r="L2239" s="79"/>
      <c r="M2239" s="79"/>
      <c r="N2239" s="79"/>
      <c r="AJ2239" s="66"/>
      <c r="AK2239" s="65"/>
    </row>
    <row r="2240" spans="2:37" hidden="1">
      <c r="B2240" s="66" t="s">
        <v>231</v>
      </c>
      <c r="C2240" s="79">
        <f>ROUND(($E$2222/$E$2226)*$C$2244,0)</f>
        <v>3245</v>
      </c>
      <c r="D2240" s="79">
        <v>0</v>
      </c>
      <c r="E2240" s="79"/>
      <c r="F2240" s="79"/>
      <c r="G2240" s="79"/>
      <c r="H2240" s="79"/>
      <c r="I2240" s="79"/>
      <c r="J2240" s="79"/>
      <c r="K2240" s="79"/>
      <c r="L2240" s="79"/>
      <c r="M2240" s="79"/>
      <c r="N2240" s="79"/>
      <c r="AJ2240" s="66"/>
      <c r="AK2240" s="65"/>
    </row>
    <row r="2241" spans="2:37" hidden="1">
      <c r="B2241" s="66" t="s">
        <v>241</v>
      </c>
      <c r="C2241" s="79">
        <f>ROUND(($E$2223/$E$2226)*$C$2244,0)</f>
        <v>16255</v>
      </c>
      <c r="D2241" s="79">
        <v>0</v>
      </c>
      <c r="E2241" s="79"/>
      <c r="F2241" s="79"/>
      <c r="G2241" s="79"/>
      <c r="H2241" s="79"/>
      <c r="I2241" s="79"/>
      <c r="J2241" s="79"/>
      <c r="K2241" s="79"/>
      <c r="L2241" s="79"/>
      <c r="M2241" s="79"/>
      <c r="N2241" s="79"/>
      <c r="AJ2241" s="66"/>
      <c r="AK2241" s="65"/>
    </row>
    <row r="2242" spans="2:37" hidden="1">
      <c r="B2242" s="66" t="s">
        <v>928</v>
      </c>
      <c r="C2242" s="79">
        <f>ROUND(($E$2224/$E$2226)*$C$2244,0)</f>
        <v>9881</v>
      </c>
      <c r="D2242" s="79">
        <v>0</v>
      </c>
      <c r="E2242" s="79"/>
      <c r="F2242" s="79"/>
      <c r="G2242" s="79"/>
      <c r="H2242" s="79"/>
      <c r="I2242" s="79"/>
      <c r="J2242" s="79"/>
      <c r="K2242" s="79"/>
      <c r="L2242" s="79"/>
      <c r="M2242" s="79"/>
      <c r="N2242" s="79"/>
      <c r="W2242" s="65"/>
      <c r="X2242" s="65"/>
      <c r="AJ2242" s="66"/>
      <c r="AK2242" s="65"/>
    </row>
    <row r="2243" spans="2:37" ht="13.5" hidden="1" thickBot="1">
      <c r="B2243" s="66" t="s">
        <v>929</v>
      </c>
      <c r="C2243" s="141">
        <f>ROUND(($E$2225/$E$2226)*$C$2244,0)</f>
        <v>10713</v>
      </c>
      <c r="D2243" s="141">
        <v>0</v>
      </c>
      <c r="E2243" s="142"/>
      <c r="F2243" s="142"/>
      <c r="G2243" s="79"/>
      <c r="H2243" s="79"/>
      <c r="I2243" s="79"/>
      <c r="J2243" s="79"/>
      <c r="K2243" s="79"/>
      <c r="L2243" s="79"/>
      <c r="M2243" s="79"/>
      <c r="N2243" s="79"/>
      <c r="W2243" s="65"/>
      <c r="X2243" s="65"/>
      <c r="AJ2243" s="66"/>
      <c r="AK2243" s="65"/>
    </row>
    <row r="2244" spans="2:37" ht="13.5" hidden="1" thickTop="1">
      <c r="B2244" s="65" t="s">
        <v>933</v>
      </c>
      <c r="C2244" s="78">
        <v>77376</v>
      </c>
      <c r="D2244" s="79">
        <v>0</v>
      </c>
      <c r="E2244" s="79"/>
      <c r="F2244" s="79"/>
      <c r="G2244" s="79"/>
      <c r="H2244" s="79"/>
      <c r="I2244" s="79"/>
      <c r="J2244" s="79"/>
      <c r="K2244" s="79"/>
      <c r="L2244" s="79"/>
      <c r="M2244" s="79"/>
      <c r="N2244" s="79"/>
      <c r="W2244" s="65"/>
      <c r="X2244" s="65"/>
      <c r="AJ2244" s="66"/>
      <c r="AK2244" s="65"/>
    </row>
    <row r="2245" spans="2:37" hidden="1">
      <c r="B2245" s="65"/>
      <c r="C2245" s="78"/>
      <c r="D2245" s="79"/>
      <c r="E2245" s="79"/>
      <c r="F2245" s="79"/>
      <c r="G2245" s="79"/>
      <c r="H2245" s="79"/>
      <c r="I2245" s="79"/>
      <c r="J2245" s="79"/>
      <c r="K2245" s="79"/>
      <c r="L2245" s="79"/>
      <c r="M2245" s="79"/>
      <c r="N2245" s="79"/>
      <c r="AJ2245" s="66"/>
      <c r="AK2245" s="65"/>
    </row>
    <row r="2246" spans="2:37" hidden="1">
      <c r="B2246" s="70" t="s">
        <v>287</v>
      </c>
      <c r="C2246" s="78"/>
      <c r="D2246" s="79"/>
      <c r="E2246" s="79"/>
      <c r="F2246" s="79"/>
      <c r="G2246" s="79"/>
      <c r="H2246" s="79"/>
      <c r="I2246" s="79"/>
      <c r="J2246" s="79"/>
      <c r="K2246" s="79"/>
      <c r="L2246" s="79"/>
      <c r="M2246" s="79"/>
      <c r="N2246" s="79"/>
      <c r="AJ2246" s="66"/>
      <c r="AK2246" s="65"/>
    </row>
    <row r="2247" spans="2:37" hidden="1">
      <c r="B2247" s="66" t="s">
        <v>254</v>
      </c>
      <c r="C2247" s="79">
        <f>ROUND(($E$2221/$E$2226)*$C$2252,0)-1</f>
        <v>-30696</v>
      </c>
      <c r="D2247" s="79">
        <v>0</v>
      </c>
      <c r="E2247" s="79"/>
      <c r="F2247" s="79"/>
      <c r="G2247" s="79"/>
      <c r="H2247" s="79"/>
      <c r="I2247" s="79"/>
      <c r="J2247" s="79"/>
      <c r="K2247" s="79"/>
      <c r="L2247" s="79"/>
      <c r="M2247" s="79"/>
      <c r="N2247" s="79"/>
      <c r="AJ2247" s="66"/>
      <c r="AK2247" s="65"/>
    </row>
    <row r="2248" spans="2:37" hidden="1">
      <c r="B2248" s="66" t="s">
        <v>231</v>
      </c>
      <c r="C2248" s="79">
        <f>ROUND(($E$2222/$E$2226)*$C$2252,0)</f>
        <v>-2671</v>
      </c>
      <c r="D2248" s="79">
        <f>ROUND((($D2222/$D$2226)*$D$2252),0)</f>
        <v>0</v>
      </c>
      <c r="E2248" s="79"/>
      <c r="F2248" s="79"/>
      <c r="G2248" s="79"/>
      <c r="H2248" s="79"/>
      <c r="I2248" s="79"/>
      <c r="J2248" s="79"/>
      <c r="K2248" s="79"/>
      <c r="L2248" s="79"/>
      <c r="M2248" s="79"/>
      <c r="N2248" s="79"/>
      <c r="AJ2248" s="66"/>
      <c r="AK2248" s="65"/>
    </row>
    <row r="2249" spans="2:37" hidden="1">
      <c r="B2249" s="66" t="s">
        <v>241</v>
      </c>
      <c r="C2249" s="79">
        <f>ROUND(($E$2223/$E$2226)*$C$2252,0)</f>
        <v>-13383</v>
      </c>
      <c r="D2249" s="79">
        <f>ROUND((($D2223/$D$2226)*$D$2252),0)</f>
        <v>0</v>
      </c>
      <c r="E2249" s="79"/>
      <c r="F2249" s="79"/>
      <c r="G2249" s="79"/>
      <c r="H2249" s="79"/>
      <c r="I2249" s="79"/>
      <c r="J2249" s="79"/>
      <c r="K2249" s="79"/>
      <c r="L2249" s="79"/>
      <c r="M2249" s="79"/>
      <c r="N2249" s="79"/>
      <c r="AJ2249" s="66"/>
      <c r="AK2249" s="65"/>
    </row>
    <row r="2250" spans="2:37" hidden="1">
      <c r="B2250" s="66" t="s">
        <v>928</v>
      </c>
      <c r="C2250" s="79">
        <f>ROUND(($E$2224/$E$2226)*$C$2252,0)</f>
        <v>-8136</v>
      </c>
      <c r="D2250" s="79">
        <f>ROUND((($D2224/$D$2226)*$D$2252),0)</f>
        <v>0</v>
      </c>
      <c r="E2250" s="79"/>
      <c r="F2250" s="79"/>
      <c r="G2250" s="79"/>
      <c r="H2250" s="79"/>
      <c r="I2250" s="79"/>
      <c r="J2250" s="79"/>
      <c r="K2250" s="79"/>
      <c r="L2250" s="79"/>
      <c r="M2250" s="79"/>
      <c r="N2250" s="79"/>
      <c r="W2250" s="65"/>
      <c r="X2250" s="65"/>
      <c r="AJ2250" s="66"/>
      <c r="AK2250" s="65"/>
    </row>
    <row r="2251" spans="2:37" ht="13.5" hidden="1" thickBot="1">
      <c r="B2251" s="66" t="s">
        <v>929</v>
      </c>
      <c r="C2251" s="141">
        <f>ROUND(($E$2225/$E$2226)*$C$2252,0)</f>
        <v>-8820</v>
      </c>
      <c r="D2251" s="79">
        <f>ROUND((($D2225/$D$2226)*$D$2252),0)</f>
        <v>0</v>
      </c>
      <c r="E2251" s="79"/>
      <c r="F2251" s="79"/>
      <c r="G2251" s="79"/>
      <c r="H2251" s="79"/>
      <c r="I2251" s="79"/>
      <c r="J2251" s="79"/>
      <c r="K2251" s="79"/>
      <c r="L2251" s="79"/>
      <c r="M2251" s="79"/>
      <c r="N2251" s="79"/>
      <c r="W2251" s="65"/>
      <c r="X2251" s="65"/>
      <c r="AJ2251" s="66"/>
      <c r="AK2251" s="65"/>
    </row>
    <row r="2252" spans="2:37" ht="13.5" hidden="1" thickTop="1">
      <c r="B2252" s="65" t="s">
        <v>933</v>
      </c>
      <c r="C2252" s="143">
        <v>-63706</v>
      </c>
      <c r="D2252" s="144">
        <v>0</v>
      </c>
      <c r="E2252" s="142"/>
      <c r="F2252" s="142"/>
      <c r="G2252" s="79"/>
      <c r="H2252" s="79"/>
      <c r="I2252" s="79"/>
      <c r="J2252" s="79"/>
      <c r="K2252" s="79"/>
      <c r="L2252" s="79"/>
      <c r="M2252" s="79"/>
      <c r="N2252" s="79"/>
      <c r="AJ2252" s="66"/>
      <c r="AK2252" s="65"/>
    </row>
    <row r="2253" spans="2:37" hidden="1">
      <c r="B2253" s="65"/>
      <c r="C2253" s="78"/>
      <c r="D2253" s="79"/>
      <c r="E2253" s="79"/>
      <c r="F2253" s="79"/>
      <c r="G2253" s="79"/>
      <c r="H2253" s="79"/>
      <c r="I2253" s="79"/>
      <c r="J2253" s="79"/>
      <c r="K2253" s="79"/>
      <c r="L2253" s="79"/>
      <c r="M2253" s="79"/>
      <c r="N2253" s="79"/>
      <c r="AJ2253" s="66"/>
      <c r="AK2253" s="65"/>
    </row>
    <row r="2254" spans="2:37" hidden="1">
      <c r="C2254" s="79"/>
      <c r="D2254" s="79"/>
      <c r="E2254" s="79"/>
      <c r="F2254" s="79"/>
      <c r="G2254" s="79"/>
      <c r="H2254" s="79"/>
      <c r="I2254" s="79"/>
      <c r="J2254" s="79"/>
      <c r="K2254" s="79"/>
      <c r="L2254" s="79"/>
      <c r="M2254" s="79"/>
      <c r="N2254" s="79"/>
      <c r="AJ2254" s="66"/>
      <c r="AK2254" s="65"/>
    </row>
    <row r="2255" spans="2:37" hidden="1">
      <c r="B2255" s="66" t="s">
        <v>934</v>
      </c>
      <c r="C2255" s="79"/>
      <c r="D2255" s="79"/>
      <c r="E2255" s="79"/>
      <c r="F2255" s="79"/>
      <c r="G2255" s="79"/>
      <c r="H2255" s="79"/>
      <c r="I2255" s="79"/>
      <c r="J2255" s="79"/>
      <c r="K2255" s="79"/>
      <c r="L2255" s="79"/>
      <c r="M2255" s="79"/>
      <c r="N2255" s="79"/>
      <c r="AJ2255" s="66"/>
      <c r="AK2255" s="65"/>
    </row>
    <row r="2256" spans="2:37" hidden="1">
      <c r="B2256" s="66" t="s">
        <v>935</v>
      </c>
      <c r="C2256" s="79"/>
      <c r="D2256" s="79"/>
      <c r="E2256" s="79"/>
      <c r="F2256" s="79"/>
      <c r="G2256" s="79"/>
      <c r="H2256" s="79"/>
      <c r="I2256" s="79"/>
      <c r="J2256" s="79"/>
      <c r="K2256" s="79"/>
      <c r="L2256" s="79"/>
      <c r="M2256" s="79"/>
      <c r="N2256" s="79"/>
      <c r="AJ2256" s="66"/>
      <c r="AK2256" s="65"/>
    </row>
    <row r="2257" spans="2:37" hidden="1">
      <c r="B2257" s="66" t="s">
        <v>936</v>
      </c>
      <c r="C2257" s="79"/>
      <c r="D2257" s="79"/>
      <c r="E2257" s="79"/>
      <c r="F2257" s="79"/>
      <c r="G2257" s="79"/>
      <c r="H2257" s="79"/>
      <c r="I2257" s="79"/>
      <c r="J2257" s="79"/>
      <c r="K2257" s="79"/>
      <c r="L2257" s="79"/>
      <c r="M2257" s="79"/>
      <c r="N2257" s="79"/>
      <c r="AJ2257" s="66"/>
      <c r="AK2257" s="65"/>
    </row>
    <row r="2258" spans="2:37" hidden="1">
      <c r="C2258" s="79"/>
      <c r="D2258" s="79"/>
      <c r="E2258" s="79"/>
      <c r="F2258" s="79"/>
      <c r="G2258" s="79"/>
      <c r="H2258" s="79"/>
      <c r="I2258" s="79"/>
      <c r="J2258" s="79"/>
      <c r="K2258" s="79"/>
      <c r="L2258" s="79"/>
      <c r="M2258" s="79"/>
      <c r="N2258" s="79"/>
      <c r="AJ2258" s="66"/>
      <c r="AK2258" s="65"/>
    </row>
    <row r="2259" spans="2:37" hidden="1">
      <c r="C2259" s="79"/>
      <c r="D2259" s="79"/>
      <c r="E2259" s="79"/>
      <c r="F2259" s="79"/>
      <c r="G2259" s="79"/>
      <c r="H2259" s="79"/>
      <c r="I2259" s="79"/>
      <c r="J2259" s="79"/>
      <c r="K2259" s="79"/>
      <c r="L2259" s="79"/>
      <c r="M2259" s="79"/>
      <c r="N2259" s="79"/>
      <c r="W2259" s="99"/>
      <c r="X2259" s="99"/>
      <c r="AJ2259" s="66"/>
      <c r="AK2259" s="65"/>
    </row>
    <row r="2260" spans="2:37" hidden="1">
      <c r="C2260" s="79"/>
      <c r="D2260" s="79"/>
      <c r="E2260" s="79"/>
      <c r="F2260" s="79"/>
      <c r="G2260" s="79"/>
      <c r="H2260" s="79"/>
      <c r="I2260" s="79"/>
      <c r="J2260" s="79"/>
      <c r="K2260" s="79"/>
      <c r="L2260" s="79"/>
      <c r="M2260" s="79"/>
      <c r="N2260" s="79"/>
      <c r="AJ2260" s="66"/>
      <c r="AK2260" s="65"/>
    </row>
    <row r="2261" spans="2:37" hidden="1">
      <c r="B2261" s="99" t="s">
        <v>937</v>
      </c>
      <c r="C2261" s="99"/>
      <c r="D2261" s="99"/>
      <c r="E2261" s="99"/>
      <c r="F2261" s="99"/>
      <c r="G2261" s="99"/>
      <c r="H2261" s="99"/>
      <c r="I2261" s="99"/>
      <c r="J2261" s="99"/>
      <c r="K2261" s="79"/>
      <c r="L2261" s="79"/>
      <c r="M2261" s="79"/>
      <c r="N2261" s="79"/>
      <c r="AJ2261" s="66"/>
      <c r="AK2261" s="65"/>
    </row>
    <row r="2262" spans="2:37" hidden="1">
      <c r="G2262" s="65" t="s">
        <v>938</v>
      </c>
      <c r="H2262" s="65" t="s">
        <v>939</v>
      </c>
      <c r="K2262" s="79"/>
      <c r="L2262" s="79"/>
      <c r="M2262" s="79"/>
      <c r="N2262" s="79"/>
      <c r="W2262" s="65"/>
      <c r="X2262" s="65"/>
      <c r="AJ2262" s="66"/>
      <c r="AK2262" s="65"/>
    </row>
    <row r="2263" spans="2:37" hidden="1">
      <c r="C2263" s="65" t="s">
        <v>938</v>
      </c>
      <c r="E2263" s="65" t="s">
        <v>938</v>
      </c>
      <c r="G2263" s="65" t="s">
        <v>940</v>
      </c>
      <c r="H2263" s="65" t="s">
        <v>941</v>
      </c>
      <c r="K2263" s="79"/>
      <c r="L2263" s="79"/>
      <c r="M2263" s="79"/>
      <c r="N2263" s="79"/>
      <c r="AJ2263" s="66"/>
      <c r="AK2263" s="65"/>
    </row>
    <row r="2264" spans="2:37" hidden="1">
      <c r="B2264" s="65" t="s">
        <v>858</v>
      </c>
      <c r="C2264" s="65" t="s">
        <v>940</v>
      </c>
      <c r="E2264" s="65" t="s">
        <v>117</v>
      </c>
      <c r="G2264" s="65" t="s">
        <v>942</v>
      </c>
      <c r="H2264" s="65" t="s">
        <v>59</v>
      </c>
      <c r="K2264" s="79"/>
      <c r="L2264" s="79"/>
      <c r="M2264" s="79"/>
      <c r="N2264" s="79"/>
      <c r="AJ2264" s="66"/>
      <c r="AK2264" s="65"/>
    </row>
    <row r="2265" spans="2:37" hidden="1">
      <c r="K2265" s="79"/>
      <c r="L2265" s="79"/>
      <c r="M2265" s="79"/>
      <c r="N2265" s="79"/>
      <c r="AJ2265" s="66"/>
      <c r="AK2265" s="65"/>
    </row>
    <row r="2266" spans="2:37" hidden="1">
      <c r="B2266" s="66" t="s">
        <v>254</v>
      </c>
      <c r="C2266" s="145">
        <f>32876252+5581917+2248804</f>
        <v>40706973</v>
      </c>
      <c r="E2266" s="145">
        <v>2248804</v>
      </c>
      <c r="G2266" s="146">
        <f t="shared" ref="G2266:G2274" si="981">(C2266-E2266)</f>
        <v>38458169</v>
      </c>
      <c r="H2266" s="93">
        <f>ROUND((G2266/H2269),4)</f>
        <v>0.65659999999999996</v>
      </c>
      <c r="K2266" s="79"/>
      <c r="L2266" s="79"/>
      <c r="M2266" s="79"/>
      <c r="N2266" s="79"/>
      <c r="AJ2266" s="66"/>
      <c r="AK2266" s="65"/>
    </row>
    <row r="2267" spans="2:37" hidden="1">
      <c r="B2267" s="66" t="s">
        <v>231</v>
      </c>
      <c r="C2267" s="145">
        <f>3336758+10110</f>
        <v>3346868</v>
      </c>
      <c r="E2267" s="145">
        <v>0</v>
      </c>
      <c r="G2267" s="146">
        <f t="shared" si="981"/>
        <v>3346868</v>
      </c>
      <c r="H2267" s="93">
        <f>ROUND((G2267/H2269),4)</f>
        <v>5.7099999999999998E-2</v>
      </c>
      <c r="K2267" s="79"/>
      <c r="L2267" s="79"/>
      <c r="M2267" s="79"/>
      <c r="N2267" s="79"/>
      <c r="AJ2267" s="66"/>
      <c r="AK2267" s="65"/>
    </row>
    <row r="2268" spans="2:37" hidden="1">
      <c r="B2268" s="66" t="s">
        <v>241</v>
      </c>
      <c r="C2268" s="145">
        <v>16767527</v>
      </c>
      <c r="E2268" s="145">
        <v>0</v>
      </c>
      <c r="G2268" s="146">
        <f t="shared" si="981"/>
        <v>16767527</v>
      </c>
      <c r="H2268" s="93">
        <f>ROUND((G2268/H2269),4)</f>
        <v>0.2863</v>
      </c>
      <c r="K2268" s="79"/>
      <c r="L2268" s="79"/>
      <c r="M2268" s="79"/>
      <c r="N2268" s="79"/>
      <c r="AJ2268" s="66"/>
      <c r="AK2268" s="65"/>
    </row>
    <row r="2269" spans="2:37" hidden="1">
      <c r="B2269" s="66" t="s">
        <v>266</v>
      </c>
      <c r="C2269" s="145">
        <v>10193408</v>
      </c>
      <c r="E2269" s="145">
        <v>0</v>
      </c>
      <c r="G2269" s="146">
        <f t="shared" si="981"/>
        <v>10193408</v>
      </c>
      <c r="H2269" s="146">
        <f>(G2266+G2267+G2268)</f>
        <v>58572564</v>
      </c>
      <c r="K2269" s="79"/>
      <c r="L2269" s="79"/>
      <c r="M2269" s="79"/>
      <c r="N2269" s="79"/>
      <c r="AJ2269" s="66"/>
      <c r="AK2269" s="65"/>
    </row>
    <row r="2270" spans="2:37" hidden="1">
      <c r="B2270" s="66" t="s">
        <v>943</v>
      </c>
      <c r="C2270" s="145">
        <f>10762784+288288</f>
        <v>11051072</v>
      </c>
      <c r="E2270" s="145">
        <v>0</v>
      </c>
      <c r="G2270" s="146">
        <f>(C2270-E2270)</f>
        <v>11051072</v>
      </c>
      <c r="K2270" s="79"/>
      <c r="L2270" s="79"/>
      <c r="M2270" s="79"/>
      <c r="N2270" s="79"/>
      <c r="AJ2270" s="66"/>
      <c r="AK2270" s="65"/>
    </row>
    <row r="2271" spans="2:37" hidden="1">
      <c r="B2271" s="66" t="s">
        <v>944</v>
      </c>
      <c r="C2271" s="145">
        <f>14382698+527456</f>
        <v>14910154</v>
      </c>
      <c r="E2271" s="145">
        <v>527456</v>
      </c>
      <c r="G2271" s="146">
        <f t="shared" si="981"/>
        <v>14382698</v>
      </c>
      <c r="K2271" s="79"/>
      <c r="L2271" s="79"/>
      <c r="M2271" s="79"/>
      <c r="N2271" s="79"/>
      <c r="AJ2271" s="66"/>
      <c r="AK2271" s="65"/>
    </row>
    <row r="2272" spans="2:37" hidden="1">
      <c r="B2272" s="66" t="s">
        <v>884</v>
      </c>
      <c r="C2272" s="145">
        <v>0</v>
      </c>
      <c r="E2272" s="145">
        <v>0</v>
      </c>
      <c r="G2272" s="146">
        <f t="shared" si="981"/>
        <v>0</v>
      </c>
      <c r="K2272" s="79"/>
      <c r="L2272" s="79"/>
      <c r="M2272" s="79"/>
      <c r="N2272" s="79"/>
      <c r="AJ2272" s="66"/>
      <c r="AK2272" s="65"/>
    </row>
    <row r="2273" spans="2:37" hidden="1">
      <c r="B2273" s="66" t="s">
        <v>945</v>
      </c>
      <c r="C2273" s="145">
        <v>0</v>
      </c>
      <c r="E2273" s="145">
        <v>0</v>
      </c>
      <c r="G2273" s="146">
        <f t="shared" si="981"/>
        <v>0</v>
      </c>
      <c r="K2273" s="79"/>
      <c r="L2273" s="79"/>
      <c r="M2273" s="79"/>
      <c r="N2273" s="79"/>
      <c r="AJ2273" s="66"/>
      <c r="AK2273" s="65"/>
    </row>
    <row r="2274" spans="2:37" hidden="1">
      <c r="B2274" s="66" t="s">
        <v>946</v>
      </c>
      <c r="C2274" s="145">
        <v>0</v>
      </c>
      <c r="E2274" s="145">
        <v>0</v>
      </c>
      <c r="G2274" s="146">
        <f t="shared" si="981"/>
        <v>0</v>
      </c>
      <c r="K2274" s="79"/>
      <c r="L2274" s="79"/>
      <c r="M2274" s="79"/>
      <c r="N2274" s="79"/>
      <c r="W2274" s="65"/>
      <c r="X2274" s="65"/>
      <c r="AJ2274" s="66"/>
      <c r="AK2274" s="65"/>
    </row>
    <row r="2275" spans="2:37" ht="13.5" hidden="1" thickBot="1">
      <c r="C2275" s="147"/>
      <c r="E2275" s="147"/>
      <c r="G2275" s="147"/>
      <c r="K2275" s="79"/>
      <c r="L2275" s="79"/>
      <c r="M2275" s="79"/>
      <c r="N2275" s="79"/>
      <c r="AJ2275" s="66"/>
      <c r="AK2275" s="65"/>
    </row>
    <row r="2276" spans="2:37" hidden="1">
      <c r="B2276" s="65" t="s">
        <v>59</v>
      </c>
      <c r="C2276" s="146">
        <f>SUM(C2266:C2274)</f>
        <v>96976002</v>
      </c>
      <c r="E2276" s="146">
        <f>SUM(E2266:E2274)</f>
        <v>2776260</v>
      </c>
      <c r="G2276" s="146">
        <f>SUM(G2266:G2274)</f>
        <v>94199742</v>
      </c>
      <c r="K2276" s="79"/>
      <c r="L2276" s="79"/>
      <c r="M2276" s="79"/>
      <c r="N2276" s="79"/>
      <c r="AJ2276" s="66"/>
      <c r="AK2276" s="65"/>
    </row>
    <row r="2277" spans="2:37" hidden="1">
      <c r="K2277" s="79"/>
      <c r="L2277" s="79"/>
      <c r="M2277" s="79"/>
      <c r="N2277" s="79"/>
      <c r="W2277" s="99"/>
      <c r="X2277" s="99"/>
      <c r="AJ2277" s="66"/>
      <c r="AK2277" s="65"/>
    </row>
    <row r="2278" spans="2:37" hidden="1">
      <c r="K2278" s="79"/>
      <c r="L2278" s="79"/>
      <c r="M2278" s="79"/>
      <c r="N2278" s="79"/>
      <c r="AJ2278" s="66"/>
      <c r="AK2278" s="65"/>
    </row>
    <row r="2279" spans="2:37" hidden="1">
      <c r="B2279" s="99" t="s">
        <v>947</v>
      </c>
      <c r="C2279" s="99"/>
      <c r="D2279" s="99"/>
      <c r="E2279" s="99"/>
      <c r="F2279" s="99"/>
      <c r="G2279" s="99"/>
      <c r="H2279" s="99"/>
      <c r="K2279" s="79"/>
      <c r="L2279" s="79"/>
      <c r="M2279" s="79"/>
      <c r="N2279" s="79"/>
      <c r="W2279" s="65"/>
      <c r="X2279" s="65"/>
      <c r="AJ2279" s="66"/>
      <c r="AK2279" s="65"/>
    </row>
    <row r="2280" spans="2:37" hidden="1">
      <c r="K2280" s="79"/>
      <c r="L2280" s="79"/>
      <c r="M2280" s="79"/>
      <c r="N2280" s="79"/>
      <c r="W2280" s="65"/>
      <c r="X2280" s="65"/>
      <c r="AJ2280" s="66"/>
      <c r="AK2280" s="65"/>
    </row>
    <row r="2281" spans="2:37" hidden="1">
      <c r="B2281" s="65" t="s">
        <v>858</v>
      </c>
      <c r="K2281" s="79"/>
      <c r="L2281" s="79"/>
      <c r="M2281" s="79"/>
      <c r="N2281" s="79"/>
      <c r="W2281" s="65"/>
      <c r="X2281" s="65"/>
      <c r="AJ2281" s="66"/>
      <c r="AK2281" s="65"/>
    </row>
    <row r="2282" spans="2:37" hidden="1">
      <c r="B2282" s="65"/>
      <c r="C2282" s="65" t="s">
        <v>940</v>
      </c>
      <c r="E2282" s="65" t="s">
        <v>948</v>
      </c>
      <c r="K2282" s="79"/>
      <c r="L2282" s="79"/>
      <c r="M2282" s="79"/>
      <c r="N2282" s="79"/>
      <c r="AJ2282" s="66"/>
      <c r="AK2282" s="65"/>
    </row>
    <row r="2283" spans="2:37" hidden="1">
      <c r="B2283" s="65"/>
      <c r="C2283" s="65" t="s">
        <v>949</v>
      </c>
      <c r="E2283" s="65" t="s">
        <v>950</v>
      </c>
      <c r="F2283" s="65" t="s">
        <v>117</v>
      </c>
      <c r="G2283" s="65" t="s">
        <v>59</v>
      </c>
      <c r="K2283" s="79"/>
      <c r="L2283" s="79"/>
      <c r="M2283" s="79"/>
      <c r="N2283" s="79"/>
      <c r="AJ2283" s="66"/>
      <c r="AK2283" s="65"/>
    </row>
    <row r="2284" spans="2:37" hidden="1">
      <c r="K2284" s="79"/>
      <c r="L2284" s="79"/>
      <c r="M2284" s="79"/>
      <c r="N2284" s="79"/>
      <c r="AJ2284" s="66"/>
      <c r="AK2284" s="65"/>
    </row>
    <row r="2285" spans="2:37" hidden="1">
      <c r="B2285" s="66" t="s">
        <v>254</v>
      </c>
      <c r="C2285" s="78">
        <f>49509-22229-1</f>
        <v>27279</v>
      </c>
      <c r="E2285" s="66">
        <f>ROUND(C2288*H2266,0)</f>
        <v>4449</v>
      </c>
      <c r="F2285" s="66">
        <f>C2290</f>
        <v>1599</v>
      </c>
      <c r="G2285" s="79">
        <f>(C2285+E2285)+F2285</f>
        <v>33327</v>
      </c>
      <c r="K2285" s="79"/>
      <c r="L2285" s="79"/>
      <c r="M2285" s="79"/>
      <c r="N2285" s="79"/>
      <c r="AJ2285" s="66"/>
      <c r="AK2285" s="65"/>
    </row>
    <row r="2286" spans="2:37" hidden="1">
      <c r="B2286" s="66" t="s">
        <v>231</v>
      </c>
      <c r="C2286" s="78">
        <v>22632</v>
      </c>
      <c r="E2286" s="66">
        <f>ROUND(C2288*H2267,0)</f>
        <v>387</v>
      </c>
      <c r="G2286" s="79">
        <f>(C2286+E2286)</f>
        <v>23019</v>
      </c>
      <c r="K2286" s="79"/>
      <c r="L2286" s="79"/>
      <c r="M2286" s="79"/>
      <c r="N2286" s="79"/>
      <c r="AJ2286" s="66"/>
      <c r="AK2286" s="65"/>
    </row>
    <row r="2287" spans="2:37" hidden="1">
      <c r="B2287" s="66" t="s">
        <v>241</v>
      </c>
      <c r="C2287" s="78">
        <v>10616</v>
      </c>
      <c r="E2287" s="66">
        <f>ROUND(C2288*H2268,0)</f>
        <v>1940</v>
      </c>
      <c r="G2287" s="79">
        <f>(C2287+E2287)</f>
        <v>12556</v>
      </c>
      <c r="K2287" s="79"/>
      <c r="L2287" s="79"/>
      <c r="M2287" s="79"/>
      <c r="N2287" s="79"/>
      <c r="AJ2287" s="66"/>
      <c r="AK2287" s="65"/>
    </row>
    <row r="2288" spans="2:37" hidden="1">
      <c r="B2288" s="66" t="s">
        <v>218</v>
      </c>
      <c r="C2288" s="78">
        <v>6776</v>
      </c>
      <c r="K2288" s="79"/>
      <c r="L2288" s="79"/>
      <c r="M2288" s="79"/>
      <c r="N2288" s="79"/>
      <c r="AJ2288" s="66"/>
      <c r="AK2288" s="65"/>
    </row>
    <row r="2289" spans="1:37" hidden="1">
      <c r="C2289" s="66">
        <f>SUM(C2285:C2288)</f>
        <v>67303</v>
      </c>
      <c r="E2289" s="66">
        <f>SUM(E2285:E2288)</f>
        <v>6776</v>
      </c>
      <c r="F2289" s="66">
        <f>SUM(F2285:F2288)</f>
        <v>1599</v>
      </c>
      <c r="G2289" s="66">
        <f>SUM(G2285:G2288)</f>
        <v>68902</v>
      </c>
      <c r="K2289" s="79"/>
      <c r="L2289" s="79"/>
      <c r="M2289" s="79"/>
      <c r="N2289" s="79"/>
      <c r="AJ2289" s="66"/>
      <c r="AK2289" s="65"/>
    </row>
    <row r="2290" spans="1:37" hidden="1">
      <c r="B2290" s="71" t="s">
        <v>951</v>
      </c>
      <c r="C2290" s="78">
        <v>1599</v>
      </c>
      <c r="K2290" s="79"/>
      <c r="L2290" s="79"/>
      <c r="M2290" s="79"/>
      <c r="N2290" s="79"/>
      <c r="AJ2290" s="66"/>
      <c r="AK2290" s="65"/>
    </row>
    <row r="2291" spans="1:37" hidden="1">
      <c r="B2291" s="66" t="s">
        <v>59</v>
      </c>
      <c r="C2291" s="79">
        <f>C2289+C2290</f>
        <v>68902</v>
      </c>
      <c r="D2291" s="79"/>
      <c r="E2291" s="79"/>
      <c r="F2291" s="79"/>
      <c r="G2291" s="79">
        <f>G2289+G2290</f>
        <v>68902</v>
      </c>
      <c r="H2291" s="79"/>
      <c r="K2291" s="79"/>
      <c r="L2291" s="79"/>
      <c r="M2291" s="79"/>
      <c r="N2291" s="79"/>
      <c r="AJ2291" s="66"/>
      <c r="AK2291" s="65"/>
    </row>
    <row r="2292" spans="1:37" hidden="1">
      <c r="D2292" s="79"/>
      <c r="E2292" s="79"/>
      <c r="F2292" s="79"/>
      <c r="G2292" s="79"/>
      <c r="H2292" s="79"/>
      <c r="K2292" s="79"/>
      <c r="L2292" s="79"/>
      <c r="M2292" s="79"/>
      <c r="N2292" s="79"/>
      <c r="AJ2292" s="66"/>
      <c r="AK2292" s="65"/>
    </row>
    <row r="2293" spans="1:37" hidden="1">
      <c r="B2293" s="66" t="s">
        <v>952</v>
      </c>
      <c r="C2293" s="79"/>
      <c r="D2293" s="79"/>
      <c r="E2293" s="79"/>
      <c r="F2293" s="79"/>
      <c r="G2293" s="79"/>
      <c r="H2293" s="79"/>
      <c r="K2293" s="79"/>
      <c r="L2293" s="79"/>
      <c r="M2293" s="79"/>
      <c r="N2293" s="79"/>
      <c r="AJ2293" s="66"/>
      <c r="AK2293" s="65"/>
    </row>
    <row r="2294" spans="1:37" hidden="1">
      <c r="C2294" s="79"/>
      <c r="D2294" s="79"/>
      <c r="E2294" s="79"/>
      <c r="F2294" s="79"/>
      <c r="G2294" s="79"/>
      <c r="H2294" s="79"/>
      <c r="K2294" s="79"/>
      <c r="L2294" s="79"/>
      <c r="M2294" s="79"/>
      <c r="N2294" s="79"/>
      <c r="AJ2294" s="66"/>
    </row>
    <row r="2295" spans="1:37" hidden="1">
      <c r="C2295" s="79"/>
      <c r="D2295" s="79"/>
      <c r="E2295" s="79"/>
      <c r="F2295" s="79"/>
      <c r="G2295" s="79"/>
      <c r="H2295" s="79"/>
      <c r="K2295" s="79"/>
      <c r="L2295" s="79"/>
      <c r="M2295" s="79"/>
      <c r="N2295" s="79"/>
      <c r="AJ2295" s="66"/>
    </row>
    <row r="2296" spans="1:37" hidden="1">
      <c r="C2296" s="79"/>
      <c r="D2296" s="79"/>
      <c r="E2296" s="79"/>
      <c r="F2296" s="79"/>
      <c r="G2296" s="79"/>
      <c r="H2296" s="79"/>
      <c r="K2296" s="79"/>
      <c r="L2296" s="79"/>
      <c r="M2296" s="79"/>
      <c r="N2296" s="79"/>
      <c r="AJ2296" s="66"/>
    </row>
    <row r="2297" spans="1:37" hidden="1">
      <c r="C2297" s="79"/>
      <c r="D2297" s="79"/>
      <c r="E2297" s="79"/>
      <c r="F2297" s="79"/>
      <c r="G2297" s="79"/>
      <c r="H2297" s="79"/>
      <c r="K2297" s="79"/>
      <c r="L2297" s="79"/>
      <c r="M2297" s="79"/>
      <c r="N2297" s="79"/>
      <c r="AJ2297" s="66"/>
    </row>
    <row r="2298" spans="1:37" hidden="1">
      <c r="B2298" s="72"/>
      <c r="D2298" s="71" t="s">
        <v>953</v>
      </c>
      <c r="K2298" s="79"/>
      <c r="L2298" s="79"/>
      <c r="M2298" s="79"/>
      <c r="N2298" s="79"/>
      <c r="AJ2298" s="66"/>
    </row>
    <row r="2299" spans="1:37" hidden="1">
      <c r="D2299" s="66" t="s">
        <v>954</v>
      </c>
      <c r="K2299" s="79"/>
      <c r="L2299" s="79"/>
      <c r="M2299" s="79"/>
      <c r="N2299" s="79"/>
      <c r="AJ2299" s="66"/>
    </row>
    <row r="2300" spans="1:37" hidden="1">
      <c r="A2300" s="66"/>
      <c r="D2300" s="66" t="s">
        <v>955</v>
      </c>
      <c r="K2300" s="79"/>
      <c r="L2300" s="79"/>
      <c r="M2300" s="79"/>
      <c r="N2300" s="79"/>
      <c r="AJ2300" s="66"/>
    </row>
    <row r="2301" spans="1:37" hidden="1">
      <c r="A2301" s="66"/>
      <c r="K2301" s="79"/>
      <c r="L2301" s="79"/>
      <c r="M2301" s="79"/>
      <c r="N2301" s="79"/>
      <c r="AJ2301" s="66"/>
    </row>
    <row r="2302" spans="1:37" hidden="1">
      <c r="A2302" s="66"/>
      <c r="C2302" s="65" t="s">
        <v>956</v>
      </c>
      <c r="D2302" s="65" t="s">
        <v>956</v>
      </c>
      <c r="E2302" s="65" t="s">
        <v>957</v>
      </c>
      <c r="F2302" s="65" t="s">
        <v>957</v>
      </c>
      <c r="K2302" s="79"/>
      <c r="L2302" s="79"/>
      <c r="M2302" s="79"/>
      <c r="N2302" s="79"/>
      <c r="AJ2302" s="66"/>
    </row>
    <row r="2303" spans="1:37" hidden="1">
      <c r="A2303" s="66"/>
      <c r="B2303" s="65" t="s">
        <v>900</v>
      </c>
      <c r="C2303" s="65" t="s">
        <v>958</v>
      </c>
      <c r="D2303" s="65" t="s">
        <v>959</v>
      </c>
      <c r="E2303" s="65" t="s">
        <v>958</v>
      </c>
      <c r="F2303" s="65" t="s">
        <v>959</v>
      </c>
      <c r="G2303" s="65" t="s">
        <v>59</v>
      </c>
      <c r="K2303" s="79"/>
      <c r="L2303" s="79"/>
      <c r="M2303" s="79"/>
      <c r="N2303" s="79"/>
      <c r="AJ2303" s="66"/>
    </row>
    <row r="2304" spans="1:37" hidden="1">
      <c r="A2304" s="66"/>
      <c r="B2304" s="65" t="s">
        <v>960</v>
      </c>
      <c r="C2304" s="65" t="s">
        <v>961</v>
      </c>
      <c r="D2304" s="65" t="s">
        <v>962</v>
      </c>
      <c r="E2304" s="65" t="s">
        <v>961</v>
      </c>
      <c r="F2304" s="65" t="s">
        <v>962</v>
      </c>
      <c r="G2304" s="65" t="s">
        <v>963</v>
      </c>
      <c r="K2304" s="79"/>
      <c r="L2304" s="79"/>
      <c r="M2304" s="79"/>
      <c r="N2304" s="79"/>
      <c r="AJ2304" s="66"/>
    </row>
    <row r="2305" spans="1:36" hidden="1">
      <c r="A2305" s="66"/>
      <c r="B2305" s="65" t="s">
        <v>964</v>
      </c>
      <c r="C2305" s="148">
        <v>50.9</v>
      </c>
      <c r="D2305" s="148">
        <v>27.2</v>
      </c>
      <c r="E2305" s="148">
        <v>14.3</v>
      </c>
      <c r="F2305" s="148">
        <v>7.6</v>
      </c>
      <c r="G2305" s="66">
        <f>C2305+D2305+E2305+F2305</f>
        <v>99.999999999999986</v>
      </c>
      <c r="K2305" s="79"/>
      <c r="L2305" s="79"/>
      <c r="M2305" s="79"/>
      <c r="N2305" s="79"/>
      <c r="AJ2305" s="66"/>
    </row>
    <row r="2306" spans="1:36" hidden="1">
      <c r="A2306" s="66"/>
      <c r="B2306" s="65" t="s">
        <v>965</v>
      </c>
      <c r="C2306" s="148">
        <v>10.4</v>
      </c>
      <c r="D2306" s="148">
        <v>68.099999999999994</v>
      </c>
      <c r="E2306" s="148">
        <v>2.8</v>
      </c>
      <c r="F2306" s="148">
        <v>18.7</v>
      </c>
      <c r="G2306" s="66">
        <f>C2306+D2306+E2306+F2306</f>
        <v>100</v>
      </c>
      <c r="K2306" s="79"/>
      <c r="L2306" s="79"/>
      <c r="M2306" s="79"/>
      <c r="N2306" s="79"/>
      <c r="AJ2306" s="66"/>
    </row>
    <row r="2307" spans="1:36" hidden="1">
      <c r="A2307" s="66"/>
      <c r="B2307" s="65" t="s">
        <v>966</v>
      </c>
      <c r="C2307" s="148">
        <v>2.7</v>
      </c>
      <c r="D2307" s="148">
        <v>54.8</v>
      </c>
      <c r="E2307" s="148">
        <v>1.2</v>
      </c>
      <c r="F2307" s="148">
        <v>41.3</v>
      </c>
      <c r="G2307" s="66">
        <f>C2307+D2307+E2307+F2307</f>
        <v>100</v>
      </c>
      <c r="K2307" s="79"/>
      <c r="L2307" s="79"/>
      <c r="M2307" s="79"/>
      <c r="N2307" s="79"/>
      <c r="AJ2307" s="66"/>
    </row>
    <row r="2308" spans="1:36" hidden="1">
      <c r="A2308" s="66"/>
      <c r="B2308" s="65" t="s">
        <v>967</v>
      </c>
      <c r="C2308" s="148">
        <v>3.4</v>
      </c>
      <c r="D2308" s="148">
        <v>67.900000000000006</v>
      </c>
      <c r="E2308" s="148">
        <v>1.4</v>
      </c>
      <c r="F2308" s="148">
        <v>27.3</v>
      </c>
      <c r="G2308" s="66">
        <f>C2308+D2308+E2308+F2308</f>
        <v>100.00000000000001</v>
      </c>
      <c r="K2308" s="79"/>
      <c r="L2308" s="79"/>
      <c r="M2308" s="79"/>
      <c r="N2308" s="79"/>
      <c r="AJ2308" s="66"/>
    </row>
    <row r="2309" spans="1:36" hidden="1">
      <c r="A2309" s="66"/>
      <c r="B2309" s="65" t="s">
        <v>968</v>
      </c>
      <c r="C2309" s="148">
        <v>0.9</v>
      </c>
      <c r="D2309" s="148">
        <v>15.6</v>
      </c>
      <c r="E2309" s="148">
        <v>24.5</v>
      </c>
      <c r="F2309" s="148">
        <v>59</v>
      </c>
      <c r="G2309" s="66">
        <f>C2309+D2309+E2309+F2309</f>
        <v>100</v>
      </c>
      <c r="K2309" s="79"/>
      <c r="L2309" s="79"/>
      <c r="M2309" s="79"/>
      <c r="N2309" s="79"/>
      <c r="AJ2309" s="66"/>
    </row>
    <row r="2310" spans="1:36">
      <c r="A2310" s="66"/>
      <c r="B2310" s="65"/>
      <c r="C2310" s="128"/>
      <c r="D2310" s="128"/>
      <c r="E2310" s="149"/>
      <c r="F2310" s="128"/>
      <c r="K2310" s="79"/>
      <c r="L2310" s="79"/>
      <c r="M2310" s="79"/>
      <c r="N2310" s="79"/>
      <c r="AJ2310" s="66"/>
    </row>
    <row r="2311" spans="1:36">
      <c r="A2311" s="66"/>
      <c r="B2311" s="65"/>
      <c r="C2311" s="128"/>
      <c r="D2311" s="128"/>
      <c r="E2311" s="149"/>
      <c r="F2311" s="128"/>
      <c r="K2311" s="79"/>
      <c r="L2311" s="79"/>
      <c r="M2311" s="79"/>
      <c r="N2311" s="79"/>
      <c r="AJ2311" s="66"/>
    </row>
    <row r="2312" spans="1:36">
      <c r="A2312" s="66"/>
      <c r="B2312" s="65"/>
      <c r="C2312" s="150"/>
      <c r="D2312" s="150"/>
      <c r="E2312" s="149"/>
      <c r="I2312" s="79"/>
      <c r="J2312" s="79"/>
      <c r="K2312" s="79"/>
      <c r="L2312" s="79"/>
      <c r="M2312" s="79"/>
      <c r="N2312" s="79"/>
      <c r="AJ2312" s="66"/>
    </row>
    <row r="2313" spans="1:36">
      <c r="A2313" s="66"/>
      <c r="B2313" s="65"/>
      <c r="C2313" s="150"/>
      <c r="D2313" s="150"/>
      <c r="E2313" s="149"/>
      <c r="I2313" s="79"/>
      <c r="J2313" s="79"/>
      <c r="K2313" s="79"/>
      <c r="L2313" s="79"/>
      <c r="M2313" s="79"/>
      <c r="N2313" s="79"/>
      <c r="AJ2313" s="66"/>
    </row>
    <row r="2314" spans="1:36">
      <c r="A2314" s="66"/>
      <c r="C2314" s="150"/>
      <c r="D2314" s="150"/>
      <c r="U2314" s="66"/>
      <c r="V2314" s="66"/>
      <c r="AJ2314" s="66"/>
    </row>
    <row r="2315" spans="1:36">
      <c r="A2315" s="66"/>
      <c r="C2315" s="150">
        <f>C171+C173+C178+C180+C186+C188+C193+C195+C150+C152</f>
        <v>168784</v>
      </c>
      <c r="D2315" s="150"/>
      <c r="U2315" s="66"/>
      <c r="V2315" s="66"/>
      <c r="AJ2315" s="66"/>
    </row>
    <row r="2316" spans="1:36">
      <c r="A2316" s="66"/>
      <c r="C2316" s="150">
        <f>C115+C122+C129+C136+C153</f>
        <v>621341</v>
      </c>
      <c r="D2316" s="150"/>
      <c r="G2316" s="213">
        <f>C2315/C2316</f>
        <v>0.2716447168302108</v>
      </c>
      <c r="U2316" s="66"/>
      <c r="V2316" s="66"/>
      <c r="AJ2316" s="66"/>
    </row>
    <row r="2317" spans="1:36">
      <c r="A2317" s="66"/>
      <c r="U2317" s="66"/>
      <c r="V2317" s="66"/>
      <c r="AJ2317" s="66"/>
    </row>
    <row r="2318" spans="1:36">
      <c r="A2318" s="66"/>
      <c r="U2318" s="66"/>
      <c r="V2318" s="66"/>
      <c r="AJ2318" s="66"/>
    </row>
    <row r="2319" spans="1:36">
      <c r="A2319" s="66"/>
      <c r="U2319" s="66"/>
      <c r="V2319" s="66"/>
      <c r="AJ2319" s="66"/>
    </row>
    <row r="2320" spans="1:36">
      <c r="A2320" s="66"/>
      <c r="U2320" s="66"/>
      <c r="V2320" s="66"/>
      <c r="AJ2320" s="66"/>
    </row>
    <row r="2321" spans="1:36">
      <c r="A2321" s="66"/>
      <c r="U2321" s="66"/>
      <c r="V2321" s="66"/>
      <c r="AJ2321" s="66"/>
    </row>
    <row r="2322" spans="1:36">
      <c r="A2322" s="66"/>
      <c r="U2322" s="66"/>
      <c r="V2322" s="66"/>
      <c r="AJ2322" s="66"/>
    </row>
    <row r="2323" spans="1:36">
      <c r="A2323" s="66"/>
      <c r="U2323" s="66"/>
      <c r="V2323" s="66"/>
      <c r="AJ2323" s="66"/>
    </row>
    <row r="2324" spans="1:36">
      <c r="A2324" s="66"/>
      <c r="U2324" s="66"/>
      <c r="V2324" s="66"/>
      <c r="AJ2324" s="66"/>
    </row>
    <row r="2325" spans="1:36">
      <c r="A2325" s="66"/>
      <c r="U2325" s="66"/>
      <c r="V2325" s="66"/>
      <c r="AJ2325" s="66"/>
    </row>
    <row r="2326" spans="1:36">
      <c r="A2326" s="66"/>
      <c r="U2326" s="66"/>
      <c r="V2326" s="66"/>
      <c r="AJ2326" s="66"/>
    </row>
    <row r="2327" spans="1:36">
      <c r="A2327" s="66"/>
      <c r="U2327" s="66"/>
      <c r="V2327" s="66"/>
      <c r="AJ2327" s="66"/>
    </row>
    <row r="2328" spans="1:36">
      <c r="A2328" s="66"/>
      <c r="U2328" s="66"/>
      <c r="V2328" s="66"/>
      <c r="AJ2328" s="66"/>
    </row>
    <row r="2329" spans="1:36">
      <c r="A2329" s="66"/>
      <c r="U2329" s="66"/>
      <c r="V2329" s="66"/>
      <c r="AJ2329" s="66"/>
    </row>
    <row r="2330" spans="1:36">
      <c r="A2330" s="66"/>
      <c r="U2330" s="66"/>
      <c r="V2330" s="66"/>
      <c r="AJ2330" s="66"/>
    </row>
    <row r="2331" spans="1:36">
      <c r="A2331" s="66"/>
      <c r="U2331" s="66"/>
      <c r="V2331" s="66"/>
      <c r="AJ2331" s="66"/>
    </row>
    <row r="2332" spans="1:36">
      <c r="A2332" s="66"/>
      <c r="U2332" s="66"/>
      <c r="V2332" s="66"/>
      <c r="AJ2332" s="66"/>
    </row>
    <row r="2333" spans="1:36">
      <c r="A2333" s="66"/>
      <c r="U2333" s="66"/>
      <c r="V2333" s="66"/>
      <c r="AJ2333" s="66"/>
    </row>
    <row r="2334" spans="1:36">
      <c r="A2334" s="66"/>
      <c r="U2334" s="66"/>
      <c r="V2334" s="66"/>
      <c r="AJ2334" s="66"/>
    </row>
    <row r="2335" spans="1:36">
      <c r="A2335" s="66"/>
      <c r="U2335" s="66"/>
      <c r="V2335" s="66"/>
      <c r="AJ2335" s="66"/>
    </row>
    <row r="2336" spans="1:36">
      <c r="A2336" s="66"/>
      <c r="U2336" s="66"/>
      <c r="V2336" s="66"/>
      <c r="AJ2336" s="66"/>
    </row>
    <row r="2337" spans="1:37">
      <c r="A2337" s="66"/>
      <c r="U2337" s="66"/>
      <c r="V2337" s="66"/>
      <c r="AJ2337" s="66"/>
    </row>
    <row r="2338" spans="1:37">
      <c r="A2338" s="66"/>
      <c r="U2338" s="66"/>
      <c r="V2338" s="66"/>
      <c r="AJ2338" s="66"/>
    </row>
    <row r="2339" spans="1:37">
      <c r="A2339" s="66"/>
      <c r="U2339" s="66"/>
      <c r="V2339" s="66"/>
      <c r="AJ2339" s="66"/>
    </row>
    <row r="2340" spans="1:37">
      <c r="A2340" s="66"/>
      <c r="U2340" s="66"/>
      <c r="V2340" s="66"/>
      <c r="AJ2340" s="66"/>
    </row>
    <row r="2341" spans="1:37">
      <c r="A2341" s="66"/>
      <c r="U2341" s="66"/>
      <c r="V2341" s="66"/>
      <c r="AJ2341" s="66"/>
    </row>
    <row r="2342" spans="1:37">
      <c r="A2342" s="66"/>
      <c r="U2342" s="66"/>
      <c r="V2342" s="66"/>
      <c r="AJ2342" s="66"/>
    </row>
    <row r="2343" spans="1:37">
      <c r="U2343" s="66"/>
      <c r="V2343" s="66"/>
      <c r="AJ2343" s="66"/>
    </row>
    <row r="2344" spans="1:37">
      <c r="U2344" s="66"/>
      <c r="V2344" s="66"/>
      <c r="AJ2344" s="66"/>
    </row>
    <row r="2345" spans="1:37">
      <c r="U2345" s="66"/>
      <c r="V2345" s="66"/>
      <c r="AJ2345" s="66"/>
    </row>
    <row r="2346" spans="1:37">
      <c r="AJ2346" s="66"/>
      <c r="AK2346" s="65"/>
    </row>
    <row r="2347" spans="1:37">
      <c r="AJ2347" s="66"/>
      <c r="AK2347" s="65"/>
    </row>
    <row r="2348" spans="1:37">
      <c r="AJ2348" s="66"/>
      <c r="AK2348" s="65"/>
    </row>
    <row r="2349" spans="1:37">
      <c r="AJ2349" s="66"/>
      <c r="AK2349" s="65"/>
    </row>
    <row r="2350" spans="1:37">
      <c r="AJ2350" s="66"/>
      <c r="AK2350" s="65"/>
    </row>
    <row r="2351" spans="1:37">
      <c r="AJ2351" s="66"/>
      <c r="AK2351" s="65"/>
    </row>
    <row r="2352" spans="1:37">
      <c r="AJ2352" s="66"/>
      <c r="AK2352" s="65"/>
    </row>
    <row r="2353" spans="36:37">
      <c r="AJ2353" s="66"/>
      <c r="AK2353" s="65"/>
    </row>
    <row r="2354" spans="36:37">
      <c r="AJ2354" s="66"/>
      <c r="AK2354" s="65"/>
    </row>
    <row r="2355" spans="36:37">
      <c r="AJ2355" s="66"/>
      <c r="AK2355" s="65"/>
    </row>
    <row r="2356" spans="36:37">
      <c r="AJ2356" s="66"/>
      <c r="AK2356" s="65"/>
    </row>
    <row r="2357" spans="36:37">
      <c r="AJ2357" s="66"/>
      <c r="AK2357" s="65"/>
    </row>
    <row r="2358" spans="36:37">
      <c r="AJ2358" s="66"/>
      <c r="AK2358" s="65"/>
    </row>
    <row r="2359" spans="36:37">
      <c r="AJ2359" s="66"/>
      <c r="AK2359" s="65"/>
    </row>
    <row r="2360" spans="36:37">
      <c r="AJ2360" s="66"/>
      <c r="AK2360" s="65"/>
    </row>
    <row r="2361" spans="36:37">
      <c r="AJ2361" s="66"/>
      <c r="AK2361" s="65"/>
    </row>
    <row r="2362" spans="36:37">
      <c r="AJ2362" s="66"/>
      <c r="AK2362" s="65"/>
    </row>
    <row r="2363" spans="36:37">
      <c r="AJ2363" s="66"/>
      <c r="AK2363" s="65"/>
    </row>
    <row r="2364" spans="36:37">
      <c r="AJ2364" s="66"/>
      <c r="AK2364" s="65"/>
    </row>
    <row r="2365" spans="36:37">
      <c r="AJ2365" s="66"/>
      <c r="AK2365" s="65"/>
    </row>
    <row r="2366" spans="36:37">
      <c r="AJ2366" s="66"/>
      <c r="AK2366" s="65"/>
    </row>
    <row r="2367" spans="36:37">
      <c r="AJ2367" s="66"/>
      <c r="AK2367" s="65"/>
    </row>
    <row r="2368" spans="36:37">
      <c r="AJ2368" s="66"/>
      <c r="AK2368" s="65"/>
    </row>
    <row r="2369" spans="36:37">
      <c r="AJ2369" s="66"/>
      <c r="AK2369" s="65"/>
    </row>
    <row r="2370" spans="36:37">
      <c r="AJ2370" s="66"/>
      <c r="AK2370" s="65"/>
    </row>
    <row r="2371" spans="36:37">
      <c r="AJ2371" s="66"/>
      <c r="AK2371" s="65"/>
    </row>
    <row r="2372" spans="36:37">
      <c r="AJ2372" s="66"/>
      <c r="AK2372" s="65"/>
    </row>
    <row r="2373" spans="36:37">
      <c r="AJ2373" s="66"/>
      <c r="AK2373" s="65"/>
    </row>
    <row r="2374" spans="36:37">
      <c r="AJ2374" s="66"/>
      <c r="AK2374" s="65"/>
    </row>
    <row r="2375" spans="36:37">
      <c r="AJ2375" s="66"/>
      <c r="AK2375" s="65"/>
    </row>
    <row r="2376" spans="36:37">
      <c r="AJ2376" s="66"/>
      <c r="AK2376" s="65"/>
    </row>
    <row r="2377" spans="36:37">
      <c r="AJ2377" s="66"/>
      <c r="AK2377" s="65"/>
    </row>
    <row r="2378" spans="36:37">
      <c r="AJ2378" s="66"/>
      <c r="AK2378" s="65"/>
    </row>
    <row r="2379" spans="36:37">
      <c r="AJ2379" s="66"/>
      <c r="AK2379" s="65"/>
    </row>
    <row r="2380" spans="36:37">
      <c r="AJ2380" s="66"/>
      <c r="AK2380" s="65"/>
    </row>
    <row r="2381" spans="36:37">
      <c r="AJ2381" s="66"/>
      <c r="AK2381" s="65"/>
    </row>
    <row r="2382" spans="36:37">
      <c r="AJ2382" s="66"/>
      <c r="AK2382" s="65"/>
    </row>
    <row r="2383" spans="36:37">
      <c r="AJ2383" s="66"/>
      <c r="AK2383" s="65"/>
    </row>
    <row r="2384" spans="36:37">
      <c r="AJ2384" s="66"/>
      <c r="AK2384" s="65"/>
    </row>
    <row r="2385" spans="36:37">
      <c r="AJ2385" s="66"/>
      <c r="AK2385" s="65"/>
    </row>
    <row r="2386" spans="36:37">
      <c r="AJ2386" s="66"/>
      <c r="AK2386" s="65"/>
    </row>
    <row r="2387" spans="36:37">
      <c r="AJ2387" s="66"/>
      <c r="AK2387" s="65"/>
    </row>
    <row r="2388" spans="36:37">
      <c r="AJ2388" s="66"/>
      <c r="AK2388" s="65"/>
    </row>
    <row r="2389" spans="36:37">
      <c r="AJ2389" s="66"/>
      <c r="AK2389" s="65"/>
    </row>
    <row r="2390" spans="36:37">
      <c r="AJ2390" s="66"/>
      <c r="AK2390" s="65"/>
    </row>
    <row r="2391" spans="36:37">
      <c r="AJ2391" s="66"/>
      <c r="AK2391" s="65"/>
    </row>
    <row r="2392" spans="36:37">
      <c r="AJ2392" s="66"/>
      <c r="AK2392" s="65"/>
    </row>
    <row r="2393" spans="36:37">
      <c r="AJ2393" s="66"/>
      <c r="AK2393" s="65"/>
    </row>
    <row r="2394" spans="36:37">
      <c r="AJ2394" s="66"/>
      <c r="AK2394" s="65"/>
    </row>
    <row r="2395" spans="36:37">
      <c r="AJ2395" s="66"/>
      <c r="AK2395" s="65"/>
    </row>
    <row r="2396" spans="36:37">
      <c r="AJ2396" s="66"/>
      <c r="AK2396" s="65"/>
    </row>
    <row r="2397" spans="36:37">
      <c r="AJ2397" s="66"/>
      <c r="AK2397" s="65"/>
    </row>
    <row r="2398" spans="36:37">
      <c r="AJ2398" s="66"/>
      <c r="AK2398" s="65"/>
    </row>
    <row r="2399" spans="36:37">
      <c r="AJ2399" s="66"/>
      <c r="AK2399" s="65"/>
    </row>
    <row r="2400" spans="36:37">
      <c r="AJ2400" s="66"/>
      <c r="AK2400" s="65"/>
    </row>
    <row r="2401" spans="36:37">
      <c r="AJ2401" s="66"/>
      <c r="AK2401" s="65"/>
    </row>
    <row r="2402" spans="36:37">
      <c r="AJ2402" s="66"/>
      <c r="AK2402" s="65"/>
    </row>
    <row r="2403" spans="36:37">
      <c r="AJ2403" s="66"/>
      <c r="AK2403" s="65"/>
    </row>
    <row r="2404" spans="36:37">
      <c r="AJ2404" s="66"/>
      <c r="AK2404" s="65"/>
    </row>
    <row r="2405" spans="36:37">
      <c r="AJ2405" s="66"/>
      <c r="AK2405" s="65"/>
    </row>
    <row r="2406" spans="36:37">
      <c r="AJ2406" s="66"/>
      <c r="AK2406" s="65"/>
    </row>
    <row r="2407" spans="36:37">
      <c r="AJ2407" s="66"/>
      <c r="AK2407" s="65"/>
    </row>
    <row r="2408" spans="36:37">
      <c r="AJ2408" s="66"/>
      <c r="AK2408" s="65"/>
    </row>
    <row r="2409" spans="36:37">
      <c r="AJ2409" s="66"/>
      <c r="AK2409" s="65"/>
    </row>
    <row r="2410" spans="36:37">
      <c r="AJ2410" s="66"/>
      <c r="AK2410" s="65"/>
    </row>
    <row r="2411" spans="36:37">
      <c r="AJ2411" s="66"/>
      <c r="AK2411" s="65"/>
    </row>
    <row r="2412" spans="36:37">
      <c r="AJ2412" s="66"/>
      <c r="AK2412" s="65"/>
    </row>
    <row r="2413" spans="36:37">
      <c r="AJ2413" s="66"/>
      <c r="AK2413" s="65"/>
    </row>
    <row r="2414" spans="36:37">
      <c r="AJ2414" s="66"/>
      <c r="AK2414" s="65"/>
    </row>
    <row r="2415" spans="36:37">
      <c r="AJ2415" s="66"/>
      <c r="AK2415" s="65"/>
    </row>
    <row r="2416" spans="36:37">
      <c r="AJ2416" s="66"/>
      <c r="AK2416" s="65"/>
    </row>
    <row r="2417" spans="36:37">
      <c r="AJ2417" s="66"/>
      <c r="AK2417" s="65"/>
    </row>
    <row r="2418" spans="36:37">
      <c r="AJ2418" s="66"/>
      <c r="AK2418" s="65"/>
    </row>
    <row r="2419" spans="36:37">
      <c r="AJ2419" s="66"/>
      <c r="AK2419" s="65"/>
    </row>
    <row r="2420" spans="36:37">
      <c r="AJ2420" s="66"/>
      <c r="AK2420" s="65"/>
    </row>
    <row r="2421" spans="36:37">
      <c r="AJ2421" s="66"/>
      <c r="AK2421" s="65"/>
    </row>
    <row r="2422" spans="36:37">
      <c r="AJ2422" s="66"/>
      <c r="AK2422" s="65"/>
    </row>
    <row r="2423" spans="36:37">
      <c r="AJ2423" s="66"/>
      <c r="AK2423" s="65"/>
    </row>
    <row r="2424" spans="36:37">
      <c r="AJ2424" s="66"/>
      <c r="AK2424" s="65"/>
    </row>
    <row r="2425" spans="36:37">
      <c r="AJ2425" s="66"/>
      <c r="AK2425" s="65"/>
    </row>
    <row r="2426" spans="36:37">
      <c r="AJ2426" s="66"/>
      <c r="AK2426" s="65"/>
    </row>
    <row r="2427" spans="36:37">
      <c r="AJ2427" s="66"/>
      <c r="AK2427" s="65"/>
    </row>
    <row r="2430" spans="36:37">
      <c r="AJ2430" s="66"/>
      <c r="AK2430" s="65"/>
    </row>
    <row r="2431" spans="36:37">
      <c r="AJ2431" s="66"/>
      <c r="AK2431" s="65"/>
    </row>
    <row r="2432" spans="36:37">
      <c r="AJ2432" s="66"/>
      <c r="AK2432" s="65"/>
    </row>
    <row r="2433" spans="36:37">
      <c r="AJ2433" s="66"/>
      <c r="AK2433" s="65"/>
    </row>
    <row r="2434" spans="36:37">
      <c r="AJ2434" s="66"/>
      <c r="AK2434" s="65"/>
    </row>
    <row r="2435" spans="36:37">
      <c r="AJ2435" s="66"/>
      <c r="AK2435" s="65"/>
    </row>
    <row r="2436" spans="36:37">
      <c r="AJ2436" s="66"/>
      <c r="AK2436" s="65"/>
    </row>
    <row r="2437" spans="36:37">
      <c r="AJ2437" s="66"/>
      <c r="AK2437" s="65"/>
    </row>
    <row r="2438" spans="36:37">
      <c r="AJ2438" s="66"/>
      <c r="AK2438" s="65"/>
    </row>
    <row r="2439" spans="36:37">
      <c r="AJ2439" s="66"/>
      <c r="AK2439" s="65"/>
    </row>
    <row r="2440" spans="36:37">
      <c r="AJ2440" s="66"/>
      <c r="AK2440" s="65"/>
    </row>
    <row r="2441" spans="36:37">
      <c r="AJ2441" s="66"/>
      <c r="AK2441" s="65"/>
    </row>
    <row r="2442" spans="36:37">
      <c r="AJ2442" s="66"/>
      <c r="AK2442" s="65"/>
    </row>
    <row r="2443" spans="36:37">
      <c r="AJ2443" s="66"/>
      <c r="AK2443" s="65"/>
    </row>
    <row r="2444" spans="36:37">
      <c r="AJ2444" s="66"/>
      <c r="AK2444" s="65"/>
    </row>
    <row r="2445" spans="36:37">
      <c r="AJ2445" s="66"/>
      <c r="AK2445" s="65"/>
    </row>
    <row r="2446" spans="36:37">
      <c r="AJ2446" s="66"/>
      <c r="AK2446" s="65"/>
    </row>
    <row r="2447" spans="36:37">
      <c r="AJ2447" s="66"/>
      <c r="AK2447" s="65"/>
    </row>
    <row r="2448" spans="36:37">
      <c r="AJ2448" s="66"/>
      <c r="AK2448" s="65"/>
    </row>
    <row r="2449" spans="36:37">
      <c r="AJ2449" s="66"/>
      <c r="AK2449" s="65"/>
    </row>
    <row r="2450" spans="36:37">
      <c r="AJ2450" s="66"/>
      <c r="AK2450" s="65"/>
    </row>
    <row r="2451" spans="36:37">
      <c r="AJ2451" s="66"/>
      <c r="AK2451" s="65"/>
    </row>
    <row r="2452" spans="36:37">
      <c r="AJ2452" s="66"/>
      <c r="AK2452" s="65"/>
    </row>
    <row r="2453" spans="36:37">
      <c r="AJ2453" s="66"/>
      <c r="AK2453" s="65"/>
    </row>
    <row r="2454" spans="36:37">
      <c r="AJ2454" s="66"/>
      <c r="AK2454" s="65"/>
    </row>
    <row r="2455" spans="36:37">
      <c r="AJ2455" s="66"/>
      <c r="AK2455" s="65"/>
    </row>
    <row r="2456" spans="36:37">
      <c r="AJ2456" s="66"/>
      <c r="AK2456" s="65"/>
    </row>
    <row r="2457" spans="36:37">
      <c r="AJ2457" s="66"/>
      <c r="AK2457" s="65"/>
    </row>
    <row r="2458" spans="36:37">
      <c r="AJ2458" s="66"/>
      <c r="AK2458" s="65"/>
    </row>
    <row r="2459" spans="36:37">
      <c r="AJ2459" s="66"/>
      <c r="AK2459" s="65"/>
    </row>
    <row r="2460" spans="36:37">
      <c r="AJ2460" s="66"/>
      <c r="AK2460" s="65"/>
    </row>
    <row r="2461" spans="36:37">
      <c r="AJ2461" s="66"/>
      <c r="AK2461" s="65"/>
    </row>
    <row r="2462" spans="36:37">
      <c r="AJ2462" s="66"/>
      <c r="AK2462" s="65"/>
    </row>
    <row r="2463" spans="36:37">
      <c r="AJ2463" s="66"/>
      <c r="AK2463" s="65"/>
    </row>
    <row r="2464" spans="36:37">
      <c r="AJ2464" s="66"/>
      <c r="AK2464" s="65"/>
    </row>
    <row r="2465" spans="36:37">
      <c r="AJ2465" s="66"/>
      <c r="AK2465" s="65"/>
    </row>
    <row r="2466" spans="36:37">
      <c r="AJ2466" s="66"/>
      <c r="AK2466" s="65"/>
    </row>
    <row r="2467" spans="36:37">
      <c r="AJ2467" s="66"/>
      <c r="AK2467" s="65"/>
    </row>
    <row r="2468" spans="36:37">
      <c r="AJ2468" s="66"/>
      <c r="AK2468" s="65"/>
    </row>
    <row r="2469" spans="36:37">
      <c r="AJ2469" s="66"/>
      <c r="AK2469" s="65"/>
    </row>
    <row r="2470" spans="36:37">
      <c r="AJ2470" s="66"/>
      <c r="AK2470" s="65"/>
    </row>
    <row r="2471" spans="36:37">
      <c r="AJ2471" s="66"/>
      <c r="AK2471" s="65"/>
    </row>
    <row r="2472" spans="36:37">
      <c r="AJ2472" s="66"/>
      <c r="AK2472" s="65"/>
    </row>
    <row r="2473" spans="36:37">
      <c r="AJ2473" s="66"/>
      <c r="AK2473" s="65"/>
    </row>
    <row r="2474" spans="36:37">
      <c r="AJ2474" s="66"/>
      <c r="AK2474" s="65"/>
    </row>
    <row r="2475" spans="36:37">
      <c r="AJ2475" s="66"/>
      <c r="AK2475" s="65"/>
    </row>
    <row r="2476" spans="36:37">
      <c r="AJ2476" s="66"/>
      <c r="AK2476" s="65"/>
    </row>
    <row r="2477" spans="36:37">
      <c r="AJ2477" s="66"/>
      <c r="AK2477" s="65"/>
    </row>
    <row r="2478" spans="36:37">
      <c r="AJ2478" s="66"/>
      <c r="AK2478" s="65"/>
    </row>
    <row r="2479" spans="36:37">
      <c r="AJ2479" s="66"/>
      <c r="AK2479" s="65"/>
    </row>
    <row r="2480" spans="36:37">
      <c r="AJ2480" s="66"/>
      <c r="AK2480" s="65"/>
    </row>
    <row r="2481" spans="36:37">
      <c r="AJ2481" s="66"/>
      <c r="AK2481" s="65"/>
    </row>
    <row r="2482" spans="36:37">
      <c r="AJ2482" s="66"/>
      <c r="AK2482" s="65"/>
    </row>
    <row r="2483" spans="36:37">
      <c r="AJ2483" s="66"/>
      <c r="AK2483" s="65"/>
    </row>
    <row r="2484" spans="36:37">
      <c r="AJ2484" s="66"/>
      <c r="AK2484" s="65"/>
    </row>
    <row r="2485" spans="36:37">
      <c r="AJ2485" s="66"/>
      <c r="AK2485" s="65"/>
    </row>
    <row r="2486" spans="36:37">
      <c r="AJ2486" s="66"/>
      <c r="AK2486" s="65"/>
    </row>
    <row r="2487" spans="36:37">
      <c r="AJ2487" s="66"/>
      <c r="AK2487" s="65"/>
    </row>
    <row r="2488" spans="36:37">
      <c r="AJ2488" s="66"/>
      <c r="AK2488" s="65"/>
    </row>
    <row r="2489" spans="36:37">
      <c r="AJ2489" s="66"/>
      <c r="AK2489" s="65"/>
    </row>
    <row r="2490" spans="36:37">
      <c r="AJ2490" s="66"/>
      <c r="AK2490" s="65"/>
    </row>
    <row r="2491" spans="36:37">
      <c r="AJ2491" s="66"/>
      <c r="AK2491" s="65"/>
    </row>
    <row r="2492" spans="36:37">
      <c r="AJ2492" s="66"/>
      <c r="AK2492" s="65"/>
    </row>
    <row r="2493" spans="36:37">
      <c r="AJ2493" s="66"/>
      <c r="AK2493" s="65"/>
    </row>
    <row r="2494" spans="36:37">
      <c r="AJ2494" s="66"/>
      <c r="AK2494" s="65"/>
    </row>
    <row r="2495" spans="36:37">
      <c r="AJ2495" s="66"/>
      <c r="AK2495" s="65"/>
    </row>
    <row r="2496" spans="36:37">
      <c r="AJ2496" s="66"/>
      <c r="AK2496" s="65"/>
    </row>
    <row r="2497" spans="36:37">
      <c r="AJ2497" s="66"/>
      <c r="AK2497" s="65"/>
    </row>
    <row r="2498" spans="36:37">
      <c r="AJ2498" s="66"/>
      <c r="AK2498" s="65"/>
    </row>
    <row r="2499" spans="36:37">
      <c r="AJ2499" s="66"/>
      <c r="AK2499" s="65"/>
    </row>
    <row r="2500" spans="36:37">
      <c r="AJ2500" s="66"/>
      <c r="AK2500" s="65"/>
    </row>
    <row r="2501" spans="36:37">
      <c r="AJ2501" s="66"/>
      <c r="AK2501" s="65"/>
    </row>
    <row r="2502" spans="36:37">
      <c r="AJ2502" s="66"/>
      <c r="AK2502" s="65"/>
    </row>
    <row r="2503" spans="36:37">
      <c r="AJ2503" s="66"/>
      <c r="AK2503" s="65"/>
    </row>
    <row r="2504" spans="36:37">
      <c r="AJ2504" s="66"/>
      <c r="AK2504" s="65"/>
    </row>
    <row r="2505" spans="36:37">
      <c r="AJ2505" s="66"/>
      <c r="AK2505" s="65"/>
    </row>
    <row r="2506" spans="36:37">
      <c r="AJ2506" s="66"/>
      <c r="AK2506" s="65"/>
    </row>
    <row r="2507" spans="36:37">
      <c r="AJ2507" s="66"/>
      <c r="AK2507" s="65"/>
    </row>
    <row r="2508" spans="36:37">
      <c r="AJ2508" s="66"/>
      <c r="AK2508" s="65"/>
    </row>
    <row r="2509" spans="36:37">
      <c r="AJ2509" s="66"/>
      <c r="AK2509" s="65"/>
    </row>
    <row r="2510" spans="36:37">
      <c r="AJ2510" s="66"/>
      <c r="AK2510" s="65"/>
    </row>
    <row r="2511" spans="36:37">
      <c r="AJ2511" s="66"/>
      <c r="AK2511" s="65"/>
    </row>
    <row r="2512" spans="36:37">
      <c r="AJ2512" s="66"/>
      <c r="AK2512" s="65"/>
    </row>
    <row r="2513" spans="36:37">
      <c r="AJ2513" s="66"/>
      <c r="AK2513" s="65"/>
    </row>
    <row r="2514" spans="36:37">
      <c r="AJ2514" s="66"/>
      <c r="AK2514" s="65"/>
    </row>
    <row r="2515" spans="36:37">
      <c r="AJ2515" s="66"/>
      <c r="AK2515" s="65"/>
    </row>
    <row r="2516" spans="36:37">
      <c r="AJ2516" s="66"/>
      <c r="AK2516" s="65"/>
    </row>
    <row r="2517" spans="36:37">
      <c r="AJ2517" s="66"/>
      <c r="AK2517" s="65"/>
    </row>
    <row r="2518" spans="36:37">
      <c r="AJ2518" s="66"/>
      <c r="AK2518" s="65"/>
    </row>
    <row r="2519" spans="36:37">
      <c r="AJ2519" s="66"/>
      <c r="AK2519" s="65"/>
    </row>
    <row r="2520" spans="36:37">
      <c r="AJ2520" s="66"/>
      <c r="AK2520" s="65"/>
    </row>
    <row r="2521" spans="36:37">
      <c r="AJ2521" s="66"/>
      <c r="AK2521" s="65"/>
    </row>
    <row r="2522" spans="36:37">
      <c r="AJ2522" s="66"/>
      <c r="AK2522" s="65"/>
    </row>
    <row r="2523" spans="36:37">
      <c r="AJ2523" s="66"/>
      <c r="AK2523" s="65"/>
    </row>
    <row r="2524" spans="36:37">
      <c r="AJ2524" s="66"/>
      <c r="AK2524" s="65"/>
    </row>
    <row r="2525" spans="36:37">
      <c r="AJ2525" s="66"/>
      <c r="AK2525" s="65"/>
    </row>
    <row r="2526" spans="36:37">
      <c r="AJ2526" s="66"/>
      <c r="AK2526" s="65"/>
    </row>
    <row r="2527" spans="36:37">
      <c r="AJ2527" s="66"/>
      <c r="AK2527" s="65"/>
    </row>
    <row r="2528" spans="36:37">
      <c r="AJ2528" s="66"/>
      <c r="AK2528" s="65"/>
    </row>
    <row r="2529" spans="36:37">
      <c r="AJ2529" s="66"/>
      <c r="AK2529" s="65"/>
    </row>
    <row r="2530" spans="36:37">
      <c r="AJ2530" s="66"/>
      <c r="AK2530" s="65"/>
    </row>
    <row r="2531" spans="36:37">
      <c r="AJ2531" s="66"/>
      <c r="AK2531" s="65"/>
    </row>
    <row r="2532" spans="36:37">
      <c r="AJ2532" s="66"/>
      <c r="AK2532" s="65"/>
    </row>
    <row r="2533" spans="36:37">
      <c r="AJ2533" s="66"/>
      <c r="AK2533" s="65"/>
    </row>
    <row r="2534" spans="36:37">
      <c r="AJ2534" s="66"/>
      <c r="AK2534" s="65"/>
    </row>
    <row r="2535" spans="36:37">
      <c r="AJ2535" s="66"/>
      <c r="AK2535" s="65"/>
    </row>
    <row r="2536" spans="36:37">
      <c r="AJ2536" s="66"/>
      <c r="AK2536" s="65"/>
    </row>
    <row r="2537" spans="36:37">
      <c r="AJ2537" s="66"/>
      <c r="AK2537" s="65"/>
    </row>
    <row r="2538" spans="36:37">
      <c r="AJ2538" s="66"/>
      <c r="AK2538" s="65"/>
    </row>
    <row r="2539" spans="36:37">
      <c r="AJ2539" s="66"/>
      <c r="AK2539" s="65"/>
    </row>
    <row r="2540" spans="36:37">
      <c r="AJ2540" s="66"/>
      <c r="AK2540" s="65"/>
    </row>
    <row r="2541" spans="36:37">
      <c r="AJ2541" s="66"/>
      <c r="AK2541" s="65"/>
    </row>
    <row r="2542" spans="36:37">
      <c r="AJ2542" s="66"/>
      <c r="AK2542" s="65"/>
    </row>
    <row r="2543" spans="36:37">
      <c r="AJ2543" s="66"/>
      <c r="AK2543" s="65"/>
    </row>
    <row r="2544" spans="36:37">
      <c r="AJ2544" s="66"/>
      <c r="AK2544" s="65"/>
    </row>
    <row r="2545" spans="36:37">
      <c r="AJ2545" s="66"/>
      <c r="AK2545" s="65"/>
    </row>
    <row r="2546" spans="36:37">
      <c r="AJ2546" s="66"/>
      <c r="AK2546" s="65"/>
    </row>
  </sheetData>
  <hyperlinks>
    <hyperlink ref="B1" r:id="rId1"/>
  </hyperlinks>
  <pageMargins left="0.5" right="0.75" top="0.75" bottom="0.5" header="0" footer="0"/>
  <pageSetup scale="71" fitToHeight="64" orientation="landscape" r:id="rId2"/>
  <headerFooter alignWithMargins="0"/>
  <rowBreaks count="32" manualBreakCount="32">
    <brk id="79" max="18" man="1"/>
    <brk id="136" max="18" man="1"/>
    <brk id="210" max="18" man="1"/>
    <brk id="258" max="18" man="1"/>
    <brk id="307" max="18" man="1"/>
    <brk id="356" max="18" man="1"/>
    <brk id="413" max="18" man="1"/>
    <brk id="460" max="16383" man="1"/>
    <brk id="485" max="18" man="1"/>
    <brk id="530" max="18" man="1"/>
    <brk id="561" max="18" man="1"/>
    <brk id="609" max="18" man="1"/>
    <brk id="664" max="18" man="1"/>
    <brk id="685" max="18" man="1"/>
    <brk id="742" max="18" man="1"/>
    <brk id="794" max="18" man="1"/>
    <brk id="851" max="18" man="1"/>
    <brk id="908" max="18" man="1"/>
    <brk id="965" max="18" man="1"/>
    <brk id="1021" max="18" man="1"/>
    <brk id="1055" max="16383" man="1"/>
    <brk id="1093" max="18" man="1"/>
    <brk id="1125" max="18" man="1"/>
    <brk id="1175" max="18" man="1"/>
    <brk id="1224" max="18" man="1"/>
    <brk id="1280" max="18" man="1"/>
    <brk id="1318" max="18" man="1"/>
    <brk id="1374" max="18" man="1"/>
    <brk id="1416" max="18" man="1"/>
    <brk id="1449" max="18" man="1"/>
    <brk id="1482" max="18" man="1"/>
    <brk id="1527" max="18" man="1"/>
  </rowBreak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3"/>
  <sheetViews>
    <sheetView zoomScale="90" zoomScaleNormal="90" workbookViewId="0">
      <selection activeCell="C43" sqref="C43"/>
    </sheetView>
  </sheetViews>
  <sheetFormatPr defaultColWidth="9.140625" defaultRowHeight="12.75"/>
  <cols>
    <col min="1" max="1" width="28.7109375" style="211" bestFit="1" customWidth="1"/>
    <col min="2" max="2" width="12" style="211" bestFit="1" customWidth="1"/>
    <col min="3" max="3" width="9.140625" style="212"/>
    <col min="4" max="16384" width="9.140625" style="211"/>
  </cols>
  <sheetData>
    <row r="1" spans="1:3" ht="13.5" thickBot="1"/>
    <row r="2" spans="1:3">
      <c r="A2" s="196" t="s">
        <v>1103</v>
      </c>
      <c r="B2" s="197"/>
    </row>
    <row r="3" spans="1:3">
      <c r="A3" s="198" t="s">
        <v>1104</v>
      </c>
      <c r="B3" s="199">
        <v>51149444</v>
      </c>
    </row>
    <row r="4" spans="1:3">
      <c r="A4" s="198" t="s">
        <v>1105</v>
      </c>
      <c r="B4" s="200">
        <v>51613221</v>
      </c>
    </row>
    <row r="5" spans="1:3" ht="25.5">
      <c r="A5" s="198" t="s">
        <v>1106</v>
      </c>
      <c r="B5" s="200">
        <v>319648</v>
      </c>
    </row>
    <row r="6" spans="1:3" ht="13.5" thickBot="1">
      <c r="A6" s="201" t="s">
        <v>1107</v>
      </c>
      <c r="B6" s="202">
        <v>103082313</v>
      </c>
      <c r="C6" s="212">
        <f>B4/B6</f>
        <v>0.50069909665298251</v>
      </c>
    </row>
    <row r="7" spans="1:3">
      <c r="A7" s="196" t="s">
        <v>1125</v>
      </c>
      <c r="B7" s="197"/>
    </row>
    <row r="8" spans="1:3">
      <c r="A8" s="204" t="s">
        <v>1104</v>
      </c>
      <c r="B8" s="200">
        <v>39350381</v>
      </c>
    </row>
    <row r="9" spans="1:3">
      <c r="A9" s="204" t="s">
        <v>1108</v>
      </c>
      <c r="B9" s="200">
        <v>29373902</v>
      </c>
    </row>
    <row r="10" spans="1:3">
      <c r="A10" s="204" t="s">
        <v>1109</v>
      </c>
      <c r="B10" s="200">
        <v>14906850</v>
      </c>
    </row>
    <row r="11" spans="1:3">
      <c r="A11" s="204" t="s">
        <v>1110</v>
      </c>
      <c r="B11" s="200">
        <v>32105282</v>
      </c>
    </row>
    <row r="12" spans="1:3" ht="13.5" thickBot="1">
      <c r="A12" s="201" t="s">
        <v>1111</v>
      </c>
      <c r="B12" s="202">
        <v>115736415</v>
      </c>
      <c r="C12" s="212">
        <f>SUM(B9,B11)/B12</f>
        <v>0.5312000030413937</v>
      </c>
    </row>
    <row r="13" spans="1:3">
      <c r="A13" s="196" t="s">
        <v>1112</v>
      </c>
      <c r="B13" s="197"/>
    </row>
    <row r="14" spans="1:3">
      <c r="A14" s="205" t="s">
        <v>1104</v>
      </c>
      <c r="B14" s="200">
        <v>111137</v>
      </c>
    </row>
    <row r="15" spans="1:3">
      <c r="A15" s="205" t="s">
        <v>1108</v>
      </c>
      <c r="B15" s="200">
        <v>93137</v>
      </c>
    </row>
    <row r="16" spans="1:3">
      <c r="A16" s="205" t="s">
        <v>1109</v>
      </c>
      <c r="B16" s="200">
        <v>69353</v>
      </c>
    </row>
    <row r="17" spans="1:3">
      <c r="A17" s="205" t="s">
        <v>1110</v>
      </c>
      <c r="B17" s="200">
        <v>154111</v>
      </c>
    </row>
    <row r="18" spans="1:3">
      <c r="A18" s="205" t="s">
        <v>1113</v>
      </c>
      <c r="B18" s="200">
        <v>112813</v>
      </c>
    </row>
    <row r="19" spans="1:3" ht="13.5" thickBot="1">
      <c r="A19" s="206" t="s">
        <v>1114</v>
      </c>
      <c r="B19" s="202">
        <v>540552</v>
      </c>
      <c r="C19" s="212">
        <f>SUM(B15,B17)/B19</f>
        <v>0.45739910313901344</v>
      </c>
    </row>
    <row r="20" spans="1:3">
      <c r="A20" s="207" t="s">
        <v>1115</v>
      </c>
      <c r="B20" s="197"/>
    </row>
    <row r="21" spans="1:3">
      <c r="A21" s="205" t="s">
        <v>1104</v>
      </c>
      <c r="B21" s="200">
        <v>14435907</v>
      </c>
    </row>
    <row r="22" spans="1:3">
      <c r="A22" s="205" t="s">
        <v>1108</v>
      </c>
      <c r="B22" s="200">
        <v>13685917</v>
      </c>
    </row>
    <row r="23" spans="1:3">
      <c r="A23" s="205" t="s">
        <v>1109</v>
      </c>
      <c r="B23" s="200">
        <v>8774325</v>
      </c>
    </row>
    <row r="24" spans="1:3">
      <c r="A24" s="205" t="s">
        <v>1110</v>
      </c>
      <c r="B24" s="200">
        <v>19494114</v>
      </c>
    </row>
    <row r="25" spans="1:3" ht="13.5" thickBot="1">
      <c r="A25" s="206" t="s">
        <v>1116</v>
      </c>
      <c r="B25" s="202">
        <v>56390263</v>
      </c>
      <c r="C25" s="212">
        <f>SUM(B22,B24)/B25</f>
        <v>0.58840000444757634</v>
      </c>
    </row>
    <row r="26" spans="1:3">
      <c r="A26" s="207" t="s">
        <v>1117</v>
      </c>
      <c r="B26" s="197"/>
    </row>
    <row r="27" spans="1:3">
      <c r="A27" s="205" t="s">
        <v>1104</v>
      </c>
      <c r="B27" s="200">
        <v>15302233</v>
      </c>
    </row>
    <row r="28" spans="1:3">
      <c r="A28" s="205" t="s">
        <v>1109</v>
      </c>
      <c r="B28" s="208"/>
    </row>
    <row r="29" spans="1:3">
      <c r="A29" s="209" t="s">
        <v>1118</v>
      </c>
      <c r="B29" s="200">
        <v>43586753</v>
      </c>
    </row>
    <row r="30" spans="1:3">
      <c r="A30" s="209" t="s">
        <v>1119</v>
      </c>
      <c r="B30" s="200">
        <v>6363305</v>
      </c>
    </row>
    <row r="31" spans="1:3">
      <c r="A31" s="209" t="s">
        <v>1120</v>
      </c>
      <c r="B31" s="200">
        <v>17825344</v>
      </c>
    </row>
    <row r="32" spans="1:3">
      <c r="A32" s="205" t="s">
        <v>1121</v>
      </c>
      <c r="B32" s="200">
        <v>67555402</v>
      </c>
    </row>
    <row r="33" spans="1:3">
      <c r="A33" s="205" t="s">
        <v>1110</v>
      </c>
      <c r="B33" s="208"/>
    </row>
    <row r="34" spans="1:3">
      <c r="A34" s="210" t="s">
        <v>1118</v>
      </c>
      <c r="B34" s="200">
        <v>52556184</v>
      </c>
    </row>
    <row r="35" spans="1:3">
      <c r="A35" s="210" t="s">
        <v>1119</v>
      </c>
      <c r="B35" s="200">
        <v>13012790</v>
      </c>
    </row>
    <row r="36" spans="1:3">
      <c r="A36" s="210" t="s">
        <v>1120</v>
      </c>
      <c r="B36" s="200">
        <v>19873982</v>
      </c>
    </row>
    <row r="37" spans="1:3">
      <c r="A37" s="210" t="s">
        <v>1122</v>
      </c>
      <c r="B37" s="200">
        <v>85442958</v>
      </c>
    </row>
    <row r="38" spans="1:3">
      <c r="A38" s="210" t="s">
        <v>1123</v>
      </c>
      <c r="B38" s="200">
        <v>40805</v>
      </c>
    </row>
    <row r="39" spans="1:3" ht="13.5" thickBot="1">
      <c r="A39" s="206" t="s">
        <v>1124</v>
      </c>
      <c r="B39" s="202">
        <v>168341395</v>
      </c>
      <c r="C39" s="212">
        <f>SUM(B34:B36)/B39</f>
        <v>0.50755760934498617</v>
      </c>
    </row>
    <row r="42" spans="1:3">
      <c r="B42" s="220">
        <f>B4+B9+B11+B15+B17+B22+B24+B37</f>
        <v>231962642</v>
      </c>
      <c r="C42" s="212">
        <f>B42/B43</f>
        <v>0.52233140141220358</v>
      </c>
    </row>
    <row r="43" spans="1:3">
      <c r="B43" s="220">
        <f>B6+B12+B19+B25+B39</f>
        <v>444090938</v>
      </c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2"/>
  <sheetViews>
    <sheetView topLeftCell="A27" workbookViewId="0">
      <selection activeCell="E47" sqref="E47"/>
    </sheetView>
  </sheetViews>
  <sheetFormatPr defaultColWidth="9.140625" defaultRowHeight="15"/>
  <cols>
    <col min="1" max="1" width="9.140625" style="37"/>
    <col min="2" max="2" width="36.42578125" style="37" bestFit="1" customWidth="1"/>
    <col min="3" max="3" width="11.42578125" style="37" bestFit="1" customWidth="1"/>
    <col min="4" max="4" width="13.7109375" style="39" bestFit="1" customWidth="1"/>
    <col min="5" max="5" width="9.140625" style="38"/>
    <col min="6" max="16384" width="9.140625" style="37"/>
  </cols>
  <sheetData>
    <row r="1" spans="1:5">
      <c r="A1" s="64" t="s">
        <v>77</v>
      </c>
    </row>
    <row r="2" spans="1:5">
      <c r="A2" s="64" t="s">
        <v>78</v>
      </c>
      <c r="C2" s="44" t="s">
        <v>59</v>
      </c>
    </row>
    <row r="3" spans="1:5">
      <c r="C3" s="44" t="s">
        <v>58</v>
      </c>
    </row>
    <row r="4" spans="1:5">
      <c r="C4" s="44" t="s">
        <v>57</v>
      </c>
    </row>
    <row r="5" spans="1:5">
      <c r="A5" s="40"/>
      <c r="B5" s="40" t="s">
        <v>56</v>
      </c>
      <c r="C5" s="40"/>
    </row>
    <row r="6" spans="1:5">
      <c r="A6" s="40"/>
      <c r="B6" s="40" t="s">
        <v>47</v>
      </c>
      <c r="C6" s="40"/>
    </row>
    <row r="7" spans="1:5">
      <c r="A7" s="40">
        <v>79</v>
      </c>
      <c r="B7" s="40" t="s">
        <v>44</v>
      </c>
      <c r="C7" s="41">
        <v>467467.1431431431</v>
      </c>
    </row>
    <row r="8" spans="1:5">
      <c r="A8" s="40">
        <v>80</v>
      </c>
      <c r="B8" s="40" t="s">
        <v>39</v>
      </c>
      <c r="C8" s="41">
        <v>151191.29629629629</v>
      </c>
    </row>
    <row r="9" spans="1:5">
      <c r="A9" s="40">
        <v>81</v>
      </c>
      <c r="B9" s="40" t="s">
        <v>46</v>
      </c>
      <c r="C9" s="41">
        <v>618657.43943943945</v>
      </c>
      <c r="E9" s="38">
        <f>C7/C9</f>
        <v>0.75561548822028446</v>
      </c>
    </row>
    <row r="10" spans="1:5">
      <c r="A10" s="40"/>
      <c r="B10" s="40" t="s">
        <v>45</v>
      </c>
      <c r="C10" s="40"/>
    </row>
    <row r="11" spans="1:5">
      <c r="A11" s="40">
        <v>82</v>
      </c>
      <c r="B11" s="40" t="s">
        <v>44</v>
      </c>
      <c r="C11" s="41">
        <v>149556.7957957958</v>
      </c>
    </row>
    <row r="12" spans="1:5">
      <c r="A12" s="40">
        <v>83</v>
      </c>
      <c r="B12" s="40" t="s">
        <v>39</v>
      </c>
      <c r="C12" s="41">
        <v>48217.764764764768</v>
      </c>
    </row>
    <row r="13" spans="1:5">
      <c r="A13" s="40">
        <v>84</v>
      </c>
      <c r="B13" s="40" t="s">
        <v>38</v>
      </c>
      <c r="C13" s="41">
        <v>197775.56056056055</v>
      </c>
      <c r="E13" s="38">
        <f>C11/C13</f>
        <v>0.75619452358978523</v>
      </c>
    </row>
    <row r="14" spans="1:5">
      <c r="A14" s="40">
        <v>85</v>
      </c>
      <c r="B14" s="40" t="s">
        <v>55</v>
      </c>
      <c r="C14" s="41">
        <v>816433</v>
      </c>
      <c r="D14" s="39">
        <f>C7+C11</f>
        <v>617023.9389389389</v>
      </c>
      <c r="E14" s="38">
        <f>D14/C14</f>
        <v>0.75575575575575571</v>
      </c>
    </row>
    <row r="15" spans="1:5">
      <c r="A15" s="40"/>
      <c r="B15" s="40"/>
      <c r="C15" s="40"/>
    </row>
    <row r="16" spans="1:5">
      <c r="A16" s="40"/>
      <c r="B16" s="40" t="s">
        <v>54</v>
      </c>
      <c r="C16" s="40"/>
    </row>
    <row r="17" spans="1:5">
      <c r="A17" s="40"/>
      <c r="B17" s="40" t="s">
        <v>47</v>
      </c>
      <c r="C17" s="40"/>
    </row>
    <row r="18" spans="1:5">
      <c r="A18" s="40">
        <v>86</v>
      </c>
      <c r="B18" s="40" t="s">
        <v>44</v>
      </c>
      <c r="C18" s="41">
        <v>178094.78</v>
      </c>
    </row>
    <row r="19" spans="1:5">
      <c r="A19" s="40">
        <v>87</v>
      </c>
      <c r="B19" s="40" t="s">
        <v>39</v>
      </c>
      <c r="C19" s="41">
        <v>499512.05199999997</v>
      </c>
    </row>
    <row r="20" spans="1:5">
      <c r="A20" s="40">
        <v>88</v>
      </c>
      <c r="B20" s="40" t="s">
        <v>46</v>
      </c>
      <c r="C20" s="41">
        <v>677606.83199999994</v>
      </c>
      <c r="E20" s="38">
        <f>C18/C20</f>
        <v>0.26282907962179464</v>
      </c>
    </row>
    <row r="21" spans="1:5">
      <c r="A21" s="40"/>
      <c r="B21" s="40" t="s">
        <v>45</v>
      </c>
      <c r="C21" s="41"/>
    </row>
    <row r="22" spans="1:5">
      <c r="A22" s="40">
        <v>89</v>
      </c>
      <c r="B22" s="40" t="s">
        <v>44</v>
      </c>
      <c r="C22" s="41">
        <v>44947.603999999999</v>
      </c>
    </row>
    <row r="23" spans="1:5">
      <c r="A23" s="40">
        <v>90</v>
      </c>
      <c r="B23" s="40" t="s">
        <v>39</v>
      </c>
      <c r="C23" s="41">
        <v>125514.06400000001</v>
      </c>
    </row>
    <row r="24" spans="1:5">
      <c r="A24" s="40">
        <v>91</v>
      </c>
      <c r="B24" s="40" t="s">
        <v>38</v>
      </c>
      <c r="C24" s="41">
        <v>170461.66800000001</v>
      </c>
      <c r="E24" s="38">
        <f>C22/C24</f>
        <v>0.26368159203980096</v>
      </c>
    </row>
    <row r="25" spans="1:5">
      <c r="A25" s="40">
        <v>92</v>
      </c>
      <c r="B25" s="40" t="s">
        <v>53</v>
      </c>
      <c r="C25" s="40">
        <v>848067.5</v>
      </c>
      <c r="D25" s="39">
        <f>C18+C22</f>
        <v>223042.38399999999</v>
      </c>
      <c r="E25" s="38">
        <f>D25/C25</f>
        <v>0.26300074463412404</v>
      </c>
    </row>
    <row r="26" spans="1:5">
      <c r="A26" s="40"/>
      <c r="B26" s="40"/>
      <c r="C26" s="40"/>
    </row>
    <row r="27" spans="1:5">
      <c r="A27" s="40"/>
      <c r="B27" s="40" t="s">
        <v>52</v>
      </c>
      <c r="C27" s="40"/>
    </row>
    <row r="28" spans="1:5">
      <c r="A28" s="40"/>
      <c r="B28" s="40" t="s">
        <v>47</v>
      </c>
      <c r="C28" s="40"/>
    </row>
    <row r="29" spans="1:5">
      <c r="A29" s="40">
        <v>93</v>
      </c>
      <c r="B29" s="40" t="s">
        <v>44</v>
      </c>
      <c r="C29" s="41">
        <v>17714.900000000001</v>
      </c>
    </row>
    <row r="30" spans="1:5">
      <c r="A30" s="40">
        <v>94</v>
      </c>
      <c r="B30" s="40" t="s">
        <v>39</v>
      </c>
      <c r="C30" s="41">
        <v>215525.2</v>
      </c>
    </row>
    <row r="31" spans="1:5">
      <c r="A31" s="40">
        <v>95</v>
      </c>
      <c r="B31" s="40" t="s">
        <v>46</v>
      </c>
      <c r="C31" s="41">
        <v>233240.1</v>
      </c>
      <c r="E31" s="38">
        <f>C29/C31</f>
        <v>7.5951347988617746E-2</v>
      </c>
    </row>
    <row r="32" spans="1:5">
      <c r="A32" s="40"/>
      <c r="B32" s="40" t="s">
        <v>45</v>
      </c>
      <c r="C32" s="41"/>
    </row>
    <row r="33" spans="1:5">
      <c r="A33" s="40">
        <v>96</v>
      </c>
      <c r="B33" s="40" t="s">
        <v>44</v>
      </c>
      <c r="C33" s="41">
        <v>1073.8499999999999</v>
      </c>
    </row>
    <row r="34" spans="1:5">
      <c r="A34" s="40">
        <v>97</v>
      </c>
      <c r="B34" s="40" t="s">
        <v>39</v>
      </c>
      <c r="C34" s="41">
        <v>34086.800000000003</v>
      </c>
    </row>
    <row r="35" spans="1:5">
      <c r="A35" s="40">
        <v>98</v>
      </c>
      <c r="B35" s="40" t="s">
        <v>38</v>
      </c>
      <c r="C35" s="41">
        <v>35160.65</v>
      </c>
      <c r="E35" s="38">
        <f>C33/C35</f>
        <v>3.0541244260273909E-2</v>
      </c>
    </row>
    <row r="36" spans="1:5">
      <c r="A36" s="40">
        <v>99</v>
      </c>
      <c r="B36" s="40" t="s">
        <v>51</v>
      </c>
      <c r="C36" s="40">
        <v>268400.75</v>
      </c>
      <c r="D36" s="39">
        <f>C29+C33</f>
        <v>18788.75</v>
      </c>
      <c r="E36" s="38">
        <f>D36/C36</f>
        <v>7.0002598725972268E-2</v>
      </c>
    </row>
    <row r="37" spans="1:5">
      <c r="A37" s="40"/>
      <c r="B37" s="40"/>
      <c r="C37" s="40"/>
    </row>
    <row r="38" spans="1:5">
      <c r="A38" s="40"/>
      <c r="B38" s="40" t="s">
        <v>50</v>
      </c>
      <c r="C38" s="40"/>
    </row>
    <row r="39" spans="1:5">
      <c r="A39" s="40"/>
      <c r="B39" s="40" t="s">
        <v>47</v>
      </c>
      <c r="C39" s="40"/>
    </row>
    <row r="40" spans="1:5">
      <c r="A40" s="40">
        <v>100</v>
      </c>
      <c r="B40" s="40" t="s">
        <v>44</v>
      </c>
      <c r="C40" s="41">
        <v>84729.542457542455</v>
      </c>
    </row>
    <row r="41" spans="1:5">
      <c r="A41" s="40">
        <v>101</v>
      </c>
      <c r="B41" s="40" t="s">
        <v>39</v>
      </c>
      <c r="C41" s="41">
        <v>1030877.0999000998</v>
      </c>
    </row>
    <row r="42" spans="1:5">
      <c r="A42" s="40">
        <v>102</v>
      </c>
      <c r="B42" s="40" t="s">
        <v>46</v>
      </c>
      <c r="C42" s="41">
        <v>1115606.6423576423</v>
      </c>
      <c r="E42" s="38">
        <f>C40/C42</f>
        <v>7.59492990096233E-2</v>
      </c>
    </row>
    <row r="43" spans="1:5">
      <c r="A43" s="40"/>
      <c r="B43" s="40" t="s">
        <v>45</v>
      </c>
      <c r="C43" s="41"/>
    </row>
    <row r="44" spans="1:5">
      <c r="A44" s="40">
        <v>103</v>
      </c>
      <c r="B44" s="40" t="s">
        <v>44</v>
      </c>
      <c r="C44" s="41">
        <v>4707.1968031968036</v>
      </c>
    </row>
    <row r="45" spans="1:5">
      <c r="A45" s="40">
        <v>104</v>
      </c>
      <c r="B45" s="40" t="s">
        <v>39</v>
      </c>
      <c r="C45" s="41">
        <v>57663.160839160839</v>
      </c>
    </row>
    <row r="46" spans="1:5">
      <c r="A46" s="40">
        <v>105</v>
      </c>
      <c r="B46" s="40" t="s">
        <v>38</v>
      </c>
      <c r="C46" s="41">
        <v>62370.357642357645</v>
      </c>
      <c r="E46" s="38">
        <f>C44/C46</f>
        <v>7.5471698113207544E-2</v>
      </c>
    </row>
    <row r="47" spans="1:5">
      <c r="A47" s="40">
        <v>106</v>
      </c>
      <c r="B47" s="40" t="s">
        <v>49</v>
      </c>
      <c r="C47" s="40">
        <v>1177976</v>
      </c>
      <c r="D47" s="39">
        <f>C40+C44</f>
        <v>89436.739260739254</v>
      </c>
      <c r="E47" s="38">
        <f>D47/C47</f>
        <v>7.5924075924075921E-2</v>
      </c>
    </row>
    <row r="48" spans="1:5">
      <c r="A48" s="40"/>
      <c r="B48" s="40"/>
      <c r="C48" s="40"/>
    </row>
    <row r="49" spans="1:5">
      <c r="A49" s="40"/>
      <c r="B49" s="40" t="s">
        <v>48</v>
      </c>
      <c r="C49" s="43"/>
    </row>
    <row r="50" spans="1:5">
      <c r="A50" s="40"/>
      <c r="B50" s="40" t="s">
        <v>47</v>
      </c>
      <c r="C50" s="43"/>
    </row>
    <row r="51" spans="1:5">
      <c r="A51" s="40">
        <v>107</v>
      </c>
      <c r="B51" s="40" t="s">
        <v>44</v>
      </c>
      <c r="C51" s="41">
        <v>6939.9840000000004</v>
      </c>
    </row>
    <row r="52" spans="1:5">
      <c r="A52" s="40">
        <v>108</v>
      </c>
      <c r="B52" s="40" t="s">
        <v>39</v>
      </c>
      <c r="C52" s="41">
        <v>100629.768</v>
      </c>
    </row>
    <row r="53" spans="1:5">
      <c r="A53" s="40">
        <v>109</v>
      </c>
      <c r="B53" s="40" t="s">
        <v>46</v>
      </c>
      <c r="C53" s="41">
        <v>107569.75199999999</v>
      </c>
      <c r="E53" s="38">
        <f>C51/C53</f>
        <v>6.4516129032258077E-2</v>
      </c>
    </row>
    <row r="54" spans="1:5">
      <c r="A54" s="40"/>
      <c r="B54" s="40" t="s">
        <v>45</v>
      </c>
      <c r="C54" s="41"/>
    </row>
    <row r="55" spans="1:5">
      <c r="A55" s="40"/>
      <c r="B55" s="40" t="s">
        <v>44</v>
      </c>
      <c r="C55" s="42"/>
    </row>
    <row r="56" spans="1:5">
      <c r="A56" s="40">
        <v>110</v>
      </c>
      <c r="B56" s="40" t="s">
        <v>43</v>
      </c>
      <c r="C56" s="41">
        <v>136486.35200000001</v>
      </c>
    </row>
    <row r="57" spans="1:5">
      <c r="A57" s="40">
        <v>111</v>
      </c>
      <c r="B57" s="40" t="s">
        <v>42</v>
      </c>
      <c r="C57" s="41">
        <v>33543.256000000001</v>
      </c>
    </row>
    <row r="58" spans="1:5">
      <c r="A58" s="40">
        <v>112</v>
      </c>
      <c r="B58" s="40" t="s">
        <v>41</v>
      </c>
      <c r="C58" s="41">
        <v>6939.9840000000004</v>
      </c>
    </row>
    <row r="59" spans="1:5">
      <c r="A59" s="40">
        <v>113</v>
      </c>
      <c r="B59" s="40" t="s">
        <v>40</v>
      </c>
      <c r="C59" s="41">
        <v>176969.592</v>
      </c>
    </row>
    <row r="60" spans="1:5">
      <c r="A60" s="40">
        <v>114</v>
      </c>
      <c r="B60" s="40" t="s">
        <v>39</v>
      </c>
      <c r="C60" s="41">
        <v>872124.65599999996</v>
      </c>
    </row>
    <row r="61" spans="1:5">
      <c r="A61" s="40">
        <v>115</v>
      </c>
      <c r="B61" s="40" t="s">
        <v>38</v>
      </c>
      <c r="C61" s="41">
        <v>1049094.2479999999</v>
      </c>
      <c r="E61" s="38">
        <f>C59/C61</f>
        <v>0.1686879823594267</v>
      </c>
    </row>
    <row r="62" spans="1:5">
      <c r="A62" s="40">
        <v>116</v>
      </c>
      <c r="B62" s="40" t="s">
        <v>37</v>
      </c>
      <c r="C62" s="40">
        <v>1156664</v>
      </c>
      <c r="D62" s="39">
        <f>C51+C59</f>
        <v>183909.576</v>
      </c>
      <c r="E62" s="38">
        <f>D62/C62</f>
        <v>0.159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IV71"/>
  <sheetViews>
    <sheetView topLeftCell="A23" workbookViewId="0">
      <selection activeCell="A52" sqref="A52"/>
    </sheetView>
  </sheetViews>
  <sheetFormatPr defaultColWidth="9.140625" defaultRowHeight="12.75"/>
  <cols>
    <col min="1" max="2" width="42.140625" style="222" customWidth="1"/>
    <col min="3" max="4" width="20.42578125" style="222" customWidth="1"/>
    <col min="5" max="5" width="35.7109375" style="222" customWidth="1"/>
    <col min="6" max="6" width="29.5703125" style="222" customWidth="1"/>
    <col min="7" max="256" width="9.140625" style="222" customWidth="1"/>
    <col min="257" max="16384" width="9.140625" style="221"/>
  </cols>
  <sheetData>
    <row r="1" spans="1:256">
      <c r="A1" s="242" t="s">
        <v>1198</v>
      </c>
      <c r="B1" s="242"/>
    </row>
    <row r="2" spans="1:256">
      <c r="A2" s="242" t="s">
        <v>1197</v>
      </c>
      <c r="B2" s="242"/>
    </row>
    <row r="4" spans="1:256">
      <c r="A4" s="242" t="s">
        <v>1196</v>
      </c>
      <c r="B4" s="242"/>
    </row>
    <row r="6" spans="1:256" ht="21" customHeight="1">
      <c r="A6" s="241" t="s">
        <v>241</v>
      </c>
      <c r="B6" s="241"/>
      <c r="E6" s="240" t="s">
        <v>1195</v>
      </c>
      <c r="F6" s="240" t="s">
        <v>1194</v>
      </c>
    </row>
    <row r="7" spans="1:256" ht="21" customHeight="1">
      <c r="A7" s="239" t="s">
        <v>1193</v>
      </c>
      <c r="B7" s="239" t="s">
        <v>1192</v>
      </c>
    </row>
    <row r="8" spans="1:256" s="238" customFormat="1" ht="21" customHeight="1">
      <c r="A8" s="228" t="s">
        <v>1191</v>
      </c>
      <c r="B8" s="228" t="s">
        <v>1179</v>
      </c>
      <c r="C8" s="222" t="s">
        <v>1190</v>
      </c>
      <c r="D8" s="222"/>
      <c r="E8" s="231">
        <v>56362313</v>
      </c>
      <c r="F8" s="231">
        <f>E8</f>
        <v>56362313</v>
      </c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  <c r="IT8" s="222"/>
      <c r="IU8" s="222"/>
      <c r="IV8" s="222"/>
    </row>
    <row r="9" spans="1:256" s="238" customFormat="1" ht="21" customHeight="1">
      <c r="A9" s="228" t="s">
        <v>1189</v>
      </c>
      <c r="B9" s="228" t="s">
        <v>1179</v>
      </c>
      <c r="C9" s="222" t="s">
        <v>1188</v>
      </c>
      <c r="D9" s="222"/>
      <c r="E9" s="231">
        <v>25476387</v>
      </c>
      <c r="F9" s="231">
        <f>E9</f>
        <v>25476387</v>
      </c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  <c r="IM9" s="222"/>
      <c r="IN9" s="222"/>
      <c r="IO9" s="222"/>
      <c r="IP9" s="222"/>
      <c r="IQ9" s="222"/>
      <c r="IR9" s="222"/>
      <c r="IS9" s="222"/>
      <c r="IT9" s="222"/>
      <c r="IU9" s="222"/>
      <c r="IV9" s="222"/>
    </row>
    <row r="10" spans="1:256" s="238" customFormat="1" ht="21" customHeight="1">
      <c r="A10" s="228" t="s">
        <v>1187</v>
      </c>
      <c r="B10" s="228" t="s">
        <v>1174</v>
      </c>
      <c r="C10" s="222" t="s">
        <v>1186</v>
      </c>
      <c r="D10" s="222"/>
      <c r="E10" s="231">
        <v>49359313</v>
      </c>
      <c r="F10" s="231">
        <f>E10</f>
        <v>49359313</v>
      </c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  <c r="IN10" s="222"/>
      <c r="IO10" s="222"/>
      <c r="IP10" s="222"/>
      <c r="IQ10" s="222"/>
      <c r="IR10" s="222"/>
      <c r="IS10" s="222"/>
      <c r="IT10" s="222"/>
      <c r="IU10" s="222"/>
      <c r="IV10" s="222"/>
    </row>
    <row r="11" spans="1:256" s="238" customFormat="1" ht="21" customHeight="1">
      <c r="A11" s="228" t="s">
        <v>1185</v>
      </c>
      <c r="B11" s="228" t="s">
        <v>1174</v>
      </c>
      <c r="C11" s="222" t="s">
        <v>1184</v>
      </c>
      <c r="D11" s="222"/>
      <c r="E11" s="231">
        <v>18237665</v>
      </c>
      <c r="F11" s="231">
        <f>E11</f>
        <v>18237665</v>
      </c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  <c r="IN11" s="222"/>
      <c r="IO11" s="222"/>
      <c r="IP11" s="222"/>
      <c r="IQ11" s="222"/>
      <c r="IR11" s="222"/>
      <c r="IS11" s="222"/>
      <c r="IT11" s="222"/>
      <c r="IU11" s="222"/>
      <c r="IV11" s="222"/>
    </row>
    <row r="12" spans="1:256" s="238" customFormat="1" ht="21" customHeight="1">
      <c r="A12" s="228"/>
      <c r="B12" s="228"/>
      <c r="C12" s="222"/>
      <c r="D12" s="222"/>
      <c r="E12" s="231"/>
      <c r="F12" s="231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  <c r="IV12" s="222"/>
    </row>
    <row r="13" spans="1:256" s="238" customFormat="1" ht="21" customHeight="1">
      <c r="A13" s="228" t="s">
        <v>1183</v>
      </c>
      <c r="B13" s="228"/>
      <c r="C13" s="222"/>
      <c r="D13" s="222"/>
      <c r="E13" s="231"/>
      <c r="F13" s="231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  <c r="IV13" s="222"/>
    </row>
    <row r="14" spans="1:256" s="238" customFormat="1" ht="21" customHeight="1">
      <c r="A14" s="228" t="s">
        <v>1182</v>
      </c>
      <c r="B14" s="228" t="s">
        <v>1179</v>
      </c>
      <c r="C14" s="222" t="s">
        <v>1181</v>
      </c>
      <c r="D14" s="222"/>
      <c r="E14" s="231">
        <v>19684989</v>
      </c>
      <c r="F14" s="231">
        <f t="shared" ref="F14:F25" si="0">E14</f>
        <v>19684989</v>
      </c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  <c r="IV14" s="222"/>
    </row>
    <row r="15" spans="1:256" s="238" customFormat="1" ht="21" customHeight="1">
      <c r="A15" s="228" t="s">
        <v>1180</v>
      </c>
      <c r="B15" s="228" t="s">
        <v>1179</v>
      </c>
      <c r="C15" s="222" t="s">
        <v>1178</v>
      </c>
      <c r="D15" s="222"/>
      <c r="E15" s="231">
        <v>15706937</v>
      </c>
      <c r="F15" s="231">
        <f t="shared" si="0"/>
        <v>15706937</v>
      </c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  <c r="IN15" s="222"/>
      <c r="IO15" s="222"/>
      <c r="IP15" s="222"/>
      <c r="IQ15" s="222"/>
      <c r="IR15" s="222"/>
      <c r="IS15" s="222"/>
      <c r="IT15" s="222"/>
      <c r="IU15" s="222"/>
      <c r="IV15" s="222"/>
    </row>
    <row r="16" spans="1:256" s="238" customFormat="1" ht="21" customHeight="1">
      <c r="A16" s="228" t="s">
        <v>1177</v>
      </c>
      <c r="B16" s="228" t="s">
        <v>1174</v>
      </c>
      <c r="C16" s="222" t="s">
        <v>1176</v>
      </c>
      <c r="D16" s="222"/>
      <c r="E16" s="231">
        <v>6820521</v>
      </c>
      <c r="F16" s="231">
        <f t="shared" si="0"/>
        <v>6820521</v>
      </c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  <c r="IN16" s="222"/>
      <c r="IO16" s="222"/>
      <c r="IP16" s="222"/>
      <c r="IQ16" s="222"/>
      <c r="IR16" s="222"/>
      <c r="IS16" s="222"/>
      <c r="IT16" s="222"/>
      <c r="IU16" s="222"/>
      <c r="IV16" s="222"/>
    </row>
    <row r="17" spans="1:256" s="238" customFormat="1" ht="21" customHeight="1">
      <c r="A17" s="228" t="s">
        <v>1175</v>
      </c>
      <c r="B17" s="228" t="s">
        <v>1174</v>
      </c>
      <c r="C17" s="222" t="s">
        <v>1173</v>
      </c>
      <c r="D17" s="222"/>
      <c r="E17" s="231">
        <v>1050825</v>
      </c>
      <c r="F17" s="231">
        <f t="shared" si="0"/>
        <v>1050825</v>
      </c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  <c r="IM17" s="222"/>
      <c r="IN17" s="222"/>
      <c r="IO17" s="222"/>
      <c r="IP17" s="222"/>
      <c r="IQ17" s="222"/>
      <c r="IR17" s="222"/>
      <c r="IS17" s="222"/>
      <c r="IT17" s="222"/>
      <c r="IU17" s="222"/>
      <c r="IV17" s="222"/>
    </row>
    <row r="18" spans="1:256" s="238" customFormat="1" ht="21" customHeight="1">
      <c r="A18" s="228" t="s">
        <v>1172</v>
      </c>
      <c r="B18" s="228">
        <v>368</v>
      </c>
      <c r="C18" s="222" t="s">
        <v>1171</v>
      </c>
      <c r="D18" s="222"/>
      <c r="E18" s="231">
        <v>30303135</v>
      </c>
      <c r="F18" s="231">
        <f t="shared" si="0"/>
        <v>30303135</v>
      </c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222"/>
      <c r="DT18" s="222"/>
      <c r="DU18" s="222"/>
      <c r="DV18" s="222"/>
      <c r="DW18" s="222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  <c r="GY18" s="222"/>
      <c r="GZ18" s="222"/>
      <c r="HA18" s="222"/>
      <c r="HB18" s="222"/>
      <c r="HC18" s="222"/>
      <c r="HD18" s="222"/>
      <c r="HE18" s="222"/>
      <c r="HF18" s="222"/>
      <c r="HG18" s="222"/>
      <c r="HH18" s="222"/>
      <c r="HI18" s="222"/>
      <c r="HJ18" s="222"/>
      <c r="HK18" s="222"/>
      <c r="HL18" s="222"/>
      <c r="HM18" s="222"/>
      <c r="HN18" s="222"/>
      <c r="HO18" s="222"/>
      <c r="HP18" s="222"/>
      <c r="HQ18" s="222"/>
      <c r="HR18" s="222"/>
      <c r="HS18" s="222"/>
      <c r="HT18" s="222"/>
      <c r="HU18" s="222"/>
      <c r="HV18" s="222"/>
      <c r="HW18" s="222"/>
      <c r="HX18" s="222"/>
      <c r="HY18" s="222"/>
      <c r="HZ18" s="222"/>
      <c r="IA18" s="222"/>
      <c r="IB18" s="222"/>
      <c r="IC18" s="222"/>
      <c r="ID18" s="222"/>
      <c r="IE18" s="222"/>
      <c r="IF18" s="222"/>
      <c r="IG18" s="222"/>
      <c r="IH18" s="222"/>
      <c r="II18" s="222"/>
      <c r="IJ18" s="222"/>
      <c r="IK18" s="222"/>
      <c r="IL18" s="222"/>
      <c r="IM18" s="222"/>
      <c r="IN18" s="222"/>
      <c r="IO18" s="222"/>
      <c r="IP18" s="222"/>
      <c r="IQ18" s="222"/>
      <c r="IR18" s="222"/>
      <c r="IS18" s="222"/>
      <c r="IT18" s="222"/>
      <c r="IU18" s="222"/>
      <c r="IV18" s="222"/>
    </row>
    <row r="19" spans="1:256" s="238" customFormat="1" ht="21" customHeight="1">
      <c r="A19" s="228" t="s">
        <v>1170</v>
      </c>
      <c r="B19" s="228">
        <v>368</v>
      </c>
      <c r="C19" s="222" t="s">
        <v>1169</v>
      </c>
      <c r="D19" s="222"/>
      <c r="E19" s="231">
        <v>9664070</v>
      </c>
      <c r="F19" s="231">
        <f t="shared" si="0"/>
        <v>9664070</v>
      </c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22"/>
      <c r="DJ19" s="222"/>
      <c r="DK19" s="222"/>
      <c r="DL19" s="222"/>
      <c r="DM19" s="222"/>
      <c r="DN19" s="222"/>
      <c r="DO19" s="222"/>
      <c r="DP19" s="222"/>
      <c r="DQ19" s="222"/>
      <c r="DR19" s="222"/>
      <c r="DS19" s="222"/>
      <c r="DT19" s="222"/>
      <c r="DU19" s="222"/>
      <c r="DV19" s="222"/>
      <c r="DW19" s="222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  <c r="FR19" s="222"/>
      <c r="FS19" s="222"/>
      <c r="FT19" s="222"/>
      <c r="FU19" s="222"/>
      <c r="FV19" s="222"/>
      <c r="FW19" s="222"/>
      <c r="FX19" s="222"/>
      <c r="FY19" s="222"/>
      <c r="FZ19" s="222"/>
      <c r="GA19" s="222"/>
      <c r="GB19" s="222"/>
      <c r="GC19" s="222"/>
      <c r="GD19" s="222"/>
      <c r="GE19" s="222"/>
      <c r="GF19" s="222"/>
      <c r="GG19" s="222"/>
      <c r="GH19" s="222"/>
      <c r="GI19" s="222"/>
      <c r="GJ19" s="222"/>
      <c r="GK19" s="222"/>
      <c r="GL19" s="222"/>
      <c r="GM19" s="222"/>
      <c r="GN19" s="222"/>
      <c r="GO19" s="222"/>
      <c r="GP19" s="222"/>
      <c r="GQ19" s="222"/>
      <c r="GR19" s="222"/>
      <c r="GS19" s="222"/>
      <c r="GT19" s="222"/>
      <c r="GU19" s="222"/>
      <c r="GV19" s="222"/>
      <c r="GW19" s="222"/>
      <c r="GX19" s="222"/>
      <c r="GY19" s="222"/>
      <c r="GZ19" s="222"/>
      <c r="HA19" s="222"/>
      <c r="HB19" s="222"/>
      <c r="HC19" s="222"/>
      <c r="HD19" s="222"/>
      <c r="HE19" s="222"/>
      <c r="HF19" s="222"/>
      <c r="HG19" s="222"/>
      <c r="HH19" s="222"/>
      <c r="HI19" s="222"/>
      <c r="HJ19" s="222"/>
      <c r="HK19" s="222"/>
      <c r="HL19" s="222"/>
      <c r="HM19" s="222"/>
      <c r="HN19" s="222"/>
      <c r="HO19" s="222"/>
      <c r="HP19" s="222"/>
      <c r="HQ19" s="222"/>
      <c r="HR19" s="222"/>
      <c r="HS19" s="222"/>
      <c r="HT19" s="222"/>
      <c r="HU19" s="222"/>
      <c r="HV19" s="222"/>
      <c r="HW19" s="222"/>
      <c r="HX19" s="222"/>
      <c r="HY19" s="222"/>
      <c r="HZ19" s="222"/>
      <c r="IA19" s="222"/>
      <c r="IB19" s="222"/>
      <c r="IC19" s="222"/>
      <c r="ID19" s="222"/>
      <c r="IE19" s="222"/>
      <c r="IF19" s="222"/>
      <c r="IG19" s="222"/>
      <c r="IH19" s="222"/>
      <c r="II19" s="222"/>
      <c r="IJ19" s="222"/>
      <c r="IK19" s="222"/>
      <c r="IL19" s="222"/>
      <c r="IM19" s="222"/>
      <c r="IN19" s="222"/>
      <c r="IO19" s="222"/>
      <c r="IP19" s="222"/>
      <c r="IQ19" s="222"/>
      <c r="IR19" s="222"/>
      <c r="IS19" s="222"/>
      <c r="IT19" s="222"/>
      <c r="IU19" s="222"/>
      <c r="IV19" s="222"/>
    </row>
    <row r="20" spans="1:256" s="238" customFormat="1" ht="21" customHeight="1">
      <c r="A20" s="228" t="s">
        <v>1168</v>
      </c>
      <c r="B20" s="228">
        <v>368</v>
      </c>
      <c r="C20" s="222" t="s">
        <v>1167</v>
      </c>
      <c r="D20" s="222"/>
      <c r="E20" s="231">
        <v>23507620</v>
      </c>
      <c r="F20" s="231">
        <f t="shared" si="0"/>
        <v>23507620</v>
      </c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  <c r="HK20" s="222"/>
      <c r="HL20" s="222"/>
      <c r="HM20" s="222"/>
      <c r="HN20" s="222"/>
      <c r="HO20" s="222"/>
      <c r="HP20" s="222"/>
      <c r="HQ20" s="222"/>
      <c r="HR20" s="222"/>
      <c r="HS20" s="222"/>
      <c r="HT20" s="222"/>
      <c r="HU20" s="222"/>
      <c r="HV20" s="222"/>
      <c r="HW20" s="222"/>
      <c r="HX20" s="222"/>
      <c r="HY20" s="222"/>
      <c r="HZ20" s="222"/>
      <c r="IA20" s="222"/>
      <c r="IB20" s="222"/>
      <c r="IC20" s="222"/>
      <c r="ID20" s="222"/>
      <c r="IE20" s="222"/>
      <c r="IF20" s="222"/>
      <c r="IG20" s="222"/>
      <c r="IH20" s="222"/>
      <c r="II20" s="222"/>
      <c r="IJ20" s="222"/>
      <c r="IK20" s="222"/>
      <c r="IL20" s="222"/>
      <c r="IM20" s="222"/>
      <c r="IN20" s="222"/>
      <c r="IO20" s="222"/>
      <c r="IP20" s="222"/>
      <c r="IQ20" s="222"/>
      <c r="IR20" s="222"/>
      <c r="IS20" s="222"/>
      <c r="IT20" s="222"/>
      <c r="IU20" s="222"/>
      <c r="IV20" s="222"/>
    </row>
    <row r="21" spans="1:256" s="238" customFormat="1" ht="21" customHeight="1">
      <c r="A21" s="228" t="s">
        <v>1166</v>
      </c>
      <c r="B21" s="228">
        <v>368</v>
      </c>
      <c r="C21" s="222" t="s">
        <v>1165</v>
      </c>
      <c r="D21" s="222"/>
      <c r="E21" s="231">
        <v>5924732</v>
      </c>
      <c r="F21" s="231">
        <f t="shared" si="0"/>
        <v>5924732</v>
      </c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  <c r="HK21" s="222"/>
      <c r="HL21" s="222"/>
      <c r="HM21" s="222"/>
      <c r="HN21" s="222"/>
      <c r="HO21" s="222"/>
      <c r="HP21" s="222"/>
      <c r="HQ21" s="222"/>
      <c r="HR21" s="222"/>
      <c r="HS21" s="222"/>
      <c r="HT21" s="222"/>
      <c r="HU21" s="222"/>
      <c r="HV21" s="222"/>
      <c r="HW21" s="222"/>
      <c r="HX21" s="222"/>
      <c r="HY21" s="222"/>
      <c r="HZ21" s="222"/>
      <c r="IA21" s="222"/>
      <c r="IB21" s="222"/>
      <c r="IC21" s="222"/>
      <c r="ID21" s="222"/>
      <c r="IE21" s="222"/>
      <c r="IF21" s="222"/>
      <c r="IG21" s="222"/>
      <c r="IH21" s="222"/>
      <c r="II21" s="222"/>
      <c r="IJ21" s="222"/>
      <c r="IK21" s="222"/>
      <c r="IL21" s="222"/>
      <c r="IM21" s="222"/>
      <c r="IN21" s="222"/>
      <c r="IO21" s="222"/>
      <c r="IP21" s="222"/>
      <c r="IQ21" s="222"/>
      <c r="IR21" s="222"/>
      <c r="IS21" s="222"/>
      <c r="IT21" s="222"/>
      <c r="IU21" s="222"/>
      <c r="IV21" s="222"/>
    </row>
    <row r="22" spans="1:256" s="238" customFormat="1" ht="21" customHeight="1">
      <c r="A22" s="228" t="s">
        <v>1164</v>
      </c>
      <c r="B22" s="228">
        <v>369</v>
      </c>
      <c r="C22" s="222" t="s">
        <v>1163</v>
      </c>
      <c r="D22" s="222"/>
      <c r="E22" s="231">
        <v>1837018</v>
      </c>
      <c r="F22" s="231">
        <f t="shared" si="0"/>
        <v>1837018</v>
      </c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  <c r="HK22" s="222"/>
      <c r="HL22" s="222"/>
      <c r="HM22" s="222"/>
      <c r="HN22" s="222"/>
      <c r="HO22" s="222"/>
      <c r="HP22" s="222"/>
      <c r="HQ22" s="222"/>
      <c r="HR22" s="222"/>
      <c r="HS22" s="222"/>
      <c r="HT22" s="222"/>
      <c r="HU22" s="222"/>
      <c r="HV22" s="222"/>
      <c r="HW22" s="222"/>
      <c r="HX22" s="222"/>
      <c r="HY22" s="222"/>
      <c r="HZ22" s="222"/>
      <c r="IA22" s="222"/>
      <c r="IB22" s="222"/>
      <c r="IC22" s="222"/>
      <c r="ID22" s="222"/>
      <c r="IE22" s="222"/>
      <c r="IF22" s="222"/>
      <c r="IG22" s="222"/>
      <c r="IH22" s="222"/>
      <c r="II22" s="222"/>
      <c r="IJ22" s="222"/>
      <c r="IK22" s="222"/>
      <c r="IL22" s="222"/>
      <c r="IM22" s="222"/>
      <c r="IN22" s="222"/>
      <c r="IO22" s="222"/>
      <c r="IP22" s="222"/>
      <c r="IQ22" s="222"/>
      <c r="IR22" s="222"/>
      <c r="IS22" s="222"/>
      <c r="IT22" s="222"/>
      <c r="IU22" s="222"/>
      <c r="IV22" s="222"/>
    </row>
    <row r="23" spans="1:256" s="238" customFormat="1" ht="21" customHeight="1">
      <c r="A23" s="228" t="s">
        <v>1162</v>
      </c>
      <c r="B23" s="228">
        <v>369</v>
      </c>
      <c r="C23" s="222" t="s">
        <v>1161</v>
      </c>
      <c r="D23" s="222"/>
      <c r="E23" s="231">
        <v>4354483</v>
      </c>
      <c r="F23" s="231">
        <f t="shared" si="0"/>
        <v>4354483</v>
      </c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  <c r="HK23" s="222"/>
      <c r="HL23" s="222"/>
      <c r="HM23" s="222"/>
      <c r="HN23" s="222"/>
      <c r="HO23" s="222"/>
      <c r="HP23" s="222"/>
      <c r="HQ23" s="222"/>
      <c r="HR23" s="222"/>
      <c r="HS23" s="222"/>
      <c r="HT23" s="222"/>
      <c r="HU23" s="222"/>
      <c r="HV23" s="222"/>
      <c r="HW23" s="222"/>
      <c r="HX23" s="222"/>
      <c r="HY23" s="222"/>
      <c r="HZ23" s="222"/>
      <c r="IA23" s="222"/>
      <c r="IB23" s="222"/>
      <c r="IC23" s="222"/>
      <c r="ID23" s="222"/>
      <c r="IE23" s="222"/>
      <c r="IF23" s="222"/>
      <c r="IG23" s="222"/>
      <c r="IH23" s="222"/>
      <c r="II23" s="222"/>
      <c r="IJ23" s="222"/>
      <c r="IK23" s="222"/>
      <c r="IL23" s="222"/>
      <c r="IM23" s="222"/>
      <c r="IN23" s="222"/>
      <c r="IO23" s="222"/>
      <c r="IP23" s="222"/>
      <c r="IQ23" s="222"/>
      <c r="IR23" s="222"/>
      <c r="IS23" s="222"/>
      <c r="IT23" s="222"/>
      <c r="IU23" s="222"/>
      <c r="IV23" s="222"/>
    </row>
    <row r="24" spans="1:256" s="238" customFormat="1" ht="21" customHeight="1">
      <c r="A24" s="228" t="s">
        <v>1160</v>
      </c>
      <c r="B24" s="228">
        <v>369</v>
      </c>
      <c r="C24" s="222" t="s">
        <v>1159</v>
      </c>
      <c r="D24" s="222"/>
      <c r="E24" s="231">
        <v>4214752</v>
      </c>
      <c r="F24" s="231">
        <f t="shared" si="0"/>
        <v>4214752</v>
      </c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222"/>
      <c r="DJ24" s="222"/>
      <c r="DK24" s="222"/>
      <c r="DL24" s="222"/>
      <c r="DM24" s="222"/>
      <c r="DN24" s="222"/>
      <c r="DO24" s="222"/>
      <c r="DP24" s="222"/>
      <c r="DQ24" s="222"/>
      <c r="DR24" s="222"/>
      <c r="DS24" s="222"/>
      <c r="DT24" s="222"/>
      <c r="DU24" s="222"/>
      <c r="DV24" s="222"/>
      <c r="DW24" s="222"/>
      <c r="DX24" s="222"/>
      <c r="DY24" s="222"/>
      <c r="DZ24" s="222"/>
      <c r="EA24" s="222"/>
      <c r="EB24" s="222"/>
      <c r="EC24" s="222"/>
      <c r="ED24" s="222"/>
      <c r="EE24" s="222"/>
      <c r="EF24" s="222"/>
      <c r="EG24" s="222"/>
      <c r="EH24" s="222"/>
      <c r="EI24" s="222"/>
      <c r="EJ24" s="222"/>
      <c r="EK24" s="222"/>
      <c r="EL24" s="222"/>
      <c r="EM24" s="222"/>
      <c r="EN24" s="222"/>
      <c r="EO24" s="222"/>
      <c r="EP24" s="222"/>
      <c r="EQ24" s="222"/>
      <c r="ER24" s="222"/>
      <c r="ES24" s="222"/>
      <c r="ET24" s="222"/>
      <c r="EU24" s="222"/>
      <c r="EV24" s="222"/>
      <c r="EW24" s="222"/>
      <c r="EX24" s="222"/>
      <c r="EY24" s="222"/>
      <c r="EZ24" s="222"/>
      <c r="FA24" s="222"/>
      <c r="FB24" s="222"/>
      <c r="FC24" s="222"/>
      <c r="FD24" s="222"/>
      <c r="FE24" s="222"/>
      <c r="FF24" s="222"/>
      <c r="FG24" s="222"/>
      <c r="FH24" s="222"/>
      <c r="FI24" s="222"/>
      <c r="FJ24" s="222"/>
      <c r="FK24" s="222"/>
      <c r="FL24" s="222"/>
      <c r="FM24" s="222"/>
      <c r="FN24" s="222"/>
      <c r="FO24" s="222"/>
      <c r="FP24" s="222"/>
      <c r="FQ24" s="222"/>
      <c r="FR24" s="222"/>
      <c r="FS24" s="222"/>
      <c r="FT24" s="222"/>
      <c r="FU24" s="222"/>
      <c r="FV24" s="222"/>
      <c r="FW24" s="222"/>
      <c r="FX24" s="222"/>
      <c r="FY24" s="222"/>
      <c r="FZ24" s="222"/>
      <c r="GA24" s="222"/>
      <c r="GB24" s="222"/>
      <c r="GC24" s="222"/>
      <c r="GD24" s="222"/>
      <c r="GE24" s="222"/>
      <c r="GF24" s="222"/>
      <c r="GG24" s="222"/>
      <c r="GH24" s="222"/>
      <c r="GI24" s="222"/>
      <c r="GJ24" s="222"/>
      <c r="GK24" s="222"/>
      <c r="GL24" s="222"/>
      <c r="GM24" s="222"/>
      <c r="GN24" s="222"/>
      <c r="GO24" s="222"/>
      <c r="GP24" s="222"/>
      <c r="GQ24" s="222"/>
      <c r="GR24" s="222"/>
      <c r="GS24" s="222"/>
      <c r="GT24" s="222"/>
      <c r="GU24" s="222"/>
      <c r="GV24" s="222"/>
      <c r="GW24" s="222"/>
      <c r="GX24" s="222"/>
      <c r="GY24" s="222"/>
      <c r="GZ24" s="222"/>
      <c r="HA24" s="222"/>
      <c r="HB24" s="222"/>
      <c r="HC24" s="222"/>
      <c r="HD24" s="222"/>
      <c r="HE24" s="222"/>
      <c r="HF24" s="222"/>
      <c r="HG24" s="222"/>
      <c r="HH24" s="222"/>
      <c r="HI24" s="222"/>
      <c r="HJ24" s="222"/>
      <c r="HK24" s="222"/>
      <c r="HL24" s="222"/>
      <c r="HM24" s="222"/>
      <c r="HN24" s="222"/>
      <c r="HO24" s="222"/>
      <c r="HP24" s="222"/>
      <c r="HQ24" s="222"/>
      <c r="HR24" s="222"/>
      <c r="HS24" s="222"/>
      <c r="HT24" s="222"/>
      <c r="HU24" s="222"/>
      <c r="HV24" s="222"/>
      <c r="HW24" s="222"/>
      <c r="HX24" s="222"/>
      <c r="HY24" s="222"/>
      <c r="HZ24" s="222"/>
      <c r="IA24" s="222"/>
      <c r="IB24" s="222"/>
      <c r="IC24" s="222"/>
      <c r="ID24" s="222"/>
      <c r="IE24" s="222"/>
      <c r="IF24" s="222"/>
      <c r="IG24" s="222"/>
      <c r="IH24" s="222"/>
      <c r="II24" s="222"/>
      <c r="IJ24" s="222"/>
      <c r="IK24" s="222"/>
      <c r="IL24" s="222"/>
      <c r="IM24" s="222"/>
      <c r="IN24" s="222"/>
      <c r="IO24" s="222"/>
      <c r="IP24" s="222"/>
      <c r="IQ24" s="222"/>
      <c r="IR24" s="222"/>
      <c r="IS24" s="222"/>
      <c r="IT24" s="222"/>
      <c r="IU24" s="222"/>
      <c r="IV24" s="222"/>
    </row>
    <row r="25" spans="1:256" s="238" customFormat="1" ht="21" customHeight="1">
      <c r="A25" s="228" t="s">
        <v>1158</v>
      </c>
      <c r="B25" s="228">
        <v>369</v>
      </c>
      <c r="C25" s="222" t="s">
        <v>1157</v>
      </c>
      <c r="D25" s="222"/>
      <c r="E25" s="231">
        <v>7238377</v>
      </c>
      <c r="F25" s="231">
        <f t="shared" si="0"/>
        <v>7238377</v>
      </c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  <c r="HK25" s="222"/>
      <c r="HL25" s="222"/>
      <c r="HM25" s="222"/>
      <c r="HN25" s="222"/>
      <c r="HO25" s="222"/>
      <c r="HP25" s="222"/>
      <c r="HQ25" s="222"/>
      <c r="HR25" s="222"/>
      <c r="HS25" s="222"/>
      <c r="HT25" s="222"/>
      <c r="HU25" s="222"/>
      <c r="HV25" s="222"/>
      <c r="HW25" s="222"/>
      <c r="HX25" s="222"/>
      <c r="HY25" s="222"/>
      <c r="HZ25" s="222"/>
      <c r="IA25" s="222"/>
      <c r="IB25" s="222"/>
      <c r="IC25" s="222"/>
      <c r="ID25" s="222"/>
      <c r="IE25" s="222"/>
      <c r="IF25" s="222"/>
      <c r="IG25" s="222"/>
      <c r="IH25" s="222"/>
      <c r="II25" s="222"/>
      <c r="IJ25" s="222"/>
      <c r="IK25" s="222"/>
      <c r="IL25" s="222"/>
      <c r="IM25" s="222"/>
      <c r="IN25" s="222"/>
      <c r="IO25" s="222"/>
      <c r="IP25" s="222"/>
      <c r="IQ25" s="222"/>
      <c r="IR25" s="222"/>
      <c r="IS25" s="222"/>
      <c r="IT25" s="222"/>
      <c r="IU25" s="222"/>
      <c r="IV25" s="222"/>
    </row>
    <row r="26" spans="1:256" s="238" customFormat="1" ht="21" customHeight="1">
      <c r="A26" s="228" t="s">
        <v>1156</v>
      </c>
      <c r="B26" s="228">
        <v>370</v>
      </c>
      <c r="C26" s="222" t="s">
        <v>1155</v>
      </c>
      <c r="D26" s="222"/>
      <c r="E26" s="231">
        <v>42776974</v>
      </c>
      <c r="F26" s="231">
        <v>42238918</v>
      </c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222"/>
      <c r="DJ26" s="222"/>
      <c r="DK26" s="222"/>
      <c r="DL26" s="222"/>
      <c r="DM26" s="222"/>
      <c r="DN26" s="222"/>
      <c r="DO26" s="222"/>
      <c r="DP26" s="222"/>
      <c r="DQ26" s="222"/>
      <c r="DR26" s="222"/>
      <c r="DS26" s="222"/>
      <c r="DT26" s="222"/>
      <c r="DU26" s="222"/>
      <c r="DV26" s="222"/>
      <c r="DW26" s="222"/>
      <c r="DX26" s="222"/>
      <c r="DY26" s="222"/>
      <c r="DZ26" s="222"/>
      <c r="EA26" s="222"/>
      <c r="EB26" s="222"/>
      <c r="EC26" s="222"/>
      <c r="ED26" s="222"/>
      <c r="EE26" s="222"/>
      <c r="EF26" s="222"/>
      <c r="EG26" s="222"/>
      <c r="EH26" s="222"/>
      <c r="EI26" s="222"/>
      <c r="EJ26" s="222"/>
      <c r="EK26" s="222"/>
      <c r="EL26" s="222"/>
      <c r="EM26" s="222"/>
      <c r="EN26" s="222"/>
      <c r="EO26" s="222"/>
      <c r="EP26" s="222"/>
      <c r="EQ26" s="222"/>
      <c r="ER26" s="222"/>
      <c r="ES26" s="222"/>
      <c r="ET26" s="222"/>
      <c r="EU26" s="222"/>
      <c r="EV26" s="222"/>
      <c r="EW26" s="222"/>
      <c r="EX26" s="222"/>
      <c r="EY26" s="222"/>
      <c r="EZ26" s="222"/>
      <c r="FA26" s="222"/>
      <c r="FB26" s="222"/>
      <c r="FC26" s="222"/>
      <c r="FD26" s="222"/>
      <c r="FE26" s="222"/>
      <c r="FF26" s="222"/>
      <c r="FG26" s="222"/>
      <c r="FH26" s="222"/>
      <c r="FI26" s="222"/>
      <c r="FJ26" s="222"/>
      <c r="FK26" s="222"/>
      <c r="FL26" s="222"/>
      <c r="FM26" s="222"/>
      <c r="FN26" s="222"/>
      <c r="FO26" s="222"/>
      <c r="FP26" s="222"/>
      <c r="FQ26" s="222"/>
      <c r="FR26" s="222"/>
      <c r="FS26" s="222"/>
      <c r="FT26" s="222"/>
      <c r="FU26" s="222"/>
      <c r="FV26" s="222"/>
      <c r="FW26" s="222"/>
      <c r="FX26" s="222"/>
      <c r="FY26" s="222"/>
      <c r="FZ26" s="222"/>
      <c r="GA26" s="222"/>
      <c r="GB26" s="222"/>
      <c r="GC26" s="222"/>
      <c r="GD26" s="222"/>
      <c r="GE26" s="222"/>
      <c r="GF26" s="222"/>
      <c r="GG26" s="222"/>
      <c r="GH26" s="222"/>
      <c r="GI26" s="222"/>
      <c r="GJ26" s="222"/>
      <c r="GK26" s="222"/>
      <c r="GL26" s="222"/>
      <c r="GM26" s="222"/>
      <c r="GN26" s="222"/>
      <c r="GO26" s="222"/>
      <c r="GP26" s="222"/>
      <c r="GQ26" s="222"/>
      <c r="GR26" s="222"/>
      <c r="GS26" s="222"/>
      <c r="GT26" s="222"/>
      <c r="GU26" s="222"/>
      <c r="GV26" s="222"/>
      <c r="GW26" s="222"/>
      <c r="GX26" s="222"/>
      <c r="GY26" s="222"/>
      <c r="GZ26" s="222"/>
      <c r="HA26" s="222"/>
      <c r="HB26" s="222"/>
      <c r="HC26" s="222"/>
      <c r="HD26" s="222"/>
      <c r="HE26" s="222"/>
      <c r="HF26" s="222"/>
      <c r="HG26" s="222"/>
      <c r="HH26" s="222"/>
      <c r="HI26" s="222"/>
      <c r="HJ26" s="222"/>
      <c r="HK26" s="222"/>
      <c r="HL26" s="222"/>
      <c r="HM26" s="222"/>
      <c r="HN26" s="222"/>
      <c r="HO26" s="222"/>
      <c r="HP26" s="222"/>
      <c r="HQ26" s="222"/>
      <c r="HR26" s="222"/>
      <c r="HS26" s="222"/>
      <c r="HT26" s="222"/>
      <c r="HU26" s="222"/>
      <c r="HV26" s="222"/>
      <c r="HW26" s="222"/>
      <c r="HX26" s="222"/>
      <c r="HY26" s="222"/>
      <c r="HZ26" s="222"/>
      <c r="IA26" s="222"/>
      <c r="IB26" s="222"/>
      <c r="IC26" s="222"/>
      <c r="ID26" s="222"/>
      <c r="IE26" s="222"/>
      <c r="IF26" s="222"/>
      <c r="IG26" s="222"/>
      <c r="IH26" s="222"/>
      <c r="II26" s="222"/>
      <c r="IJ26" s="222"/>
      <c r="IK26" s="222"/>
      <c r="IL26" s="222"/>
      <c r="IM26" s="222"/>
      <c r="IN26" s="222"/>
      <c r="IO26" s="222"/>
      <c r="IP26" s="222"/>
      <c r="IQ26" s="222"/>
      <c r="IR26" s="222"/>
      <c r="IS26" s="222"/>
      <c r="IT26" s="222"/>
      <c r="IU26" s="222"/>
      <c r="IV26" s="222"/>
    </row>
    <row r="27" spans="1:256" s="238" customFormat="1" ht="21" customHeight="1">
      <c r="A27" s="228" t="s">
        <v>1154</v>
      </c>
      <c r="B27" s="228"/>
      <c r="C27" s="222" t="s">
        <v>1153</v>
      </c>
      <c r="D27" s="222"/>
      <c r="E27" s="231">
        <v>0</v>
      </c>
      <c r="F27" s="231">
        <f>E27</f>
        <v>0</v>
      </c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  <c r="HK27" s="222"/>
      <c r="HL27" s="222"/>
      <c r="HM27" s="222"/>
      <c r="HN27" s="222"/>
      <c r="HO27" s="222"/>
      <c r="HP27" s="222"/>
      <c r="HQ27" s="222"/>
      <c r="HR27" s="222"/>
      <c r="HS27" s="222"/>
      <c r="HT27" s="222"/>
      <c r="HU27" s="222"/>
      <c r="HV27" s="222"/>
      <c r="HW27" s="222"/>
      <c r="HX27" s="222"/>
      <c r="HY27" s="222"/>
      <c r="HZ27" s="222"/>
      <c r="IA27" s="222"/>
      <c r="IB27" s="222"/>
      <c r="IC27" s="222"/>
      <c r="ID27" s="222"/>
      <c r="IE27" s="222"/>
      <c r="IF27" s="222"/>
      <c r="IG27" s="222"/>
      <c r="IH27" s="222"/>
      <c r="II27" s="222"/>
      <c r="IJ27" s="222"/>
      <c r="IK27" s="222"/>
      <c r="IL27" s="222"/>
      <c r="IM27" s="222"/>
      <c r="IN27" s="222"/>
      <c r="IO27" s="222"/>
      <c r="IP27" s="222"/>
      <c r="IQ27" s="222"/>
      <c r="IR27" s="222"/>
      <c r="IS27" s="222"/>
      <c r="IT27" s="222"/>
      <c r="IU27" s="222"/>
      <c r="IV27" s="222"/>
    </row>
    <row r="28" spans="1:256" s="238" customFormat="1" ht="21" customHeight="1">
      <c r="A28" s="228" t="s">
        <v>1152</v>
      </c>
      <c r="B28" s="228"/>
      <c r="C28" s="222" t="s">
        <v>1151</v>
      </c>
      <c r="D28" s="222"/>
      <c r="E28" s="231">
        <v>1616310</v>
      </c>
      <c r="F28" s="231">
        <f>E28</f>
        <v>1616310</v>
      </c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  <c r="HK28" s="222"/>
      <c r="HL28" s="222"/>
      <c r="HM28" s="222"/>
      <c r="HN28" s="222"/>
      <c r="HO28" s="222"/>
      <c r="HP28" s="222"/>
      <c r="HQ28" s="222"/>
      <c r="HR28" s="222"/>
      <c r="HS28" s="222"/>
      <c r="HT28" s="222"/>
      <c r="HU28" s="222"/>
      <c r="HV28" s="222"/>
      <c r="HW28" s="222"/>
      <c r="HX28" s="222"/>
      <c r="HY28" s="222"/>
      <c r="HZ28" s="222"/>
      <c r="IA28" s="222"/>
      <c r="IB28" s="222"/>
      <c r="IC28" s="222"/>
      <c r="ID28" s="222"/>
      <c r="IE28" s="222"/>
      <c r="IF28" s="222"/>
      <c r="IG28" s="222"/>
      <c r="IH28" s="222"/>
      <c r="II28" s="222"/>
      <c r="IJ28" s="222"/>
      <c r="IK28" s="222"/>
      <c r="IL28" s="222"/>
      <c r="IM28" s="222"/>
      <c r="IN28" s="222"/>
      <c r="IO28" s="222"/>
      <c r="IP28" s="222"/>
      <c r="IQ28" s="222"/>
      <c r="IR28" s="222"/>
      <c r="IS28" s="222"/>
      <c r="IT28" s="222"/>
      <c r="IU28" s="222"/>
      <c r="IV28" s="222"/>
    </row>
    <row r="29" spans="1:256" s="238" customFormat="1" ht="21" customHeight="1">
      <c r="A29" s="228"/>
      <c r="B29" s="228"/>
      <c r="C29" s="222"/>
      <c r="D29" s="222"/>
      <c r="E29" s="231"/>
      <c r="F29" s="231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  <c r="HK29" s="222"/>
      <c r="HL29" s="222"/>
      <c r="HM29" s="222"/>
      <c r="HN29" s="222"/>
      <c r="HO29" s="222"/>
      <c r="HP29" s="222"/>
      <c r="HQ29" s="222"/>
      <c r="HR29" s="222"/>
      <c r="HS29" s="222"/>
      <c r="HT29" s="222"/>
      <c r="HU29" s="222"/>
      <c r="HV29" s="222"/>
      <c r="HW29" s="222"/>
      <c r="HX29" s="222"/>
      <c r="HY29" s="222"/>
      <c r="HZ29" s="222"/>
      <c r="IA29" s="222"/>
      <c r="IB29" s="222"/>
      <c r="IC29" s="222"/>
      <c r="ID29" s="222"/>
      <c r="IE29" s="222"/>
      <c r="IF29" s="222"/>
      <c r="IG29" s="222"/>
      <c r="IH29" s="222"/>
      <c r="II29" s="222"/>
      <c r="IJ29" s="222"/>
      <c r="IK29" s="222"/>
      <c r="IL29" s="222"/>
      <c r="IM29" s="222"/>
      <c r="IN29" s="222"/>
      <c r="IO29" s="222"/>
      <c r="IP29" s="222"/>
      <c r="IQ29" s="222"/>
      <c r="IR29" s="222"/>
      <c r="IS29" s="222"/>
      <c r="IT29" s="222"/>
      <c r="IU29" s="222"/>
      <c r="IV29" s="222"/>
    </row>
    <row r="30" spans="1:256">
      <c r="A30" s="236" t="s">
        <v>1150</v>
      </c>
      <c r="B30" s="236">
        <v>373</v>
      </c>
      <c r="C30" s="237" t="s">
        <v>1149</v>
      </c>
      <c r="D30" s="237"/>
      <c r="E30" s="234">
        <v>2463070</v>
      </c>
      <c r="F30" s="234">
        <v>0</v>
      </c>
    </row>
    <row r="31" spans="1:256">
      <c r="A31" s="236" t="s">
        <v>1148</v>
      </c>
      <c r="B31" s="236"/>
      <c r="C31" s="237" t="s">
        <v>1147</v>
      </c>
      <c r="D31" s="237"/>
      <c r="E31" s="234">
        <v>1577275</v>
      </c>
      <c r="F31" s="234">
        <v>1310037</v>
      </c>
    </row>
    <row r="32" spans="1:256">
      <c r="A32" s="236" t="s">
        <v>1146</v>
      </c>
      <c r="B32" s="236"/>
      <c r="C32" s="237" t="s">
        <v>1145</v>
      </c>
      <c r="D32" s="237"/>
      <c r="E32" s="234">
        <v>61614235</v>
      </c>
      <c r="F32" s="234">
        <v>43627152</v>
      </c>
    </row>
    <row r="33" spans="1:6" s="221" customFormat="1">
      <c r="A33" s="236" t="s">
        <v>1144</v>
      </c>
      <c r="B33" s="236"/>
      <c r="C33" s="237" t="s">
        <v>1143</v>
      </c>
      <c r="D33" s="237"/>
      <c r="E33" s="234">
        <v>25545636</v>
      </c>
      <c r="F33" s="234">
        <v>25545636</v>
      </c>
    </row>
    <row r="34" spans="1:6" s="221" customFormat="1">
      <c r="A34" s="236" t="s">
        <v>1142</v>
      </c>
      <c r="B34" s="236"/>
      <c r="C34" s="237" t="s">
        <v>1141</v>
      </c>
      <c r="D34" s="237"/>
      <c r="E34" s="234">
        <v>392077</v>
      </c>
      <c r="F34" s="234">
        <v>0</v>
      </c>
    </row>
    <row r="35" spans="1:6" s="221" customFormat="1">
      <c r="A35" s="236" t="s">
        <v>1140</v>
      </c>
      <c r="B35" s="236"/>
      <c r="C35" s="237" t="s">
        <v>1139</v>
      </c>
      <c r="D35" s="237"/>
      <c r="E35" s="234">
        <v>635673</v>
      </c>
      <c r="F35" s="234">
        <v>0</v>
      </c>
    </row>
    <row r="36" spans="1:6" s="221" customFormat="1">
      <c r="A36" s="236" t="s">
        <v>1138</v>
      </c>
      <c r="B36" s="236"/>
      <c r="C36" s="235"/>
      <c r="D36" s="235"/>
      <c r="E36" s="234"/>
      <c r="F36" s="234"/>
    </row>
    <row r="37" spans="1:6" s="221" customFormat="1">
      <c r="A37" s="222"/>
      <c r="B37" s="222"/>
      <c r="C37" s="222"/>
      <c r="D37" s="222"/>
      <c r="E37" s="231">
        <f>SUM(E8:E35)</f>
        <v>416364387</v>
      </c>
      <c r="F37" s="231">
        <f>SUM(F8:F35)</f>
        <v>394081190</v>
      </c>
    </row>
    <row r="38" spans="1:6" s="221" customFormat="1">
      <c r="A38" s="222"/>
      <c r="C38" s="222"/>
      <c r="D38" s="222"/>
      <c r="E38" s="231"/>
      <c r="F38" s="231"/>
    </row>
    <row r="39" spans="1:6" s="221" customFormat="1">
      <c r="A39" s="222"/>
      <c r="B39" s="228" t="s">
        <v>1137</v>
      </c>
      <c r="C39" s="222"/>
      <c r="D39" s="222"/>
      <c r="E39" s="231">
        <f>SUM(E9,E15)</f>
        <v>41183324</v>
      </c>
      <c r="F39" s="231">
        <f>SUM(F9,F15)</f>
        <v>41183324</v>
      </c>
    </row>
    <row r="40" spans="1:6" s="221" customFormat="1">
      <c r="A40" s="222"/>
      <c r="B40" s="228" t="s">
        <v>1136</v>
      </c>
      <c r="C40" s="222"/>
      <c r="D40" s="222"/>
      <c r="E40" s="231">
        <f>SUM(E11,E17)</f>
        <v>19288490</v>
      </c>
      <c r="F40" s="231">
        <f>SUM(F11,F17)</f>
        <v>19288490</v>
      </c>
    </row>
    <row r="41" spans="1:6" s="221" customFormat="1">
      <c r="A41" s="222"/>
      <c r="B41" s="228" t="s">
        <v>1135</v>
      </c>
      <c r="C41" s="222"/>
      <c r="D41" s="222"/>
      <c r="E41" s="231">
        <f>SUM(E19,E21)</f>
        <v>15588802</v>
      </c>
      <c r="F41" s="231">
        <f>SUM(F19,F21)</f>
        <v>15588802</v>
      </c>
    </row>
    <row r="42" spans="1:6" s="221" customFormat="1">
      <c r="A42" s="222"/>
      <c r="B42" s="228" t="s">
        <v>1134</v>
      </c>
      <c r="C42" s="222"/>
      <c r="D42" s="222"/>
      <c r="E42" s="232">
        <f>SUM(E39:E41)</f>
        <v>76060616</v>
      </c>
      <c r="F42" s="232">
        <f>SUM(F39:F41)</f>
        <v>76060616</v>
      </c>
    </row>
    <row r="43" spans="1:6" s="221" customFormat="1">
      <c r="A43" s="222"/>
      <c r="B43" s="228"/>
      <c r="C43" s="222"/>
      <c r="D43" s="222"/>
      <c r="E43" s="231"/>
      <c r="F43" s="231"/>
    </row>
    <row r="44" spans="1:6" s="221" customFormat="1">
      <c r="A44" s="222"/>
      <c r="B44" s="228"/>
      <c r="C44" s="222"/>
      <c r="D44" s="222"/>
      <c r="E44" s="231"/>
      <c r="F44" s="231"/>
    </row>
    <row r="45" spans="1:6" s="221" customFormat="1">
      <c r="A45" s="222"/>
      <c r="B45" s="228" t="s">
        <v>1133</v>
      </c>
      <c r="C45" s="222"/>
      <c r="D45" s="222"/>
      <c r="E45" s="231">
        <f>SUM(E8,E9,E14,E15)</f>
        <v>117230626</v>
      </c>
      <c r="F45" s="231">
        <f>SUM(F8,F9,F14,F15)</f>
        <v>117230626</v>
      </c>
    </row>
    <row r="46" spans="1:6" s="221" customFormat="1">
      <c r="A46" s="222"/>
      <c r="B46" s="228" t="s">
        <v>1132</v>
      </c>
      <c r="C46" s="222"/>
      <c r="D46" s="222"/>
      <c r="E46" s="231">
        <f>SUM(E10,E11,E16,E17)</f>
        <v>75468324</v>
      </c>
      <c r="F46" s="231">
        <f>SUM(F10,F11,F16,F17)</f>
        <v>75468324</v>
      </c>
    </row>
    <row r="47" spans="1:6" s="221" customFormat="1">
      <c r="A47" s="222"/>
      <c r="B47" s="228" t="s">
        <v>1131</v>
      </c>
      <c r="C47" s="222"/>
      <c r="D47" s="222"/>
      <c r="E47" s="231">
        <f>SUM(E18,E19,E20,E21)</f>
        <v>69399557</v>
      </c>
      <c r="F47" s="231">
        <f>SUM(F18,F19,F20,F21)</f>
        <v>69399557</v>
      </c>
    </row>
    <row r="48" spans="1:6" s="221" customFormat="1">
      <c r="A48" s="233" t="s">
        <v>1130</v>
      </c>
      <c r="B48" s="233"/>
      <c r="C48" s="222"/>
      <c r="D48" s="222"/>
      <c r="E48" s="232">
        <f>SUM(E45:E47)</f>
        <v>262098507</v>
      </c>
      <c r="F48" s="232">
        <f>SUM(F45:F47)</f>
        <v>262098507</v>
      </c>
    </row>
    <row r="49" spans="1:6" s="221" customFormat="1">
      <c r="A49" s="222"/>
      <c r="C49" s="222"/>
      <c r="D49" s="222"/>
      <c r="E49" s="231"/>
      <c r="F49" s="231"/>
    </row>
    <row r="50" spans="1:6" s="221" customFormat="1">
      <c r="A50" s="222"/>
      <c r="B50" s="228" t="s">
        <v>1129</v>
      </c>
      <c r="C50" s="222"/>
      <c r="D50" s="222"/>
      <c r="E50" s="230">
        <f t="shared" ref="E50:F53" si="1">E39/E45</f>
        <v>0.35130174942510328</v>
      </c>
      <c r="F50" s="230">
        <f t="shared" si="1"/>
        <v>0.35130174942510328</v>
      </c>
    </row>
    <row r="51" spans="1:6" s="221" customFormat="1">
      <c r="A51" s="222"/>
      <c r="B51" s="228" t="s">
        <v>1128</v>
      </c>
      <c r="C51" s="222"/>
      <c r="D51" s="222"/>
      <c r="E51" s="230">
        <f t="shared" si="1"/>
        <v>0.25558391889026183</v>
      </c>
      <c r="F51" s="230">
        <f t="shared" si="1"/>
        <v>0.25558391889026183</v>
      </c>
    </row>
    <row r="52" spans="1:6" s="221" customFormat="1">
      <c r="A52" s="229"/>
      <c r="B52" s="228" t="s">
        <v>1127</v>
      </c>
      <c r="C52" s="222"/>
      <c r="D52" s="222"/>
      <c r="E52" s="230">
        <f t="shared" si="1"/>
        <v>0.22462394104331243</v>
      </c>
      <c r="F52" s="230">
        <f t="shared" si="1"/>
        <v>0.22462394104331243</v>
      </c>
    </row>
    <row r="53" spans="1:6" s="221" customFormat="1">
      <c r="A53" s="229"/>
      <c r="B53" s="228" t="s">
        <v>1126</v>
      </c>
      <c r="C53" s="222"/>
      <c r="D53" s="222"/>
      <c r="E53" s="227">
        <f t="shared" si="1"/>
        <v>0.29019858552647154</v>
      </c>
      <c r="F53" s="227">
        <f t="shared" si="1"/>
        <v>0.29019858552647154</v>
      </c>
    </row>
    <row r="54" spans="1:6" s="221" customFormat="1">
      <c r="A54" s="224"/>
      <c r="B54" s="224"/>
      <c r="C54" s="226"/>
      <c r="D54" s="226"/>
      <c r="E54" s="225"/>
      <c r="F54" s="225"/>
    </row>
    <row r="55" spans="1:6" s="221" customFormat="1">
      <c r="A55" s="224"/>
      <c r="B55" s="224"/>
      <c r="C55" s="222"/>
      <c r="D55" s="222"/>
      <c r="E55" s="222"/>
      <c r="F55" s="222"/>
    </row>
    <row r="56" spans="1:6" s="221" customFormat="1">
      <c r="A56" s="224"/>
      <c r="B56" s="224"/>
      <c r="C56" s="222"/>
      <c r="D56" s="222"/>
      <c r="E56" s="222"/>
      <c r="F56" s="222"/>
    </row>
    <row r="57" spans="1:6" s="221" customFormat="1">
      <c r="A57" s="223"/>
      <c r="B57" s="223"/>
      <c r="C57" s="222"/>
      <c r="D57" s="222"/>
      <c r="E57" s="222"/>
      <c r="F57" s="222"/>
    </row>
    <row r="58" spans="1:6" s="221" customFormat="1">
      <c r="A58" s="224"/>
      <c r="B58" s="224"/>
      <c r="C58" s="222"/>
      <c r="D58" s="222"/>
      <c r="E58" s="222"/>
      <c r="F58" s="222"/>
    </row>
    <row r="59" spans="1:6" s="221" customFormat="1">
      <c r="A59" s="224"/>
      <c r="B59" s="224"/>
      <c r="C59" s="222"/>
      <c r="D59" s="222"/>
      <c r="E59" s="222"/>
      <c r="F59" s="222"/>
    </row>
    <row r="60" spans="1:6" s="221" customFormat="1">
      <c r="A60" s="224"/>
      <c r="B60" s="224"/>
      <c r="C60" s="222"/>
      <c r="D60" s="222"/>
      <c r="E60" s="222"/>
      <c r="F60" s="222"/>
    </row>
    <row r="61" spans="1:6" s="221" customFormat="1">
      <c r="A61" s="224"/>
      <c r="B61" s="224"/>
      <c r="C61" s="222"/>
      <c r="D61" s="222"/>
      <c r="E61" s="222"/>
      <c r="F61" s="222"/>
    </row>
    <row r="62" spans="1:6" s="221" customFormat="1">
      <c r="A62" s="223"/>
      <c r="B62" s="223"/>
      <c r="C62" s="222"/>
      <c r="D62" s="222"/>
      <c r="E62" s="222"/>
      <c r="F62" s="222"/>
    </row>
    <row r="63" spans="1:6" s="221" customFormat="1">
      <c r="A63" s="224"/>
      <c r="B63" s="224"/>
      <c r="C63" s="222"/>
      <c r="D63" s="222"/>
      <c r="E63" s="222"/>
      <c r="F63" s="222"/>
    </row>
    <row r="64" spans="1:6" s="221" customFormat="1">
      <c r="A64" s="224"/>
      <c r="B64" s="224"/>
      <c r="C64" s="222"/>
      <c r="D64" s="222"/>
      <c r="E64" s="222"/>
      <c r="F64" s="222"/>
    </row>
    <row r="65" spans="1:2" s="221" customFormat="1">
      <c r="A65" s="224"/>
      <c r="B65" s="224"/>
    </row>
    <row r="66" spans="1:2" s="221" customFormat="1">
      <c r="A66" s="223"/>
      <c r="B66" s="223"/>
    </row>
    <row r="67" spans="1:2" s="221" customFormat="1">
      <c r="A67" s="224"/>
      <c r="B67" s="224"/>
    </row>
    <row r="68" spans="1:2" s="221" customFormat="1">
      <c r="A68" s="223"/>
      <c r="B68" s="223"/>
    </row>
    <row r="69" spans="1:2" s="221" customFormat="1">
      <c r="A69" s="224"/>
      <c r="B69" s="224"/>
    </row>
    <row r="70" spans="1:2" s="221" customFormat="1">
      <c r="A70" s="224"/>
      <c r="B70" s="224"/>
    </row>
    <row r="71" spans="1:2" s="221" customFormat="1">
      <c r="A71" s="223"/>
      <c r="B71" s="223"/>
    </row>
  </sheetData>
  <hyperlinks>
    <hyperlink ref="A48" r:id="rId1"/>
  </hyperlinks>
  <pageMargins left="1.25" right="1.25" top="1" bottom="0.79166666666666663" header="0.25" footer="0.25"/>
  <pageSetup scale="40" orientation="portrait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237</vt:i4>
      </vt:variant>
    </vt:vector>
  </HeadingPairs>
  <TitlesOfParts>
    <vt:vector size="252" baseType="lpstr">
      <vt:lpstr>Exhibit___ (JP-5)</vt:lpstr>
      <vt:lpstr>KAT's calculations</vt:lpstr>
      <vt:lpstr>Sheet1</vt:lpstr>
      <vt:lpstr>GPC 2011</vt:lpstr>
      <vt:lpstr>APC</vt:lpstr>
      <vt:lpstr>Gulf STUDY</vt:lpstr>
      <vt:lpstr>MPC</vt:lpstr>
      <vt:lpstr>GPC</vt:lpstr>
      <vt:lpstr>MN Power</vt:lpstr>
      <vt:lpstr>Progress</vt:lpstr>
      <vt:lpstr>NiMO</vt:lpstr>
      <vt:lpstr>NSP</vt:lpstr>
      <vt:lpstr>South Carolina</vt:lpstr>
      <vt:lpstr>UE</vt:lpstr>
      <vt:lpstr>CenHud</vt:lpstr>
      <vt:lpstr>_</vt:lpstr>
      <vt:lpstr>_adr_all_rates1</vt:lpstr>
      <vt:lpstr>_adr_all_rates2</vt:lpstr>
      <vt:lpstr>_adr_all_rates3</vt:lpstr>
      <vt:lpstr>_adr_all_rates4</vt:lpstr>
      <vt:lpstr>_ADR1</vt:lpstr>
      <vt:lpstr>_ADR2</vt:lpstr>
      <vt:lpstr>_ADR4</vt:lpstr>
      <vt:lpstr>_dep_all_rates1</vt:lpstr>
      <vt:lpstr>_dep_all_rates2</vt:lpstr>
      <vt:lpstr>_dep_all_rates3</vt:lpstr>
      <vt:lpstr>_dep_all_rates4</vt:lpstr>
      <vt:lpstr>_DEP1</vt:lpstr>
      <vt:lpstr>_DEP2</vt:lpstr>
      <vt:lpstr>_DEP3</vt:lpstr>
      <vt:lpstr>_DEP4</vt:lpstr>
      <vt:lpstr>_orb_all_rates1</vt:lpstr>
      <vt:lpstr>_orb_all_rates2</vt:lpstr>
      <vt:lpstr>_orb_all_rates3</vt:lpstr>
      <vt:lpstr>_orb_all_rates4</vt:lpstr>
      <vt:lpstr>_ORB1</vt:lpstr>
      <vt:lpstr>_ORB2</vt:lpstr>
      <vt:lpstr>_ORB3</vt:lpstr>
      <vt:lpstr>_ORB4</vt:lpstr>
      <vt:lpstr>_ORB5</vt:lpstr>
      <vt:lpstr>_ORB6</vt:lpstr>
      <vt:lpstr>_owc_all_rates1</vt:lpstr>
      <vt:lpstr>_owc_all_rates2</vt:lpstr>
      <vt:lpstr>_owc_all_rates3</vt:lpstr>
      <vt:lpstr>_owc_all_rates4</vt:lpstr>
      <vt:lpstr>_OWC1</vt:lpstr>
      <vt:lpstr>_OWC2</vt:lpstr>
      <vt:lpstr>_OWC3</vt:lpstr>
      <vt:lpstr>_OWC4</vt:lpstr>
      <vt:lpstr>_OWC5</vt:lpstr>
      <vt:lpstr>_OWC6</vt:lpstr>
      <vt:lpstr>_PRS1</vt:lpstr>
      <vt:lpstr>_PRS2</vt:lpstr>
      <vt:lpstr>_PRS3</vt:lpstr>
      <vt:lpstr>_PRS4</vt:lpstr>
      <vt:lpstr>_rev_all_rates1</vt:lpstr>
      <vt:lpstr>_rev_all_rates2</vt:lpstr>
      <vt:lpstr>_REV1</vt:lpstr>
      <vt:lpstr>_REV2</vt:lpstr>
      <vt:lpstr>_REV3</vt:lpstr>
      <vt:lpstr>_REV4</vt:lpstr>
      <vt:lpstr>adbrdcol</vt:lpstr>
      <vt:lpstr>adbrdrow</vt:lpstr>
      <vt:lpstr>albrdcol</vt:lpstr>
      <vt:lpstr>albrdrow</vt:lpstr>
      <vt:lpstr>CDEP_EXPENSE</vt:lpstr>
      <vt:lpstr>CDEP_RESERVE</vt:lpstr>
      <vt:lpstr>CGROSS_PLANT</vt:lpstr>
      <vt:lpstr>CM_S</vt:lpstr>
      <vt:lpstr>CO_M</vt:lpstr>
      <vt:lpstr>COTHER_RB</vt:lpstr>
      <vt:lpstr>COTHER_WC</vt:lpstr>
      <vt:lpstr>CPRES_SUMMARY</vt:lpstr>
      <vt:lpstr>CREVENUES</vt:lpstr>
      <vt:lpstr>CTAXES</vt:lpstr>
      <vt:lpstr>DATA2</vt:lpstr>
      <vt:lpstr>debrdcol</vt:lpstr>
      <vt:lpstr>debrdrow</vt:lpstr>
      <vt:lpstr>DEP_EXPENSE1</vt:lpstr>
      <vt:lpstr>DEP_EXPENSE2</vt:lpstr>
      <vt:lpstr>DEP_EXPENSE2F</vt:lpstr>
      <vt:lpstr>DEP_EXPENSE3</vt:lpstr>
      <vt:lpstr>DEP_EXPENSE4</vt:lpstr>
      <vt:lpstr>DEP_EXPENSE4F</vt:lpstr>
      <vt:lpstr>DEP_RESERVE1</vt:lpstr>
      <vt:lpstr>DEP_RESERVE2</vt:lpstr>
      <vt:lpstr>DEP_RESERVE2F</vt:lpstr>
      <vt:lpstr>DEP_RESERVE3</vt:lpstr>
      <vt:lpstr>DEP_RESERVE4</vt:lpstr>
      <vt:lpstr>DEP_RESERVE4F</vt:lpstr>
      <vt:lpstr>equal_summary_pres_brdrow</vt:lpstr>
      <vt:lpstr>equal_summary_present</vt:lpstr>
      <vt:lpstr>equal_summary_prop_brdrow</vt:lpstr>
      <vt:lpstr>equal_summary_proposed</vt:lpstr>
      <vt:lpstr>FI_13</vt:lpstr>
      <vt:lpstr>FI15FI17</vt:lpstr>
      <vt:lpstr>FX_06</vt:lpstr>
      <vt:lpstr>gpbrdcol</vt:lpstr>
      <vt:lpstr>gpbrdrow</vt:lpstr>
      <vt:lpstr>GROSSHDR1</vt:lpstr>
      <vt:lpstr>GROSSHDR2</vt:lpstr>
      <vt:lpstr>GROSSPLT1</vt:lpstr>
      <vt:lpstr>grsplnt_all_rates1</vt:lpstr>
      <vt:lpstr>grsplnt_all_rates2</vt:lpstr>
      <vt:lpstr>grsplnt_all_rates3</vt:lpstr>
      <vt:lpstr>grsplnt_all_rates4</vt:lpstr>
      <vt:lpstr>grsplnt_all_rates5</vt:lpstr>
      <vt:lpstr>grsplnt_all_rates6</vt:lpstr>
      <vt:lpstr>GRSPLNT1</vt:lpstr>
      <vt:lpstr>GRSPLNT2</vt:lpstr>
      <vt:lpstr>GRSPLNT3</vt:lpstr>
      <vt:lpstr>GRSPLNT4</vt:lpstr>
      <vt:lpstr>GRSPLNT5</vt:lpstr>
      <vt:lpstr>GRSPLNT6</vt:lpstr>
      <vt:lpstr>grsplnt7</vt:lpstr>
      <vt:lpstr>HDEP_EXPENSE</vt:lpstr>
      <vt:lpstr>HDEP_RESERVE</vt:lpstr>
      <vt:lpstr>HGROSS_PLANT</vt:lpstr>
      <vt:lpstr>HM_S</vt:lpstr>
      <vt:lpstr>HO_M</vt:lpstr>
      <vt:lpstr>HOTHER_RB</vt:lpstr>
      <vt:lpstr>HOTHER_WC</vt:lpstr>
      <vt:lpstr>HPRES_SUMMARY</vt:lpstr>
      <vt:lpstr>HREVENUES</vt:lpstr>
      <vt:lpstr>HTAXES</vt:lpstr>
      <vt:lpstr>lnal_all_rates1</vt:lpstr>
      <vt:lpstr>lnal_all_rates2</vt:lpstr>
      <vt:lpstr>lnal_all_rates3</vt:lpstr>
      <vt:lpstr>lnal_all_rates4</vt:lpstr>
      <vt:lpstr>LNALC1</vt:lpstr>
      <vt:lpstr>LNALC2</vt:lpstr>
      <vt:lpstr>M_S1</vt:lpstr>
      <vt:lpstr>M_S2</vt:lpstr>
      <vt:lpstr>M_S2F</vt:lpstr>
      <vt:lpstr>M_SWKRPT</vt:lpstr>
      <vt:lpstr>mands_all_rates1</vt:lpstr>
      <vt:lpstr>mands_all_rates2</vt:lpstr>
      <vt:lpstr>MANDS1</vt:lpstr>
      <vt:lpstr>MANDS2</vt:lpstr>
      <vt:lpstr>msbrdcol</vt:lpstr>
      <vt:lpstr>msbrdrow</vt:lpstr>
      <vt:lpstr>oandm_all_rates1</vt:lpstr>
      <vt:lpstr>oandm_all_rates10</vt:lpstr>
      <vt:lpstr>oandm_all_rates11</vt:lpstr>
      <vt:lpstr>oandm_all_rates12</vt:lpstr>
      <vt:lpstr>oandm_all_rates13</vt:lpstr>
      <vt:lpstr>oandm_all_rates14</vt:lpstr>
      <vt:lpstr>oandm_all_rates15</vt:lpstr>
      <vt:lpstr>oandm_all_rates16</vt:lpstr>
      <vt:lpstr>oandm_all_rates2</vt:lpstr>
      <vt:lpstr>oandm_all_rates3</vt:lpstr>
      <vt:lpstr>oandm_all_rates4</vt:lpstr>
      <vt:lpstr>oandm_all_rates5</vt:lpstr>
      <vt:lpstr>oandm_all_rates6</vt:lpstr>
      <vt:lpstr>oandm_all_rates7</vt:lpstr>
      <vt:lpstr>oandm_all_rates8</vt:lpstr>
      <vt:lpstr>oandm_all_rates9</vt:lpstr>
      <vt:lpstr>OANDM1</vt:lpstr>
      <vt:lpstr>OANDM10</vt:lpstr>
      <vt:lpstr>OANDM11</vt:lpstr>
      <vt:lpstr>OANDM12</vt:lpstr>
      <vt:lpstr>OANDM13</vt:lpstr>
      <vt:lpstr>OANDM14</vt:lpstr>
      <vt:lpstr>OANDM15</vt:lpstr>
      <vt:lpstr>OANDM16</vt:lpstr>
      <vt:lpstr>OANDM17</vt:lpstr>
      <vt:lpstr>OANDM18</vt:lpstr>
      <vt:lpstr>OANDM2</vt:lpstr>
      <vt:lpstr>OANDM3</vt:lpstr>
      <vt:lpstr>OANDM4</vt:lpstr>
      <vt:lpstr>OANDM5</vt:lpstr>
      <vt:lpstr>OANDM6</vt:lpstr>
      <vt:lpstr>OANDM7</vt:lpstr>
      <vt:lpstr>OANDM8</vt:lpstr>
      <vt:lpstr>OANDM9</vt:lpstr>
      <vt:lpstr>ombrdcol</vt:lpstr>
      <vt:lpstr>ombrdrow</vt:lpstr>
      <vt:lpstr>orbrdcol</vt:lpstr>
      <vt:lpstr>orbrdrow</vt:lpstr>
      <vt:lpstr>OTHER_RB1</vt:lpstr>
      <vt:lpstr>OTHER_RB2</vt:lpstr>
      <vt:lpstr>OTHER_RB2F</vt:lpstr>
      <vt:lpstr>OTHER_RB3</vt:lpstr>
      <vt:lpstr>OTHER_RB4</vt:lpstr>
      <vt:lpstr>OTHER_RB4F</vt:lpstr>
      <vt:lpstr>OTHER_RB5</vt:lpstr>
      <vt:lpstr>OTHER_RB6</vt:lpstr>
      <vt:lpstr>OTHER_RB6F</vt:lpstr>
      <vt:lpstr>OTHER_WC1</vt:lpstr>
      <vt:lpstr>OTHER_WC2</vt:lpstr>
      <vt:lpstr>OTHER_WC2F</vt:lpstr>
      <vt:lpstr>OTHER_WC3</vt:lpstr>
      <vt:lpstr>OTHER_WC4</vt:lpstr>
      <vt:lpstr>OTHER_WC4F</vt:lpstr>
      <vt:lpstr>OTHER_WC5</vt:lpstr>
      <vt:lpstr>OTHER_WC6</vt:lpstr>
      <vt:lpstr>OTHER_WC6F</vt:lpstr>
      <vt:lpstr>othertax_all_rates1</vt:lpstr>
      <vt:lpstr>othertax_all_rates2</vt:lpstr>
      <vt:lpstr>othertax_all_rates3</vt:lpstr>
      <vt:lpstr>othertax_all_rates4</vt:lpstr>
      <vt:lpstr>OTHERTAX1</vt:lpstr>
      <vt:lpstr>OTHERTAX2</vt:lpstr>
      <vt:lpstr>OTHERTAX3</vt:lpstr>
      <vt:lpstr>OTHERTAX4</vt:lpstr>
      <vt:lpstr>owbrdcol</vt:lpstr>
      <vt:lpstr>owbrdrow</vt:lpstr>
      <vt:lpstr>PAYROLLWKRPT</vt:lpstr>
      <vt:lpstr>pres_summary_all_rates1</vt:lpstr>
      <vt:lpstr>pres_summary_all_rates2</vt:lpstr>
      <vt:lpstr>PRES_SUMMARY1</vt:lpstr>
      <vt:lpstr>PRES_SUMMARY2</vt:lpstr>
      <vt:lpstr>PRES_SUMMARYF</vt:lpstr>
      <vt:lpstr>'Exhibit___ (JP-5)'!Print_Area</vt:lpstr>
      <vt:lpstr>'Gulf STUDY'!Print_Area</vt:lpstr>
      <vt:lpstr>Prop_Summary_All_Rates1</vt:lpstr>
      <vt:lpstr>Prop_Summary_All_Rates2</vt:lpstr>
      <vt:lpstr>prop_summary_brdrow</vt:lpstr>
      <vt:lpstr>PROP_SUMMARY1</vt:lpstr>
      <vt:lpstr>PROP_SUMMARY2</vt:lpstr>
      <vt:lpstr>PROPINSWKRPT</vt:lpstr>
      <vt:lpstr>REVENUES</vt:lpstr>
      <vt:lpstr>REVENUES1</vt:lpstr>
      <vt:lpstr>REVENUES2</vt:lpstr>
      <vt:lpstr>REVENUES2F</vt:lpstr>
      <vt:lpstr>REVENUES3</vt:lpstr>
      <vt:lpstr>REVENUES4</vt:lpstr>
      <vt:lpstr>RPPROPTX</vt:lpstr>
      <vt:lpstr>rvbrdcol</vt:lpstr>
      <vt:lpstr>rvbrdrow</vt:lpstr>
      <vt:lpstr>smbrdcol</vt:lpstr>
      <vt:lpstr>smbrdrow</vt:lpstr>
      <vt:lpstr>TAXES1</vt:lpstr>
      <vt:lpstr>TAXES2</vt:lpstr>
      <vt:lpstr>TAXES2F</vt:lpstr>
      <vt:lpstr>TAXES3</vt:lpstr>
      <vt:lpstr>TAXES4</vt:lpstr>
      <vt:lpstr>TAXES4F</vt:lpstr>
      <vt:lpstr>txbrdcol</vt:lpstr>
      <vt:lpstr>txbrdrow</vt:lpstr>
      <vt:lpstr>viewaccumdep</vt:lpstr>
      <vt:lpstr>viewdeprexp</vt:lpstr>
      <vt:lpstr>viewgrsplnt</vt:lpstr>
      <vt:lpstr>viewms</vt:lpstr>
      <vt:lpstr>viewom</vt:lpstr>
      <vt:lpstr>vieworb</vt:lpstr>
      <vt:lpstr>viewowc</vt:lpstr>
      <vt:lpstr>viewproposedsummary</vt:lpstr>
      <vt:lpstr>viewrev</vt:lpstr>
      <vt:lpstr>viewsummary</vt:lpstr>
      <vt:lpstr>viewtotit</vt:lpstr>
      <vt:lpstr>WKSHT_FI15_FI17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Kitty A. Turner</dc:creator>
  <cp:lastModifiedBy>Joseph M. Selsor</cp:lastModifiedBy>
  <cp:lastPrinted>2011-11-08T16:03:38Z</cp:lastPrinted>
  <dcterms:created xsi:type="dcterms:W3CDTF">2010-05-05T19:24:37Z</dcterms:created>
  <dcterms:modified xsi:type="dcterms:W3CDTF">2011-11-11T14:58:34Z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ummary_All_Rates1" linkTarget="Prop_Summary_All_Rates1">
    <vt:lpwstr/>
  </property>
  <property fmtid="{D5CDD505-2E9C-101B-9397-08002B2CF9AE}" pid="3" name="Summary_All_Rates2" linkTarget="Prop_Summary_All_Rates2">
    <vt:lpwstr/>
  </property>
  <property fmtid="{D5CDD505-2E9C-101B-9397-08002B2CF9AE}" pid="4" name="summary_brdrow" linkTarget="prop_summary_brdrow">
    <vt:lpwstr/>
  </property>
  <property fmtid="{D5CDD505-2E9C-101B-9397-08002B2CF9AE}" pid="5" name="SUMMARY1" linkTarget="PROP_SUMMARY1">
    <vt:lpwstr/>
  </property>
  <property fmtid="{D5CDD505-2E9C-101B-9397-08002B2CF9AE}" pid="6" name="SUMMARY2" linkTarget="PROP_SUMMARY2">
    <vt:lpwstr/>
  </property>
</Properties>
</file>